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wdp" ContentType="image/vnd.ms-photo"/>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drawings/drawing2.xml" ContentType="application/vnd.openxmlformats-officedocument.drawing+xml"/>
  <Override PartName="/xl/drawings/drawing3.xml" ContentType="application/vnd.openxmlformats-officedocument.drawing+xml"/>
  <Override PartName="/xl/ctrlProps/ctrlProp3.xml" ContentType="application/vnd.ms-excel.controlproperties+xml"/>
  <Override PartName="/xl/ctrlProps/ctrlProp4.xml" ContentType="application/vnd.ms-excel.controlpropertie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drawings/drawing4.xml" ContentType="application/vnd.openxmlformats-officedocument.drawingml.chartshapes+xml"/>
  <Override PartName="/xl/drawings/drawing5.xml" ContentType="application/vnd.openxmlformats-officedocument.drawing+xml"/>
  <Override PartName="/xl/ctrlProps/ctrlProp5.xml" ContentType="application/vnd.ms-excel.controlproperties+xml"/>
  <Override PartName="/xl/ctrlProps/ctrlProp6.xml" ContentType="application/vnd.ms-excel.controlproperties+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drawings/drawing6.xml" ContentType="application/vnd.openxmlformats-officedocument.drawing+xml"/>
  <Override PartName="/xl/embeddings/oleObject1.bin" ContentType="application/vnd.openxmlformats-officedocument.oleObject"/>
  <Override PartName="/xl/ctrlProps/ctrlProp7.xml" ContentType="application/vnd.ms-excel.controlproperties+xml"/>
  <Override PartName="/xl/ctrlProps/ctrlProp8.xml" ContentType="application/vnd.ms-excel.controlproperties+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theme/themeOverride1.xml" ContentType="application/vnd.openxmlformats-officedocument.themeOverride+xml"/>
  <Override PartName="/xl/drawings/drawing7.xml" ContentType="application/vnd.openxmlformats-officedocument.drawing+xml"/>
  <Override PartName="/xl/ctrlProps/ctrlProp9.xml" ContentType="application/vnd.ms-excel.controlproperties+xml"/>
  <Override PartName="/xl/ctrlProps/ctrlProp10.xml" ContentType="application/vnd.ms-excel.controlproperties+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drawings/drawing8.xml" ContentType="application/vnd.openxmlformats-officedocument.drawing+xml"/>
  <Override PartName="/xl/ctrlProps/ctrlProp11.xml" ContentType="application/vnd.ms-excel.controlproperties+xml"/>
  <Override PartName="/xl/ctrlProps/ctrlProp12.xml" ContentType="application/vnd.ms-excel.controlproperties+xml"/>
  <Override PartName="/xl/charts/chart18.xml" ContentType="application/vnd.openxmlformats-officedocument.drawingml.chart+xml"/>
  <Override PartName="/xl/charts/chart19.xml" ContentType="application/vnd.openxmlformats-officedocument.drawingml.chart+xml"/>
  <Override PartName="/xl/drawings/drawing9.xml" ContentType="application/vnd.openxmlformats-officedocument.drawing+xml"/>
  <Override PartName="/xl/ctrlProps/ctrlProp13.xml" ContentType="application/vnd.ms-excel.controlproperties+xml"/>
  <Override PartName="/xl/ctrlProps/ctrlProp14.xml" ContentType="application/vnd.ms-excel.controlproperties+xml"/>
  <Override PartName="/xl/charts/chart20.xml" ContentType="application/vnd.openxmlformats-officedocument.drawingml.chart+xml"/>
  <Override PartName="/xl/charts/chart21.xml" ContentType="application/vnd.openxmlformats-officedocument.drawingml.chart+xml"/>
  <Override PartName="/xl/drawings/drawing10.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13485" yWindow="45" windowWidth="6780" windowHeight="6810" tabRatio="783"/>
  </bookViews>
  <sheets>
    <sheet name="Intro" sheetId="2" r:id="rId1"/>
    <sheet name="Contents" sheetId="19" r:id="rId2"/>
    <sheet name="Population" sheetId="10" r:id="rId3"/>
    <sheet name="Family Structure" sheetId="9" r:id="rId4"/>
    <sheet name="Health Indicators" sheetId="8" r:id="rId5"/>
    <sheet name="Births and Early Years" sheetId="7" r:id="rId6"/>
    <sheet name="Deprivation" sheetId="6" r:id="rId7"/>
    <sheet name="EYFS" sheetId="5" r:id="rId8"/>
    <sheet name="References" sheetId="20" r:id="rId9"/>
    <sheet name="Data" sheetId="1" r:id="rId10"/>
    <sheet name="Named Ranges" sheetId="11" state="hidden" r:id="rId11"/>
    <sheet name="Teenage Pregnancy" sheetId="12" state="hidden" r:id="rId12"/>
    <sheet name="ONS births" sheetId="13" state="hidden" r:id="rId13"/>
    <sheet name="Young Mothers" sheetId="14" state="hidden" r:id="rId14"/>
    <sheet name="Breastfeeding CCG" sheetId="15" state="hidden" r:id="rId15"/>
    <sheet name="progress" sheetId="16" state="hidden" r:id="rId16"/>
    <sheet name="Emergency Admissions" sheetId="17" state="hidden" r:id="rId17"/>
    <sheet name="Sheet1" sheetId="21" state="hidden" r:id="rId18"/>
  </sheets>
  <externalReferences>
    <externalReference r:id="rId19"/>
  </externalReferences>
  <definedNames>
    <definedName name="Births">Data!$CS$5:$CY$83</definedName>
    <definedName name="Birthweight">Data!$DH$5:$DS$83</definedName>
    <definedName name="breastfeeding">Data!$FZ$5:$GK$83</definedName>
    <definedName name="breastfeeding1415">Data!$GL$5:$GU$78</definedName>
    <definedName name="breastfeeding1415GPpostcode">Data!$HI$5:$HU$83</definedName>
    <definedName name="Breastfeeding1516">Data!$GV$5:$HH$78</definedName>
    <definedName name="cfc">[1]DATA!$2:$77</definedName>
    <definedName name="Childpoverty">Data!$EJ$5:$FK$83</definedName>
    <definedName name="ChildPoverty16s">Data!$FL$5:$FY$83</definedName>
    <definedName name="deprivation">Data!$EB$5:$EC$83</definedName>
    <definedName name="District1">Population!$F$56</definedName>
    <definedName name="District2">Population!$J$56</definedName>
    <definedName name="Ethnicity">Data!$AX$5:$BD$78</definedName>
    <definedName name="EYFS2013">Data!$LB$5:$LK$83</definedName>
    <definedName name="EYFS2014">Data!$LL$5:$LU$83</definedName>
    <definedName name="EYFS2015">Data!$LV$5:$MD$83</definedName>
    <definedName name="EYFS2016">Data!$ME$5:$MM$78</definedName>
    <definedName name="Families">Data!$BP$5:$BV$82</definedName>
    <definedName name="Geographies">Data!$A$6:$S$83</definedName>
    <definedName name="Households_All_Ages">Data!$BW$5:$CB$83</definedName>
    <definedName name="Householdunder5">Data!$CC$5:$CH$83</definedName>
    <definedName name="IDACI">Data!$DX$5:$EA$83</definedName>
    <definedName name="IMD">Data!$DV$5:$DW$78</definedName>
    <definedName name="Imms201415">Data!$OU$5:$QG$78</definedName>
    <definedName name="Imms201516">Data!$QH$5:$RT$78</definedName>
    <definedName name="immunisations">Data!$NX$5:$OT$78</definedName>
    <definedName name="Locations">Data!$A$6:$A$78</definedName>
    <definedName name="loneparentlowincome">Data!$CI$5:$CN$78</definedName>
    <definedName name="LoneParentsCensus">Data!$CO$5:$CR$83</definedName>
    <definedName name="LTLI">Data!$DT$5:$DU$83</definedName>
    <definedName name="Obese2009">Data!$HV$5:$IA$83</definedName>
    <definedName name="Obese2010">Data!$IB$5:$IG$84</definedName>
    <definedName name="Obese2011">Data!$IG$5:$IL$83</definedName>
    <definedName name="Obese2012">Data!$IM$5:$IS$83</definedName>
    <definedName name="Obese2013">Data!$IT$5:$IY$83</definedName>
    <definedName name="Obese2014">Data!$IZ$5:$JE$78</definedName>
    <definedName name="Obese2015">Data!$IZ$5:$JE$78</definedName>
    <definedName name="Obese2016">Data!$JF$5:$JK$78</definedName>
    <definedName name="ObeseY62014">Data!$KP$5:$KU$83</definedName>
    <definedName name="ObeseY62016">Data!$KV$5:$LA$78</definedName>
    <definedName name="OutofWork">Data!$ED$5:$EI$83</definedName>
    <definedName name="Population">Data!$T$5:$AD$78</definedName>
    <definedName name="_xlnm.Print_Area" localSheetId="5">'Births and Early Years'!$A$1:$V$205</definedName>
    <definedName name="_xlnm.Print_Area" localSheetId="1">Contents!$A$1:$V$63</definedName>
    <definedName name="_xlnm.Print_Area" localSheetId="6">Deprivation!$A$1:$T$151</definedName>
    <definedName name="_xlnm.Print_Area" localSheetId="7">EYFS!$A$1:$U$114</definedName>
    <definedName name="_xlnm.Print_Area" localSheetId="3">'Family Structure'!$A$1:$P$82</definedName>
    <definedName name="_xlnm.Print_Area" localSheetId="4">'Health Indicators'!$A$1:$W$901</definedName>
    <definedName name="_xlnm.Print_Area" localSheetId="0">Intro!$A$1:$L$55</definedName>
    <definedName name="_xlnm.Print_Area" localSheetId="2">Population!$A$1:$P$158</definedName>
    <definedName name="Proficiency">Data!$BE$5:$BK$82</definedName>
    <definedName name="selection">Data!$A$3</definedName>
    <definedName name="selection2">Data!$A$4</definedName>
    <definedName name="selectionTeenConc1">'Teenage Pregnancy'!$A$1</definedName>
    <definedName name="SelectionTeenConc2" localSheetId="1">'Teenage Pregnancy'!#REF!</definedName>
    <definedName name="SelectionTeenConc2">'Teenage Pregnancy'!#REF!</definedName>
    <definedName name="smoking">Data!$MN$5:$NC$83</definedName>
    <definedName name="Smoking2014">Data!$ND$5:$NW$78</definedName>
    <definedName name="TeenConc_Selection">'Teenage Pregnancy'!$A$4:$A$13</definedName>
    <definedName name="TeenConcselection1">'Teenage Pregnancy'!$A$1</definedName>
    <definedName name="TeenConcSelection2">'Teenage Pregnancy'!$B$1</definedName>
    <definedName name="TeenMums">Data!$DG$5:$DG$83</definedName>
    <definedName name="TeenPregnancy">'Teenage Pregnancy'!$A$2:$BQ$13</definedName>
    <definedName name="Tenure">Data!$BL$5:$BO$78</definedName>
    <definedName name="UnderFive">Data!$AE$5:$AO$78</definedName>
    <definedName name="Y6Obese2009">Data!$JL$5:$JQ$83</definedName>
    <definedName name="Y6Obese2010">Data!$JR$5:$JW$83</definedName>
    <definedName name="Y6Obese20109">Data!$JL$5:$JQ$83</definedName>
    <definedName name="Y6Obese2011">Data!$JX$5:$KC$83</definedName>
    <definedName name="Y6Obese2012">Data!$KD$5:$KI$83</definedName>
    <definedName name="Y6Obese2013">Data!$KJ$5:$KO$83</definedName>
    <definedName name="YoungMums">Data!$CZ$5:$DF$83</definedName>
    <definedName name="YR6Obese2011">Data!$JX$5:$KC$82</definedName>
    <definedName name="Yr6Obese2014">Data!$KP$5:$KU$83</definedName>
  </definedNames>
  <calcPr calcId="145621"/>
</workbook>
</file>

<file path=xl/calcChain.xml><?xml version="1.0" encoding="utf-8"?>
<calcChain xmlns="http://schemas.openxmlformats.org/spreadsheetml/2006/main">
  <c r="JK72" i="1" l="1"/>
  <c r="JK73" i="1"/>
  <c r="JK74" i="1"/>
  <c r="JK75" i="1"/>
  <c r="JK69" i="1"/>
  <c r="JK70" i="1"/>
  <c r="JK71" i="1"/>
  <c r="JK68" i="1"/>
  <c r="JK7" i="1"/>
  <c r="JK8" i="1"/>
  <c r="JK9" i="1"/>
  <c r="JK10" i="1"/>
  <c r="JK11" i="1"/>
  <c r="JK12" i="1"/>
  <c r="JK13" i="1"/>
  <c r="JK14" i="1"/>
  <c r="JK15" i="1"/>
  <c r="JK16" i="1"/>
  <c r="JK17" i="1"/>
  <c r="JK18" i="1"/>
  <c r="JK19" i="1"/>
  <c r="JK20" i="1"/>
  <c r="JK21" i="1"/>
  <c r="JK22" i="1"/>
  <c r="JK23" i="1"/>
  <c r="JK24" i="1"/>
  <c r="JK25" i="1"/>
  <c r="JK26" i="1"/>
  <c r="JK27" i="1"/>
  <c r="JK28" i="1"/>
  <c r="JK29" i="1"/>
  <c r="JK30" i="1"/>
  <c r="JK31" i="1"/>
  <c r="JK32" i="1"/>
  <c r="JK33" i="1"/>
  <c r="JK34" i="1"/>
  <c r="JK35" i="1"/>
  <c r="JK36" i="1"/>
  <c r="JK37" i="1"/>
  <c r="JK38" i="1"/>
  <c r="JK39" i="1"/>
  <c r="JK40" i="1"/>
  <c r="JK41" i="1"/>
  <c r="JK42" i="1"/>
  <c r="JK43" i="1"/>
  <c r="JK44" i="1"/>
  <c r="JK45" i="1"/>
  <c r="JK46" i="1"/>
  <c r="JK47" i="1"/>
  <c r="JK48" i="1"/>
  <c r="JK49" i="1"/>
  <c r="JK50" i="1"/>
  <c r="JK51" i="1"/>
  <c r="JK52" i="1"/>
  <c r="JK53" i="1"/>
  <c r="JK54" i="1"/>
  <c r="JK55" i="1"/>
  <c r="JK56" i="1"/>
  <c r="JK57" i="1"/>
  <c r="JK58" i="1"/>
  <c r="JK59" i="1"/>
  <c r="JK60" i="1"/>
  <c r="JK6" i="1" l="1"/>
  <c r="CY83" i="1"/>
  <c r="L46" i="8" l="1"/>
  <c r="O774" i="8"/>
  <c r="R774" i="8"/>
  <c r="O775" i="8"/>
  <c r="O776" i="8" s="1"/>
  <c r="R775" i="8"/>
  <c r="R776" i="8" s="1"/>
  <c r="O777" i="8"/>
  <c r="R777" i="8"/>
  <c r="O778" i="8"/>
  <c r="O779" i="8" s="1"/>
  <c r="R778" i="8"/>
  <c r="R779" i="8" s="1"/>
  <c r="O780" i="8"/>
  <c r="R780" i="8"/>
  <c r="O781" i="8"/>
  <c r="O782" i="8" s="1"/>
  <c r="R781" i="8"/>
  <c r="R782" i="8" s="1"/>
  <c r="O783" i="8"/>
  <c r="R783" i="8"/>
  <c r="O784" i="8"/>
  <c r="O785" i="8" s="1"/>
  <c r="R784" i="8"/>
  <c r="R785" i="8" s="1"/>
  <c r="O786" i="8"/>
  <c r="R786" i="8"/>
  <c r="O787" i="8"/>
  <c r="O788" i="8" s="1"/>
  <c r="R787" i="8"/>
  <c r="R788" i="8" s="1"/>
  <c r="O789" i="8"/>
  <c r="R789" i="8"/>
  <c r="O790" i="8"/>
  <c r="O791" i="8" s="1"/>
  <c r="R790" i="8"/>
  <c r="R791" i="8" s="1"/>
  <c r="O792" i="8"/>
  <c r="R792" i="8"/>
  <c r="O793" i="8"/>
  <c r="O794" i="8" s="1"/>
  <c r="R793" i="8"/>
  <c r="R794" i="8" s="1"/>
  <c r="O795" i="8"/>
  <c r="R795" i="8"/>
  <c r="O796" i="8"/>
  <c r="O797" i="8" s="1"/>
  <c r="R796" i="8"/>
  <c r="R797" i="8" s="1"/>
  <c r="O771" i="8"/>
  <c r="R771" i="8"/>
  <c r="O772" i="8"/>
  <c r="O773" i="8" s="1"/>
  <c r="R772" i="8"/>
  <c r="R773" i="8" s="1"/>
  <c r="R770" i="8"/>
  <c r="O770" i="8"/>
  <c r="R767" i="8"/>
  <c r="O767" i="8"/>
  <c r="O758" i="8"/>
  <c r="O755" i="8"/>
  <c r="O759" i="8"/>
  <c r="O760" i="8" s="1"/>
  <c r="O756" i="8"/>
  <c r="O757" i="8" s="1"/>
  <c r="O753" i="8"/>
  <c r="O754" i="8" s="1"/>
  <c r="O750" i="8"/>
  <c r="O751" i="8" s="1"/>
  <c r="R758" i="8"/>
  <c r="R755" i="8"/>
  <c r="R752" i="8"/>
  <c r="R749" i="8"/>
  <c r="R759" i="8"/>
  <c r="R760" i="8" s="1"/>
  <c r="R756" i="8"/>
  <c r="R757" i="8" s="1"/>
  <c r="R753" i="8"/>
  <c r="R754" i="8" s="1"/>
  <c r="R750" i="8"/>
  <c r="R751" i="8" s="1"/>
  <c r="R747" i="8"/>
  <c r="R748" i="8" s="1"/>
  <c r="R746" i="8"/>
  <c r="O752" i="8"/>
  <c r="O749" i="8"/>
  <c r="O747" i="8"/>
  <c r="O748" i="8" s="1"/>
  <c r="O746" i="8"/>
  <c r="O743" i="8"/>
  <c r="O744" i="8"/>
  <c r="O745" i="8" s="1"/>
  <c r="R743" i="8"/>
  <c r="R744" i="8"/>
  <c r="R745" i="8" s="1"/>
  <c r="R742" i="8"/>
  <c r="O742" i="8"/>
  <c r="L743" i="8"/>
  <c r="L742" i="8"/>
  <c r="R739" i="8"/>
  <c r="O739" i="8"/>
  <c r="R731" i="8"/>
  <c r="R732" i="8" s="1"/>
  <c r="R730" i="8"/>
  <c r="O731" i="8"/>
  <c r="O732" i="8" s="1"/>
  <c r="O730" i="8"/>
  <c r="O728" i="8"/>
  <c r="O729" i="8" s="1"/>
  <c r="R728" i="8"/>
  <c r="R729" i="8" s="1"/>
  <c r="O727" i="8"/>
  <c r="R727" i="8"/>
  <c r="I727" i="8"/>
  <c r="O724" i="8"/>
  <c r="R724" i="8"/>
  <c r="R725" i="8"/>
  <c r="R726" i="8" s="1"/>
  <c r="O725" i="8"/>
  <c r="O726" i="8" s="1"/>
  <c r="L720" i="8"/>
  <c r="I724" i="8"/>
  <c r="R723" i="8"/>
  <c r="O723" i="8"/>
  <c r="R720" i="8"/>
  <c r="O720" i="8"/>
  <c r="DF82" i="1" l="1"/>
  <c r="DF80" i="1"/>
  <c r="DF83" i="1"/>
  <c r="DF81" i="1"/>
  <c r="DF79" i="1" l="1"/>
  <c r="P67" i="8"/>
  <c r="P66" i="8"/>
  <c r="N66" i="8"/>
  <c r="N67" i="8"/>
  <c r="L66" i="8"/>
  <c r="GY7" i="1"/>
  <c r="GY8" i="1"/>
  <c r="GY9" i="1"/>
  <c r="GY10" i="1"/>
  <c r="GY11" i="1"/>
  <c r="GY12" i="1"/>
  <c r="GY13" i="1"/>
  <c r="GY14" i="1"/>
  <c r="GY15" i="1"/>
  <c r="GY16" i="1"/>
  <c r="GY17" i="1"/>
  <c r="GY18" i="1"/>
  <c r="GY19" i="1"/>
  <c r="GY20" i="1"/>
  <c r="GY21" i="1"/>
  <c r="GY22" i="1"/>
  <c r="GY23" i="1"/>
  <c r="GY24" i="1"/>
  <c r="GY25" i="1"/>
  <c r="GY26" i="1"/>
  <c r="GY27" i="1"/>
  <c r="GY28" i="1"/>
  <c r="GY29" i="1"/>
  <c r="GY30" i="1"/>
  <c r="GY31" i="1"/>
  <c r="GY32" i="1"/>
  <c r="GY33" i="1"/>
  <c r="GY34" i="1"/>
  <c r="GY35" i="1"/>
  <c r="GY36" i="1"/>
  <c r="GY37" i="1"/>
  <c r="GY38" i="1"/>
  <c r="GY39" i="1"/>
  <c r="GY40" i="1"/>
  <c r="GY41" i="1"/>
  <c r="GY42" i="1"/>
  <c r="GY43" i="1"/>
  <c r="GY44" i="1"/>
  <c r="GY45" i="1"/>
  <c r="GY46" i="1"/>
  <c r="GY47" i="1"/>
  <c r="GY48" i="1"/>
  <c r="GY49" i="1"/>
  <c r="GY50" i="1"/>
  <c r="GY51" i="1"/>
  <c r="GY52" i="1"/>
  <c r="L68" i="8" s="1"/>
  <c r="GY53" i="1"/>
  <c r="N68" i="8" s="1"/>
  <c r="GY54" i="1"/>
  <c r="GY55" i="1"/>
  <c r="GY56" i="1"/>
  <c r="GY57" i="1"/>
  <c r="GY58" i="1"/>
  <c r="GY59" i="1"/>
  <c r="GY60" i="1"/>
  <c r="GY61" i="1"/>
  <c r="GY62" i="1"/>
  <c r="GY63" i="1"/>
  <c r="GY64" i="1"/>
  <c r="GY65" i="1"/>
  <c r="GY66" i="1"/>
  <c r="GY67" i="1"/>
  <c r="GY68" i="1"/>
  <c r="GY69" i="1"/>
  <c r="GY70" i="1"/>
  <c r="GY71" i="1"/>
  <c r="GY72" i="1"/>
  <c r="GY73" i="1"/>
  <c r="GY74" i="1"/>
  <c r="GY75" i="1"/>
  <c r="GY76" i="1"/>
  <c r="P68" i="8" s="1"/>
  <c r="GY6" i="1"/>
  <c r="J91" i="8" l="1"/>
  <c r="I91" i="8"/>
  <c r="F91" i="8"/>
  <c r="G91" i="8"/>
  <c r="J90" i="8"/>
  <c r="I90" i="8"/>
  <c r="G90" i="8"/>
  <c r="F90" i="8"/>
  <c r="J89" i="8"/>
  <c r="I89" i="8"/>
  <c r="G89" i="8"/>
  <c r="F89" i="8"/>
  <c r="P72" i="8"/>
  <c r="P71" i="8"/>
  <c r="P70" i="8"/>
  <c r="P69" i="8"/>
  <c r="N69" i="8"/>
  <c r="N70" i="8"/>
  <c r="N71" i="8"/>
  <c r="N72" i="8"/>
  <c r="L69" i="8"/>
  <c r="L70" i="8"/>
  <c r="L71" i="8"/>
  <c r="L72" i="8"/>
  <c r="L67" i="8"/>
  <c r="F33" i="21" l="1"/>
  <c r="G33" i="21"/>
  <c r="H33" i="21"/>
  <c r="F34" i="21"/>
  <c r="G34" i="21"/>
  <c r="H34" i="21"/>
  <c r="F35" i="21"/>
  <c r="G35" i="21"/>
  <c r="H35" i="21"/>
  <c r="F36" i="21"/>
  <c r="G36" i="21"/>
  <c r="H36" i="21"/>
  <c r="F37" i="21"/>
  <c r="G37" i="21"/>
  <c r="H37" i="21"/>
  <c r="F38" i="21"/>
  <c r="G38" i="21"/>
  <c r="H38" i="21"/>
  <c r="F39" i="21"/>
  <c r="G39" i="21"/>
  <c r="H39" i="21"/>
  <c r="F40" i="21"/>
  <c r="G40" i="21"/>
  <c r="H40" i="21"/>
  <c r="F41" i="21"/>
  <c r="G41" i="21"/>
  <c r="H41" i="21"/>
  <c r="G32" i="21"/>
  <c r="H32" i="21"/>
  <c r="B33" i="21"/>
  <c r="C33" i="21"/>
  <c r="D33" i="21"/>
  <c r="B34" i="21"/>
  <c r="C34" i="21"/>
  <c r="D34" i="21"/>
  <c r="B35" i="21"/>
  <c r="C35" i="21"/>
  <c r="D35" i="21"/>
  <c r="B36" i="21"/>
  <c r="C36" i="21"/>
  <c r="D36" i="21"/>
  <c r="B37" i="21"/>
  <c r="C37" i="21"/>
  <c r="D37" i="21"/>
  <c r="B38" i="21"/>
  <c r="C38" i="21"/>
  <c r="D38" i="21"/>
  <c r="B39" i="21"/>
  <c r="C39" i="21"/>
  <c r="D39" i="21"/>
  <c r="B40" i="21"/>
  <c r="C40" i="21"/>
  <c r="D40" i="21"/>
  <c r="B41" i="21"/>
  <c r="C41" i="21"/>
  <c r="D41" i="21"/>
  <c r="C32" i="21"/>
  <c r="D32" i="21"/>
  <c r="F32" i="21"/>
  <c r="B32" i="21"/>
  <c r="Q652" i="8"/>
  <c r="Q653" i="8"/>
  <c r="Q654" i="8"/>
  <c r="Q655" i="8"/>
  <c r="Q656" i="8"/>
  <c r="Q657" i="8"/>
  <c r="Q658" i="8"/>
  <c r="Q659" i="8"/>
  <c r="Q651" i="8"/>
  <c r="F644" i="8"/>
  <c r="F645" i="8" s="1"/>
  <c r="LA76" i="1" l="1"/>
  <c r="LA77" i="1"/>
  <c r="JK77" i="1"/>
  <c r="M58" i="7" l="1"/>
  <c r="I58" i="7"/>
  <c r="K58" i="7"/>
  <c r="N172" i="7"/>
  <c r="L172" i="7"/>
  <c r="K172" i="7"/>
  <c r="I172" i="7"/>
  <c r="L171" i="7"/>
  <c r="I171" i="7"/>
  <c r="L170" i="7"/>
  <c r="I170" i="7"/>
  <c r="L167" i="7"/>
  <c r="I167" i="7"/>
  <c r="L164" i="7"/>
  <c r="I164" i="7"/>
  <c r="J182" i="7" l="1"/>
  <c r="I182" i="7"/>
  <c r="I183" i="7"/>
  <c r="J183" i="7"/>
  <c r="I181" i="7"/>
  <c r="J181" i="7"/>
  <c r="O91" i="5" l="1"/>
  <c r="I98" i="5" s="1"/>
  <c r="O90" i="5"/>
  <c r="O89" i="5"/>
  <c r="M91" i="5"/>
  <c r="I97" i="5" s="1"/>
  <c r="M90" i="5"/>
  <c r="M89" i="5"/>
  <c r="K91" i="5"/>
  <c r="I96" i="5" s="1"/>
  <c r="K90" i="5"/>
  <c r="K89" i="5"/>
  <c r="K88" i="5"/>
  <c r="I91" i="5"/>
  <c r="I95" i="5" s="1"/>
  <c r="I90" i="5"/>
  <c r="I89" i="5"/>
  <c r="I88" i="5"/>
  <c r="Q54" i="5" l="1"/>
  <c r="P54" i="5"/>
  <c r="Q53" i="5"/>
  <c r="P53" i="5"/>
  <c r="O49" i="5"/>
  <c r="O56" i="5" s="1"/>
  <c r="M49" i="5"/>
  <c r="O55" i="5" s="1"/>
  <c r="I49" i="5"/>
  <c r="O53" i="5" s="1"/>
  <c r="K49" i="5"/>
  <c r="O54" i="5" s="1"/>
  <c r="K48" i="5"/>
  <c r="I48" i="5"/>
  <c r="K47" i="5"/>
  <c r="I47" i="5"/>
  <c r="MF79" i="1"/>
  <c r="MF80" i="1"/>
  <c r="MF81" i="1"/>
  <c r="MF82" i="1"/>
  <c r="MF83" i="1"/>
  <c r="ME83" i="1"/>
  <c r="ME82" i="1"/>
  <c r="ME81" i="1"/>
  <c r="ME79" i="1"/>
  <c r="O61" i="5" l="1"/>
  <c r="O60" i="5"/>
  <c r="P60" i="5"/>
  <c r="P61" i="5"/>
  <c r="ME80" i="1"/>
  <c r="K44" i="6" l="1"/>
  <c r="I44" i="6"/>
  <c r="K50" i="6"/>
  <c r="K47" i="6"/>
  <c r="I50" i="6"/>
  <c r="I47" i="6"/>
  <c r="K39" i="6"/>
  <c r="K36" i="6"/>
  <c r="I39" i="6"/>
  <c r="I36" i="6"/>
  <c r="K33" i="6"/>
  <c r="I33" i="6"/>
  <c r="F381" i="8" l="1"/>
  <c r="F382" i="8" s="1"/>
  <c r="T280" i="8" l="1"/>
  <c r="R280" i="8"/>
  <c r="R278" i="8"/>
  <c r="R277" i="8"/>
  <c r="R276" i="8"/>
  <c r="O279" i="8"/>
  <c r="O278" i="8"/>
  <c r="N307" i="8" s="1"/>
  <c r="O277" i="8"/>
  <c r="O276" i="8"/>
  <c r="N280" i="8"/>
  <c r="L280" i="8"/>
  <c r="L277" i="8"/>
  <c r="L278" i="8"/>
  <c r="M307" i="8" s="1"/>
  <c r="L276" i="8"/>
  <c r="I277" i="8"/>
  <c r="I278" i="8"/>
  <c r="I276" i="8"/>
  <c r="K280" i="8"/>
  <c r="I280" i="8"/>
  <c r="K218" i="8"/>
  <c r="I218" i="8"/>
  <c r="N218" i="8"/>
  <c r="L218" i="8"/>
  <c r="L210" i="8"/>
  <c r="T218" i="8"/>
  <c r="R218" i="8"/>
  <c r="R216" i="8"/>
  <c r="G307" i="8" s="1"/>
  <c r="R215" i="8"/>
  <c r="R214" i="8"/>
  <c r="Q218" i="8"/>
  <c r="O218" i="8"/>
  <c r="O216" i="8"/>
  <c r="F307" i="8" s="1"/>
  <c r="O215" i="8"/>
  <c r="O214" i="8"/>
  <c r="L215" i="8"/>
  <c r="L216" i="8"/>
  <c r="E307" i="8" s="1"/>
  <c r="L214" i="8"/>
  <c r="I216" i="8"/>
  <c r="I215" i="8"/>
  <c r="I214" i="8"/>
  <c r="JA81" i="1"/>
  <c r="KV79" i="1"/>
  <c r="KV80" i="1"/>
  <c r="KV81" i="1"/>
  <c r="KV82" i="1"/>
  <c r="KV83" i="1"/>
  <c r="KW83" i="1"/>
  <c r="KW82" i="1"/>
  <c r="KW81" i="1"/>
  <c r="KW80" i="1"/>
  <c r="KW79" i="1"/>
  <c r="LA7" i="1"/>
  <c r="LA8" i="1"/>
  <c r="LA9" i="1"/>
  <c r="LA10" i="1"/>
  <c r="LA11" i="1"/>
  <c r="LA12" i="1"/>
  <c r="LA13" i="1"/>
  <c r="LA14" i="1"/>
  <c r="LA15" i="1"/>
  <c r="LA16" i="1"/>
  <c r="LA17" i="1"/>
  <c r="LA18" i="1"/>
  <c r="LA19" i="1"/>
  <c r="LA20" i="1"/>
  <c r="LA21" i="1"/>
  <c r="LA22" i="1"/>
  <c r="LA23" i="1"/>
  <c r="LA24" i="1"/>
  <c r="LA25" i="1"/>
  <c r="LA26" i="1"/>
  <c r="LA27" i="1"/>
  <c r="LA28" i="1"/>
  <c r="LA29" i="1"/>
  <c r="LA30" i="1"/>
  <c r="LA31" i="1"/>
  <c r="LA32" i="1"/>
  <c r="LA33" i="1"/>
  <c r="LA34" i="1"/>
  <c r="LA35" i="1"/>
  <c r="LA36" i="1"/>
  <c r="LA37" i="1"/>
  <c r="LA38" i="1"/>
  <c r="LA39" i="1"/>
  <c r="LA40" i="1"/>
  <c r="LA41" i="1"/>
  <c r="LA42" i="1"/>
  <c r="LA43" i="1"/>
  <c r="LA44" i="1"/>
  <c r="LA45" i="1"/>
  <c r="LA46" i="1"/>
  <c r="LA47" i="1"/>
  <c r="LA48" i="1"/>
  <c r="LA49" i="1"/>
  <c r="LA50" i="1"/>
  <c r="LA51" i="1"/>
  <c r="LA52" i="1"/>
  <c r="LA53" i="1"/>
  <c r="LA54" i="1"/>
  <c r="LA55" i="1"/>
  <c r="LA56" i="1"/>
  <c r="LA57" i="1"/>
  <c r="LA58" i="1"/>
  <c r="LA59" i="1"/>
  <c r="LA60" i="1"/>
  <c r="LA61" i="1"/>
  <c r="LA62" i="1"/>
  <c r="LA63" i="1"/>
  <c r="LA64" i="1"/>
  <c r="LA65" i="1"/>
  <c r="LA66" i="1"/>
  <c r="LA67" i="1"/>
  <c r="LA68" i="1"/>
  <c r="LA69" i="1"/>
  <c r="LA70" i="1"/>
  <c r="LA71" i="1"/>
  <c r="LA72" i="1"/>
  <c r="LA73" i="1"/>
  <c r="LA74" i="1"/>
  <c r="LA75" i="1"/>
  <c r="LA6" i="1"/>
  <c r="I279" i="8" l="1"/>
  <c r="L279" i="8"/>
  <c r="O308" i="8"/>
  <c r="F308" i="8"/>
  <c r="O309" i="8"/>
  <c r="F309" i="8"/>
  <c r="E309" i="8"/>
  <c r="G309" i="8"/>
  <c r="O307" i="8"/>
  <c r="G308" i="8"/>
  <c r="E308" i="8"/>
  <c r="Q280" i="8"/>
  <c r="N309" i="8" s="1"/>
  <c r="O280" i="8"/>
  <c r="N308" i="8" s="1"/>
  <c r="L309" i="8"/>
  <c r="M309" i="8"/>
  <c r="M308" i="8"/>
  <c r="D308" i="8"/>
  <c r="D309" i="8"/>
  <c r="L308" i="8"/>
  <c r="D307" i="8"/>
  <c r="L307" i="8"/>
  <c r="JG79" i="1"/>
  <c r="JG82" i="1"/>
  <c r="JF81" i="1"/>
  <c r="JG83" i="1"/>
  <c r="JG81" i="1"/>
  <c r="JF83" i="1"/>
  <c r="JF82" i="1"/>
  <c r="JF80" i="1"/>
  <c r="JF79" i="1"/>
  <c r="JK66" i="1"/>
  <c r="JK64" i="1"/>
  <c r="JK62" i="1"/>
  <c r="JK67" i="1"/>
  <c r="JK65" i="1"/>
  <c r="JK63" i="1"/>
  <c r="JK61" i="1"/>
  <c r="JG80" i="1"/>
  <c r="L165" i="7"/>
  <c r="Q130" i="6"/>
  <c r="P130" i="6"/>
  <c r="O130" i="6"/>
  <c r="N130" i="6"/>
  <c r="M130" i="6"/>
  <c r="L130" i="6"/>
  <c r="K130" i="6"/>
  <c r="J130" i="6"/>
  <c r="I130" i="6"/>
  <c r="H130" i="6"/>
  <c r="L217" i="8" l="1"/>
  <c r="I217" i="8"/>
  <c r="JK76" i="1"/>
  <c r="O217" i="8" s="1"/>
  <c r="AD78" i="1"/>
  <c r="AD76" i="1"/>
  <c r="AD77" i="1"/>
  <c r="J134" i="7" l="1"/>
  <c r="H129" i="6" l="1"/>
  <c r="J100" i="6"/>
  <c r="N100" i="6" s="1"/>
  <c r="H100" i="6"/>
  <c r="M100" i="6" s="1"/>
  <c r="Q133" i="7"/>
  <c r="Q132" i="7"/>
  <c r="Q131" i="7"/>
  <c r="Q130" i="7"/>
  <c r="Q129" i="7"/>
  <c r="Q128" i="7"/>
  <c r="Q127" i="7"/>
  <c r="Q126" i="7"/>
  <c r="Q125" i="7"/>
  <c r="Q124" i="7"/>
  <c r="P133" i="7"/>
  <c r="P132" i="7"/>
  <c r="P131" i="7"/>
  <c r="P130" i="7"/>
  <c r="P129" i="7"/>
  <c r="P128" i="7"/>
  <c r="P127" i="7"/>
  <c r="P126" i="7"/>
  <c r="P125" i="7"/>
  <c r="P124" i="7"/>
  <c r="O134" i="7"/>
  <c r="N134" i="7"/>
  <c r="N133" i="7"/>
  <c r="N132" i="7"/>
  <c r="N131" i="7"/>
  <c r="N130" i="7"/>
  <c r="N129" i="7"/>
  <c r="N128" i="7"/>
  <c r="N127" i="7"/>
  <c r="N126" i="7"/>
  <c r="N125" i="7"/>
  <c r="N124" i="7"/>
  <c r="M133" i="7"/>
  <c r="M132" i="7"/>
  <c r="M131" i="7"/>
  <c r="M130" i="7"/>
  <c r="M129" i="7"/>
  <c r="M128" i="7"/>
  <c r="M127" i="7"/>
  <c r="M126" i="7"/>
  <c r="M125" i="7"/>
  <c r="M124" i="7"/>
  <c r="L133" i="7"/>
  <c r="L132" i="7"/>
  <c r="L131" i="7"/>
  <c r="L130" i="7"/>
  <c r="L129" i="7"/>
  <c r="L128" i="7"/>
  <c r="L127" i="7"/>
  <c r="L126" i="7"/>
  <c r="L125" i="7"/>
  <c r="L124" i="7"/>
  <c r="K134" i="7"/>
  <c r="K124" i="7"/>
  <c r="J133" i="7"/>
  <c r="J132" i="7"/>
  <c r="J131" i="7"/>
  <c r="J130" i="7"/>
  <c r="J129" i="7"/>
  <c r="J128" i="7"/>
  <c r="J127" i="7"/>
  <c r="J126" i="7"/>
  <c r="J125" i="7"/>
  <c r="J124" i="7"/>
  <c r="P134" i="7" l="1"/>
  <c r="P145" i="7" s="1"/>
  <c r="L134" i="7"/>
  <c r="L145" i="7" s="1"/>
  <c r="Q134" i="7"/>
  <c r="Q145" i="7" s="1"/>
  <c r="M134" i="7"/>
  <c r="M145" i="7" s="1"/>
  <c r="L166" i="7" l="1"/>
  <c r="N166" i="7"/>
  <c r="I165" i="7"/>
  <c r="I166" i="7"/>
  <c r="K166" i="7"/>
  <c r="FX82" i="1" l="1"/>
  <c r="FX81" i="1"/>
  <c r="FX80" i="1"/>
  <c r="FX79" i="1"/>
  <c r="FH82" i="1"/>
  <c r="FH81" i="1"/>
  <c r="FH80" i="1"/>
  <c r="FH79" i="1"/>
  <c r="DP82" i="1"/>
  <c r="DP81" i="1"/>
  <c r="DP80" i="1"/>
  <c r="DP79" i="1"/>
  <c r="DL82" i="1"/>
  <c r="DL81" i="1"/>
  <c r="DL80" i="1"/>
  <c r="DL79" i="1"/>
  <c r="CY82" i="1"/>
  <c r="CY81" i="1"/>
  <c r="CY80" i="1"/>
  <c r="CY79" i="1"/>
  <c r="K38" i="7"/>
  <c r="I70" i="7" s="1"/>
  <c r="J70" i="7" s="1"/>
  <c r="I38" i="7"/>
  <c r="G70" i="7" s="1"/>
  <c r="H70" i="7" s="1"/>
  <c r="K37" i="7"/>
  <c r="I37" i="7"/>
  <c r="L273" i="8" l="1"/>
  <c r="I273" i="8"/>
  <c r="L211" i="8"/>
  <c r="I211" i="8"/>
  <c r="K79" i="8" l="1"/>
  <c r="K78" i="8"/>
  <c r="K80" i="8"/>
  <c r="H80" i="8"/>
  <c r="H79" i="8"/>
  <c r="H78" i="8"/>
  <c r="N63" i="8"/>
  <c r="L63" i="8"/>
  <c r="I75" i="9"/>
  <c r="J73" i="10"/>
  <c r="I73" i="10"/>
  <c r="H73" i="10"/>
  <c r="J72" i="10"/>
  <c r="I72" i="10"/>
  <c r="H72" i="10"/>
  <c r="G75" i="9"/>
  <c r="H75" i="9"/>
  <c r="F89" i="10"/>
  <c r="G89" i="10"/>
  <c r="O88" i="8" l="1"/>
  <c r="Q88" i="8"/>
  <c r="N88" i="8"/>
  <c r="P88" i="8"/>
  <c r="O87" i="8"/>
  <c r="Q87" i="8"/>
  <c r="N87" i="8"/>
  <c r="P87" i="8"/>
  <c r="O86" i="8"/>
  <c r="Q86" i="8"/>
  <c r="N86" i="8"/>
  <c r="P86" i="8"/>
  <c r="AO83" i="1"/>
  <c r="AO82" i="1"/>
  <c r="AO81" i="1"/>
  <c r="AO80" i="1"/>
  <c r="AO79" i="1"/>
  <c r="AD83" i="1"/>
  <c r="AD82" i="1"/>
  <c r="AD80" i="1"/>
  <c r="AD79" i="1"/>
  <c r="AD81" i="1"/>
  <c r="H582" i="8" l="1"/>
  <c r="L269" i="8" l="1"/>
  <c r="L270" i="8"/>
  <c r="L268" i="8"/>
  <c r="N272" i="8"/>
  <c r="L272" i="8"/>
  <c r="K272" i="8"/>
  <c r="I272" i="8"/>
  <c r="I269" i="8"/>
  <c r="I270" i="8"/>
  <c r="I271" i="8"/>
  <c r="I268" i="8"/>
  <c r="L271" i="8"/>
  <c r="R272" i="8" l="1"/>
  <c r="R270" i="8"/>
  <c r="T272" i="8"/>
  <c r="R269" i="8"/>
  <c r="R268" i="8"/>
  <c r="Q272" i="8"/>
  <c r="O272" i="8"/>
  <c r="O271" i="8"/>
  <c r="O270" i="8"/>
  <c r="N304" i="8" s="1"/>
  <c r="O269" i="8"/>
  <c r="O268" i="8"/>
  <c r="M304" i="8"/>
  <c r="M305" i="8" s="1"/>
  <c r="L304" i="8"/>
  <c r="L265" i="8"/>
  <c r="M288" i="8" s="1"/>
  <c r="I265" i="8"/>
  <c r="T210" i="8"/>
  <c r="R210" i="8"/>
  <c r="R208" i="8"/>
  <c r="R207" i="8"/>
  <c r="R206" i="8"/>
  <c r="Q210" i="8"/>
  <c r="O210" i="8"/>
  <c r="O208" i="8"/>
  <c r="O207" i="8"/>
  <c r="O206" i="8"/>
  <c r="N210" i="8"/>
  <c r="K210" i="8"/>
  <c r="I210" i="8"/>
  <c r="L207" i="8"/>
  <c r="L208" i="8"/>
  <c r="L206" i="8"/>
  <c r="I207" i="8"/>
  <c r="I208" i="8"/>
  <c r="D304" i="8" s="1"/>
  <c r="I206" i="8"/>
  <c r="L203" i="8"/>
  <c r="I203" i="8"/>
  <c r="JE29" i="1"/>
  <c r="JE31" i="1"/>
  <c r="JE37" i="1"/>
  <c r="JE39" i="1"/>
  <c r="JE7" i="1"/>
  <c r="JE11" i="1"/>
  <c r="JE24" i="1"/>
  <c r="JE30" i="1"/>
  <c r="JE32" i="1"/>
  <c r="JE40" i="1"/>
  <c r="JE8" i="1"/>
  <c r="JE25" i="1"/>
  <c r="JE35" i="1"/>
  <c r="JE36" i="1"/>
  <c r="JE21" i="1"/>
  <c r="JE33" i="1"/>
  <c r="JE41" i="1"/>
  <c r="JE45" i="1"/>
  <c r="JE14" i="1"/>
  <c r="JE15" i="1"/>
  <c r="JE20" i="1"/>
  <c r="JE28" i="1"/>
  <c r="JE34" i="1"/>
  <c r="JE38" i="1"/>
  <c r="JE43" i="1"/>
  <c r="JE44" i="1"/>
  <c r="JE13" i="1"/>
  <c r="JE18" i="1"/>
  <c r="JE19" i="1"/>
  <c r="JE27" i="1"/>
  <c r="JE47" i="1"/>
  <c r="JE49" i="1"/>
  <c r="JE50" i="1"/>
  <c r="JE51" i="1"/>
  <c r="JE52" i="1"/>
  <c r="JE53" i="1"/>
  <c r="JE54" i="1"/>
  <c r="JE55" i="1"/>
  <c r="JE56" i="1"/>
  <c r="JE57" i="1"/>
  <c r="JE58" i="1"/>
  <c r="JE59" i="1"/>
  <c r="JE60" i="1"/>
  <c r="JE61" i="1"/>
  <c r="JE62" i="1"/>
  <c r="JE63" i="1"/>
  <c r="JE64" i="1"/>
  <c r="JE65" i="1"/>
  <c r="JE66" i="1"/>
  <c r="JE67" i="1"/>
  <c r="JE68" i="1"/>
  <c r="JE69" i="1"/>
  <c r="JE70" i="1"/>
  <c r="JE71" i="1"/>
  <c r="JE72" i="1"/>
  <c r="JE73" i="1"/>
  <c r="JE74" i="1"/>
  <c r="JE75" i="1"/>
  <c r="JE76" i="1"/>
  <c r="O209" i="8" s="1"/>
  <c r="JE77" i="1"/>
  <c r="JE42" i="1"/>
  <c r="JE10" i="1"/>
  <c r="JE23" i="1"/>
  <c r="JE6" i="1"/>
  <c r="JE16" i="1"/>
  <c r="JE26" i="1"/>
  <c r="JE46" i="1"/>
  <c r="JE48" i="1"/>
  <c r="JE9" i="1"/>
  <c r="JE17" i="1"/>
  <c r="JE12" i="1"/>
  <c r="JE22" i="1"/>
  <c r="L209" i="8" l="1"/>
  <c r="E305" i="8"/>
  <c r="I209" i="8"/>
  <c r="F305" i="8"/>
  <c r="G306" i="8"/>
  <c r="F306" i="8"/>
  <c r="G304" i="8"/>
  <c r="G305" i="8"/>
  <c r="E306" i="8"/>
  <c r="D305" i="8"/>
  <c r="D306" i="8"/>
  <c r="E304" i="8"/>
  <c r="O305" i="8"/>
  <c r="N305" i="8"/>
  <c r="L306" i="8"/>
  <c r="L305" i="8"/>
  <c r="M306" i="8"/>
  <c r="N306" i="8"/>
  <c r="O306" i="8"/>
  <c r="F304" i="8"/>
  <c r="O304" i="8"/>
  <c r="JA80" i="1" l="1"/>
  <c r="JA82" i="1"/>
  <c r="JA83" i="1"/>
  <c r="IZ83" i="1"/>
  <c r="IZ82" i="1"/>
  <c r="IZ81" i="1"/>
  <c r="IZ80" i="1"/>
  <c r="JA79" i="1" l="1"/>
  <c r="IZ79" i="1"/>
  <c r="K620" i="8"/>
  <c r="J620" i="8"/>
  <c r="I620" i="8"/>
  <c r="H620" i="8"/>
  <c r="R614" i="8"/>
  <c r="K627" i="8" s="1"/>
  <c r="S614" i="8"/>
  <c r="Q627" i="8" s="1"/>
  <c r="O614" i="8"/>
  <c r="J627" i="8" s="1"/>
  <c r="P614" i="8"/>
  <c r="P627" i="8" s="1"/>
  <c r="L614" i="8"/>
  <c r="I627" i="8" s="1"/>
  <c r="M614" i="8"/>
  <c r="O627" i="8" s="1"/>
  <c r="Q614" i="8"/>
  <c r="K623" i="8" s="1"/>
  <c r="N614" i="8"/>
  <c r="J623" i="8" s="1"/>
  <c r="K614" i="8"/>
  <c r="I623" i="8" s="1"/>
  <c r="N623" i="8" s="1"/>
  <c r="I614" i="8"/>
  <c r="H627" i="8" s="1"/>
  <c r="J614" i="8"/>
  <c r="N627" i="8" s="1"/>
  <c r="H614" i="8"/>
  <c r="H623" i="8" s="1"/>
  <c r="I612" i="8"/>
  <c r="H626" i="8" s="1"/>
  <c r="J612" i="8"/>
  <c r="N626" i="8" s="1"/>
  <c r="K612" i="8"/>
  <c r="I622" i="8" s="1"/>
  <c r="L612" i="8"/>
  <c r="I626" i="8" s="1"/>
  <c r="M612" i="8"/>
  <c r="O626" i="8" s="1"/>
  <c r="N612" i="8"/>
  <c r="J622" i="8" s="1"/>
  <c r="O612" i="8"/>
  <c r="J626" i="8" s="1"/>
  <c r="P612" i="8"/>
  <c r="P626" i="8" s="1"/>
  <c r="Q612" i="8"/>
  <c r="K622" i="8" s="1"/>
  <c r="R612" i="8"/>
  <c r="K626" i="8" s="1"/>
  <c r="S612" i="8"/>
  <c r="Q626" i="8" s="1"/>
  <c r="H612" i="8"/>
  <c r="H622" i="8" s="1"/>
  <c r="S610" i="8"/>
  <c r="Q625" i="8" s="1"/>
  <c r="K610" i="8"/>
  <c r="I621" i="8" s="1"/>
  <c r="L610" i="8"/>
  <c r="I625" i="8" s="1"/>
  <c r="M610" i="8"/>
  <c r="O625" i="8" s="1"/>
  <c r="N610" i="8"/>
  <c r="J621" i="8" s="1"/>
  <c r="O610" i="8"/>
  <c r="J625" i="8" s="1"/>
  <c r="P610" i="8"/>
  <c r="P625" i="8" s="1"/>
  <c r="Q610" i="8"/>
  <c r="K621" i="8" s="1"/>
  <c r="R610" i="8"/>
  <c r="K625" i="8" s="1"/>
  <c r="H610" i="8"/>
  <c r="H621" i="8" s="1"/>
  <c r="J610" i="8"/>
  <c r="N625" i="8" s="1"/>
  <c r="I610" i="8"/>
  <c r="H625" i="8" s="1"/>
  <c r="D612" i="8"/>
  <c r="G622" i="8" s="1"/>
  <c r="D610" i="8"/>
  <c r="G621" i="8" s="1"/>
  <c r="O623" i="8" l="1"/>
  <c r="U623" i="8"/>
  <c r="T623" i="8"/>
  <c r="P623" i="8"/>
  <c r="S623" i="8"/>
  <c r="M621" i="8"/>
  <c r="N621" i="8"/>
  <c r="M623" i="8"/>
  <c r="R623" i="8"/>
  <c r="P621" i="8"/>
  <c r="M622" i="8"/>
  <c r="T621" i="8"/>
  <c r="U622" i="8"/>
  <c r="P622" i="8"/>
  <c r="T622" i="8"/>
  <c r="N622" i="8"/>
  <c r="O622" i="8"/>
  <c r="R622" i="8"/>
  <c r="S622" i="8"/>
  <c r="S621" i="8"/>
  <c r="O621" i="8"/>
  <c r="R621" i="8"/>
  <c r="U621" i="8"/>
  <c r="J84" i="8"/>
  <c r="I84" i="8"/>
  <c r="F79" i="8"/>
  <c r="G84" i="8"/>
  <c r="J83" i="8"/>
  <c r="I83" i="8"/>
  <c r="G83" i="8"/>
  <c r="F83" i="8"/>
  <c r="F84" i="8"/>
  <c r="H74" i="9"/>
  <c r="H73" i="9"/>
  <c r="H72" i="9"/>
  <c r="H71" i="9"/>
  <c r="H70" i="9"/>
  <c r="G74" i="9"/>
  <c r="G73" i="9"/>
  <c r="G72" i="9"/>
  <c r="G71" i="9"/>
  <c r="G70" i="9"/>
  <c r="Q81" i="8" l="1"/>
  <c r="O81" i="8"/>
  <c r="J85" i="8" l="1"/>
  <c r="I85" i="8"/>
  <c r="G80" i="8"/>
  <c r="J88" i="8"/>
  <c r="Q85" i="8" s="1"/>
  <c r="I88" i="8"/>
  <c r="G88" i="8"/>
  <c r="F88" i="8"/>
  <c r="J87" i="8"/>
  <c r="J86" i="8"/>
  <c r="I86" i="8"/>
  <c r="I87" i="8"/>
  <c r="F87" i="8"/>
  <c r="G87" i="8"/>
  <c r="G86" i="8"/>
  <c r="F86" i="8"/>
  <c r="N61" i="8"/>
  <c r="L61" i="8"/>
  <c r="J78" i="8" s="1"/>
  <c r="N60" i="8"/>
  <c r="L60" i="8"/>
  <c r="L59" i="8"/>
  <c r="N59" i="8"/>
  <c r="G79" i="8" s="1"/>
  <c r="N58" i="8"/>
  <c r="L58" i="8"/>
  <c r="N57" i="8"/>
  <c r="L57" i="8"/>
  <c r="Q84" i="8" l="1"/>
  <c r="G85" i="8"/>
  <c r="F85" i="8"/>
  <c r="E80" i="8"/>
  <c r="I80" i="8"/>
  <c r="F80" i="8"/>
  <c r="Q82" i="8" s="1"/>
  <c r="F78" i="8"/>
  <c r="Q80" i="8" s="1"/>
  <c r="N50" i="8"/>
  <c r="L50" i="8"/>
  <c r="J79" i="8"/>
  <c r="N84" i="8" s="1"/>
  <c r="N54" i="8"/>
  <c r="L54" i="8"/>
  <c r="O80" i="8" l="1"/>
  <c r="N82" i="8"/>
  <c r="P82" i="8"/>
  <c r="J80" i="8"/>
  <c r="N83" i="8"/>
  <c r="O84" i="8"/>
  <c r="P84" i="8"/>
  <c r="P83" i="8" l="1"/>
  <c r="G78" i="8"/>
  <c r="Q83" i="8" s="1"/>
  <c r="N85" i="8"/>
  <c r="P85" i="8"/>
  <c r="O85" i="8" l="1"/>
  <c r="O83" i="8"/>
  <c r="L783" i="8" l="1"/>
  <c r="I783" i="8"/>
  <c r="I786" i="8"/>
  <c r="L795" i="8"/>
  <c r="I795" i="8"/>
  <c r="L792" i="8"/>
  <c r="I792" i="8"/>
  <c r="L780" i="8"/>
  <c r="I780" i="8"/>
  <c r="L789" i="8"/>
  <c r="I789" i="8"/>
  <c r="L786" i="8"/>
  <c r="L777" i="8"/>
  <c r="I777" i="8"/>
  <c r="L774" i="8"/>
  <c r="I774" i="8"/>
  <c r="L771" i="8"/>
  <c r="I771" i="8"/>
  <c r="L770" i="8"/>
  <c r="I770" i="8"/>
  <c r="L746" i="8"/>
  <c r="I746" i="8"/>
  <c r="L755" i="8"/>
  <c r="L758" i="8"/>
  <c r="I758" i="8"/>
  <c r="I755" i="8"/>
  <c r="L752" i="8"/>
  <c r="I752" i="8"/>
  <c r="I743" i="8"/>
  <c r="L749" i="8"/>
  <c r="I749" i="8"/>
  <c r="I742" i="8"/>
  <c r="L730" i="8"/>
  <c r="I730" i="8"/>
  <c r="L727" i="8"/>
  <c r="L724" i="8"/>
  <c r="L723" i="8"/>
  <c r="I723" i="8"/>
  <c r="L747" i="8" l="1"/>
  <c r="L748" i="8" s="1"/>
  <c r="I747" i="8"/>
  <c r="I748" i="8" s="1"/>
  <c r="O82" i="8"/>
  <c r="L784" i="8"/>
  <c r="L785" i="8" s="1"/>
  <c r="I784" i="8"/>
  <c r="I785" i="8" s="1"/>
  <c r="O85" i="5" l="1"/>
  <c r="M85" i="5"/>
  <c r="O86" i="5"/>
  <c r="H98" i="5" s="1"/>
  <c r="M86" i="5"/>
  <c r="H97" i="5" s="1"/>
  <c r="O84" i="5"/>
  <c r="M84" i="5"/>
  <c r="K84" i="5"/>
  <c r="I84" i="5"/>
  <c r="I35" i="5"/>
  <c r="K86" i="5"/>
  <c r="H96" i="5" s="1"/>
  <c r="I86" i="5"/>
  <c r="H95" i="5" s="1"/>
  <c r="K85" i="5"/>
  <c r="I85" i="5"/>
  <c r="I83" i="5" l="1"/>
  <c r="I43" i="5"/>
  <c r="K83" i="5"/>
  <c r="K43" i="5"/>
  <c r="I45" i="5" l="1"/>
  <c r="K45" i="5"/>
  <c r="I44" i="5"/>
  <c r="K44" i="5"/>
  <c r="I21" i="6" l="1"/>
  <c r="K53" i="7"/>
  <c r="K54" i="7"/>
  <c r="K55" i="7"/>
  <c r="K56" i="7"/>
  <c r="K57" i="7"/>
  <c r="P129" i="6" l="1"/>
  <c r="N129" i="6"/>
  <c r="N143" i="6"/>
  <c r="L129" i="6"/>
  <c r="L144" i="6"/>
  <c r="L143" i="6"/>
  <c r="L141" i="6"/>
  <c r="J135" i="6"/>
  <c r="P144" i="6"/>
  <c r="Q144" i="6" s="1"/>
  <c r="P143" i="6"/>
  <c r="P142" i="6"/>
  <c r="P141" i="6"/>
  <c r="P140" i="6"/>
  <c r="P139" i="6"/>
  <c r="P138" i="6"/>
  <c r="P137" i="6"/>
  <c r="P136" i="6"/>
  <c r="P135" i="6"/>
  <c r="P134" i="6"/>
  <c r="P133" i="6"/>
  <c r="N144" i="6"/>
  <c r="N142" i="6"/>
  <c r="N141" i="6"/>
  <c r="N140" i="6"/>
  <c r="N139" i="6"/>
  <c r="N138" i="6"/>
  <c r="N137" i="6"/>
  <c r="N136" i="6"/>
  <c r="N135" i="6"/>
  <c r="N134" i="6"/>
  <c r="N133" i="6"/>
  <c r="L142" i="6"/>
  <c r="L140" i="6"/>
  <c r="L139" i="6"/>
  <c r="L138" i="6"/>
  <c r="L137" i="6"/>
  <c r="L136" i="6"/>
  <c r="L135" i="6"/>
  <c r="L134" i="6"/>
  <c r="L133" i="6"/>
  <c r="J133" i="6"/>
  <c r="J134" i="6"/>
  <c r="J136" i="6"/>
  <c r="J137" i="6"/>
  <c r="J138" i="6"/>
  <c r="J139" i="6"/>
  <c r="J140" i="6"/>
  <c r="J141" i="6"/>
  <c r="J142" i="6"/>
  <c r="J143" i="6"/>
  <c r="J144" i="6"/>
  <c r="H133" i="6"/>
  <c r="H134" i="6"/>
  <c r="H135" i="6"/>
  <c r="H136" i="6"/>
  <c r="H137" i="6"/>
  <c r="H138" i="6"/>
  <c r="H139" i="6"/>
  <c r="H140" i="6"/>
  <c r="H141" i="6"/>
  <c r="H142" i="6"/>
  <c r="H143" i="6"/>
  <c r="H144" i="6"/>
  <c r="O143" i="6" l="1"/>
  <c r="M144" i="6"/>
  <c r="M143" i="6"/>
  <c r="O144" i="6"/>
  <c r="Q143" i="6"/>
  <c r="Q129" i="6"/>
  <c r="O129" i="6"/>
  <c r="M129" i="6"/>
  <c r="K129" i="6"/>
  <c r="J129" i="6"/>
  <c r="I129" i="6"/>
  <c r="I143" i="6"/>
  <c r="K143" i="6" l="1"/>
  <c r="K144" i="6"/>
  <c r="I144" i="6"/>
  <c r="O45" i="5"/>
  <c r="K56" i="5" s="1"/>
  <c r="M45" i="5"/>
  <c r="K55" i="5" s="1"/>
  <c r="L54" i="5"/>
  <c r="M54" i="5"/>
  <c r="M53" i="5"/>
  <c r="L53" i="5"/>
  <c r="K53" i="5" l="1"/>
  <c r="K54" i="5"/>
  <c r="I24" i="6"/>
  <c r="K24" i="6"/>
  <c r="K61" i="5" l="1"/>
  <c r="L61" i="5"/>
  <c r="L60" i="5"/>
  <c r="K60" i="5"/>
  <c r="F916" i="8" l="1"/>
  <c r="F917" i="8" s="1"/>
  <c r="L781" i="8" l="1"/>
  <c r="L782" i="8" s="1"/>
  <c r="I796" i="8" l="1"/>
  <c r="I797" i="8" s="1"/>
  <c r="I756" i="8"/>
  <c r="I757" i="8" s="1"/>
  <c r="I778" i="8"/>
  <c r="I779" i="8" s="1"/>
  <c r="I744" i="8"/>
  <c r="I745" i="8" s="1"/>
  <c r="I790" i="8"/>
  <c r="I791" i="8" s="1"/>
  <c r="I775" i="8"/>
  <c r="I776" i="8" s="1"/>
  <c r="L731" i="8"/>
  <c r="L732" i="8" s="1"/>
  <c r="I750" i="8"/>
  <c r="I751" i="8" s="1"/>
  <c r="I759" i="8"/>
  <c r="I760" i="8" s="1"/>
  <c r="I781" i="8"/>
  <c r="I782" i="8" s="1"/>
  <c r="I728" i="8"/>
  <c r="I729" i="8" s="1"/>
  <c r="I731" i="8"/>
  <c r="I732" i="8" s="1"/>
  <c r="I753" i="8"/>
  <c r="I754" i="8" s="1"/>
  <c r="I787" i="8"/>
  <c r="I788" i="8" s="1"/>
  <c r="I793" i="8"/>
  <c r="I794" i="8" s="1"/>
  <c r="I772" i="8"/>
  <c r="I773" i="8" s="1"/>
  <c r="L728" i="8"/>
  <c r="L729" i="8" s="1"/>
  <c r="L725" i="8"/>
  <c r="L726" i="8" s="1"/>
  <c r="L778" i="8"/>
  <c r="L779" i="8" s="1"/>
  <c r="L787" i="8"/>
  <c r="L788" i="8" s="1"/>
  <c r="L775" i="8"/>
  <c r="L776" i="8" s="1"/>
  <c r="L796" i="8"/>
  <c r="L797" i="8" s="1"/>
  <c r="L793" i="8"/>
  <c r="L794" i="8" s="1"/>
  <c r="L744" i="8"/>
  <c r="L745" i="8" s="1"/>
  <c r="L756" i="8"/>
  <c r="L757" i="8" s="1"/>
  <c r="L790" i="8"/>
  <c r="L791" i="8" s="1"/>
  <c r="L750" i="8"/>
  <c r="L751" i="8" s="1"/>
  <c r="L753" i="8"/>
  <c r="L754" i="8" s="1"/>
  <c r="L759" i="8"/>
  <c r="L760" i="8" s="1"/>
  <c r="L772" i="8"/>
  <c r="L773" i="8" s="1"/>
  <c r="I725" i="8"/>
  <c r="I726" i="8" s="1"/>
  <c r="H69" i="9" l="1"/>
  <c r="G69" i="9"/>
  <c r="N264" i="8" l="1"/>
  <c r="N202" i="8"/>
  <c r="V295" i="8"/>
  <c r="LC86" i="1" l="1"/>
  <c r="LB86" i="1"/>
  <c r="K21" i="6" l="1"/>
  <c r="T264" i="8"/>
  <c r="R264" i="8"/>
  <c r="R262" i="8"/>
  <c r="R260" i="8"/>
  <c r="Q264" i="8"/>
  <c r="O264" i="8"/>
  <c r="O263" i="8"/>
  <c r="O262" i="8"/>
  <c r="O260" i="8"/>
  <c r="O201" i="8"/>
  <c r="T202" i="8"/>
  <c r="R202" i="8"/>
  <c r="R200" i="8"/>
  <c r="R198" i="8"/>
  <c r="Q202" i="8"/>
  <c r="O202" i="8"/>
  <c r="O200" i="8"/>
  <c r="O198" i="8"/>
  <c r="F303" i="8" l="1"/>
  <c r="G303" i="8"/>
  <c r="F302" i="8"/>
  <c r="G302" i="8"/>
  <c r="N302" i="8"/>
  <c r="F301" i="8"/>
  <c r="G301" i="8"/>
  <c r="O301" i="8"/>
  <c r="O303" i="8"/>
  <c r="N303" i="8"/>
  <c r="N301" i="8"/>
  <c r="O302" i="8"/>
  <c r="R175" i="8"/>
  <c r="R199" i="8"/>
  <c r="O199" i="8"/>
  <c r="R261" i="8"/>
  <c r="O261" i="8"/>
  <c r="H589" i="8" l="1"/>
  <c r="H590" i="8"/>
  <c r="H591" i="8"/>
  <c r="G589" i="8"/>
  <c r="G590" i="8"/>
  <c r="G591" i="8"/>
  <c r="G583" i="8"/>
  <c r="H588" i="8"/>
  <c r="H587" i="8"/>
  <c r="H585" i="8"/>
  <c r="H584" i="8"/>
  <c r="H581" i="8"/>
  <c r="H583" i="8"/>
  <c r="H586" i="8"/>
  <c r="G588" i="8"/>
  <c r="G587" i="8"/>
  <c r="G585" i="8"/>
  <c r="G584" i="8"/>
  <c r="G582" i="8"/>
  <c r="G581" i="8"/>
  <c r="G586" i="8"/>
  <c r="H580" i="8"/>
  <c r="G580" i="8"/>
  <c r="O76" i="5"/>
  <c r="F98" i="5" s="1"/>
  <c r="E98" i="5"/>
  <c r="E97" i="5"/>
  <c r="O81" i="5"/>
  <c r="G98" i="5" s="1"/>
  <c r="M81" i="5"/>
  <c r="G97" i="5" s="1"/>
  <c r="O80" i="5"/>
  <c r="M80" i="5"/>
  <c r="O79" i="5"/>
  <c r="M79" i="5"/>
  <c r="M76" i="5"/>
  <c r="F97" i="5" s="1"/>
  <c r="O75" i="5"/>
  <c r="M75" i="5"/>
  <c r="O74" i="5"/>
  <c r="M74" i="5"/>
  <c r="K80" i="5"/>
  <c r="I80" i="5"/>
  <c r="K75" i="5"/>
  <c r="I75" i="5"/>
  <c r="K79" i="5"/>
  <c r="K81" i="5"/>
  <c r="G96" i="5" s="1"/>
  <c r="K78" i="5"/>
  <c r="I79" i="5"/>
  <c r="I81" i="5"/>
  <c r="G95" i="5" s="1"/>
  <c r="I78" i="5"/>
  <c r="K74" i="5"/>
  <c r="K76" i="5"/>
  <c r="F96" i="5" s="1"/>
  <c r="K73" i="5"/>
  <c r="I74" i="5"/>
  <c r="I76" i="5"/>
  <c r="F95" i="5" s="1"/>
  <c r="I73" i="5"/>
  <c r="K70" i="5"/>
  <c r="E96" i="5" s="1"/>
  <c r="I70" i="5"/>
  <c r="E95" i="5" s="1"/>
  <c r="J53" i="5"/>
  <c r="I53" i="5"/>
  <c r="J54" i="5"/>
  <c r="I54" i="5"/>
  <c r="G54" i="5"/>
  <c r="F54" i="5"/>
  <c r="G53" i="5"/>
  <c r="F53" i="5"/>
  <c r="D56" i="5"/>
  <c r="O41" i="5"/>
  <c r="H56" i="5" s="1"/>
  <c r="M41" i="5"/>
  <c r="H55" i="5" s="1"/>
  <c r="K40" i="5"/>
  <c r="K41" i="5"/>
  <c r="H54" i="5" s="1"/>
  <c r="K39" i="5"/>
  <c r="I40" i="5"/>
  <c r="I41" i="5"/>
  <c r="H53" i="5" s="1"/>
  <c r="I39" i="5"/>
  <c r="O37" i="5"/>
  <c r="E56" i="5" s="1"/>
  <c r="M37" i="5"/>
  <c r="E55" i="5" s="1"/>
  <c r="K36" i="5"/>
  <c r="K37" i="5"/>
  <c r="E54" i="5" s="1"/>
  <c r="I36" i="5"/>
  <c r="I37" i="5"/>
  <c r="E53" i="5" s="1"/>
  <c r="K35" i="5"/>
  <c r="K32" i="5"/>
  <c r="D54" i="5" s="1"/>
  <c r="I32" i="5"/>
  <c r="D53" i="5" s="1"/>
  <c r="O240" i="8"/>
  <c r="G288" i="8"/>
  <c r="F288" i="8"/>
  <c r="T256" i="8"/>
  <c r="R256" i="8"/>
  <c r="R254" i="8"/>
  <c r="O298" i="8" s="1"/>
  <c r="R253" i="8"/>
  <c r="R252" i="8"/>
  <c r="Q256" i="8"/>
  <c r="O256" i="8"/>
  <c r="O255" i="8"/>
  <c r="O254" i="8"/>
  <c r="N298" i="8" s="1"/>
  <c r="O253" i="8"/>
  <c r="O252" i="8"/>
  <c r="T248" i="8"/>
  <c r="R248" i="8"/>
  <c r="R246" i="8"/>
  <c r="O295" i="8" s="1"/>
  <c r="R245" i="8"/>
  <c r="R244" i="8"/>
  <c r="Q248" i="8"/>
  <c r="O248" i="8"/>
  <c r="O247" i="8"/>
  <c r="O246" i="8"/>
  <c r="O245" i="8"/>
  <c r="O244" i="8"/>
  <c r="T240" i="8"/>
  <c r="R240" i="8"/>
  <c r="R238" i="8"/>
  <c r="R237" i="8"/>
  <c r="R236" i="8"/>
  <c r="Q240" i="8"/>
  <c r="O239" i="8"/>
  <c r="O238" i="8"/>
  <c r="N292" i="8" s="1"/>
  <c r="O237" i="8"/>
  <c r="O236" i="8"/>
  <c r="T232" i="8"/>
  <c r="R232" i="8"/>
  <c r="R230" i="8"/>
  <c r="R229" i="8"/>
  <c r="R228" i="8"/>
  <c r="O231" i="8"/>
  <c r="Q232" i="8"/>
  <c r="O232" i="8"/>
  <c r="O230" i="8"/>
  <c r="O229" i="8"/>
  <c r="O228" i="8"/>
  <c r="J581" i="8" l="1"/>
  <c r="J590" i="8"/>
  <c r="K587" i="8"/>
  <c r="K591" i="8"/>
  <c r="J587" i="8"/>
  <c r="K582" i="8"/>
  <c r="K584" i="8"/>
  <c r="J584" i="8"/>
  <c r="K590" i="8"/>
  <c r="J591" i="8"/>
  <c r="J585" i="8"/>
  <c r="K585" i="8"/>
  <c r="J582" i="8"/>
  <c r="J588" i="8"/>
  <c r="K588" i="8"/>
  <c r="K581" i="8"/>
  <c r="I61" i="5"/>
  <c r="E60" i="5"/>
  <c r="H61" i="5"/>
  <c r="H60" i="5"/>
  <c r="F60" i="5"/>
  <c r="E61" i="5"/>
  <c r="F61" i="5"/>
  <c r="I60" i="5"/>
  <c r="N293" i="8"/>
  <c r="N297" i="8"/>
  <c r="O296" i="8"/>
  <c r="N290" i="8"/>
  <c r="O291" i="8"/>
  <c r="N300" i="8"/>
  <c r="N299" i="8"/>
  <c r="N294" i="8"/>
  <c r="O299" i="8"/>
  <c r="O289" i="8"/>
  <c r="N291" i="8"/>
  <c r="O290" i="8"/>
  <c r="O293" i="8"/>
  <c r="N296" i="8"/>
  <c r="O297" i="8"/>
  <c r="O300" i="8"/>
  <c r="O294" i="8"/>
  <c r="N295" i="8"/>
  <c r="N289" i="8"/>
  <c r="O292" i="8"/>
  <c r="L264" i="8" l="1"/>
  <c r="L263" i="8"/>
  <c r="L262" i="8"/>
  <c r="L261" i="8"/>
  <c r="L260" i="8"/>
  <c r="K264" i="8"/>
  <c r="I264" i="8"/>
  <c r="I263" i="8"/>
  <c r="I262" i="8"/>
  <c r="I261" i="8"/>
  <c r="I260" i="8"/>
  <c r="N256" i="8"/>
  <c r="L256" i="8"/>
  <c r="L255" i="8"/>
  <c r="L254" i="8"/>
  <c r="L253" i="8"/>
  <c r="L252" i="8"/>
  <c r="K256" i="8"/>
  <c r="I256" i="8"/>
  <c r="I255" i="8"/>
  <c r="I254" i="8"/>
  <c r="I253" i="8"/>
  <c r="I252" i="8"/>
  <c r="N248" i="8"/>
  <c r="L248" i="8"/>
  <c r="L247" i="8"/>
  <c r="L246" i="8"/>
  <c r="L245" i="8"/>
  <c r="L244" i="8"/>
  <c r="K248" i="8"/>
  <c r="I248" i="8"/>
  <c r="I247" i="8"/>
  <c r="I246" i="8"/>
  <c r="I245" i="8"/>
  <c r="I244" i="8"/>
  <c r="N240" i="8"/>
  <c r="L240" i="8"/>
  <c r="L239" i="8"/>
  <c r="L238" i="8"/>
  <c r="L237" i="8"/>
  <c r="L236" i="8"/>
  <c r="K240" i="8"/>
  <c r="I240" i="8"/>
  <c r="I239" i="8"/>
  <c r="I238" i="8"/>
  <c r="I237" i="8"/>
  <c r="I236" i="8"/>
  <c r="N232" i="8"/>
  <c r="L232" i="8"/>
  <c r="L231" i="8"/>
  <c r="L230" i="8"/>
  <c r="L229" i="8"/>
  <c r="L228" i="8"/>
  <c r="K232" i="8"/>
  <c r="I232" i="8"/>
  <c r="I231" i="8"/>
  <c r="I230" i="8"/>
  <c r="L289" i="8" s="1"/>
  <c r="I229" i="8"/>
  <c r="I228" i="8"/>
  <c r="L202" i="8"/>
  <c r="L199" i="8"/>
  <c r="L200" i="8"/>
  <c r="L201" i="8"/>
  <c r="L198" i="8"/>
  <c r="K202" i="8"/>
  <c r="I202" i="8"/>
  <c r="I201" i="8"/>
  <c r="I199" i="8"/>
  <c r="I200" i="8"/>
  <c r="I198" i="8"/>
  <c r="T194" i="8"/>
  <c r="R194" i="8"/>
  <c r="R192" i="8"/>
  <c r="R191" i="8"/>
  <c r="R190" i="8"/>
  <c r="Q194" i="8"/>
  <c r="O194" i="8"/>
  <c r="O193" i="8"/>
  <c r="O192" i="8"/>
  <c r="O191" i="8"/>
  <c r="O190" i="8"/>
  <c r="N194" i="8"/>
  <c r="L194" i="8"/>
  <c r="L193" i="8"/>
  <c r="L192" i="8"/>
  <c r="L191" i="8"/>
  <c r="L190" i="8"/>
  <c r="K194" i="8"/>
  <c r="I194" i="8"/>
  <c r="I193" i="8"/>
  <c r="I192" i="8"/>
  <c r="I191" i="8"/>
  <c r="I190" i="8"/>
  <c r="T186" i="8"/>
  <c r="R186" i="8"/>
  <c r="R184" i="8"/>
  <c r="R183" i="8"/>
  <c r="R182" i="8"/>
  <c r="Q186" i="8"/>
  <c r="O186" i="8"/>
  <c r="O185" i="8"/>
  <c r="O184" i="8"/>
  <c r="O183" i="8"/>
  <c r="O182" i="8"/>
  <c r="N186" i="8"/>
  <c r="L186" i="8"/>
  <c r="L185" i="8"/>
  <c r="L184" i="8"/>
  <c r="L183" i="8"/>
  <c r="L182" i="8"/>
  <c r="K186" i="8"/>
  <c r="I186" i="8"/>
  <c r="I185" i="8"/>
  <c r="I184" i="8"/>
  <c r="I183" i="8"/>
  <c r="I182" i="8"/>
  <c r="N178" i="8"/>
  <c r="L178" i="8"/>
  <c r="K178" i="8"/>
  <c r="I178" i="8"/>
  <c r="L175" i="8"/>
  <c r="L176" i="8"/>
  <c r="L177" i="8"/>
  <c r="I175" i="8"/>
  <c r="I176" i="8"/>
  <c r="I177" i="8"/>
  <c r="T178" i="8"/>
  <c r="R178" i="8"/>
  <c r="R176" i="8"/>
  <c r="R174" i="8"/>
  <c r="Q178" i="8"/>
  <c r="O178" i="8"/>
  <c r="O177" i="8"/>
  <c r="O176" i="8"/>
  <c r="O175" i="8"/>
  <c r="O174" i="8"/>
  <c r="L174" i="8"/>
  <c r="I174" i="8"/>
  <c r="Q170" i="8"/>
  <c r="O170" i="8"/>
  <c r="N170" i="8"/>
  <c r="L170" i="8"/>
  <c r="K170" i="8"/>
  <c r="I170" i="8"/>
  <c r="T170" i="8"/>
  <c r="R170" i="8"/>
  <c r="R168" i="8"/>
  <c r="R167" i="8"/>
  <c r="R166" i="8"/>
  <c r="O169" i="8"/>
  <c r="O168" i="8"/>
  <c r="O167" i="8"/>
  <c r="O166" i="8"/>
  <c r="L167" i="8"/>
  <c r="L168" i="8"/>
  <c r="L169" i="8"/>
  <c r="L166" i="8"/>
  <c r="I167" i="8"/>
  <c r="I168" i="8"/>
  <c r="I169" i="8"/>
  <c r="I166" i="8"/>
  <c r="G290" i="8" l="1"/>
  <c r="F294" i="8"/>
  <c r="F297" i="8"/>
  <c r="F290" i="8"/>
  <c r="G291" i="8"/>
  <c r="G293" i="8"/>
  <c r="G299" i="8"/>
  <c r="G296" i="8"/>
  <c r="F300" i="8"/>
  <c r="F291" i="8"/>
  <c r="G294" i="8"/>
  <c r="F299" i="8"/>
  <c r="G300" i="8"/>
  <c r="F293" i="8"/>
  <c r="F296" i="8"/>
  <c r="G297" i="8"/>
  <c r="D297" i="8"/>
  <c r="E294" i="8"/>
  <c r="D294" i="8"/>
  <c r="D299" i="8"/>
  <c r="D300" i="8"/>
  <c r="E291" i="8"/>
  <c r="E297" i="8"/>
  <c r="E298" i="8"/>
  <c r="E299" i="8"/>
  <c r="E295" i="8"/>
  <c r="E296" i="8"/>
  <c r="E289" i="8"/>
  <c r="E290" i="8"/>
  <c r="E292" i="8"/>
  <c r="E293" i="8"/>
  <c r="E300" i="8"/>
  <c r="E302" i="8"/>
  <c r="E303" i="8"/>
  <c r="D291" i="8"/>
  <c r="D295" i="8"/>
  <c r="D296" i="8"/>
  <c r="D290" i="8"/>
  <c r="D293" i="8"/>
  <c r="D302" i="8"/>
  <c r="D303" i="8"/>
  <c r="E301" i="8"/>
  <c r="L302" i="8"/>
  <c r="D301" i="8"/>
  <c r="L303" i="8"/>
  <c r="L301" i="8"/>
  <c r="M303" i="8"/>
  <c r="M301" i="8"/>
  <c r="M302" i="8"/>
  <c r="L293" i="8"/>
  <c r="L296" i="8"/>
  <c r="L299" i="8"/>
  <c r="M290" i="8"/>
  <c r="M293" i="8"/>
  <c r="M296" i="8"/>
  <c r="M299" i="8"/>
  <c r="L298" i="8"/>
  <c r="L300" i="8"/>
  <c r="M298" i="8"/>
  <c r="M300" i="8"/>
  <c r="G292" i="8"/>
  <c r="D292" i="8"/>
  <c r="G298" i="8"/>
  <c r="L290" i="8"/>
  <c r="G295" i="8"/>
  <c r="L291" i="8"/>
  <c r="L294" i="8"/>
  <c r="L292" i="8"/>
  <c r="L297" i="8"/>
  <c r="L295" i="8"/>
  <c r="D289" i="8"/>
  <c r="F289" i="8"/>
  <c r="G289" i="8"/>
  <c r="D298" i="8"/>
  <c r="F298" i="8"/>
  <c r="F292" i="8"/>
  <c r="F295" i="8"/>
  <c r="M289" i="8"/>
  <c r="M291" i="8"/>
  <c r="M292" i="8"/>
  <c r="M294" i="8"/>
  <c r="M297" i="8"/>
  <c r="M295" i="8"/>
  <c r="L47" i="8"/>
  <c r="L48" i="8"/>
  <c r="L49" i="8"/>
  <c r="L51" i="8"/>
  <c r="L52" i="8"/>
  <c r="I78" i="8" s="1"/>
  <c r="N47" i="8"/>
  <c r="N48" i="8"/>
  <c r="N49" i="8"/>
  <c r="N51" i="8"/>
  <c r="N52" i="8"/>
  <c r="I79" i="8" s="1"/>
  <c r="N46" i="8"/>
  <c r="Q128" i="6"/>
  <c r="Q127" i="6"/>
  <c r="Q126" i="6"/>
  <c r="Q125" i="6"/>
  <c r="Q124" i="6"/>
  <c r="P128" i="6"/>
  <c r="P127" i="6"/>
  <c r="P126" i="6"/>
  <c r="P125" i="6"/>
  <c r="P124" i="6"/>
  <c r="O128" i="6"/>
  <c r="O127" i="6"/>
  <c r="O126" i="6"/>
  <c r="O124" i="6"/>
  <c r="O125" i="6"/>
  <c r="N128" i="6"/>
  <c r="N127" i="6"/>
  <c r="N126" i="6"/>
  <c r="N125" i="6"/>
  <c r="N124" i="6"/>
  <c r="M128" i="6"/>
  <c r="M127" i="6"/>
  <c r="M126" i="6"/>
  <c r="M125" i="6"/>
  <c r="M124" i="6"/>
  <c r="L128" i="6"/>
  <c r="L127" i="6"/>
  <c r="L126" i="6"/>
  <c r="L125" i="6"/>
  <c r="L124" i="6"/>
  <c r="K125" i="6"/>
  <c r="K126" i="6"/>
  <c r="K127" i="6"/>
  <c r="K128" i="6"/>
  <c r="K124" i="6"/>
  <c r="I125" i="6"/>
  <c r="I126" i="6"/>
  <c r="I127" i="6"/>
  <c r="I128" i="6"/>
  <c r="I124" i="6"/>
  <c r="J125" i="6"/>
  <c r="J126" i="6"/>
  <c r="J127" i="6"/>
  <c r="J128" i="6"/>
  <c r="J124" i="6"/>
  <c r="H125" i="6"/>
  <c r="H126" i="6"/>
  <c r="H127" i="6"/>
  <c r="H128" i="6"/>
  <c r="H124" i="6"/>
  <c r="J121" i="6"/>
  <c r="H121" i="6"/>
  <c r="N80" i="8" l="1"/>
  <c r="P80" i="8"/>
  <c r="N81" i="8"/>
  <c r="P81" i="8"/>
  <c r="M141" i="6"/>
  <c r="M142" i="6"/>
  <c r="Q141" i="6"/>
  <c r="Q142" i="6"/>
  <c r="O139" i="6"/>
  <c r="O140" i="6"/>
  <c r="M137" i="6"/>
  <c r="M138" i="6"/>
  <c r="O134" i="6"/>
  <c r="O133" i="6"/>
  <c r="O142" i="6"/>
  <c r="O141" i="6"/>
  <c r="Q137" i="6"/>
  <c r="Q138" i="6"/>
  <c r="M133" i="6"/>
  <c r="M134" i="6"/>
  <c r="O138" i="6"/>
  <c r="O137" i="6"/>
  <c r="Q133" i="6"/>
  <c r="Q134" i="6"/>
  <c r="M135" i="6"/>
  <c r="M136" i="6"/>
  <c r="Q135" i="6"/>
  <c r="Q136" i="6"/>
  <c r="M139" i="6"/>
  <c r="M140" i="6"/>
  <c r="O135" i="6"/>
  <c r="O136" i="6"/>
  <c r="Q139" i="6"/>
  <c r="Q140" i="6"/>
  <c r="K137" i="6"/>
  <c r="K138" i="6"/>
  <c r="K133" i="6"/>
  <c r="K134" i="6"/>
  <c r="K135" i="6"/>
  <c r="K136" i="6"/>
  <c r="K141" i="6"/>
  <c r="K142" i="6"/>
  <c r="K139" i="6"/>
  <c r="K140" i="6"/>
  <c r="I133" i="6"/>
  <c r="I134" i="6"/>
  <c r="I136" i="6"/>
  <c r="I135" i="6"/>
  <c r="I141" i="6"/>
  <c r="I142" i="6"/>
  <c r="I139" i="6"/>
  <c r="I140" i="6"/>
  <c r="I137" i="6"/>
  <c r="I138" i="6"/>
  <c r="J96" i="6" l="1"/>
  <c r="N96" i="6" s="1"/>
  <c r="J97" i="6"/>
  <c r="N97" i="6" s="1"/>
  <c r="J98" i="6"/>
  <c r="N98" i="6" s="1"/>
  <c r="J99" i="6"/>
  <c r="N99" i="6" s="1"/>
  <c r="J95" i="6"/>
  <c r="N95" i="6" s="1"/>
  <c r="H96" i="6"/>
  <c r="M96" i="6" s="1"/>
  <c r="H97" i="6"/>
  <c r="M97" i="6" s="1"/>
  <c r="H98" i="6"/>
  <c r="M98" i="6" s="1"/>
  <c r="H99" i="6"/>
  <c r="M99" i="6" s="1"/>
  <c r="H95" i="6"/>
  <c r="M95" i="6" s="1"/>
  <c r="J92" i="6"/>
  <c r="N94" i="6" s="1"/>
  <c r="H92" i="6"/>
  <c r="M94" i="6" s="1"/>
  <c r="K18" i="6" l="1"/>
  <c r="I18" i="6"/>
  <c r="J74" i="6" l="1"/>
  <c r="H74" i="6"/>
  <c r="J73" i="6"/>
  <c r="H73" i="6"/>
  <c r="J72" i="6"/>
  <c r="H72" i="6"/>
  <c r="X1" i="19" l="1"/>
  <c r="T20" i="17" l="1"/>
  <c r="T21" i="17"/>
  <c r="T22" i="17"/>
  <c r="T23" i="17"/>
  <c r="T24" i="17"/>
  <c r="T25" i="17"/>
  <c r="T26" i="17"/>
  <c r="T27" i="17"/>
  <c r="T28" i="17"/>
  <c r="T19" i="17"/>
  <c r="P20" i="17"/>
  <c r="P21" i="17"/>
  <c r="P22" i="17"/>
  <c r="P23" i="17"/>
  <c r="P24" i="17"/>
  <c r="P25" i="17"/>
  <c r="P26" i="17"/>
  <c r="P27" i="17"/>
  <c r="P28" i="17"/>
  <c r="R20" i="17"/>
  <c r="R21" i="17"/>
  <c r="R22" i="17"/>
  <c r="R23" i="17"/>
  <c r="R24" i="17"/>
  <c r="R25" i="17"/>
  <c r="R26" i="17"/>
  <c r="R27" i="17"/>
  <c r="R28" i="17"/>
  <c r="R19" i="17"/>
  <c r="P19" i="17"/>
  <c r="N20" i="17"/>
  <c r="N21" i="17"/>
  <c r="N22" i="17"/>
  <c r="N23" i="17"/>
  <c r="N24" i="17"/>
  <c r="N25" i="17"/>
  <c r="N26" i="17"/>
  <c r="N27" i="17"/>
  <c r="N28" i="17"/>
  <c r="N19" i="17"/>
  <c r="S20" i="17"/>
  <c r="S21" i="17"/>
  <c r="S22" i="17"/>
  <c r="S23" i="17"/>
  <c r="S24" i="17"/>
  <c r="S25" i="17"/>
  <c r="S26" i="17"/>
  <c r="S27" i="17"/>
  <c r="S28" i="17"/>
  <c r="S19" i="17"/>
  <c r="Q20" i="17"/>
  <c r="Q21" i="17"/>
  <c r="Q22" i="17"/>
  <c r="Q23" i="17"/>
  <c r="Q24" i="17"/>
  <c r="Q25" i="17"/>
  <c r="Q26" i="17"/>
  <c r="Q27" i="17"/>
  <c r="Q28" i="17"/>
  <c r="Q19" i="17"/>
  <c r="O20" i="17"/>
  <c r="O21" i="17"/>
  <c r="O22" i="17"/>
  <c r="O23" i="17"/>
  <c r="O24" i="17"/>
  <c r="O25" i="17"/>
  <c r="O26" i="17"/>
  <c r="O27" i="17"/>
  <c r="O28" i="17"/>
  <c r="O19" i="17"/>
  <c r="M20" i="17"/>
  <c r="M21" i="17"/>
  <c r="M22" i="17"/>
  <c r="M23" i="17"/>
  <c r="M24" i="17"/>
  <c r="M25" i="17"/>
  <c r="M26" i="17"/>
  <c r="M27" i="17"/>
  <c r="M28" i="17"/>
  <c r="M19" i="17"/>
  <c r="L199" i="7" l="1"/>
  <c r="J199" i="7"/>
  <c r="L198" i="7"/>
  <c r="J198" i="7"/>
  <c r="L195" i="7" l="1"/>
  <c r="J195" i="7"/>
  <c r="L767" i="8"/>
  <c r="I767" i="8"/>
  <c r="L739" i="8"/>
  <c r="I739" i="8"/>
  <c r="H579" i="8"/>
  <c r="I720" i="8"/>
  <c r="G579" i="8" s="1"/>
  <c r="L257" i="8"/>
  <c r="I257" i="8"/>
  <c r="D288" i="8" s="1"/>
  <c r="L288" i="8" s="1"/>
  <c r="L249" i="8"/>
  <c r="I249" i="8"/>
  <c r="L241" i="8"/>
  <c r="I241" i="8"/>
  <c r="L233" i="8"/>
  <c r="I233" i="8"/>
  <c r="L225" i="8"/>
  <c r="I225" i="8"/>
  <c r="L195" i="8"/>
  <c r="I195" i="8"/>
  <c r="L187" i="8"/>
  <c r="I187" i="8"/>
  <c r="L179" i="8"/>
  <c r="I179" i="8"/>
  <c r="L171" i="8"/>
  <c r="I171" i="8"/>
  <c r="L163" i="8"/>
  <c r="E288" i="8" s="1"/>
  <c r="I163" i="8"/>
  <c r="K28" i="15" l="1"/>
  <c r="K29" i="15"/>
  <c r="K30" i="15"/>
  <c r="K27" i="15"/>
  <c r="K20" i="15"/>
  <c r="K21" i="15"/>
  <c r="K22" i="15"/>
  <c r="K19" i="15"/>
  <c r="K12" i="15"/>
  <c r="K13" i="15"/>
  <c r="K14" i="15"/>
  <c r="K11" i="15"/>
  <c r="K4" i="15"/>
  <c r="K5" i="15"/>
  <c r="K6" i="15"/>
  <c r="K3" i="15"/>
  <c r="D28" i="15"/>
  <c r="D29" i="15"/>
  <c r="D30" i="15"/>
  <c r="D31" i="15"/>
  <c r="D27" i="15"/>
  <c r="D20" i="15"/>
  <c r="D21" i="15"/>
  <c r="D22" i="15"/>
  <c r="D23" i="15"/>
  <c r="D19" i="15"/>
  <c r="D12" i="15"/>
  <c r="D13" i="15"/>
  <c r="D14" i="15"/>
  <c r="D15" i="15"/>
  <c r="D11" i="15"/>
  <c r="D7" i="15"/>
  <c r="D6" i="15"/>
  <c r="D4" i="15"/>
  <c r="N43" i="8" l="1"/>
  <c r="E79" i="8" s="1"/>
  <c r="L43" i="8"/>
  <c r="E78" i="8" s="1"/>
  <c r="L161" i="7"/>
  <c r="J177" i="7" s="1"/>
  <c r="I161" i="7"/>
  <c r="I177" i="7" s="1"/>
  <c r="I180" i="7" l="1"/>
  <c r="J180" i="7"/>
  <c r="I178" i="7"/>
  <c r="I179" i="7" s="1"/>
  <c r="J178" i="7"/>
  <c r="J179" i="7" s="1"/>
  <c r="K88" i="7" l="1"/>
  <c r="M88" i="7"/>
  <c r="M85" i="7"/>
  <c r="K85" i="7"/>
  <c r="I49" i="7"/>
  <c r="G62" i="7" s="1"/>
  <c r="M57" i="7"/>
  <c r="M56" i="7"/>
  <c r="M55" i="7"/>
  <c r="M54" i="7"/>
  <c r="M53" i="7"/>
  <c r="M52" i="7"/>
  <c r="I53" i="7"/>
  <c r="I54" i="7"/>
  <c r="I55" i="7"/>
  <c r="I56" i="7"/>
  <c r="I57" i="7"/>
  <c r="K52" i="7"/>
  <c r="I52" i="7"/>
  <c r="K49" i="7"/>
  <c r="I62" i="7" s="1"/>
  <c r="K33" i="7"/>
  <c r="K34" i="7"/>
  <c r="K35" i="7"/>
  <c r="K36" i="7"/>
  <c r="K32" i="7"/>
  <c r="I33" i="7"/>
  <c r="I34" i="7"/>
  <c r="I35" i="7"/>
  <c r="I36" i="7"/>
  <c r="I32" i="7"/>
  <c r="G65" i="7" l="1"/>
  <c r="H65" i="7" s="1"/>
  <c r="G68" i="7"/>
  <c r="H68" i="7" s="1"/>
  <c r="G64" i="7"/>
  <c r="H64" i="7" s="1"/>
  <c r="I66" i="7"/>
  <c r="J66" i="7" s="1"/>
  <c r="G67" i="7"/>
  <c r="H67" i="7" s="1"/>
  <c r="I68" i="7"/>
  <c r="J68" i="7" s="1"/>
  <c r="G66" i="7"/>
  <c r="H66" i="7" s="1"/>
  <c r="I67" i="7"/>
  <c r="J67" i="7" s="1"/>
  <c r="I64" i="7"/>
  <c r="J64" i="7" s="1"/>
  <c r="I65" i="7"/>
  <c r="J65" i="7" s="1"/>
  <c r="M37" i="7" l="1"/>
  <c r="M36" i="7"/>
  <c r="M35" i="7"/>
  <c r="M34" i="7"/>
  <c r="M33" i="7"/>
  <c r="M32" i="7"/>
  <c r="K29" i="7"/>
  <c r="I29" i="7"/>
  <c r="H59" i="9"/>
  <c r="H61" i="9"/>
  <c r="G59" i="9"/>
  <c r="G61" i="9"/>
  <c r="H58" i="9"/>
  <c r="G58" i="9"/>
  <c r="H55" i="9"/>
  <c r="G55" i="9"/>
  <c r="M38" i="9"/>
  <c r="L38" i="9"/>
  <c r="I44" i="9"/>
  <c r="H44" i="9"/>
  <c r="I42" i="9"/>
  <c r="K38" i="9" s="1"/>
  <c r="I43" i="9"/>
  <c r="K39" i="9" s="1"/>
  <c r="H42" i="9"/>
  <c r="J38" i="9" s="1"/>
  <c r="H43" i="9"/>
  <c r="J39" i="9" s="1"/>
  <c r="I41" i="9"/>
  <c r="H41" i="9"/>
  <c r="H60" i="9" l="1"/>
  <c r="G60" i="9"/>
  <c r="M39" i="9" l="1"/>
  <c r="L39" i="9"/>
  <c r="F120" i="7" l="1"/>
  <c r="H135" i="7"/>
  <c r="G135" i="7"/>
  <c r="O124" i="7"/>
  <c r="O125" i="7"/>
  <c r="O126" i="7"/>
  <c r="O127" i="7"/>
  <c r="O128" i="7"/>
  <c r="O129" i="7"/>
  <c r="O130" i="7"/>
  <c r="O131" i="7"/>
  <c r="O132" i="7"/>
  <c r="O133" i="7"/>
  <c r="K133" i="7"/>
  <c r="K132" i="7"/>
  <c r="K131" i="7"/>
  <c r="K130" i="7"/>
  <c r="K129" i="7"/>
  <c r="K128" i="7"/>
  <c r="K127" i="7"/>
  <c r="K126" i="7"/>
  <c r="K125" i="7"/>
  <c r="P143" i="7" l="1"/>
  <c r="L141" i="7"/>
  <c r="M141" i="7"/>
  <c r="Q144" i="7"/>
  <c r="Q143" i="7"/>
  <c r="Q142" i="7"/>
  <c r="Q141" i="7"/>
  <c r="Q140" i="7"/>
  <c r="L142" i="7"/>
  <c r="M142" i="7"/>
  <c r="L143" i="7"/>
  <c r="M143" i="7"/>
  <c r="P144" i="7"/>
  <c r="P142" i="7"/>
  <c r="P141" i="7"/>
  <c r="P140" i="7"/>
  <c r="L140" i="7"/>
  <c r="L144" i="7"/>
  <c r="M140" i="7"/>
  <c r="M144" i="7"/>
  <c r="I38" i="9"/>
  <c r="K37" i="9" s="1"/>
  <c r="H38" i="9"/>
  <c r="J37" i="9" s="1"/>
  <c r="I23" i="9" l="1"/>
  <c r="H23" i="9"/>
  <c r="I20" i="9" l="1"/>
  <c r="I21" i="9"/>
  <c r="I22" i="9"/>
  <c r="I19" i="9"/>
  <c r="H20" i="9"/>
  <c r="H21" i="9"/>
  <c r="H22" i="9"/>
  <c r="H19" i="9"/>
  <c r="I16" i="9"/>
  <c r="L19" i="9" s="1"/>
  <c r="H16" i="9"/>
  <c r="K19" i="9" s="1"/>
  <c r="K137" i="10"/>
  <c r="J137" i="10"/>
  <c r="K135" i="10"/>
  <c r="K134" i="10"/>
  <c r="K133" i="10"/>
  <c r="J135" i="10"/>
  <c r="J134" i="10"/>
  <c r="J133" i="10"/>
  <c r="I137" i="10"/>
  <c r="I135" i="10"/>
  <c r="I134" i="10"/>
  <c r="I133" i="10"/>
  <c r="H137" i="10"/>
  <c r="H134" i="10"/>
  <c r="H135" i="10"/>
  <c r="H133" i="10"/>
  <c r="G137" i="10"/>
  <c r="G134" i="10"/>
  <c r="G135" i="10"/>
  <c r="G133" i="10"/>
  <c r="H131" i="10"/>
  <c r="G131" i="10"/>
  <c r="K120" i="10"/>
  <c r="K119" i="10"/>
  <c r="K118" i="10"/>
  <c r="J120" i="10"/>
  <c r="J119" i="10"/>
  <c r="J118" i="10"/>
  <c r="I119" i="10"/>
  <c r="I120" i="10"/>
  <c r="I121" i="10"/>
  <c r="I122" i="10"/>
  <c r="H119" i="10"/>
  <c r="H120" i="10"/>
  <c r="H121" i="10"/>
  <c r="H122" i="10"/>
  <c r="I118" i="10"/>
  <c r="H118" i="10"/>
  <c r="H106" i="10"/>
  <c r="H105" i="10"/>
  <c r="H104" i="10"/>
  <c r="H103" i="10"/>
  <c r="H102" i="10"/>
  <c r="H101" i="10"/>
  <c r="H100" i="10"/>
  <c r="J122" i="10"/>
  <c r="J121" i="10"/>
  <c r="K122" i="10"/>
  <c r="K121" i="10"/>
  <c r="K17" i="9" l="1"/>
  <c r="K22" i="9" s="1"/>
  <c r="L17" i="9"/>
  <c r="L21" i="9" s="1"/>
  <c r="I116" i="10"/>
  <c r="H116" i="10"/>
  <c r="G101" i="10"/>
  <c r="G102" i="10"/>
  <c r="G103" i="10"/>
  <c r="G104" i="10"/>
  <c r="G105" i="10"/>
  <c r="G106" i="10"/>
  <c r="G100" i="10"/>
  <c r="F101" i="10"/>
  <c r="F102" i="10"/>
  <c r="F103" i="10"/>
  <c r="F104" i="10"/>
  <c r="F105" i="10"/>
  <c r="F106" i="10"/>
  <c r="F100" i="10"/>
  <c r="G97" i="10"/>
  <c r="F97" i="10"/>
  <c r="G88" i="10"/>
  <c r="F88" i="10"/>
  <c r="G80" i="10"/>
  <c r="G81" i="10"/>
  <c r="G82" i="10"/>
  <c r="G83" i="10"/>
  <c r="G84" i="10"/>
  <c r="G85" i="10"/>
  <c r="G86" i="10"/>
  <c r="G87" i="10"/>
  <c r="G79" i="10"/>
  <c r="F80" i="10"/>
  <c r="F81" i="10"/>
  <c r="F82" i="10"/>
  <c r="F83" i="10"/>
  <c r="F84" i="10"/>
  <c r="F85" i="10"/>
  <c r="F86" i="10"/>
  <c r="F87" i="10"/>
  <c r="F79" i="10"/>
  <c r="G77" i="10"/>
  <c r="F77" i="10"/>
  <c r="G72" i="10"/>
  <c r="F72" i="10"/>
  <c r="G73" i="10"/>
  <c r="F73" i="10"/>
  <c r="G71" i="10"/>
  <c r="F71" i="10"/>
  <c r="D54" i="10"/>
  <c r="L22" i="9" l="1"/>
  <c r="K21" i="9"/>
  <c r="K20" i="9"/>
  <c r="L20" i="9"/>
  <c r="F63" i="10"/>
  <c r="F61" i="10"/>
  <c r="F56" i="10"/>
  <c r="F122" i="7" s="1"/>
  <c r="D56" i="10"/>
  <c r="F62" i="10"/>
  <c r="G56" i="10"/>
  <c r="E56" i="10"/>
  <c r="H54" i="10"/>
  <c r="H131" i="7" l="1"/>
  <c r="H127" i="7"/>
  <c r="I133" i="7"/>
  <c r="I129" i="7"/>
  <c r="I125" i="7"/>
  <c r="F133" i="7"/>
  <c r="F129" i="7"/>
  <c r="F125" i="7"/>
  <c r="F130" i="7"/>
  <c r="F126" i="7"/>
  <c r="H130" i="7"/>
  <c r="H126" i="7"/>
  <c r="I132" i="7"/>
  <c r="I128" i="7"/>
  <c r="I124" i="7"/>
  <c r="F132" i="7"/>
  <c r="F128" i="7"/>
  <c r="F124" i="7"/>
  <c r="H133" i="7"/>
  <c r="H129" i="7"/>
  <c r="H125" i="7"/>
  <c r="I131" i="7"/>
  <c r="I127" i="7"/>
  <c r="G134" i="7"/>
  <c r="F131" i="7"/>
  <c r="F127" i="7"/>
  <c r="H132" i="7"/>
  <c r="H128" i="7"/>
  <c r="H124" i="7"/>
  <c r="I130" i="7"/>
  <c r="I126" i="7"/>
  <c r="F134" i="7"/>
  <c r="I134" i="7"/>
  <c r="H134" i="7"/>
  <c r="G133" i="7"/>
  <c r="H144" i="7" s="1"/>
  <c r="G129" i="7"/>
  <c r="H140" i="7" s="1"/>
  <c r="G125" i="7"/>
  <c r="G127" i="7"/>
  <c r="G130" i="7"/>
  <c r="G126" i="7"/>
  <c r="G132" i="7"/>
  <c r="G128" i="7"/>
  <c r="G124" i="7"/>
  <c r="G131" i="7"/>
  <c r="J63" i="10"/>
  <c r="J62" i="10"/>
  <c r="K56" i="10"/>
  <c r="I56" i="10"/>
  <c r="J61" i="10"/>
  <c r="J56" i="10"/>
  <c r="H56" i="10"/>
  <c r="F135" i="7"/>
  <c r="R1" i="10"/>
  <c r="R1" i="9"/>
  <c r="R1" i="8"/>
  <c r="X1" i="7"/>
  <c r="R1" i="6"/>
  <c r="R1" i="5"/>
  <c r="I145" i="7" l="1"/>
  <c r="H142" i="7"/>
  <c r="H145" i="7"/>
  <c r="I142" i="7"/>
  <c r="H141" i="7"/>
  <c r="H143" i="7"/>
  <c r="I143" i="7"/>
  <c r="I140" i="7"/>
  <c r="I141" i="7"/>
  <c r="I144" i="7"/>
  <c r="K26" i="2"/>
</calcChain>
</file>

<file path=xl/comments1.xml><?xml version="1.0" encoding="utf-8"?>
<comments xmlns="http://schemas.openxmlformats.org/spreadsheetml/2006/main">
  <authors>
    <author>Verity Pinkney</author>
  </authors>
  <commentList>
    <comment ref="LV76" authorId="0">
      <text>
        <r>
          <rPr>
            <b/>
            <sz val="9"/>
            <color indexed="81"/>
            <rFont val="Tahoma"/>
            <family val="2"/>
          </rPr>
          <t>Verity Pinkney:</t>
        </r>
        <r>
          <rPr>
            <sz val="9"/>
            <color indexed="81"/>
            <rFont val="Tahoma"/>
            <family val="2"/>
          </rPr>
          <t xml:space="preserve">
includes those children where a CFC could not be assigned</t>
        </r>
      </text>
    </comment>
  </commentList>
</comments>
</file>

<file path=xl/sharedStrings.xml><?xml version="1.0" encoding="utf-8"?>
<sst xmlns="http://schemas.openxmlformats.org/spreadsheetml/2006/main" count="8694" uniqueCount="1139">
  <si>
    <t>Mid Year Population Estimates (ONS)</t>
  </si>
  <si>
    <t>CFC</t>
  </si>
  <si>
    <t>Code</t>
  </si>
  <si>
    <t>Population (2005)</t>
  </si>
  <si>
    <t>Population (2006)</t>
  </si>
  <si>
    <t>Population (2007)</t>
  </si>
  <si>
    <t>Population (2008)</t>
  </si>
  <si>
    <t>Population (2009)</t>
  </si>
  <si>
    <t>Population (2010)</t>
  </si>
  <si>
    <t>Population (2011)</t>
  </si>
  <si>
    <t xml:space="preserve">Population (2012) </t>
  </si>
  <si>
    <t>Population (2013)</t>
  </si>
  <si>
    <t>Population (2014)</t>
  </si>
  <si>
    <t>Under 5 (2005)</t>
  </si>
  <si>
    <t>Under 5 (2006)</t>
  </si>
  <si>
    <t>Under 5 (2007)</t>
  </si>
  <si>
    <t>Under 5 (2008)</t>
  </si>
  <si>
    <t>Under 5 (2009)</t>
  </si>
  <si>
    <t>Under 5 (2010)</t>
  </si>
  <si>
    <t>Under 5 (2011)</t>
  </si>
  <si>
    <t>Under 5 (2012)</t>
  </si>
  <si>
    <t>Under 5 (2013)</t>
  </si>
  <si>
    <t>Under 5 (2014)</t>
  </si>
  <si>
    <t>All Ethnic groups</t>
  </si>
  <si>
    <t>White British</t>
  </si>
  <si>
    <t>Asian</t>
  </si>
  <si>
    <t>Black</t>
  </si>
  <si>
    <t>Other</t>
  </si>
  <si>
    <t>BAME</t>
  </si>
  <si>
    <t>% Asian</t>
  </si>
  <si>
    <t>% Black</t>
  </si>
  <si>
    <t>% Other</t>
  </si>
  <si>
    <t>% BAME</t>
  </si>
  <si>
    <t>Kingston Buci</t>
  </si>
  <si>
    <t>Stepping Stones</t>
  </si>
  <si>
    <t>Boundstone</t>
  </si>
  <si>
    <t>Lancing</t>
  </si>
  <si>
    <t>Angmering</t>
  </si>
  <si>
    <t>East Preston</t>
  </si>
  <si>
    <t>Littlehampton</t>
  </si>
  <si>
    <t>The Villages</t>
  </si>
  <si>
    <t>Treehouse</t>
  </si>
  <si>
    <t>Bognor Regis</t>
  </si>
  <si>
    <t>Felpham</t>
  </si>
  <si>
    <t>Chichester</t>
  </si>
  <si>
    <t>Midhurst</t>
  </si>
  <si>
    <t>Petworth</t>
  </si>
  <si>
    <t>Selsey</t>
  </si>
  <si>
    <t>Bewbush</t>
  </si>
  <si>
    <t>Broadfield</t>
  </si>
  <si>
    <t>Langley Green</t>
  </si>
  <si>
    <t>Northgate</t>
  </si>
  <si>
    <t>Pound Hill &amp; Maidenbower</t>
  </si>
  <si>
    <t>Southgate</t>
  </si>
  <si>
    <t>Billingshurst &amp; Pulborough</t>
  </si>
  <si>
    <t>Little Footsteps</t>
  </si>
  <si>
    <t>Rural Horsham</t>
  </si>
  <si>
    <t>Rural Steyning and Henfield</t>
  </si>
  <si>
    <t>Horsham Nursery</t>
  </si>
  <si>
    <t>Roffey</t>
  </si>
  <si>
    <t>Southwater</t>
  </si>
  <si>
    <t>The Needles</t>
  </si>
  <si>
    <t>East Grinstead (Blackwells)</t>
  </si>
  <si>
    <t>East Grinstead (Library)</t>
  </si>
  <si>
    <t>Mid Sussex Rural North</t>
  </si>
  <si>
    <t>Rural Haywards Heath</t>
  </si>
  <si>
    <t>Sidney West</t>
  </si>
  <si>
    <t>Sussex Downs</t>
  </si>
  <si>
    <t>The Gattons</t>
  </si>
  <si>
    <t>Durrington</t>
  </si>
  <si>
    <t>Findon</t>
  </si>
  <si>
    <t>Footprints</t>
  </si>
  <si>
    <t>The Wave</t>
  </si>
  <si>
    <t>Adur East</t>
  </si>
  <si>
    <t>Adur West</t>
  </si>
  <si>
    <t>Arun East</t>
  </si>
  <si>
    <t>Arun West North</t>
  </si>
  <si>
    <t>Arun West South</t>
  </si>
  <si>
    <t>Chichester Central</t>
  </si>
  <si>
    <t>Crawley</t>
  </si>
  <si>
    <t>Mid Sussex</t>
  </si>
  <si>
    <t>Worthing</t>
  </si>
  <si>
    <t>Arun</t>
  </si>
  <si>
    <t>Horsham</t>
  </si>
  <si>
    <t>WEST SUSSEX (CFCs)</t>
  </si>
  <si>
    <t>WEST SUSSEX (CFC Groups)</t>
  </si>
  <si>
    <t>WEST SUSSEX (LAs)</t>
  </si>
  <si>
    <t>WEST SUSSEX (CCGs)</t>
  </si>
  <si>
    <t>Ethnicity under 5's (2011 Census, NOMIS)</t>
  </si>
  <si>
    <t>White Irish + White Other</t>
  </si>
  <si>
    <t>Mixed/ Multiple</t>
  </si>
  <si>
    <t>Tenure (0-9's) (2011 Census)</t>
  </si>
  <si>
    <t>% Owned</t>
  </si>
  <si>
    <t>% Socially rented</t>
  </si>
  <si>
    <t>% Privately rented or living rent free</t>
  </si>
  <si>
    <t>Locations</t>
  </si>
  <si>
    <t>Range</t>
  </si>
  <si>
    <t>Name</t>
  </si>
  <si>
    <t>A4</t>
  </si>
  <si>
    <t>A3</t>
  </si>
  <si>
    <t>Selection</t>
  </si>
  <si>
    <t>B5:B69</t>
  </si>
  <si>
    <t>Selection1</t>
  </si>
  <si>
    <t>Row References:</t>
  </si>
  <si>
    <t>Column References:</t>
  </si>
  <si>
    <t>Education Partnership Area - A</t>
  </si>
  <si>
    <t>Education Partnership Area - B</t>
  </si>
  <si>
    <t>Education Partnership Area - C2</t>
  </si>
  <si>
    <t>Education Partnership Area - C1</t>
  </si>
  <si>
    <t>Education Partnership Area - C3</t>
  </si>
  <si>
    <t>WEST SUSSEX</t>
  </si>
  <si>
    <t>SOUTH EAST</t>
  </si>
  <si>
    <t>ENGLAND</t>
  </si>
  <si>
    <t>CFC Group - Adur East</t>
  </si>
  <si>
    <t>CFC Group - Adur West</t>
  </si>
  <si>
    <t>CFC Group - Arun East</t>
  </si>
  <si>
    <t>CFC Group - Arun West North</t>
  </si>
  <si>
    <t>CFC Group - Arun West South</t>
  </si>
  <si>
    <t>CFC Group - Chichester Central</t>
  </si>
  <si>
    <t>CFC Group - Chichester Rural</t>
  </si>
  <si>
    <t>CFC Group - Crawley</t>
  </si>
  <si>
    <t>CFC Group - Mid Sussex</t>
  </si>
  <si>
    <t>CFC Group - Worthing</t>
  </si>
  <si>
    <t>LA - Adur</t>
  </si>
  <si>
    <t>LA - Arun</t>
  </si>
  <si>
    <t>LA - Chichester</t>
  </si>
  <si>
    <t>LA - Crawley</t>
  </si>
  <si>
    <t>LA - Horsham</t>
  </si>
  <si>
    <t>LA - Mid Sussex</t>
  </si>
  <si>
    <t>LA - Worthing</t>
  </si>
  <si>
    <t>CCG - Coastal West Sussex</t>
  </si>
  <si>
    <t>CCG - Horsham and Mid Sussex</t>
  </si>
  <si>
    <t>CCG - Crawley</t>
  </si>
  <si>
    <t>Address</t>
  </si>
  <si>
    <t>Address2</t>
  </si>
  <si>
    <t>Postcode</t>
  </si>
  <si>
    <t xml:space="preserve">Easting </t>
  </si>
  <si>
    <t>Northing</t>
  </si>
  <si>
    <t>CCG</t>
  </si>
  <si>
    <t>Middle Road, Shoreham-by-Sea</t>
  </si>
  <si>
    <t>BN43 6GA</t>
  </si>
  <si>
    <t>office.kingstonbuci@westsussex.gov.uk</t>
  </si>
  <si>
    <t>Gardner Road, Fishersgate</t>
  </si>
  <si>
    <t>BN41 1PN</t>
  </si>
  <si>
    <t>steppingstones.cfc@westsussex.gov.uk</t>
  </si>
  <si>
    <t>Upper Boundstone Lane, Sompting</t>
  </si>
  <si>
    <t>BN15 9QX</t>
  </si>
  <si>
    <t>office@boundstone-nur.w-sussex.sch.uk</t>
  </si>
  <si>
    <t>42 North Road, Lancing</t>
  </si>
  <si>
    <t>BN15 9AB</t>
  </si>
  <si>
    <t>lancing.cfc@westsussex.gov.uk</t>
  </si>
  <si>
    <t>Angmering Library, Arundel Road, Angmering</t>
  </si>
  <si>
    <t>BN16 4JS</t>
  </si>
  <si>
    <t>angmering.cfc@westsussex.gov.uk</t>
  </si>
  <si>
    <t>92 St Mary's Drive, East Preston, Littlehampton</t>
  </si>
  <si>
    <t>BN16 1JB</t>
  </si>
  <si>
    <t>eastpreston.cfc@westsussex.gov.uk</t>
  </si>
  <si>
    <t>Wickbourne Centre, Clun Road, Littlehampton</t>
  </si>
  <si>
    <t>BN17 7DZ</t>
  </si>
  <si>
    <t>littlehampton.c&amp;fc@westsussex.gov.uk</t>
  </si>
  <si>
    <t>Main Road, Yapton, Arundel</t>
  </si>
  <si>
    <t>BN18 0ET</t>
  </si>
  <si>
    <t>thevillages.c&amp;fc@westsussex.gov.uk</t>
  </si>
  <si>
    <t>Laburnum Grove, Bersted, Bognor Regis</t>
  </si>
  <si>
    <t>PO22 9HT</t>
  </si>
  <si>
    <t>treehouse.cfc@westsussex.gov.uk</t>
  </si>
  <si>
    <t>85 Victoria Drive, Bognor Regis</t>
  </si>
  <si>
    <t>PO21 2TB</t>
  </si>
  <si>
    <t>office@bognorregis-nursery.w-sussex.sch.uk</t>
  </si>
  <si>
    <t>Pennyfields, Bognor Regis</t>
  </si>
  <si>
    <t>PO22 6BN</t>
  </si>
  <si>
    <t>felpham.c&amp;fc@westsussex.gov.uk</t>
  </si>
  <si>
    <t>St James' Road, Chichester</t>
  </si>
  <si>
    <t>PO19 7AB</t>
  </si>
  <si>
    <t>office@chichester-nur.w-sussex.sch.uk</t>
  </si>
  <si>
    <t>Ashfield Road, Midhurst</t>
  </si>
  <si>
    <t>GU29 9JX</t>
  </si>
  <si>
    <t>midhurst.office@westsussex.gov.uk</t>
  </si>
  <si>
    <t>South Grove, Petworth</t>
  </si>
  <si>
    <t>GU28 0ED</t>
  </si>
  <si>
    <t>petworth.office@westsussex.gov.uk</t>
  </si>
  <si>
    <t>East Street, Selsey</t>
  </si>
  <si>
    <t>PO20 0BN</t>
  </si>
  <si>
    <t>selsey.cfc@westsussex.gov.uk</t>
  </si>
  <si>
    <t>Park Road, Southbourne</t>
  </si>
  <si>
    <t>PO10 8PJ</t>
  </si>
  <si>
    <t>southbourne.cfc@westsussex.gov.uk</t>
  </si>
  <si>
    <t>Dosten Square, Crawley</t>
  </si>
  <si>
    <t>RH11 8XW</t>
  </si>
  <si>
    <t>bewbush.cfc@westsussex.gov.uk</t>
  </si>
  <si>
    <t>Creasys Drive, Crawley</t>
  </si>
  <si>
    <t>RH11 9HJ</t>
  </si>
  <si>
    <t>broadfieldc&amp;fc@westsussex.gov.uk</t>
  </si>
  <si>
    <t>Langley Green Centre, Stagelands, Langley Green, Crawley</t>
  </si>
  <si>
    <t>RH11 7PF</t>
  </si>
  <si>
    <t>langleygreen.cfc@westsussex.gov.uk</t>
  </si>
  <si>
    <t>Barnfield Road, Crawley</t>
  </si>
  <si>
    <t>RH10 8DP</t>
  </si>
  <si>
    <t>northgate.cfc@westsussex.gov.uk</t>
  </si>
  <si>
    <t xml:space="preserve">Harvest Road, Maidenbower, Crawley                               </t>
  </si>
  <si>
    <t>RH10 7RA</t>
  </si>
  <si>
    <t>maidenbowerandpoundhillcfc@westsussex.gov.uk</t>
  </si>
  <si>
    <t>Barrington Road, Crawley</t>
  </si>
  <si>
    <t>RH10 6DG</t>
  </si>
  <si>
    <t>southgate.cfc@westsussex.gov.uk</t>
  </si>
  <si>
    <t xml:space="preserve">Station Road, Billingshurst                                    </t>
  </si>
  <si>
    <t>Pulborough Village Hall, Swan View, Pulborough, RH20 2BF (pulborough.cfc@westsussex.gov.uk)</t>
  </si>
  <si>
    <t xml:space="preserve">RH14 9RY   </t>
  </si>
  <si>
    <t>office.billingshurst@westsussex.gov.uk</t>
  </si>
  <si>
    <t>24-26 West Street, Storrington, Pulborough</t>
  </si>
  <si>
    <t>RH20 4EE</t>
  </si>
  <si>
    <t>rural.horsham@westsussex.gov.uk</t>
  </si>
  <si>
    <t>RH14 9AX</t>
  </si>
  <si>
    <t>office.ruralhorsham@westsussex.gov.uk</t>
  </si>
  <si>
    <t>Cowfold Village Hall, Bolney Road, Cowfold, Horsham</t>
  </si>
  <si>
    <t>RH13 8AA</t>
  </si>
  <si>
    <t>ruralhenfield.cfc@westsussex.gov.uk</t>
  </si>
  <si>
    <t>Harwood Road, Horsham</t>
  </si>
  <si>
    <t>RH13 5UT</t>
  </si>
  <si>
    <t>office.horsham.nursery.cfc@westsussex.gov.uk</t>
  </si>
  <si>
    <t>Roffey Youth Centre, Godwin Way, Compton Lane, Horsham</t>
  </si>
  <si>
    <t>RH13 6SQ</t>
  </si>
  <si>
    <t>roffey.cfc@westsussex.gov.uk</t>
  </si>
  <si>
    <t>Worthing Road, Southwater, Horsham</t>
  </si>
  <si>
    <t>RH13 9HA</t>
  </si>
  <si>
    <t>southwater.cfc@westsussex.gov.uk</t>
  </si>
  <si>
    <t>The Needles Neighbourhood Centre, Three Acres, Horsham</t>
  </si>
  <si>
    <t>RH12 1RS</t>
  </si>
  <si>
    <t>theneedles.cfc@westsussex.gov.uk</t>
  </si>
  <si>
    <t>Blackwell Farm Road, East Grinstead</t>
  </si>
  <si>
    <t>RH19 3JL</t>
  </si>
  <si>
    <t>east.grinstead.c&amp;fc@westsussex.gov.uk</t>
  </si>
  <si>
    <t>East Grinstead Library, West Street, East Grinstead</t>
  </si>
  <si>
    <t>RH19 4SR</t>
  </si>
  <si>
    <t>east.grinstead.c&amp;fc.library@westsussex.gov.uk</t>
  </si>
  <si>
    <t>51 Penn Crescent, Haywards Heath</t>
  </si>
  <si>
    <t>RH16 3HP</t>
  </si>
  <si>
    <t>haywardsheath.c&amp;fc@westsussex.gov.uk</t>
  </si>
  <si>
    <t>Unit 1 Highlands Farm, London Road, Bolney</t>
  </si>
  <si>
    <t>RH17 5PX</t>
  </si>
  <si>
    <t>mid.sussex.rural@westsussex.gov.uk</t>
  </si>
  <si>
    <t>Leylands Road, Burgess Hill</t>
  </si>
  <si>
    <t>RH15 8HS</t>
  </si>
  <si>
    <t>sidneywest.cfc@westsussex.gov.uk</t>
  </si>
  <si>
    <t>Hurstpierpoint Village Centre, Trinity Road, Hurstpierpoint, Hassocks</t>
  </si>
  <si>
    <t>BN6 9UY</t>
  </si>
  <si>
    <t>Royal George Road, Burgess Hill</t>
  </si>
  <si>
    <t>RH15 9SL</t>
  </si>
  <si>
    <t>thegattons.cfc@westsussex.gov.uk</t>
  </si>
  <si>
    <t>Salvington Road, Durrington, Worthing</t>
  </si>
  <si>
    <t>BN13 2JD</t>
  </si>
  <si>
    <t>acd.durrington.c&amp;fc@westsussex.gov.uk</t>
  </si>
  <si>
    <t>Vale First and Middle School, Vale Avenue, Worthing</t>
  </si>
  <si>
    <t>BN14 0DB</t>
  </si>
  <si>
    <t>findon.cfc@westsussex.gov.uk</t>
  </si>
  <si>
    <t>Crescent - 40 Crescent Road, Worthing</t>
  </si>
  <si>
    <t>BN11 1RQ</t>
  </si>
  <si>
    <t>footprints.c&amp;fc@westsussex.gov.uk</t>
  </si>
  <si>
    <t>Maybridge Community Church, 77 The Strand, Goring-by-Sea, Worthing</t>
  </si>
  <si>
    <t>BN12 6DR</t>
  </si>
  <si>
    <t>maybridgecfc@westsussex.gov.uk</t>
  </si>
  <si>
    <t>Broadwater Baptist Church, Dominion Road, Worthing</t>
  </si>
  <si>
    <t>BN14 8JL</t>
  </si>
  <si>
    <t>acd.the.wave.c&amp;fc@westsussex.gov.uk</t>
  </si>
  <si>
    <t>Email</t>
  </si>
  <si>
    <t>CFC Group</t>
  </si>
  <si>
    <t xml:space="preserve">Chichester Rural </t>
  </si>
  <si>
    <t>Horsham Rural</t>
  </si>
  <si>
    <t>NHS Coastal West Sussex CCG</t>
  </si>
  <si>
    <t>NHS Crawley CCG</t>
  </si>
  <si>
    <t>NHS Horsham and Mid Sussex CCG</t>
  </si>
  <si>
    <t>B</t>
  </si>
  <si>
    <t>C1</t>
  </si>
  <si>
    <t>C3</t>
  </si>
  <si>
    <t>A</t>
  </si>
  <si>
    <t>C2</t>
  </si>
  <si>
    <t>C3/B</t>
  </si>
  <si>
    <t>Haywards Heath (Urban)</t>
  </si>
  <si>
    <t>District</t>
  </si>
  <si>
    <t>Ward/s</t>
  </si>
  <si>
    <t>Geographies</t>
  </si>
  <si>
    <t>A6:L78</t>
  </si>
  <si>
    <t>Wards</t>
  </si>
  <si>
    <t>Parliamentary Constituency</t>
  </si>
  <si>
    <t>Education Locality Name</t>
  </si>
  <si>
    <t>Education Partnership Area</t>
  </si>
  <si>
    <t>n/a</t>
  </si>
  <si>
    <t>NHS Coastal/Horsham and Mid Sussex CCG</t>
  </si>
  <si>
    <t>Education partnership:</t>
  </si>
  <si>
    <t>Education locality:</t>
  </si>
  <si>
    <t>Parliamentary Constituency:</t>
  </si>
  <si>
    <t>West Sussex</t>
  </si>
  <si>
    <t>South East</t>
  </si>
  <si>
    <t>England</t>
  </si>
  <si>
    <t>under 5 (2005)</t>
  </si>
  <si>
    <t>under 5 (2006)</t>
  </si>
  <si>
    <t>under 5 (2007)</t>
  </si>
  <si>
    <t>under 5 (2008)</t>
  </si>
  <si>
    <t>under 5 (2009)</t>
  </si>
  <si>
    <t>under 5 (2010)</t>
  </si>
  <si>
    <t>under 5 (2011)</t>
  </si>
  <si>
    <t>under 5 (2012)</t>
  </si>
  <si>
    <t>under 5 (2013)</t>
  </si>
  <si>
    <t>under 5 (2014)</t>
  </si>
  <si>
    <t>Source: ONS Small Area Population Statistics</t>
  </si>
  <si>
    <t>Source: 2011 Census</t>
  </si>
  <si>
    <t>% White British</t>
  </si>
  <si>
    <t>% White Irish and White Other</t>
  </si>
  <si>
    <t>% Mixed/Multiple</t>
  </si>
  <si>
    <t>% BAME*</t>
  </si>
  <si>
    <t xml:space="preserve">* BAME (Black, Asian and Ethnic Minority) includes White Irish and White Other and Other. </t>
  </si>
  <si>
    <t>Proficiency in English</t>
  </si>
  <si>
    <t>Main language is English</t>
  </si>
  <si>
    <t>Main language is not English</t>
  </si>
  <si>
    <t>Main language is not English but can speak English well or very well</t>
  </si>
  <si>
    <t>Main language is not English and cannot speak it or speak it well</t>
  </si>
  <si>
    <t>% Main language is not English but can speak English well or very well</t>
  </si>
  <si>
    <t>% Main language is not English and cannot speak it or speak it well</t>
  </si>
  <si>
    <t>Population</t>
  </si>
  <si>
    <t>UnderFive</t>
  </si>
  <si>
    <t>Ethnicity</t>
  </si>
  <si>
    <t>Proficiency</t>
  </si>
  <si>
    <t>Tenure</t>
  </si>
  <si>
    <t>Number of households with a child aged 0-9</t>
  </si>
  <si>
    <t>One dependent child in family aged 0 to 4</t>
  </si>
  <si>
    <t>Two dependent children in family; youngest aged 0 to 4</t>
  </si>
  <si>
    <t>Three or more dependent children in family; youngest aged 0 to 4</t>
  </si>
  <si>
    <t>Total dependent children</t>
  </si>
  <si>
    <t>All families in households</t>
  </si>
  <si>
    <t>Southbourne</t>
  </si>
  <si>
    <t>Buckingham, St Mary's, St Nicholas, Southlands</t>
  </si>
  <si>
    <t>Eastbrook, Hillside, Southwick Green</t>
  </si>
  <si>
    <t>Churchill, Cokeham, Manor, Peverel</t>
  </si>
  <si>
    <t>Marine, Mash Barn, Widewater</t>
  </si>
  <si>
    <t>Bersted, Orchard</t>
  </si>
  <si>
    <t>Felpham East, Felpham West, Hotham, Middleton-on-Sea</t>
  </si>
  <si>
    <t>Boxgrove, Chichester East, Chichester North, Chichester South, Chichester West, Donnington, Funtington, Lavant, North Mundham, Sidlesham, Tangmere, Westbourne</t>
  </si>
  <si>
    <t>Easebourne, Fernhurst, Harting, Midhurst, Rogate, Stedham</t>
  </si>
  <si>
    <t>Bury, Fernhurst, Petworth, Plaistow</t>
  </si>
  <si>
    <t>East Wittering, Selsey North, Selsey South, Sidlesham, West Wittering</t>
  </si>
  <si>
    <t>Bosham, Fishbourne, Southbourne</t>
  </si>
  <si>
    <t>Bewbush, Gossops Green</t>
  </si>
  <si>
    <t>Broadfield North, Broadfield South</t>
  </si>
  <si>
    <t>Ifield, Langley Green</t>
  </si>
  <si>
    <t>Northgate, Three Bridges, West Green</t>
  </si>
  <si>
    <t>Maidenbower, Pound Hill North, Pound Hill South and Worth</t>
  </si>
  <si>
    <t>Furnace Green, Southgate, Tilgate</t>
  </si>
  <si>
    <t>Plaistow, Wisborough Green, Billingshurst and Shipley, Chanctonbury, Itchingfield Slinfold and Warnham, Pulborough and Coldwatham</t>
  </si>
  <si>
    <t>Chanctonbury, Chantry</t>
  </si>
  <si>
    <t>Billingshurst and Shipley, Broadbridge Heath, Itchingfield Slinfold and Warnham, Rudgwick, Rusper and Colgate</t>
  </si>
  <si>
    <t>Buckingham, Manor, Bramber Upper Beeding and Woodmancote, Cowfold Shermanbury and West Grinstead, Henfield, Nuthurst, Steyning</t>
  </si>
  <si>
    <t>Forest, Holbrook East, Horsham Park, Roffey North, Roffey South</t>
  </si>
  <si>
    <t>Holbrook East, Holbrook West, Roffey North, Roffey South</t>
  </si>
  <si>
    <t>Denne, Holbrook West, Trafalgar</t>
  </si>
  <si>
    <t>East Grinstead Ashplats, East Grinstead Baldwins, East Grinstead Town</t>
  </si>
  <si>
    <t>Ashurst Wood, East Grinstead Herontye, East Grinstead Imberhorne, East Grinstead Town</t>
  </si>
  <si>
    <t>Haywards Heath Ashenground, Haywards Heath Bentswood, Haywards Heath Franklands, Haywards Heath Heath</t>
  </si>
  <si>
    <t>Ardingly and Balcombe, Bolney, Copthorne and Worth, Crawley Down and Turners Hill, Cuckfield, East Grinstead Herontye, High Weald</t>
  </si>
  <si>
    <t>Cuckfield, Haywards Heath Heath, Haywards Heath Lucastes, High Weald, Lindfield</t>
  </si>
  <si>
    <t>Burgess Hill Franklands, Burgess Hill Leylands, Burgess Hill Meeds, Burgess Hill St Andrews</t>
  </si>
  <si>
    <t>Bolney, Cuckfield, Hassocks, Hurstpierpoint and Downs</t>
  </si>
  <si>
    <t>Burgess Hill Dunstall, Burgess Hill Victoria</t>
  </si>
  <si>
    <t>Durrington, Northbrook, Salvington</t>
  </si>
  <si>
    <t>Central, Heene, Selden</t>
  </si>
  <si>
    <t>Ferring, Castle, Goring, Marine, Tarring</t>
  </si>
  <si>
    <t>Broadwater, Gaisford</t>
  </si>
  <si>
    <t>Shoreham</t>
  </si>
  <si>
    <t xml:space="preserve">Littlehampton </t>
  </si>
  <si>
    <t>Littlehampton, Barham/Westergate</t>
  </si>
  <si>
    <t>Littlehampton, Angmering</t>
  </si>
  <si>
    <t>Angmering, Littlehampton</t>
  </si>
  <si>
    <t>Shoreham, Lancing</t>
  </si>
  <si>
    <t>Bognor Regis/Felpham</t>
  </si>
  <si>
    <t>Chichester, Southbourne, Manhood</t>
  </si>
  <si>
    <t>Midhurst/Petworth</t>
  </si>
  <si>
    <t>Manhood</t>
  </si>
  <si>
    <t>Crawley NW</t>
  </si>
  <si>
    <t>Crawley SW</t>
  </si>
  <si>
    <t>Crawley NE, Crawley NW</t>
  </si>
  <si>
    <t>Crawley SE, Crawley NE</t>
  </si>
  <si>
    <t>Crawley SW, Crawley NW</t>
  </si>
  <si>
    <t>Billingshurst, Steyning/Storrington, Horsham W, Midhurst/Petworth</t>
  </si>
  <si>
    <t>Steyning/Storrington</t>
  </si>
  <si>
    <t>Billingshurst, Horsham W, Horsham E</t>
  </si>
  <si>
    <t>Shoreham, Lancing, Steyning/Storrington, Horsham E</t>
  </si>
  <si>
    <t>Horsham E</t>
  </si>
  <si>
    <t>Horsham W</t>
  </si>
  <si>
    <t>East Grinstead</t>
  </si>
  <si>
    <t>Haywards Heath/Cuckfield</t>
  </si>
  <si>
    <t>Haywards Heath/Cuckfield, East Grinstead</t>
  </si>
  <si>
    <t>Burgess Hill</t>
  </si>
  <si>
    <t>Haywards Heath/Cuckfield, Hassocks</t>
  </si>
  <si>
    <t>Durrington, Worthing</t>
  </si>
  <si>
    <t>Angmering, Worthing</t>
  </si>
  <si>
    <t>Angmering, Durrington, Worthing</t>
  </si>
  <si>
    <t>B/A</t>
  </si>
  <si>
    <t>C3/B/A</t>
  </si>
  <si>
    <t>NHS Coastal West Sussex CCG/Horsham Mid Sussex CCG</t>
  </si>
  <si>
    <t>Adur</t>
  </si>
  <si>
    <t>WEST SUSSEX (Edu)</t>
  </si>
  <si>
    <t>East Worthing and Shoreham</t>
  </si>
  <si>
    <t>Arundel and Southdowns</t>
  </si>
  <si>
    <t>Worthing West</t>
  </si>
  <si>
    <t>Bognor Regis and Littlehampton</t>
  </si>
  <si>
    <t>All families with dependent children</t>
  </si>
  <si>
    <t>Two children</t>
  </si>
  <si>
    <t>One child</t>
  </si>
  <si>
    <t>Three children</t>
  </si>
  <si>
    <t>Married Couple with dependent child/ren</t>
  </si>
  <si>
    <t>Same-sex civil partnership couple with dependent child/ren</t>
  </si>
  <si>
    <t>Cohabiting couple with dependent child/ren</t>
  </si>
  <si>
    <t>Lone parent with dependent child/ren</t>
  </si>
  <si>
    <t>Other household type with dependent child/ren</t>
  </si>
  <si>
    <t>All households with dependent children</t>
  </si>
  <si>
    <t>Household Composition (2011 Census)</t>
  </si>
  <si>
    <t>Families with Dependent Children (2011 Census)</t>
  </si>
  <si>
    <t>Living in a couple household</t>
  </si>
  <si>
    <t>Not living in a couple household</t>
  </si>
  <si>
    <t>LCI</t>
  </si>
  <si>
    <t>UCI</t>
  </si>
  <si>
    <t>1998</t>
  </si>
  <si>
    <t>1999</t>
  </si>
  <si>
    <t>2000</t>
  </si>
  <si>
    <t>2001</t>
  </si>
  <si>
    <t>2002</t>
  </si>
  <si>
    <t>2003</t>
  </si>
  <si>
    <t>2004</t>
  </si>
  <si>
    <t>2005</t>
  </si>
  <si>
    <t>2006</t>
  </si>
  <si>
    <t>2007</t>
  </si>
  <si>
    <t>2008</t>
  </si>
  <si>
    <t>2009</t>
  </si>
  <si>
    <t>2010</t>
  </si>
  <si>
    <t>2011</t>
  </si>
  <si>
    <t>2012</t>
  </si>
  <si>
    <t>2013</t>
  </si>
  <si>
    <t>RATE</t>
  </si>
  <si>
    <t>COUNT</t>
  </si>
  <si>
    <t>Number</t>
  </si>
  <si>
    <t>Rate</t>
  </si>
  <si>
    <t>Selected CFC:</t>
  </si>
  <si>
    <t>Lone parent household</t>
  </si>
  <si>
    <t>Householdunder5</t>
  </si>
  <si>
    <t>BW5:CA83</t>
  </si>
  <si>
    <t>Number of households with a dependent child under 5</t>
  </si>
  <si>
    <t>% in non-couple households</t>
  </si>
  <si>
    <t>couple</t>
  </si>
  <si>
    <t>non-couple</t>
  </si>
  <si>
    <t>Lone parent families on low income (2011)</t>
  </si>
  <si>
    <t>Lone parent families on low income (2012)</t>
  </si>
  <si>
    <t>Lone parent families on low income (2013)</t>
  </si>
  <si>
    <t>Lone parents (with dependent children)</t>
  </si>
  <si>
    <t>% not in employment</t>
  </si>
  <si>
    <t>Male lone parents</t>
  </si>
  <si>
    <t>Lone parents (2011 Census)</t>
  </si>
  <si>
    <t>Not in employment</t>
  </si>
  <si>
    <t>Births (2009)</t>
  </si>
  <si>
    <t>Births (2010)</t>
  </si>
  <si>
    <t>Births (2011)</t>
  </si>
  <si>
    <t>Births (2012)</t>
  </si>
  <si>
    <t>Births (2013)</t>
  </si>
  <si>
    <t>Births (2014)</t>
  </si>
  <si>
    <t>Births</t>
  </si>
  <si>
    <t>Births ONS</t>
  </si>
  <si>
    <t>Source: Child Health Bureau and ONS</t>
  </si>
  <si>
    <t>Births to Mothers Under 20 (2009)</t>
  </si>
  <si>
    <t>Births to Mothers Under 20 (2010)</t>
  </si>
  <si>
    <t>Births to Mothers Under 20 (2011)</t>
  </si>
  <si>
    <t>Births to Mothers Under 20 (2012)</t>
  </si>
  <si>
    <t>Births to Mothers Under 20 (2013)</t>
  </si>
  <si>
    <t>Births to Mothers Under 20 (2014)</t>
  </si>
  <si>
    <t>-</t>
  </si>
  <si>
    <r>
      <t xml:space="preserve">   </t>
    </r>
    <r>
      <rPr>
        <b/>
        <sz val="11"/>
        <color theme="1"/>
        <rFont val="Calibri"/>
        <family val="2"/>
        <scheme val="minor"/>
      </rPr>
      <t>Source:</t>
    </r>
    <r>
      <rPr>
        <sz val="11"/>
        <color theme="1"/>
        <rFont val="Calibri"/>
        <family val="2"/>
        <scheme val="minor"/>
      </rPr>
      <t xml:space="preserve"> Birth Notification (Child Health Bureau)</t>
    </r>
  </si>
  <si>
    <t xml:space="preserve">   </t>
  </si>
  <si>
    <t>Source: Child Health Bureau</t>
  </si>
  <si>
    <t>Births to mothers under 20 (2009)</t>
  </si>
  <si>
    <t>Births to mothers under 20 (2010)</t>
  </si>
  <si>
    <t>Births to mothers under 20 (2011)</t>
  </si>
  <si>
    <t>Births to mothers under 20 (2012)</t>
  </si>
  <si>
    <t>Births to mothers under 20 (2013)</t>
  </si>
  <si>
    <t>Births to mothers under 20 (2014)</t>
  </si>
  <si>
    <t>YoungMums</t>
  </si>
  <si>
    <t>Births to mothers &lt; 20</t>
  </si>
  <si>
    <t>From ONS birth summary tables</t>
  </si>
  <si>
    <t>Live births to women under 20 years</t>
  </si>
  <si>
    <t>All other live births</t>
  </si>
  <si>
    <r>
      <rPr>
        <b/>
        <sz val="11"/>
        <color theme="1"/>
        <rFont val="Calibri"/>
        <family val="2"/>
        <scheme val="minor"/>
      </rPr>
      <t xml:space="preserve">   Source: </t>
    </r>
    <r>
      <rPr>
        <sz val="11"/>
        <color theme="1"/>
        <rFont val="Calibri"/>
        <family val="2"/>
        <scheme val="minor"/>
      </rPr>
      <t>Birth Notification (Child Health Bureau)</t>
    </r>
  </si>
  <si>
    <t>Estimated number of teenage mothers</t>
  </si>
  <si>
    <t>TeenMums</t>
  </si>
  <si>
    <t>Source: Child Health Bureau (2008-13)</t>
  </si>
  <si>
    <r>
      <rPr>
        <b/>
        <sz val="11"/>
        <color theme="1"/>
        <rFont val="Calibri"/>
        <family val="2"/>
        <scheme val="minor"/>
      </rPr>
      <t>Source:</t>
    </r>
    <r>
      <rPr>
        <sz val="11"/>
        <color theme="1"/>
        <rFont val="Calibri"/>
        <family val="2"/>
        <scheme val="minor"/>
      </rPr>
      <t xml:space="preserve">  This data is provided annually by the ONS. </t>
    </r>
  </si>
  <si>
    <r>
      <rPr>
        <b/>
        <sz val="11"/>
        <color theme="1"/>
        <rFont val="Calibri"/>
        <family val="2"/>
        <scheme val="minor"/>
      </rPr>
      <t>Statistical Issues:</t>
    </r>
    <r>
      <rPr>
        <sz val="11"/>
        <color theme="1"/>
        <rFont val="Calibri"/>
        <family val="2"/>
        <scheme val="minor"/>
      </rPr>
      <t xml:space="preserve"> The number of teenage conceptions for each CFC are very small and so it is not possible to calculate rates at this level. Data is instead presented by the local authority of the selected CFC.</t>
    </r>
  </si>
  <si>
    <t>% of all live births &lt; 2500g</t>
  </si>
  <si>
    <t>Number of babies eligible for 6 week check (2012/13)</t>
  </si>
  <si>
    <t>Number of babies receiving 6 week check (2012/13)</t>
  </si>
  <si>
    <t>% of eligible babies checked</t>
  </si>
  <si>
    <t>England figures for same period (2012-13): 32.2% breastfed exclusively, 47.1% breastfed (exclusively and partially)</t>
  </si>
  <si>
    <r>
      <rPr>
        <b/>
        <sz val="11"/>
        <color theme="1"/>
        <rFont val="Calibri"/>
        <family val="2"/>
        <scheme val="minor"/>
      </rPr>
      <t>Statistical issue:</t>
    </r>
    <r>
      <rPr>
        <sz val="11"/>
        <color theme="1"/>
        <rFont val="Calibri"/>
        <family val="2"/>
        <scheme val="minor"/>
      </rPr>
      <t xml:space="preserve"> Areas are required to attain a "threshold quality" on coverage. This means that performance data are not published where there are a high number of infants whose breastfeeding status is unknown.  The threshold quality has increased since 2008/09.</t>
    </r>
  </si>
  <si>
    <t>Between 2008/09 Q1 to 2009/10 Q3, the threshold required was 85%</t>
  </si>
  <si>
    <t>Between 2009/10 Q4 to 2010/11 Q3, the threshold required was 90%.</t>
  </si>
  <si>
    <r>
      <t xml:space="preserve">From 2010/11 Q4 onwards the threshold required is </t>
    </r>
    <r>
      <rPr>
        <b/>
        <i/>
        <u/>
        <sz val="11"/>
        <color theme="1"/>
        <rFont val="Calibri"/>
        <family val="2"/>
        <scheme val="minor"/>
      </rPr>
      <t>95%</t>
    </r>
    <r>
      <rPr>
        <i/>
        <sz val="11"/>
        <color theme="1"/>
        <rFont val="Calibri"/>
        <family val="2"/>
        <scheme val="minor"/>
      </rPr>
      <t>.</t>
    </r>
  </si>
  <si>
    <t>Surrey and Sussex Area Team</t>
  </si>
  <si>
    <t>2013/14</t>
  </si>
  <si>
    <t>2014/15</t>
  </si>
  <si>
    <t>Q1</t>
  </si>
  <si>
    <t>Q2</t>
  </si>
  <si>
    <t>Q3</t>
  </si>
  <si>
    <t>Q4</t>
  </si>
  <si>
    <t>does not meet validation criteria</t>
  </si>
  <si>
    <t>Cells shaded in red did not meet the coverage threshold % in the quarter.</t>
  </si>
  <si>
    <t>Source: NHS Statistics (Maternity Services)</t>
  </si>
  <si>
    <r>
      <rPr>
        <b/>
        <sz val="11"/>
        <color theme="1"/>
        <rFont val="Calibri"/>
        <family val="2"/>
        <scheme val="minor"/>
      </rPr>
      <t xml:space="preserve">Source: </t>
    </r>
    <r>
      <rPr>
        <sz val="11"/>
        <color theme="1"/>
        <rFont val="Calibri"/>
        <family val="2"/>
        <scheme val="minor"/>
      </rPr>
      <t xml:space="preserve">NCMP </t>
    </r>
  </si>
  <si>
    <r>
      <t xml:space="preserve">Statistical Issues: </t>
    </r>
    <r>
      <rPr>
        <sz val="11"/>
        <color theme="1"/>
        <rFont val="Calibri"/>
        <family val="2"/>
        <scheme val="minor"/>
      </rPr>
      <t>95% confidence intervals are shown, where confidence intervals overlap, it is not possible to say that a difference is statistically significant. A statement is provided in the tables to state where centres/areas have rates significantly different to England. Results at centre and cluster level have wide confidence intervals because of small numbers.</t>
    </r>
  </si>
  <si>
    <r>
      <t xml:space="preserve">The data in these profiles relate to where the pupil lives, </t>
    </r>
    <r>
      <rPr>
        <b/>
        <u/>
        <sz val="11"/>
        <color theme="1"/>
        <rFont val="Calibri"/>
        <family val="2"/>
        <scheme val="minor"/>
      </rPr>
      <t>not school location</t>
    </r>
    <r>
      <rPr>
        <sz val="11"/>
        <color theme="1"/>
        <rFont val="Calibri"/>
        <family val="2"/>
        <scheme val="minor"/>
      </rPr>
      <t>.</t>
    </r>
  </si>
  <si>
    <t>Reception Pupils: 2009/10</t>
  </si>
  <si>
    <t>Reception Pupils: 2010/11</t>
  </si>
  <si>
    <t>Reception Pupils: 2011/12</t>
  </si>
  <si>
    <t>Reception Pupils: 2012/13</t>
  </si>
  <si>
    <t>Reception Pupils: 2013/14</t>
  </si>
  <si>
    <t>Year 6 Pupils: 2009/10</t>
  </si>
  <si>
    <t>Year 6 Pupils: 2010/11</t>
  </si>
  <si>
    <t>Year 6 Pupils: 2011/12</t>
  </si>
  <si>
    <t>Year 6 Pupils: 2012/13</t>
  </si>
  <si>
    <t>Year 6 Pupils: 2013/14</t>
  </si>
  <si>
    <t>% of children Measured as Obese 2009/10 to 2013/14</t>
  </si>
  <si>
    <t xml:space="preserve">% D3MFT &gt; 0 </t>
  </si>
  <si>
    <t>LCL</t>
  </si>
  <si>
    <t>UCL</t>
  </si>
  <si>
    <t>% of children examined with dental decay</t>
  </si>
  <si>
    <t>Of children with decay, the average number of teeth per child</t>
  </si>
  <si>
    <t>The number of children examined was too small (&lt;30) for a robust sample</t>
  </si>
  <si>
    <t>A note on Dental Decay in 3yr olds</t>
  </si>
  <si>
    <t>The Oral Health survey of three-year-old children, carried out during the 2012-13 school year measured the dental decay by visually examining for missing teeth, filled teeth and teeth with obvious decay. The sampling method was primarily through local authorities, creating a sample of children from a range of different childcare institutions. However the dental examination required parental consent, and the samples collected finally represented 8% of the population of that age group. At a national level 12% of the children surveyed had obvious decay; however this figure varied across regions. In West Sussex the number of children surveyed was less than 1% and the data collected was from Arun, Chichester and Worthing only. The eventual figure for West Sussex of 3.5% of children with early childhood caries is relatively low. However the very small size of the data collected for West Sussex was not comprehensive enough to give a truly accurate figure of the prevalence of dental decay in children under 3.</t>
  </si>
  <si>
    <t>Why is this important?</t>
  </si>
  <si>
    <t>1. The data relate only to those women who have agreed to a 12-16 week visit and therefore not all mothers are included in the figures</t>
  </si>
  <si>
    <t>2. The number of babies eligible for a 12-16 week check and data from checks conducted are stored on different systems, linked by baby's date of birth</t>
  </si>
  <si>
    <r>
      <rPr>
        <b/>
        <sz val="11"/>
        <color theme="1"/>
        <rFont val="Calibri"/>
        <family val="2"/>
        <scheme val="minor"/>
      </rPr>
      <t xml:space="preserve">Statistical Issues: </t>
    </r>
    <r>
      <rPr>
        <sz val="11"/>
        <color theme="1"/>
        <rFont val="Calibri"/>
        <family val="2"/>
        <scheme val="minor"/>
      </rPr>
      <t xml:space="preserve">In compiling the information relating to post-natal depression a number of issues were identified. </t>
    </r>
  </si>
  <si>
    <t>Background Data</t>
  </si>
  <si>
    <t>Family Structure and Composition</t>
  </si>
  <si>
    <t>Health indicators</t>
  </si>
  <si>
    <t>Family size (families with a 0-4 yr old)</t>
  </si>
  <si>
    <t>Overall population</t>
  </si>
  <si>
    <t>Couple/non-couple households (with 0-4yrs)</t>
  </si>
  <si>
    <t>Breastfeeding (CCG DoH published data)</t>
  </si>
  <si>
    <t>Population of 0-4 year olds</t>
  </si>
  <si>
    <t>Census 2011 data - lone parents</t>
  </si>
  <si>
    <t>Childhood obesity (reception)</t>
  </si>
  <si>
    <t>Ethnicity - 0-4 year olds</t>
  </si>
  <si>
    <t>Lone parent families on low income</t>
  </si>
  <si>
    <t>Childhood obesity (Year 6)</t>
  </si>
  <si>
    <t>Proficiency in English (relates to 3-15yr olds)</t>
  </si>
  <si>
    <t>Oral Health</t>
  </si>
  <si>
    <t>Tenure (relates to 0-9 yr olds)</t>
  </si>
  <si>
    <t xml:space="preserve">Mental health </t>
  </si>
  <si>
    <t>Identification of Post Natal Depression</t>
  </si>
  <si>
    <t>Births and Early Health Status</t>
  </si>
  <si>
    <t>Deprivation</t>
  </si>
  <si>
    <t>Smoking in pregnancy/in new born households</t>
  </si>
  <si>
    <t>ID2010 Deprivation decile (location of CFC)</t>
  </si>
  <si>
    <t>Immunisations</t>
  </si>
  <si>
    <t>Births to women aged under 20 years</t>
  </si>
  <si>
    <t>Census 2011 % of households 3/4 measures</t>
  </si>
  <si>
    <t>Estimation of teenage mothers in area</t>
  </si>
  <si>
    <t>0-4yr olds in workless households</t>
  </si>
  <si>
    <t>Early Years Foundation Stage Measures</t>
  </si>
  <si>
    <t>Teenage pregnancy</t>
  </si>
  <si>
    <t>Child Poverty</t>
  </si>
  <si>
    <t xml:space="preserve">% of Children "Good Level of Development" </t>
  </si>
  <si>
    <t>Low birth weight</t>
  </si>
  <si>
    <t>Gap between lowest scores and median score</t>
  </si>
  <si>
    <t>0-4 yrs with daily activities limited</t>
  </si>
  <si>
    <t>old data</t>
  </si>
  <si>
    <t>Abbreviations:</t>
  </si>
  <si>
    <t xml:space="preserve">Abbreviations: </t>
  </si>
  <si>
    <t xml:space="preserve">Mean D3MFT (% D3MFT &gt; 0) </t>
  </si>
  <si>
    <t>For those children with decay experience, the average number of obviously decayed, missing (due to decay) and filled teeth per child.</t>
  </si>
  <si>
    <t>ULC/LCL</t>
  </si>
  <si>
    <t>Upper/Lower Confidence Limit. 95% confidence intervals are shown and should be used when making comparisons. Where confidence intervals overlap, it is not possible to say that a difference is statistically significant. Significance relates to whether an area has a significantly higher or lower percentage of children with dental decay than England average.</t>
  </si>
  <si>
    <t>Q1. Smoking at the TIME OF BOOKING</t>
  </si>
  <si>
    <t>Q2. Smoking at the TIME OF DELIVERY</t>
  </si>
  <si>
    <t>Q4. SMOKING IN THE HOME</t>
  </si>
  <si>
    <t>5-in-1 (DTaP/IPV/Hib)</t>
  </si>
  <si>
    <t>Men C</t>
  </si>
  <si>
    <t>Pneumo jab</t>
  </si>
  <si>
    <t>MMR</t>
  </si>
  <si>
    <t>Hib/Men C booster</t>
  </si>
  <si>
    <t>Pre-School booster</t>
  </si>
  <si>
    <t>Diptheria/Tetanus/Acellular Pertussis/Polio/Haemophilus Influenza Type B. Also known as the 5-in-1. Vaccine offered at 2, 3 and 4 months.</t>
  </si>
  <si>
    <t>Vaccination provided to protect against streptococcus pneumoniae, and provided at 2 and 4 months.</t>
  </si>
  <si>
    <t>Measles, mumps and rubella (MMR) is the combined vaccine. Children vaccinated usually within a month of the first birthday and a booster before starting school (3 and 5).</t>
  </si>
  <si>
    <t>Vaccine against Haemophilus Influenxa tye B (Hib) and meningitis C (MenC) booster. Given at between 12 - 13 months.</t>
  </si>
  <si>
    <t xml:space="preserve">Booster for diptheria, tetanus, pertussis and polio. Given at 3 years and 4 months of age or shortly thereafter. </t>
  </si>
  <si>
    <t xml:space="preserve">Vaccinated </t>
  </si>
  <si>
    <t>% Vaccinated</t>
  </si>
  <si>
    <t>Coverage vs. 95%</t>
  </si>
  <si>
    <t>Number of Eligible Children (1 year olds)</t>
  </si>
  <si>
    <t>Number of Eligible Children (2 year olds)</t>
  </si>
  <si>
    <t>Number of Eligible Children (5 year olds)</t>
  </si>
  <si>
    <t>Number of admissions</t>
  </si>
  <si>
    <t>Rate per 10,000</t>
  </si>
  <si>
    <t>Lower 95% CI</t>
  </si>
  <si>
    <t>Upper 95% CI</t>
  </si>
  <si>
    <t>Significance compared to England</t>
  </si>
  <si>
    <t xml:space="preserve">Data on 0-4 year olds with long term limiting illness (LTLI) or health conditions which act to affect activities of daily living has been taken from the 2011 census and relates to children aged 0-4 years only. A long-term health problem or disability that limits a person's day-to-day activities, and has lasted, or is expected to last, at least 12 months. </t>
  </si>
  <si>
    <r>
      <t>Source:</t>
    </r>
    <r>
      <rPr>
        <sz val="11"/>
        <color theme="1"/>
        <rFont val="Calibri"/>
        <family val="2"/>
        <scheme val="minor"/>
      </rPr>
      <t xml:space="preserve"> 2011 Census</t>
    </r>
  </si>
  <si>
    <t>Number of 0-4 year olds with their day-to-day activities limited</t>
  </si>
  <si>
    <t>% of all 0-4 year olds</t>
  </si>
  <si>
    <t>2.07i - Hospital admissions caused by unintentional and deliberate injuries in children (aged 0-4 years)</t>
  </si>
  <si>
    <t>2010/11</t>
  </si>
  <si>
    <t>South East region</t>
  </si>
  <si>
    <t>Persons</t>
  </si>
  <si>
    <t>0-4 yrs</t>
  </si>
  <si>
    <t>2011/12</t>
  </si>
  <si>
    <t>2012/13</t>
  </si>
  <si>
    <t>Time Period</t>
  </si>
  <si>
    <t>Area Name</t>
  </si>
  <si>
    <t>Value</t>
  </si>
  <si>
    <t>Lower CI</t>
  </si>
  <si>
    <t>Upper CI</t>
  </si>
  <si>
    <t>Count</t>
  </si>
  <si>
    <t>Denominator</t>
  </si>
  <si>
    <t>Sex</t>
  </si>
  <si>
    <t>Age</t>
  </si>
  <si>
    <t>Source: HES and ONS</t>
  </si>
  <si>
    <t>No difference</t>
  </si>
  <si>
    <t>Higher than England</t>
  </si>
  <si>
    <t>Lower than England</t>
  </si>
  <si>
    <r>
      <t xml:space="preserve">Source: </t>
    </r>
    <r>
      <rPr>
        <sz val="11"/>
        <color theme="1"/>
        <rFont val="Calibri"/>
        <family val="2"/>
        <scheme val="minor"/>
      </rPr>
      <t>2011 Census</t>
    </r>
  </si>
  <si>
    <t xml:space="preserve">• Percentage of children being breastfed at six to eight weeks </t>
  </si>
  <si>
    <t xml:space="preserve">• Percentage of children in reception year who are obese </t>
  </si>
  <si>
    <t xml:space="preserve">• Rate of emergency hospital admissions caused by unintentional and deliberate injuries to children and young people </t>
  </si>
  <si>
    <t>• Percentage of children aged 0–4 living in households dependent on workless benefits</t>
  </si>
  <si>
    <t xml:space="preserve">• Percentage of eligible families benefiting from the childcare element of Working Tax Credit </t>
  </si>
  <si>
    <t>The following indicators rely on information collected / available at each centre.</t>
  </si>
  <si>
    <t xml:space="preserve">• Percentage of each of the following target groups in the children’s centre reach area and with whom the children’s centre establishes contact: teenage parents and pregnant teenagers, lone parents, children in workless households, children in minority ethnic groups, disabled children and children of disabled parents, fathers, other groups that are priority vulnerable groups in the children’s centre area </t>
  </si>
  <si>
    <t>• Any evidence on the percentage of parents of children aged 0–5 in the children’s centre area who are satisfied with the services</t>
  </si>
  <si>
    <t>Deprived households (2011 Census)</t>
  </si>
  <si>
    <t>Number of households with 3 or 4 measures of deprivation</t>
  </si>
  <si>
    <t>DB5:DC83</t>
  </si>
  <si>
    <t>Deprived households as a % of all households in an area</t>
  </si>
  <si>
    <t>Information is the provided as to the number of households experiencing deprivation on any or all or the issues identified.</t>
  </si>
  <si>
    <r>
      <rPr>
        <b/>
        <sz val="11"/>
        <color theme="1"/>
        <rFont val="Calibri"/>
        <family val="2"/>
        <scheme val="minor"/>
      </rPr>
      <t>Statistical Issues:</t>
    </r>
    <r>
      <rPr>
        <sz val="11"/>
        <color theme="1"/>
        <rFont val="Calibri"/>
        <family val="2"/>
        <scheme val="minor"/>
      </rPr>
      <t xml:space="preserve"> This is a measure of general deprivation and relates to all households, not just households with dependent children</t>
    </r>
  </si>
  <si>
    <r>
      <t>Source:</t>
    </r>
    <r>
      <rPr>
        <sz val="11"/>
        <color theme="1"/>
        <rFont val="Calibri"/>
        <family val="2"/>
        <scheme val="minor"/>
      </rPr>
      <t xml:space="preserve"> Department for Work and Pensions</t>
    </r>
  </si>
  <si>
    <t>Source: DWP</t>
  </si>
  <si>
    <t>0-4 year olds in out-of-work benefits households (2010)</t>
  </si>
  <si>
    <t>0-4 year olds in out-of-work benefits households (2011)</t>
  </si>
  <si>
    <t>0-4 year olds in out-of-work benefits households (2012)</t>
  </si>
  <si>
    <t>0-4 year olds in out-of-work benefits households (2013)</t>
  </si>
  <si>
    <t>0-4 year olds in out-of-work benefits households (2014)</t>
  </si>
  <si>
    <t>0-4 year olds in out-of-work benefits households (DWP)</t>
  </si>
  <si>
    <t>OutofWork</t>
  </si>
  <si>
    <t>DD5:DH83</t>
  </si>
  <si>
    <t>% of families with 3 or more children (0-18 years)</t>
  </si>
  <si>
    <t>IMD 2010</t>
  </si>
  <si>
    <t>Number 2008</t>
  </si>
  <si>
    <t>Number 2009</t>
  </si>
  <si>
    <t>Number 2010</t>
  </si>
  <si>
    <t>Number 2011</t>
  </si>
  <si>
    <t>Number 2012</t>
  </si>
  <si>
    <t>Number of babies not checked 2012/13</t>
  </si>
  <si>
    <t>exclusiveLCL</t>
  </si>
  <si>
    <t>exclusiveUCL</t>
  </si>
  <si>
    <t>partialLCL</t>
  </si>
  <si>
    <t>partialUCL</t>
  </si>
  <si>
    <t>Number of children (2013)</t>
  </si>
  <si>
    <t>DevLCL (2013)</t>
  </si>
  <si>
    <t>DevUCL (2013)</t>
  </si>
  <si>
    <t>Number of children (2014)</t>
  </si>
  <si>
    <t>DevLCL (2014)</t>
  </si>
  <si>
    <t>DevUCL (2014)</t>
  </si>
  <si>
    <t>%not smoking at time of booking</t>
  </si>
  <si>
    <t>% smoking at time of booking</t>
  </si>
  <si>
    <t>LCLbook</t>
  </si>
  <si>
    <t>UCLbook</t>
  </si>
  <si>
    <t>%not smoking at delivery</t>
  </si>
  <si>
    <t>LCLdel</t>
  </si>
  <si>
    <t>UCLdel</t>
  </si>
  <si>
    <t>%not current smoker</t>
  </si>
  <si>
    <t>%current smoker</t>
  </si>
  <si>
    <t>LCLsmoke</t>
  </si>
  <si>
    <t>UCLsmoke</t>
  </si>
  <si>
    <t>%No smoker in household</t>
  </si>
  <si>
    <t>%Smoker in household</t>
  </si>
  <si>
    <t>LCLhouse</t>
  </si>
  <si>
    <t>UCLhouse</t>
  </si>
  <si>
    <t>age1 2nd MenC</t>
  </si>
  <si>
    <t>age1 2nd Pneu</t>
  </si>
  <si>
    <t>age1 1st Pneu</t>
  </si>
  <si>
    <t>age1 3rd5in1</t>
  </si>
  <si>
    <t>total age2 eligible</t>
  </si>
  <si>
    <t>age2 HibMenCBoost</t>
  </si>
  <si>
    <t>age2 2ndMenC</t>
  </si>
  <si>
    <t>age2 PneuBoost</t>
  </si>
  <si>
    <t>age2 2ndPneu</t>
  </si>
  <si>
    <t>age2 1stPneu</t>
  </si>
  <si>
    <t>age2 MMR1</t>
  </si>
  <si>
    <t>age2 3rd5in1</t>
  </si>
  <si>
    <t>Total age5 eligible</t>
  </si>
  <si>
    <t>age5 HibMenCBoost</t>
  </si>
  <si>
    <t>age5 2ndMenC</t>
  </si>
  <si>
    <t>age5 PneuBoost</t>
  </si>
  <si>
    <t>age5 2ndPneu</t>
  </si>
  <si>
    <t>age5 1stPneu</t>
  </si>
  <si>
    <t>age5 MMR2</t>
  </si>
  <si>
    <t>age5 MMR1</t>
  </si>
  <si>
    <t>age5 PSB</t>
  </si>
  <si>
    <t>age5 3rd5in1</t>
  </si>
  <si>
    <t>No Sig diff</t>
  </si>
  <si>
    <t>Sig better than Eng.</t>
  </si>
  <si>
    <t>Sig worse than Eng.</t>
  </si>
  <si>
    <t>Breastfeeding</t>
  </si>
  <si>
    <t>Childhood Obesity (Year 6) NCMP</t>
  </si>
  <si>
    <t>Childhood Obesity Reception Age (NCMP)</t>
  </si>
  <si>
    <t>Early Years Foundation Stage ("a good level of development")</t>
  </si>
  <si>
    <t>Smoking</t>
  </si>
  <si>
    <t>IMD</t>
  </si>
  <si>
    <t>Source: HMRC</t>
  </si>
  <si>
    <r>
      <rPr>
        <b/>
        <sz val="11"/>
        <color theme="1"/>
        <rFont val="Calibri"/>
        <family val="2"/>
        <scheme val="minor"/>
      </rPr>
      <t>Source</t>
    </r>
    <r>
      <rPr>
        <sz val="11"/>
        <color theme="1"/>
        <rFont val="Calibri"/>
        <family val="2"/>
        <scheme val="minor"/>
      </rPr>
      <t>: HMRC</t>
    </r>
  </si>
  <si>
    <t>% of children in poverty (2008)</t>
  </si>
  <si>
    <t>% of children in poverty (2009)</t>
  </si>
  <si>
    <t>% of children in poverty (2010)</t>
  </si>
  <si>
    <t>% of children in poverty (2011)</t>
  </si>
  <si>
    <t>% of children in poverty (2012)</t>
  </si>
  <si>
    <t>%</t>
  </si>
  <si>
    <t>N</t>
  </si>
  <si>
    <t>Number of babies exclusively breastfed (2012/13)</t>
  </si>
  <si>
    <t>Number of babies partially or exclusively breastfed (2012/13)</t>
  </si>
  <si>
    <t>% of babies breastfed (partially and exclusively)</t>
  </si>
  <si>
    <t>% of babies exclusively breastfed (2012/13)</t>
  </si>
  <si>
    <t>PartialLCL</t>
  </si>
  <si>
    <t>PartialUCL</t>
  </si>
  <si>
    <t>ExclusiveLCL</t>
  </si>
  <si>
    <t>ExclusiveUCL</t>
  </si>
  <si>
    <t>Partiallower</t>
  </si>
  <si>
    <t>Partialupper</t>
  </si>
  <si>
    <t>exclusivelower</t>
  </si>
  <si>
    <t>exclusiveupper</t>
  </si>
  <si>
    <t>% Obese</t>
  </si>
  <si>
    <t>Number of children measured</t>
  </si>
  <si>
    <t>Significance</t>
  </si>
  <si>
    <t>95% Confidence intervals</t>
  </si>
  <si>
    <t>2009/10</t>
  </si>
  <si>
    <t>Number measured as obese</t>
  </si>
  <si>
    <t xml:space="preserve">Significance </t>
  </si>
  <si>
    <t>to</t>
  </si>
  <si>
    <t>Reception</t>
  </si>
  <si>
    <t>Year6</t>
  </si>
  <si>
    <t>Source: EYFS</t>
  </si>
  <si>
    <t>2013 data:</t>
  </si>
  <si>
    <t xml:space="preserve">2014 data: </t>
  </si>
  <si>
    <t>% of children with a good level of development</t>
  </si>
  <si>
    <t>Number of children</t>
  </si>
  <si>
    <t>Number of children assessed as having a good level of development</t>
  </si>
  <si>
    <t>pos</t>
  </si>
  <si>
    <t>neg</t>
  </si>
  <si>
    <t>Median score all children</t>
  </si>
  <si>
    <t>% Gap</t>
  </si>
  <si>
    <t>Lowest scores - 20% of all children</t>
  </si>
  <si>
    <t>Mean score of lowest 20%</t>
  </si>
  <si>
    <r>
      <t>It should be noted that the National Child Measurement Programme remains voluntary.</t>
    </r>
    <r>
      <rPr>
        <sz val="11"/>
        <rFont val="Calibri"/>
        <family val="2"/>
        <scheme val="minor"/>
      </rPr>
      <t xml:space="preserve"> In 2011/12 80% of all reception class pupils in West Sussex were measured and 90.5% of Year 6 pupils. Across England, 92.4% of reception class pupils and 92.4% of Year 6 pupils were measured.</t>
    </r>
  </si>
  <si>
    <t>At the time of booking 550 women (11.1%) of the 4,950 who provided information said that they smoked</t>
  </si>
  <si>
    <t>At the time of their 12-16 week check, 532 women (10.8%) of the 4,941 who provided information said that they smoked</t>
  </si>
  <si>
    <t>At the time of delivery 431 women (8.7%) of the 4,949 who provided information said that they smoked</t>
  </si>
  <si>
    <t>Mothers were asked whether anyone (including themselves) smoked at home. 22.4% (1,103 of 4,922 who answered the question) said that there was someone at home who smoked.</t>
  </si>
  <si>
    <t>% Book</t>
  </si>
  <si>
    <t>% Deliver</t>
  </si>
  <si>
    <t>% Current</t>
  </si>
  <si>
    <t>% smoking at time of delivery</t>
  </si>
  <si>
    <t>need to be updated to 2015 reach areas</t>
  </si>
  <si>
    <t>awaiting new data, needs to be updated to new reach areas</t>
  </si>
  <si>
    <t>up to date</t>
  </si>
  <si>
    <t>up to date with new reach areas but data might get updated soon</t>
  </si>
  <si>
    <t>No sig diff</t>
  </si>
  <si>
    <t>updated with new areas (summing maybridge and worthing central, chichester rural and chichester nursery)</t>
  </si>
  <si>
    <t>% lone parent households</t>
  </si>
  <si>
    <t>worthing central</t>
  </si>
  <si>
    <t>maybridge</t>
  </si>
  <si>
    <t>Breastfeeding (2012/13)</t>
  </si>
  <si>
    <t>http://www.unicef.org.uk/BabyFriendly/</t>
  </si>
  <si>
    <t>HM Government. (2014). An evidence review of the drivers of child poverty for families in poverty now and for poor children growing up to be poor adults. Page 56</t>
  </si>
  <si>
    <t>https://www.gov.uk/government/uploads/system/uploads/attachment_data/file/285389/Cm_8781_Child_Poverty_Evidence_Review_Print.pdf</t>
  </si>
  <si>
    <t>Department of Health. (2014). Early Years High Impact Area 1 – Transition to parenthood and the early weeks. Retrieved from</t>
  </si>
  <si>
    <t>Department of Health. (2014). Early Years High Impact Area 2 – Maternal (perinatal) Mental Health. Retrieved from</t>
  </si>
  <si>
    <t>https://www.gov.uk/government/publications/commissioning-of-public-health-services-for-children</t>
  </si>
  <si>
    <t>Marmot, M. (2010). Fair Society, Healthy Lives, Retrieved from</t>
  </si>
  <si>
    <t>http://www.instituteofhealthequity.org/projects/fair-society-healthy-lives-the-marmot-review</t>
  </si>
  <si>
    <r>
      <t xml:space="preserve"> </t>
    </r>
    <r>
      <rPr>
        <b/>
        <sz val="11"/>
        <color theme="1"/>
        <rFont val="Calibri"/>
        <family val="2"/>
        <scheme val="minor"/>
      </rPr>
      <t>Teenage pregnancy</t>
    </r>
  </si>
  <si>
    <r>
      <t xml:space="preserve"> </t>
    </r>
    <r>
      <rPr>
        <sz val="11"/>
        <color rgb="FF000000"/>
        <rFont val="Calibri"/>
        <family val="2"/>
        <scheme val="minor"/>
      </rPr>
      <t xml:space="preserve">Hadley, A. (2014). Teenage pregnancy: huge progress ... but more to do. </t>
    </r>
    <r>
      <rPr>
        <i/>
        <sz val="11"/>
        <color rgb="FF000000"/>
        <rFont val="Calibri"/>
        <family val="2"/>
        <scheme val="minor"/>
      </rPr>
      <t>Community Practitioner </t>
    </r>
    <r>
      <rPr>
        <sz val="11"/>
        <color rgb="FF000000"/>
        <rFont val="Calibri"/>
        <family val="2"/>
        <scheme val="minor"/>
      </rPr>
      <t>Volume 87 Number 6, pp44-47</t>
    </r>
  </si>
  <si>
    <t>Workless benefits</t>
  </si>
  <si>
    <t>Field, F. (2010), The Foundation Years: Preventing poor children becoming poor adults. HM Government (Page 27). Retrieved from</t>
  </si>
  <si>
    <t>Improving children's emotional health and wellbeing and adult mental health</t>
  </si>
  <si>
    <t>Postnatal depression</t>
  </si>
  <si>
    <t>Good level of development</t>
  </si>
  <si>
    <t>Breastfeeding (at CFC level) - what was the denominator for the percentages?</t>
  </si>
  <si>
    <t>CFC URN</t>
  </si>
  <si>
    <t>CFC Group URN</t>
  </si>
  <si>
    <t>Ofsted Report</t>
  </si>
  <si>
    <t>Report</t>
  </si>
  <si>
    <t>Births (ONS, Birth Notification)</t>
  </si>
  <si>
    <t>Estimate of Teenage Mothers (Birth Notification)</t>
  </si>
  <si>
    <t>Low Birth Weight (Birth Notification)</t>
  </si>
  <si>
    <t>LTLI (2011 Census; NOMIS)</t>
  </si>
  <si>
    <t>Households with a 0-4 year old (2011 Census)</t>
  </si>
  <si>
    <t>Child Poverty (under 5's; Child Benefit and Child Poverty Measure HMRC)</t>
  </si>
  <si>
    <t>Child Poverty (under 16's; Child Poverty Measure HMRC)</t>
  </si>
  <si>
    <t>Lone parent families on low income (2014)</t>
  </si>
  <si>
    <t>Lone parent families on low income (2015)</t>
  </si>
  <si>
    <r>
      <t xml:space="preserve">This data summarises the number of working age lone parents claiming benefits. This is </t>
    </r>
    <r>
      <rPr>
        <b/>
        <u/>
        <sz val="11"/>
        <color theme="1"/>
        <rFont val="Calibri"/>
        <family val="2"/>
        <scheme val="minor"/>
      </rPr>
      <t>not</t>
    </r>
    <r>
      <rPr>
        <sz val="11"/>
        <color theme="1"/>
        <rFont val="Calibri"/>
        <family val="2"/>
        <scheme val="minor"/>
      </rPr>
      <t xml:space="preserve"> a count of all lone parent families - only those on low incomes. National research (DWP) estimates that approximately half of all lone parent families are living on low incomes.</t>
    </r>
  </si>
  <si>
    <t>Worthing W/Bognor and Littlehampton</t>
  </si>
  <si>
    <t>Arundel and South Downs/Horsham</t>
  </si>
  <si>
    <t>East Worthing and Shoreham/Worthing</t>
  </si>
  <si>
    <r>
      <t xml:space="preserve">Source: </t>
    </r>
    <r>
      <rPr>
        <sz val="11"/>
        <color theme="1"/>
        <rFont val="Calibri"/>
        <family val="2"/>
        <scheme val="minor"/>
      </rPr>
      <t>SCT</t>
    </r>
  </si>
  <si>
    <t>Total age1 eligible</t>
  </si>
  <si>
    <t>Maternal mental ill health is common, with around 1 in 10 mothers experiencing mild to moderate postnatal depression. A much smaller percentage of mothers develop more serious mental health conditions requiring specialist psychiatric intervention. Post natal depression can have an impact on a mother’s ability to bond with her baby and be sensitive and attuned to the baby’s needs and emotions. This in turn will affect the development of secure attachment.</t>
  </si>
  <si>
    <t>Sudden Infant Death (SIDS)</t>
  </si>
  <si>
    <t>ONS - Unexplained Deaths in Infancy: England and Wales, 2013 Statistical Bulletin</t>
  </si>
  <si>
    <t>Ostfeld, B. M. Esposito, L. Perl, H., et al (2010). Concurrent risks in sudden infant death syndrome. Pediatrics, 125, 447-453</t>
  </si>
  <si>
    <t>District:</t>
  </si>
  <si>
    <t>Source: ONS</t>
  </si>
  <si>
    <t xml:space="preserve">Unexplained infant death rate (per 1,000 live births) </t>
  </si>
  <si>
    <t>Data in italics denotes low reliability (&lt;20 deaths)</t>
  </si>
  <si>
    <t>http://www.poverty.ac.uk/report-poverty-measurement-life-chances-children-parenting-uk-government-policy/field-review</t>
  </si>
  <si>
    <t>The West Sussex Health4Families Programme</t>
  </si>
  <si>
    <t xml:space="preserve">• The achievement of children who have accessed services provided or commissioned by the centre, shown by the percentage of children attaining a Good Level </t>
  </si>
  <si>
    <t xml:space="preserve">  of Development (GLD), which is children who have attained level 2 or more in all aspects of the Prime Areas of Learning, Literacy and Mathematics</t>
  </si>
  <si>
    <t>Proficiency in English (3 - 15 years; 2011 Census, NOMIS)</t>
  </si>
  <si>
    <t>IMD 2015</t>
  </si>
  <si>
    <t>Source: IMD</t>
  </si>
  <si>
    <t>IMD 2010 Decile:</t>
  </si>
  <si>
    <t>IMD 2010 decile:</t>
  </si>
  <si>
    <t>IMD 2015 decile:</t>
  </si>
  <si>
    <t>IMD 2015 Decile:</t>
  </si>
  <si>
    <t>DevUCL (2015)</t>
  </si>
  <si>
    <t>DevLCL (2015)</t>
  </si>
  <si>
    <t xml:space="preserve">2015 data: </t>
  </si>
  <si>
    <t>The West Sussex Health4Families Programme (H4FP) is an evidence-based framework that supports the integrated Children's Workforce (health services, early years, private and voluntary sector) to improve the health outcomes that most affect families and children from conception to the age of five. 
The key public health priorities focus on the following areas:</t>
  </si>
  <si>
    <t>Births to Mothers Under 20 (ONS, Birth Notification)</t>
  </si>
  <si>
    <t>% of children in poverty (2013)</t>
  </si>
  <si>
    <t>Number 2013</t>
  </si>
  <si>
    <t>LCI 2008</t>
  </si>
  <si>
    <t>UCI 2008</t>
  </si>
  <si>
    <t>LCI 2009</t>
  </si>
  <si>
    <t>UCI 2009</t>
  </si>
  <si>
    <t>LCI 2010</t>
  </si>
  <si>
    <t>UCI 2010</t>
  </si>
  <si>
    <t>LCI 2011</t>
  </si>
  <si>
    <t>UCI 2011</t>
  </si>
  <si>
    <t>LCI 2012</t>
  </si>
  <si>
    <t>UCI 2012</t>
  </si>
  <si>
    <t>LCI 2013</t>
  </si>
  <si>
    <t>UCI 2013</t>
  </si>
  <si>
    <t>CFC Group - Horsham Urban</t>
  </si>
  <si>
    <t>Horsham Urban</t>
  </si>
  <si>
    <t>The Hive at Tangmere Academy, Bishops Road, Tangmere, Chichester</t>
  </si>
  <si>
    <t>Methodist Church, Lyndhurst Road, Worthing</t>
  </si>
  <si>
    <t>Pound Hill Infant School, Crawley Lane, Pound Hill, Crawley</t>
  </si>
  <si>
    <t>Postcode2</t>
  </si>
  <si>
    <t>PO20 2JB</t>
  </si>
  <si>
    <t>BN11 2DG</t>
  </si>
  <si>
    <t>RH10 7EB</t>
  </si>
  <si>
    <t>RH20 2BF</t>
  </si>
  <si>
    <t>Upper Beeding Baptist Church, 19 Church Lane, Upper Beeding Steyning (ruralsteyning.cfc@westsussex.gov.uk)</t>
  </si>
  <si>
    <t>BN44 3HP</t>
  </si>
  <si>
    <t>Angmering and Findon, Arundel and Walberton, Brookfield, Rustington East, Rustington West</t>
  </si>
  <si>
    <t>Beach, Brookfield, East Preston, Rustington East, Rustington West</t>
  </si>
  <si>
    <t>Beach, Brookfield, River, Courtwick with Toddington</t>
  </si>
  <si>
    <t>Barnham, Arundel and Walberton, Yapton</t>
  </si>
  <si>
    <t>Aldwick East, Aldwick West, Bersted, Hotham, Marine, Pagham, Pevensey</t>
  </si>
  <si>
    <t>Angmering and Findon, Broadwater, Offington, Salvington</t>
  </si>
  <si>
    <t>Unintentional injuries</t>
  </si>
  <si>
    <t>Child Accident Prevention Trust</t>
  </si>
  <si>
    <t>http://www.capt.org.uk/</t>
  </si>
  <si>
    <t>Lullaby Trust, retrieved from</t>
  </si>
  <si>
    <t>http://www.lullabytrust.org.uk/</t>
  </si>
  <si>
    <t>Speech Language and Communication Needs</t>
  </si>
  <si>
    <t>http://webarchive.nationalarchives.gov.uk/20130401151715/http://www.education.gov.uk/publications/standard/publicationdetail/page1/DCSF-00632-2008</t>
  </si>
  <si>
    <t>Number of children (2015)</t>
  </si>
  <si>
    <t>Immunisations  (quarter 1 2013/14)</t>
  </si>
  <si>
    <t>Number of eligible children (12 months)</t>
  </si>
  <si>
    <t>% Dtap/IPV/Hib (12 months)</t>
  </si>
  <si>
    <t>% Men C (12 months)</t>
  </si>
  <si>
    <t>% PCV (12 months)</t>
  </si>
  <si>
    <t>N Dtap/IPV/Hib (12 months)</t>
  </si>
  <si>
    <t>N Men C (12 months)</t>
  </si>
  <si>
    <t>N PCV (12 months)</t>
  </si>
  <si>
    <t>Number of eligible children (24 months)</t>
  </si>
  <si>
    <t>% Dtap/IPV/Hib (24 months)</t>
  </si>
  <si>
    <t>% MMR (24 months)</t>
  </si>
  <si>
    <t>% Men C (24 months)</t>
  </si>
  <si>
    <t>% Men C Booster (24 months)</t>
  </si>
  <si>
    <t>% PCV Booster (24 months)</t>
  </si>
  <si>
    <t>N Dtap/IPV/Hib (24 months)</t>
  </si>
  <si>
    <t>N MMR (24 months)</t>
  </si>
  <si>
    <t>N Men C (24 months)</t>
  </si>
  <si>
    <t>N Men C Booster (24 months)</t>
  </si>
  <si>
    <t>N PCV Booster (24 months)</t>
  </si>
  <si>
    <t>Number of eligible children (5 years)</t>
  </si>
  <si>
    <t>% Dt/Pol Primary (5 years)</t>
  </si>
  <si>
    <t>% Dtap/IPV Booster (5 years)</t>
  </si>
  <si>
    <t>N Pertussis Primary (5 years)</t>
  </si>
  <si>
    <t>% Pertussis Primary (5 years)</t>
  </si>
  <si>
    <t>% Hib (5 years)</t>
  </si>
  <si>
    <t>% Men C (5 years)</t>
  </si>
  <si>
    <t>% Hib/Men C Booster (5 years)</t>
  </si>
  <si>
    <t>% MMR Dose 1 (5 years)</t>
  </si>
  <si>
    <t>% MMR Dose 2 (5 years)</t>
  </si>
  <si>
    <t>% PCV (5 years)</t>
  </si>
  <si>
    <t>% PCV Booster (5 years)</t>
  </si>
  <si>
    <t>N Dt/Pol Primary (5 years)</t>
  </si>
  <si>
    <t>N Dtap/IPV Booster (5 years)</t>
  </si>
  <si>
    <t>N Hib (5 years)</t>
  </si>
  <si>
    <t>N Men C (5 years)</t>
  </si>
  <si>
    <t>N Hib/Men C Booster (5 years)</t>
  </si>
  <si>
    <t>N MMR Dose 1 (5 years)</t>
  </si>
  <si>
    <t>N MMR Dose 2 (5 years)</t>
  </si>
  <si>
    <t>N PCV (5 years)</t>
  </si>
  <si>
    <t>N PCV Booster (5 years)</t>
  </si>
  <si>
    <t>Immunisations 2014/15 (full year) aggregated from GP Surgery records</t>
  </si>
  <si>
    <r>
      <t>Source:</t>
    </r>
    <r>
      <rPr>
        <sz val="11"/>
        <color theme="1"/>
        <rFont val="Calibri"/>
        <family val="2"/>
        <scheme val="minor"/>
      </rPr>
      <t xml:space="preserve"> NHS England Childhood Immunisations Data</t>
    </r>
  </si>
  <si>
    <t>2nd dose MenC (by first birthday)*</t>
  </si>
  <si>
    <t>*low coverage likely reflects recent changes to dosing schedule for MenC to only one dose for those born on or after 1st March 2013</t>
  </si>
  <si>
    <t>3 doses 5 in 1 vaccination (by 1st birthday)</t>
  </si>
  <si>
    <t>3rd 5 in 1 vaccination (by 2nd birthday)</t>
  </si>
  <si>
    <t>1st MMR (on or after 1st birthday, and up to 2nd birthday)</t>
  </si>
  <si>
    <t>Hib/Men C booster or or after 1st birthday, and up to 2nd birthday)</t>
  </si>
  <si>
    <t>Hib/MenC booster (on or after 1st birthday, and up to 2nd birthday)</t>
  </si>
  <si>
    <t>2nd MenC (by 1st birthday - of those aged 24 months)</t>
  </si>
  <si>
    <t>2nd MenC (by 1st birthday - of those aged 5 years)</t>
  </si>
  <si>
    <t>Hib (by first birthday - of those aged 5 years)</t>
  </si>
  <si>
    <t>2nd dose of Pneumococcal vaccine (by 1st birthday)</t>
  </si>
  <si>
    <t>2nd dose of Pneumococcal vaccine (by 1st birthday - of those aged 5 years)</t>
  </si>
  <si>
    <t>2nd MMR (by 5th birthday, where first dose was on or after 1st birthday)</t>
  </si>
  <si>
    <t>1st MMR (on or after 1st birthday - of those aged 5 years)</t>
  </si>
  <si>
    <t>Hib/Men C booster (on or after 1st birthday and up to 5th birthday)</t>
  </si>
  <si>
    <t>Pre-school booster (by 5th birthday)</t>
  </si>
  <si>
    <t>3rd  5 in 1 vaccination (by fifth birthday)</t>
  </si>
  <si>
    <t>The data is split into age cohorts. Immunisations for children aged 1, 2, and 5. Where possible, for each cohort the immunisations for all ages are shown. This means that for the age 5 cohort (for example) the vaccine coverage of these children at ages other than 5 are shown.</t>
  </si>
  <si>
    <t>Great Britain. Department for Education. (2008).The Bercow Report: A Review of Services for Children and Young People (0-19) with Speech, Language and
 Communication Needs. Retrieved from</t>
  </si>
  <si>
    <t>Number of babies eligible for 6 week check (2014/15)</t>
  </si>
  <si>
    <t>Number of babies not checked 2014/15</t>
  </si>
  <si>
    <t>Number of babies receiving 6 week check (2014/15)</t>
  </si>
  <si>
    <t>% of eligible babies checked (2014/15)</t>
  </si>
  <si>
    <t>Number of babies exclusively breastfed (2014/15)</t>
  </si>
  <si>
    <t>Number of babies partially or exclusively breastfed (2014/15)</t>
  </si>
  <si>
    <t>% of babies exclusively breastfed (2014/15)</t>
  </si>
  <si>
    <t>% of babies breastfed (partially and exclusively) (2014/15)</t>
  </si>
  <si>
    <t>Number of babies partially breastfed (2014/15)</t>
  </si>
  <si>
    <t>England figures for same period (2014/15): 30.1% breastfed exclusively, 43.8% breastfed (exclusively and partially)</t>
  </si>
  <si>
    <t>babies exclusively breastfed</t>
  </si>
  <si>
    <t>babies partially and exclusively breastfed</t>
  </si>
  <si>
    <t>Maybridge</t>
  </si>
  <si>
    <t>CFC Group - Horsham Rural</t>
  </si>
  <si>
    <t>Breastfeeding 2014/15 (based on postcode of mother)</t>
  </si>
  <si>
    <t>Breastfeeding (2014/15) - based on postcode of GP (assigned to CFC area)</t>
  </si>
  <si>
    <t xml:space="preserve">More information on the Health4Families programme can be found here: </t>
  </si>
  <si>
    <r>
      <rPr>
        <b/>
        <sz val="11"/>
        <color theme="1"/>
        <rFont val="Calibri"/>
        <family val="2"/>
        <scheme val="minor"/>
      </rPr>
      <t xml:space="preserve">Statistical Issues: </t>
    </r>
    <r>
      <rPr>
        <sz val="11"/>
        <color theme="1"/>
        <rFont val="Calibri"/>
        <family val="2"/>
        <scheme val="minor"/>
      </rPr>
      <t>Similar statistical issues were identified when compiling the information relating to post-natal depression from 2014.</t>
    </r>
  </si>
  <si>
    <r>
      <rPr>
        <i/>
        <sz val="11"/>
        <rFont val="Calibri"/>
        <family val="2"/>
        <scheme val="minor"/>
      </rPr>
      <t>4. The figures shown relate to the calendar year 2011</t>
    </r>
    <r>
      <rPr>
        <i/>
        <sz val="11"/>
        <color theme="1"/>
        <rFont val="Calibri"/>
        <family val="2"/>
        <scheme val="minor"/>
      </rPr>
      <t xml:space="preserve">. </t>
    </r>
  </si>
  <si>
    <r>
      <rPr>
        <i/>
        <sz val="11"/>
        <rFont val="Calibri"/>
        <family val="2"/>
        <scheme val="minor"/>
      </rPr>
      <t>4. The figures shown relate to the calendar year 2014</t>
    </r>
    <r>
      <rPr>
        <i/>
        <sz val="11"/>
        <color theme="1"/>
        <rFont val="Calibri"/>
        <family val="2"/>
        <scheme val="minor"/>
      </rPr>
      <t>.</t>
    </r>
  </si>
  <si>
    <t>3. Some of the data did not have a valid postcode but is included in the figures below.</t>
  </si>
  <si>
    <t>3. Mother's may answer "yes" to the Whooley questionnaire but may refue to take the EPDS questionnaire</t>
  </si>
  <si>
    <t>2. Mother's may answer "yes" to the Whooley questionnaire but may refuse to take the EPDS questionnaire</t>
  </si>
  <si>
    <r>
      <rPr>
        <b/>
        <sz val="11"/>
        <color theme="1"/>
        <rFont val="Calibri"/>
        <family val="2"/>
        <scheme val="minor"/>
      </rPr>
      <t xml:space="preserve">Source: </t>
    </r>
    <r>
      <rPr>
        <sz val="11"/>
        <color theme="1"/>
        <rFont val="Calibri"/>
        <family val="2"/>
        <scheme val="minor"/>
      </rPr>
      <t>CHB (CHIS)</t>
    </r>
  </si>
  <si>
    <t>At the time of booking, 477 women (11.0%) of the 4,343 who provided information said that they smoked</t>
  </si>
  <si>
    <t>At the time of delivery, 366 women (8.4%) of the 4,343 who provided information said that the smoked</t>
  </si>
  <si>
    <t>Mothers were asked whether anyone (including themselves) smoked at home. 19.1% (811 of the 4,245 women who answered the question) said that there was someone at home who smoked.</t>
  </si>
  <si>
    <t>N smoking at booking</t>
  </si>
  <si>
    <t>Total responders (at booking)</t>
  </si>
  <si>
    <t>% smoking at booking</t>
  </si>
  <si>
    <t>N smoking at delivery</t>
  </si>
  <si>
    <t>Total responders (at delivery)</t>
  </si>
  <si>
    <t>% smoking at delivery</t>
  </si>
  <si>
    <t>N current smokers</t>
  </si>
  <si>
    <t>Total responders (at 12 weeks)</t>
  </si>
  <si>
    <t>% current smokers</t>
  </si>
  <si>
    <t>LCLcur</t>
  </si>
  <si>
    <t>UCLcur</t>
  </si>
  <si>
    <t>N smoking in the home</t>
  </si>
  <si>
    <t>Total respondents (smoking in the home)</t>
  </si>
  <si>
    <t>% smokers in the home</t>
  </si>
  <si>
    <t>LCLhome</t>
  </si>
  <si>
    <t>UCLhome</t>
  </si>
  <si>
    <t>Q1 - booking</t>
  </si>
  <si>
    <t>Q2 - delivery</t>
  </si>
  <si>
    <t>Q4 - in the home</t>
  </si>
  <si>
    <t>Maternal Smoking 2014</t>
  </si>
  <si>
    <t>Reception Pupils: 2014/15</t>
  </si>
  <si>
    <t>Year 6 Pupils: 2014/15</t>
  </si>
  <si>
    <t>1. The data relate only to those women who have agreed to a health visitor check and therefore not all mothers are included in the figures.</t>
  </si>
  <si>
    <t>Q3. Smoking at the HEALTH VISITOR CHECK</t>
  </si>
  <si>
    <t>Data from 4,353 women were recorded in the HV check database. Of these records, 365 did not have a valid postcode, or the postcode was omitted. It is not known where in West Sussex these women reside, and so these records are not included at lower geographies, although these data have been included for countywide calculations.</t>
  </si>
  <si>
    <t>At the time of their HV check, 426 women (9.9%) of the 4,318 who provided information said that they smoked</t>
  </si>
  <si>
    <t>Q3 - HV check</t>
  </si>
  <si>
    <t>Population (2015)</t>
  </si>
  <si>
    <t>Under 5 (2015)</t>
  </si>
  <si>
    <t>Lone parent families on low income (2016)</t>
  </si>
  <si>
    <t>Lone parent families on low income (as at February 2011-16; DWP)</t>
  </si>
  <si>
    <t>Births (2015)</t>
  </si>
  <si>
    <t>Births to Mothers Under 20 (2015)</t>
  </si>
  <si>
    <t>Number of Babies born of low birth weight (2013)</t>
  </si>
  <si>
    <t>% of all live births &lt; 2500g (2013)</t>
  </si>
  <si>
    <t>LCI (2013)</t>
  </si>
  <si>
    <t>UCI (2013)</t>
  </si>
  <si>
    <t>Number of Babies born of low birth weight (2014)</t>
  </si>
  <si>
    <t>% of all live births &lt; 2500g (2014)</t>
  </si>
  <si>
    <t>LCI (2014)</t>
  </si>
  <si>
    <t>UCI (2014)</t>
  </si>
  <si>
    <t>Number of Babies born of low birth weight (2015)</t>
  </si>
  <si>
    <t>% of all live births &lt; 2500g (2015)</t>
  </si>
  <si>
    <t>LCI (2015)</t>
  </si>
  <si>
    <t>UCI (2015)</t>
  </si>
  <si>
    <t>0-4 year olds in out-of-work benefits households (2015)</t>
  </si>
  <si>
    <t>Number 2014</t>
  </si>
  <si>
    <t>% of children in poverty (2014)</t>
  </si>
  <si>
    <t>LCI 2014</t>
  </si>
  <si>
    <t>UCI 2014</t>
  </si>
  <si>
    <t>Basemap Source: ESRI © OpenStreetMap contributors (2014). Contains Natoinal Statistics data (boundary lines) © Crown copyright and database right (2015)
Note. Not all CFC locations are shown on the map above, as some of the centre areas contain more than one site, or have mobile units.</t>
  </si>
  <si>
    <t>under 5 (2015)</t>
  </si>
  <si>
    <t>Source: ONS Mid-Year Estimates (2015)</t>
  </si>
  <si>
    <t>2015/16</t>
  </si>
  <si>
    <t>Number of babies receiving 6 week check (2015/16)</t>
  </si>
  <si>
    <t>Number of babies exclusively breastfed (2015/16)</t>
  </si>
  <si>
    <t>% of babies exclusively breastfed (2015/16)</t>
  </si>
  <si>
    <t>Number of babies partially or exclusively breastfed (2015/16)</t>
  </si>
  <si>
    <t>% of babies breastfed (partially and exclusively) (2015/16)</t>
  </si>
  <si>
    <t>2015/16 (experimental)</t>
  </si>
  <si>
    <r>
      <rPr>
        <b/>
        <sz val="11"/>
        <color theme="1"/>
        <rFont val="Calibri"/>
        <family val="2"/>
        <scheme val="minor"/>
      </rPr>
      <t>Statistical issue:</t>
    </r>
    <r>
      <rPr>
        <sz val="11"/>
        <color theme="1"/>
        <rFont val="Calibri"/>
        <family val="2"/>
        <scheme val="minor"/>
      </rPr>
      <t xml:space="preserve"> Caution should be exercised when interpreting this data as this is a new data collection system, and therefore does not reflect full coverage.Totals for England are based on an aggregate total of local authorities who submitted and passed stage 1 validation within those areas. These statistics are still experimental and undergo evaluation and are subject to modification in future releases.
</t>
    </r>
    <r>
      <rPr>
        <i/>
        <u/>
        <sz val="11"/>
        <color theme="1"/>
        <rFont val="Calibri"/>
        <family val="2"/>
        <scheme val="minor"/>
      </rPr>
      <t>Stage 1 validation</t>
    </r>
    <r>
      <rPr>
        <i/>
        <sz val="11"/>
        <color theme="1"/>
        <rFont val="Calibri"/>
        <family val="2"/>
        <scheme val="minor"/>
      </rPr>
      <t xml:space="preserve"> - submission of 'the number of infants totally or partially breastfed at 6-8 weeks', which has to be lower or equal to the integer for 'the number of infants due a 6-8 week check'
</t>
    </r>
    <r>
      <rPr>
        <i/>
        <u/>
        <sz val="11"/>
        <color theme="1"/>
        <rFont val="Calibri"/>
        <family val="2"/>
        <scheme val="minor"/>
      </rPr>
      <t>Stage 2 validation</t>
    </r>
    <r>
      <rPr>
        <i/>
        <sz val="11"/>
        <color theme="1"/>
        <rFont val="Calibri"/>
        <family val="2"/>
        <scheme val="minor"/>
      </rPr>
      <t xml:space="preserve"> - the number of infants due a 6-8 week check  has to be within 20% of the resident population of babies aged zero for that local authority (based on the 2014 mid-year population estimate)
</t>
    </r>
    <r>
      <rPr>
        <i/>
        <u/>
        <sz val="11"/>
        <color theme="1"/>
        <rFont val="Calibri"/>
        <family val="2"/>
        <scheme val="minor"/>
      </rPr>
      <t>Stage 3 validation</t>
    </r>
    <r>
      <rPr>
        <i/>
        <sz val="11"/>
        <color theme="1"/>
        <rFont val="Calibri"/>
        <family val="2"/>
        <scheme val="minor"/>
      </rPr>
      <t xml:space="preserve"> - the percentage of infants whose breastfeeding status was recorded must meet data quality standard of 95% (the sum of the infants totally breastfed, partially breasted, and not breastfed should be greater than or equal to 95% of the number of infants due a 6-8 week review)</t>
    </r>
  </si>
  <si>
    <t>The proportion of infants due a 6-8 week check who were partially or exclusively breastfed:</t>
  </si>
  <si>
    <r>
      <t>Cells shaded in red did not meet the validation criteria outlined above. The data should be taken with a</t>
    </r>
    <r>
      <rPr>
        <b/>
        <i/>
        <sz val="11"/>
        <color theme="1"/>
        <rFont val="Calibri"/>
        <family val="2"/>
        <scheme val="minor"/>
      </rPr>
      <t xml:space="preserve"> high degree of caution</t>
    </r>
    <r>
      <rPr>
        <i/>
        <sz val="11"/>
        <color theme="1"/>
        <rFont val="Calibri"/>
        <family val="2"/>
        <scheme val="minor"/>
      </rPr>
      <t>.</t>
    </r>
  </si>
  <si>
    <t>Source: Public Health England</t>
  </si>
  <si>
    <t>Reception Pupils: 2015/16</t>
  </si>
  <si>
    <t>Year 6 Pupils: 2015/16</t>
  </si>
  <si>
    <r>
      <rPr>
        <b/>
        <sz val="11"/>
        <rFont val="Calibri"/>
        <family val="2"/>
        <scheme val="minor"/>
      </rPr>
      <t>Rationale for the Indicator:</t>
    </r>
    <r>
      <rPr>
        <sz val="11"/>
        <rFont val="Calibri"/>
        <family val="2"/>
        <scheme val="minor"/>
      </rPr>
      <t xml:space="preserve"> The most recent dental health survey - with national comparators - for children aged 5 was undertaken in 2014/15. A sample of children in each LA in England were examined and the number of decayed, missing or filled teeth (DMFT) assessed. The survey provides an indication or oral health in West Sussex.</t>
    </r>
  </si>
  <si>
    <t>The local authority did not take part in the survey</t>
  </si>
  <si>
    <t>For lower tier local authorities, cells shaded in red are based on small samples (&lt; 30)</t>
  </si>
  <si>
    <r>
      <rPr>
        <b/>
        <sz val="11"/>
        <rFont val="Calibri"/>
        <family val="2"/>
        <scheme val="minor"/>
      </rPr>
      <t xml:space="preserve">Statistical Issues: </t>
    </r>
    <r>
      <rPr>
        <sz val="11"/>
        <rFont val="Calibri"/>
        <family val="2"/>
        <scheme val="minor"/>
      </rPr>
      <t>In 2014/15, Adur local authority did not take part in the national survey, and Arun sampled a very small number of children. As a result, prevalence of decay experience is not presented for these areas. 
For 2011/12, in the national survey only a small number of children who were sampled had decay experience and so estimated numbers of teeth with decay are not robust.</t>
    </r>
  </si>
  <si>
    <t>West Sussex Health4Families Programme (formerly Healthy Children and Family Centre Programme)</t>
  </si>
  <si>
    <t xml:space="preserve">Mean D3MFT (% D3MFT &gt; 0)  </t>
  </si>
  <si>
    <t xml:space="preserve">Mean  D3MFT (% D3MFT &gt; 0)  </t>
  </si>
  <si>
    <t>This data summarises the number and rate of hospital admissions that were caused by unintentional and deliberate injuries in children aged 0-4 years (per 10,000 resident population). This data is from 2014/15.</t>
  </si>
  <si>
    <t>Resident population (MYE 2014)</t>
  </si>
  <si>
    <t>uci</t>
  </si>
  <si>
    <t>lci</t>
  </si>
  <si>
    <r>
      <rPr>
        <b/>
        <sz val="11"/>
        <rFont val="Calibri"/>
        <family val="2"/>
        <scheme val="minor"/>
      </rPr>
      <t>Source:</t>
    </r>
    <r>
      <rPr>
        <sz val="11"/>
        <color indexed="12"/>
        <rFont val="Calibri"/>
        <family val="2"/>
        <scheme val="minor"/>
      </rPr>
      <t xml:space="preserve"> </t>
    </r>
    <r>
      <rPr>
        <u/>
        <sz val="11"/>
        <color indexed="12"/>
        <rFont val="Calibri"/>
        <family val="2"/>
        <scheme val="minor"/>
      </rPr>
      <t>ONS and Hospital Episode Statistics (2010/11 - 2014/15)</t>
    </r>
  </si>
  <si>
    <t>Rate not calculated due to small counts (&lt;3 deaths)</t>
  </si>
  <si>
    <r>
      <rPr>
        <b/>
        <sz val="11"/>
        <rFont val="Calibri"/>
        <family val="2"/>
        <scheme val="minor"/>
      </rPr>
      <t>Source:</t>
    </r>
    <r>
      <rPr>
        <sz val="11"/>
        <color indexed="12"/>
        <rFont val="Calibri"/>
        <family val="2"/>
        <scheme val="minor"/>
      </rPr>
      <t xml:space="preserve"> </t>
    </r>
    <r>
      <rPr>
        <u/>
        <sz val="11"/>
        <color indexed="12"/>
        <rFont val="Calibri"/>
        <family val="2"/>
        <scheme val="minor"/>
      </rPr>
      <t>ONS Unexplained deaths in Infancy: England and Wales (aggregated data 2005-14)</t>
    </r>
  </si>
  <si>
    <r>
      <rPr>
        <b/>
        <sz val="11"/>
        <rFont val="Calibri"/>
        <family val="2"/>
        <scheme val="minor"/>
      </rPr>
      <t xml:space="preserve">Source: </t>
    </r>
    <r>
      <rPr>
        <u/>
        <sz val="11"/>
        <color indexed="12"/>
        <rFont val="Calibri"/>
        <family val="2"/>
        <scheme val="minor"/>
      </rPr>
      <t>Public Health England (PHE)</t>
    </r>
  </si>
  <si>
    <r>
      <rPr>
        <b/>
        <sz val="11"/>
        <rFont val="Calibri"/>
        <family val="2"/>
        <scheme val="minor"/>
      </rPr>
      <t>Source:</t>
    </r>
    <r>
      <rPr>
        <sz val="11"/>
        <rFont val="Calibri"/>
        <family val="2"/>
        <scheme val="minor"/>
      </rPr>
      <t xml:space="preserve"> </t>
    </r>
    <r>
      <rPr>
        <u/>
        <sz val="11"/>
        <color indexed="12"/>
        <rFont val="Calibri"/>
        <family val="2"/>
        <scheme val="minor"/>
      </rPr>
      <t>National Dental Epidemiology Programme for England</t>
    </r>
  </si>
  <si>
    <r>
      <rPr>
        <b/>
        <sz val="11"/>
        <color theme="1"/>
        <rFont val="Calibri"/>
        <family val="2"/>
        <scheme val="minor"/>
      </rPr>
      <t xml:space="preserve">  Source:</t>
    </r>
    <r>
      <rPr>
        <sz val="11"/>
        <color theme="1"/>
        <rFont val="Calibri"/>
        <family val="2"/>
        <scheme val="minor"/>
      </rPr>
      <t xml:space="preserve"> DWP February 2011-2016, available from NOMIS</t>
    </r>
  </si>
  <si>
    <t>4. Improving the oral health of children</t>
  </si>
  <si>
    <t>Tarring CFC, The Rowans, Steepleview, Worthing</t>
  </si>
  <si>
    <t>BN13 1RP</t>
  </si>
  <si>
    <t>1. Infant Feeding - promoting Unicef Baby Friendly Initiative</t>
  </si>
  <si>
    <t>2. Healthy eating and healthy weight - reducing obesity</t>
  </si>
  <si>
    <t>3. Promoting physical activity</t>
  </si>
  <si>
    <t>5. Improving the emotional health and wellbeing of children</t>
  </si>
  <si>
    <t>6. Improving the emotional health and wellbeing of parents and carers</t>
  </si>
  <si>
    <t>7. Supporting mothers with perinatal depression</t>
  </si>
  <si>
    <t>8. Improving children's speech, language and communication</t>
  </si>
  <si>
    <t>9. Reducing teenage pregnancy rates and supporting young parents</t>
  </si>
  <si>
    <t>10. Reducing alcohol and substance misuse</t>
  </si>
  <si>
    <t>11. Increasing smoking cessation</t>
  </si>
  <si>
    <t>12. Increasing child immunisation rates</t>
  </si>
  <si>
    <t>13. Reducing childhood  accidents</t>
  </si>
  <si>
    <t>14. Reducing the risk of sudden infant death syndrome</t>
  </si>
  <si>
    <t>England figures for same period (2015/16): 28.4% breastfed exclusively, 43.2% breastfed (exclusively and partially)</t>
  </si>
  <si>
    <t>2014/16</t>
  </si>
  <si>
    <t>Q1*</t>
  </si>
  <si>
    <r>
      <rPr>
        <b/>
        <sz val="11"/>
        <rFont val="Calibri"/>
        <family val="2"/>
        <scheme val="minor"/>
      </rPr>
      <t>Source:</t>
    </r>
    <r>
      <rPr>
        <sz val="11"/>
        <rFont val="Calibri"/>
        <family val="2"/>
        <scheme val="minor"/>
      </rPr>
      <t xml:space="preserve"> </t>
    </r>
    <r>
      <rPr>
        <u/>
        <sz val="11"/>
        <color indexed="12"/>
        <rFont val="Calibri"/>
        <family val="2"/>
        <scheme val="minor"/>
      </rPr>
      <t>NHS Statistics (Maternity Services) until Q1 of 2015/16</t>
    </r>
  </si>
  <si>
    <t xml:space="preserve">*In 2015/16 PHE implemented an interim approach to reporting on children's public health for the 0-5 years. Reporting is now produced at local authority level. </t>
  </si>
  <si>
    <t>Full Year</t>
  </si>
  <si>
    <t>2016/17 (experimental)</t>
  </si>
  <si>
    <t>Currently unavailable</t>
  </si>
  <si>
    <t>Since 2008/09, each Primary Care Trust submits quarterly data on the prevalence of breastfeeding at 6-8 weeks. This data was available at CCG level between 2013/14 and q1 2015/16. This collection reports on the number and proportion of women seen and assessed by a healthcare professional within 12 weeks and 6 days of their maternity, the number and proportion of mothers' who have initiated or not initiated breastfeeding and the number and proportion of infants who have been fully or partially breastfed, or not breastfed at all at 6-8 weeks.</t>
  </si>
  <si>
    <t>In October 2015 the responsibility for commissioning children's public health for the 0-5 years population transferred from NHS England to local authorities. Key performance indicators will soon form part of the Maternity and Children's Dataset (MCDS), which will be collected by NHS Digital. However, until the infrastructure to support stardardised information on children's health is complete, an interim reporting system is required - this was put in place in 2015/16. It is expected that this approach will be maintained until the MCDS has reached full maturity - possibly in 2017/18. 
Quarter 1 of 2015/16 is the first reporting period using an interim system to collect health visiting activity at a local authority resident level. This data is submitted to PHE by local authorities on a voluntary basis. Local authorities must pass all three stages in order for all calculations and percentages to be shown.</t>
  </si>
  <si>
    <r>
      <rPr>
        <b/>
        <sz val="11"/>
        <rFont val="Calibri"/>
        <family val="2"/>
        <scheme val="minor"/>
      </rPr>
      <t>Source:</t>
    </r>
    <r>
      <rPr>
        <u/>
        <sz val="11"/>
        <color indexed="12"/>
        <rFont val="Calibri"/>
        <family val="2"/>
        <scheme val="minor"/>
      </rPr>
      <t xml:space="preserve"> Public Health England Extractions Data Release (2014/15)</t>
    </r>
    <r>
      <rPr>
        <sz val="11"/>
        <rFont val="Calibri"/>
        <family val="2"/>
        <scheme val="minor"/>
      </rPr>
      <t>, and Hospital Episode Statistics (local level analysis 2015/16 - preliminary)</t>
    </r>
  </si>
  <si>
    <t>% of population aged 0-4</t>
  </si>
  <si>
    <t>% of population aged 0-5</t>
  </si>
  <si>
    <t>*</t>
  </si>
  <si>
    <r>
      <rPr>
        <b/>
        <sz val="11"/>
        <rFont val="Calibri"/>
        <family val="2"/>
        <scheme val="minor"/>
      </rPr>
      <t>Rationale for the Indicator:</t>
    </r>
    <r>
      <rPr>
        <sz val="11"/>
        <rFont val="Calibri"/>
        <family val="2"/>
        <scheme val="minor"/>
      </rPr>
      <t xml:space="preserve"> The data here reflect the number of hospital admissions of children (aged 0-5) for extraction of one or more primary or permanent teeth. The data are extracted from the Hospital Episode Statistics (HES) dataset which records inpatient care from National Health Service (NHS) hospitals across England. The majority of these extractions will have required a general anaesthetic. Most of these extractions could be avoided with better dental care and dentist intervention.
</t>
    </r>
    <r>
      <rPr>
        <b/>
        <sz val="11"/>
        <rFont val="Calibri"/>
        <family val="2"/>
        <scheme val="minor"/>
      </rPr>
      <t>Data Issues and Caveats:</t>
    </r>
    <r>
      <rPr>
        <sz val="11"/>
        <rFont val="Calibri"/>
        <family val="2"/>
        <scheme val="minor"/>
      </rPr>
      <t xml:space="preserve"> The data from 2014/15 was collated and released by Public Health England. For 2015/16, the methodology from this release was replicated by the West Sussex Public Health and Social Research Unit using Hospital Episode Statistics. This data is therefore </t>
    </r>
    <r>
      <rPr>
        <b/>
        <u/>
        <sz val="11"/>
        <rFont val="Calibri"/>
        <family val="2"/>
        <scheme val="minor"/>
      </rPr>
      <t>PRELIMINARY</t>
    </r>
    <r>
      <rPr>
        <sz val="11"/>
        <rFont val="Calibri"/>
        <family val="2"/>
        <scheme val="minor"/>
      </rPr>
      <t xml:space="preserve">, and may be subject to change. This is because small variations in methodology can produce differences between PHE's data release and the result presented here. This data is presented at lower tier local authority, as counts at lower level geographies would be too small to disclose.
</t>
    </r>
    <r>
      <rPr>
        <b/>
        <sz val="11"/>
        <rFont val="Calibri"/>
        <family val="2"/>
        <scheme val="minor"/>
      </rPr>
      <t xml:space="preserve">
Disclosure control means counts between 1 and 5 are suppressed.</t>
    </r>
  </si>
  <si>
    <t>Note. Cells with * are values between 1 and 5. These are suppressed for disclosure control (HES release restrictions)</t>
  </si>
  <si>
    <t>Number of admissions (0-4 yrs)</t>
  </si>
  <si>
    <t>IDACI 2010</t>
  </si>
  <si>
    <t>IDACI 2015</t>
  </si>
  <si>
    <t>IDACI 2010 decile:</t>
  </si>
  <si>
    <t>IDACI 2015 decile:</t>
  </si>
  <si>
    <t>Proportion of 0-15yr olds estimated to be affected by income deprivation (2010)</t>
  </si>
  <si>
    <t>Proportion of 0-15yr olds estimated to be affected by income deprivation (2015)</t>
  </si>
  <si>
    <t>IDACI 2010 Decile:</t>
  </si>
  <si>
    <t>IDACI 2015 Decile:</t>
  </si>
  <si>
    <t>Source: IDACI</t>
  </si>
  <si>
    <r>
      <rPr>
        <b/>
        <sz val="11"/>
        <color theme="1"/>
        <rFont val="Calibri"/>
        <family val="2"/>
        <scheme val="minor"/>
      </rPr>
      <t xml:space="preserve">Source: </t>
    </r>
    <r>
      <rPr>
        <sz val="11"/>
        <color theme="1"/>
        <rFont val="Calibri"/>
        <family val="2"/>
        <scheme val="minor"/>
      </rPr>
      <t>2010 and 2015 Index of Mutiple Deprivation</t>
    </r>
  </si>
  <si>
    <t>% of 0-15yr olds affected by income deprivation (2010)</t>
  </si>
  <si>
    <t>% of 0-15yr olds affected by income deprivation (2015)</t>
  </si>
  <si>
    <r>
      <t xml:space="preserve">The income deprivation affecting children index (IDACI) reflects the percentage of children aged 0 - 15 living in families that are income deprived - i.e. in receipt of income support, income based jobseeker's allowance or pension credit, or those not in receipt of these benefits but in receipt of child tax credit with an equivalised income (excluding housing benefits) below 60% of the national median. The supplementary IDACI is a subset of the income deprivation domain, and shows the proportion of children aged under 16 in each lower super output area (LSOA) that live in families that are income deprived. The number of children in each LSOA estimated to be affected by income deprivation are summed to CFC boundaries. This provides an estimate of income deprivation affecting children at CFC level. These are shown as a proportion of the total under 16 population and are then ranked into deciles, with 10 representing those CFCs in the 10% </t>
    </r>
    <r>
      <rPr>
        <b/>
        <u/>
        <sz val="11"/>
        <color theme="1"/>
        <rFont val="Calibri"/>
        <family val="2"/>
        <scheme val="minor"/>
      </rPr>
      <t>least deprived</t>
    </r>
    <r>
      <rPr>
        <sz val="11"/>
        <color theme="1"/>
        <rFont val="Calibri"/>
        <family val="2"/>
        <scheme val="minor"/>
      </rPr>
      <t xml:space="preserve"> decile and 1 those CFCs in the 10% </t>
    </r>
    <r>
      <rPr>
        <b/>
        <u/>
        <sz val="11"/>
        <color theme="1"/>
        <rFont val="Calibri"/>
        <family val="2"/>
        <scheme val="minor"/>
      </rPr>
      <t>most deprived</t>
    </r>
    <r>
      <rPr>
        <sz val="11"/>
        <color theme="1"/>
        <rFont val="Calibri"/>
        <family val="2"/>
        <scheme val="minor"/>
      </rPr>
      <t xml:space="preserve"> decile in West Sussex.
Deciles and estimated proportion of children (aged under 16) estimated to be affected by income deprivation are displayed in the table below. The 2010 IDACI decile relates to the number of 0-15 year olds in the 2008 mid-year population estimates, and the 2015 IDACI relates to the 2012 mid-year population estimates.</t>
    </r>
  </si>
  <si>
    <r>
      <t xml:space="preserve">Statistical Issues: </t>
    </r>
    <r>
      <rPr>
        <sz val="11"/>
        <color theme="1"/>
        <rFont val="Calibri"/>
        <family val="2"/>
        <scheme val="minor"/>
      </rPr>
      <t xml:space="preserve">The information below refers to children aged </t>
    </r>
    <r>
      <rPr>
        <u/>
        <sz val="11"/>
        <color theme="1"/>
        <rFont val="Calibri"/>
        <family val="2"/>
        <scheme val="minor"/>
      </rPr>
      <t>under 5</t>
    </r>
    <r>
      <rPr>
        <sz val="11"/>
        <color theme="1"/>
        <rFont val="Calibri"/>
        <family val="2"/>
        <scheme val="minor"/>
      </rPr>
      <t xml:space="preserve"> and living in households living on income 60% or below median income levels. Note they have been some changes in the sub national child povery measure and so comparions over time should be treated with some caution. CFC, CFC Group and Eduction Partnership data calculated from aggregated LSOA data and so may not sum to West Sussex overall child poverty.
</t>
    </r>
    <r>
      <rPr>
        <b/>
        <sz val="11"/>
        <color theme="1"/>
        <rFont val="Calibri"/>
        <family val="2"/>
        <scheme val="minor"/>
      </rPr>
      <t xml:space="preserve">Notes: </t>
    </r>
    <r>
      <rPr>
        <sz val="11"/>
        <color theme="1"/>
        <rFont val="Calibri"/>
        <family val="2"/>
        <scheme val="minor"/>
      </rPr>
      <t xml:space="preserve">As of January 2014, claimants may be liable to a tax charge called "High Income Child Benefits Charge". Being liable for this charge does not affect a claimant's eligibility, but any Child Benefit recipient is liable to repay some or all of their Child Benefit back if they or their partner has an individual income of more than £50,000 per year. For every additional £100 over the £50,000 threshold that an individual earns, the tax charge due increases by 1%. Therefore any recipient whose income (or partner's income) exceeds £60,000 will be liable to repay their entire Child Benefit entitlement. As a result, the number of children receiving Child Benefit is no longer a suitable proxy of the number of children in an area. The sum of those receiving Child Benefit and those families opting out presents a more suitable measure, although opt-out data is not currently presented at small geographies level. </t>
    </r>
    <r>
      <rPr>
        <b/>
        <u/>
        <sz val="11"/>
        <color theme="1"/>
        <rFont val="Calibri"/>
        <family val="2"/>
        <scheme val="minor"/>
      </rPr>
      <t>Therefore, this measure can no longer be calculated at CFC or group level.</t>
    </r>
    <r>
      <rPr>
        <b/>
        <sz val="11"/>
        <color theme="1"/>
        <rFont val="Calibri"/>
        <family val="2"/>
        <scheme val="minor"/>
      </rPr>
      <t xml:space="preserve"> </t>
    </r>
    <r>
      <rPr>
        <sz val="11"/>
        <color theme="1"/>
        <rFont val="Calibri"/>
        <family val="2"/>
        <scheme val="minor"/>
      </rPr>
      <t>This is calculated by summing aggregate values for children aged under 5 receiving Child Benefit and opting out of Child Benefit, and therefore may be a slight over or underestimate.</t>
    </r>
  </si>
  <si>
    <t>Number of children (2016)</t>
  </si>
  <si>
    <t>DevLCL (2016)</t>
  </si>
  <si>
    <t>DevUCL (2016)</t>
  </si>
  <si>
    <t>2016 data:</t>
  </si>
  <si>
    <t xml:space="preserve">2016 data: </t>
  </si>
  <si>
    <t>95% Confidence intervals (LCI to UCI)</t>
  </si>
  <si>
    <t>Number of Babies born of low birth weight</t>
  </si>
  <si>
    <t>Births to mothers under 20 (2015)</t>
  </si>
  <si>
    <t>Number of deaths not available for 2005-14</t>
  </si>
  <si>
    <t>Source: NHS Digital and PHE</t>
  </si>
  <si>
    <t>Number of women smoking at delivery</t>
  </si>
  <si>
    <t>Total number of maternities</t>
  </si>
  <si>
    <t>Proportion smoking at delivery</t>
  </si>
  <si>
    <r>
      <rPr>
        <b/>
        <sz val="11"/>
        <color theme="1"/>
        <rFont val="Calibri"/>
        <family val="2"/>
        <scheme val="minor"/>
      </rPr>
      <t xml:space="preserve">Rationale: </t>
    </r>
    <r>
      <rPr>
        <sz val="11"/>
        <color theme="1"/>
        <rFont val="Calibri"/>
        <family val="2"/>
        <scheme val="minor"/>
      </rPr>
      <t xml:space="preserve">Smoking in pregnancy has well known detrimental effects for the growth and development of the baby and health of the mother. Encouraging pregnant women to stop smoking during pregnancy may also help them kick the habit for good, and thus provide health benefits for the mother and reduce exposure to secondhand smoke by the infant.
</t>
    </r>
  </si>
  <si>
    <r>
      <rPr>
        <b/>
        <sz val="11"/>
        <color theme="1"/>
        <rFont val="Calibri"/>
        <family val="2"/>
        <scheme val="minor"/>
      </rPr>
      <t xml:space="preserve">Source: </t>
    </r>
    <r>
      <rPr>
        <sz val="11"/>
        <color theme="1"/>
        <rFont val="Calibri"/>
        <family val="2"/>
        <scheme val="minor"/>
      </rPr>
      <t>Public Health England, Health Profiles</t>
    </r>
  </si>
  <si>
    <r>
      <rPr>
        <b/>
        <sz val="11"/>
        <color theme="1"/>
        <rFont val="Calibri"/>
        <family val="2"/>
        <scheme val="minor"/>
      </rPr>
      <t xml:space="preserve">Caveats: </t>
    </r>
    <r>
      <rPr>
        <sz val="11"/>
        <color theme="1"/>
        <rFont val="Calibri"/>
        <family val="2"/>
        <scheme val="minor"/>
      </rPr>
      <t>These counts are estimated from counts at CCG level, which are published quarterly by NHS Digital. This indicator is based on observation, and is therefore susceptible to measurement bias. In addition, if there are several LAs within one CCG (such as Coastal West Sussex CCG), they will all have the same prevalence. This masks any variation in prevalence that may exist within the CCG area. Where local authorities cross CCG boundaries, the local authority estimate is a weighted average of the CCG indicator values. Where a local authority is within a single CCG's boundary, the local authority value presented is the value from the CCG.</t>
    </r>
  </si>
  <si>
    <t>Note. As these data are estimated from CCG prevalence, those local authorities that are fully contained within one CCG will have the same prevalence of smoking at time of delivery. For West Sussex, Coastal West Sussex CCG fully contains Worthing, Adur, Arun and Chichester local authorities, and so the prevalence presented are the same.</t>
  </si>
  <si>
    <t>Breastfeeding 2015/16 (based on postcode of mother)</t>
  </si>
  <si>
    <t>Number of babies eligible for 6 week check (2015/16)</t>
  </si>
  <si>
    <t>Number of babies partially breastfed (2015/16)</t>
  </si>
  <si>
    <t>Number of babies with no record (2015/16)</t>
  </si>
  <si>
    <t>Percentages are based on the total number of infants with recorded status, rather than infants eligible for check. This is due to inability to estimate infants eligible from the data provided for 2014/15.</t>
  </si>
  <si>
    <t>Note. Change in collection methods for 2015/16  means that the figures for England do not reflect full coverage.</t>
  </si>
  <si>
    <t>% of eligible babies with a valid record</t>
  </si>
  <si>
    <r>
      <t>These figures have been calculated by combining births to mothers under 20 in 2013, births to mothers under 19 in 2012, births to mothers under 18 in 2011, births to mothers under 17 in 2010, births to mothers under 16 in 2009, and births to mothers under 15 in 2008.</t>
    </r>
    <r>
      <rPr>
        <b/>
        <i/>
        <sz val="11"/>
        <color theme="1"/>
        <rFont val="Calibri"/>
        <family val="2"/>
        <scheme val="minor"/>
      </rPr>
      <t xml:space="preserve"> Note that these values will reflect the estimated number of teenage mothers at the end of 2013. Due to a gap in the data (2014 - where systems changed), these figures have not been updated.</t>
    </r>
  </si>
  <si>
    <t>Number of Eligible Children (12 months)</t>
  </si>
  <si>
    <t>Number of Eligible Children (24 months)</t>
  </si>
  <si>
    <t>Number of Eligible Children (5 years)</t>
  </si>
  <si>
    <t>Immunisations (2015/16) - full year aggregated from GP practices</t>
  </si>
  <si>
    <r>
      <t xml:space="preserve">Statistical issues: </t>
    </r>
    <r>
      <rPr>
        <sz val="11"/>
        <color theme="1"/>
        <rFont val="Calibri"/>
        <family val="2"/>
        <scheme val="minor"/>
      </rPr>
      <t>This data relates</t>
    </r>
    <r>
      <rPr>
        <sz val="11"/>
        <rFont val="Calibri"/>
        <family val="2"/>
        <scheme val="minor"/>
      </rPr>
      <t xml:space="preserve"> to 2012</t>
    </r>
    <r>
      <rPr>
        <sz val="11"/>
        <color theme="1"/>
        <rFont val="Calibri"/>
        <family val="2"/>
        <scheme val="minor"/>
      </rPr>
      <t xml:space="preserve">. The data were collected as part of the 12-16 week check (now offered at 6 weeks). Information provided relating to smoking at the time of delivery was therefore collected retrospectively. Only "yes" and "no" responses have been included. Non-response or "don't know" have been excluded from these calculations. This means that the total number of responses to each of the questions is different. </t>
    </r>
  </si>
  <si>
    <r>
      <rPr>
        <b/>
        <sz val="11"/>
        <color theme="1"/>
        <rFont val="Calibri"/>
        <family val="2"/>
        <scheme val="minor"/>
      </rPr>
      <t>Statistical Issues</t>
    </r>
    <r>
      <rPr>
        <sz val="11"/>
        <color theme="1"/>
        <rFont val="Calibri"/>
        <family val="2"/>
        <scheme val="minor"/>
      </rPr>
      <t>:  This data relates to 2014. The data were collected as part of the 12 week health visitor check (now offered at 6 weeks). Information provided relating to smoking at time of delivery was therefore collected retrospectively. Only “yes” and “no” responses have been included. Non-responses and “don’t know” responses have been removed from these calculations. This means that the total number of responses to each question may differ.</t>
    </r>
  </si>
  <si>
    <t>For 2014/15 - Note that due to the closure/merger of some GP surgeries within the county, data from these sites have been excluded as it is not clear whether duplication exists. Data from 88 GP surgeries within West Sussex have been included. For consistency, CCG data relates to the CCG assigned to the CFC (based on majority of LSOAs within the catchment area) rather than of the surgery; this may result in small differences with similar publications.</t>
  </si>
  <si>
    <r>
      <rPr>
        <b/>
        <sz val="11"/>
        <color theme="1"/>
        <rFont val="Calibri"/>
        <family val="2"/>
        <scheme val="minor"/>
      </rPr>
      <t>Indicator:</t>
    </r>
    <r>
      <rPr>
        <sz val="11"/>
        <color theme="1"/>
        <rFont val="Calibri"/>
        <family val="2"/>
        <scheme val="minor"/>
      </rPr>
      <t xml:space="preserve"> This data relates to 2015/16. The number of mothers who were known to be smokers at the time of delivery is shown as a proportion of all maternities. These published statistics are shown alongside the local level knowledge (from Health Visitor Database) to provide national, benchmarked figures for the most recent time point, and to help identify change over time. Data from Health Visitors regarding smoking is recorded in SystmOne, although smoking fields are not robustly coded to provide this data at small geographies at the present time.</t>
    </r>
  </si>
  <si>
    <t xml:space="preserve">Meningitis C. The delivery of the MenC vaccine has changed. Previously, the first vaccine was given to babies at between 3 and 4 months and a third dose was given at 12 months. The third dose was combined with the Hib vaccine (Hib/Men C booster). However, from 1st June 2013, children will have been offered only one priming dose of MenC vaccine at 12 weeks. The booster dose is offered after the first birthday as part of the MenC/Hib booster. In addition, from 1st July 2016 - the infant dose of MenC vaccine given at 12 weeks has been removed from the routine schedule. This most recent change will not affect the data presented here.
Low coverage of MenC is likely to reflect a delay to the reporting systems used to capture immunisation coverage.
</t>
  </si>
  <si>
    <t>The current immunisation schedule for young children can be viewed here.</t>
  </si>
  <si>
    <t>Pneumococcal booster (on or after 1st birthday, and up to 2nd birthday)*</t>
  </si>
  <si>
    <t>Pneumococcal booster (on or after 1st birthday, and up to 5th birthday)*</t>
  </si>
  <si>
    <t>Note. Data regarding postnatal depression is not currently available for 2015. We are investigating methods to extract data relating to post-natal depression from SystmOne, and hope to provide an update shortly.</t>
  </si>
  <si>
    <t xml:space="preserve">Note.Comparable data on smoking status of the mother is not available due to changes in the delivery of the health visitor checks (no longer delivered at 12 weeks).  We are currently investigating alternative methods to extract data on smoking status from SystmOne, and hope to provide an update shortly. </t>
  </si>
  <si>
    <t>* low coverage of PCV vaccine is thought to reflect changes in reporting, although this has yet to be confirmed. This is currently being investigated. This data should be viewed with a high degree of caution until this variation has been explained.</t>
  </si>
  <si>
    <r>
      <t xml:space="preserve">   </t>
    </r>
    <r>
      <rPr>
        <b/>
        <sz val="11"/>
        <color theme="1"/>
        <rFont val="Calibri"/>
        <family val="2"/>
        <scheme val="minor"/>
      </rPr>
      <t xml:space="preserve">Source: </t>
    </r>
    <r>
      <rPr>
        <sz val="11"/>
        <color theme="1"/>
        <rFont val="Calibri"/>
        <family val="2"/>
        <scheme val="minor"/>
      </rPr>
      <t xml:space="preserve">Birth Notification - Child Health Bureau (to 2013), SCFT (SystmOne - 2015) and ONS </t>
    </r>
  </si>
  <si>
    <r>
      <t xml:space="preserve">Source: </t>
    </r>
    <r>
      <rPr>
        <sz val="11"/>
        <color theme="1"/>
        <rFont val="Calibri"/>
        <family val="2"/>
        <scheme val="minor"/>
      </rPr>
      <t>Birth Notification 2013 (Child Health Bureau) and 2015 (SCFT - SystmOne)</t>
    </r>
  </si>
  <si>
    <r>
      <rPr>
        <b/>
        <sz val="11"/>
        <color theme="1"/>
        <rFont val="Calibri"/>
        <family val="2"/>
        <scheme val="minor"/>
      </rPr>
      <t xml:space="preserve">Statistical issues: </t>
    </r>
    <r>
      <rPr>
        <sz val="11"/>
        <color theme="1"/>
        <rFont val="Calibri"/>
        <family val="2"/>
        <scheme val="minor"/>
      </rPr>
      <t>The data shows the number and percentage of babies born of weight less than 2.5kg. The data relates to 2013 and 2015 only. Single year data should be treated with caution. The caveats relating to births (described above) also apply here.</t>
    </r>
  </si>
  <si>
    <r>
      <t xml:space="preserve">Statistical Issues: </t>
    </r>
    <r>
      <rPr>
        <sz val="11"/>
        <color theme="1"/>
        <rFont val="Calibri"/>
        <family val="2"/>
        <scheme val="minor"/>
      </rPr>
      <t>Immunisation coverage data is aggregated from GP practice level data and this includes "in and out" of area children (i.e. some children may reside in a different CFC catchment area to the catchment area of their registered GP surgery, or may live beyond the county boundary). Data here only relate to children registered to a West Sussex GP surgery. Each GP surgery has been assigned to a CFC catchment area based on the postcode. This data is from</t>
    </r>
    <r>
      <rPr>
        <sz val="11"/>
        <rFont val="Calibri"/>
        <family val="2"/>
        <scheme val="minor"/>
      </rPr>
      <t xml:space="preserve"> 2014/15 and 2015/16 and relates to children who had their 1st, 2nd and 5th birthday within those years. Note than NHS England do not have any quality control restrictions on the GP level immunisation statistics. </t>
    </r>
    <r>
      <rPr>
        <b/>
        <u/>
        <sz val="11"/>
        <rFont val="Calibri"/>
        <family val="2"/>
        <scheme val="minor"/>
      </rPr>
      <t xml:space="preserve">Therefore, low coverage may reflect changes in data recording, or low data quality rather than true coverage. </t>
    </r>
    <r>
      <rPr>
        <sz val="11"/>
        <rFont val="Calibri"/>
        <family val="2"/>
        <scheme val="minor"/>
      </rPr>
      <t>Local knowledge should be considered to determine whether data quality concerns exist.</t>
    </r>
  </si>
</sst>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43" formatCode="_-* #,##0.00_-;\-* #,##0.00_-;_-* &quot;-&quot;??_-;_-@_-"/>
    <numFmt numFmtId="164" formatCode="hh:mmAM/PM\ dddd\ dd\ mmmm\ yyyy"/>
    <numFmt numFmtId="165" formatCode="0.0%"/>
    <numFmt numFmtId="166" formatCode="_-* #,##0_-;\-* #,##0_-;_-* &quot;-&quot;??_-;_-@_-"/>
    <numFmt numFmtId="167" formatCode="0.0"/>
    <numFmt numFmtId="168" formatCode="#.00"/>
    <numFmt numFmtId="169" formatCode="#,##0_ ;\-#,##0\ "/>
    <numFmt numFmtId="170" formatCode="0.00000"/>
    <numFmt numFmtId="171" formatCode="0.000%"/>
  </numFmts>
  <fonts count="84" x14ac:knownFonts="1">
    <font>
      <sz val="11"/>
      <color theme="1"/>
      <name val="Verdana"/>
      <family val="2"/>
    </font>
    <font>
      <sz val="11"/>
      <color theme="1"/>
      <name val="Verdana"/>
      <family val="2"/>
    </font>
    <font>
      <sz val="11"/>
      <color theme="1"/>
      <name val="Calibri"/>
      <family val="2"/>
      <scheme val="minor"/>
    </font>
    <font>
      <b/>
      <sz val="10"/>
      <color theme="1"/>
      <name val="Calibri"/>
      <family val="2"/>
      <scheme val="minor"/>
    </font>
    <font>
      <sz val="10"/>
      <color theme="1"/>
      <name val="Calibri"/>
      <family val="2"/>
      <scheme val="minor"/>
    </font>
    <font>
      <b/>
      <sz val="12"/>
      <color theme="0"/>
      <name val="Calibri"/>
      <family val="2"/>
      <scheme val="minor"/>
    </font>
    <font>
      <sz val="11"/>
      <color theme="0"/>
      <name val="Calibri"/>
      <family val="2"/>
      <scheme val="minor"/>
    </font>
    <font>
      <b/>
      <sz val="14"/>
      <color theme="1"/>
      <name val="Calibri"/>
      <family val="2"/>
      <scheme val="minor"/>
    </font>
    <font>
      <b/>
      <sz val="11"/>
      <color theme="1"/>
      <name val="Calibri"/>
      <family val="2"/>
      <scheme val="minor"/>
    </font>
    <font>
      <b/>
      <sz val="11"/>
      <name val="Calibri"/>
      <family val="2"/>
      <scheme val="minor"/>
    </font>
    <font>
      <sz val="9"/>
      <color theme="1"/>
      <name val="Calibri"/>
      <family val="2"/>
      <scheme val="minor"/>
    </font>
    <font>
      <sz val="10"/>
      <name val="Calibri"/>
      <family val="2"/>
      <scheme val="minor"/>
    </font>
    <font>
      <sz val="9"/>
      <color indexed="81"/>
      <name val="Tahoma"/>
      <family val="2"/>
    </font>
    <font>
      <b/>
      <sz val="9"/>
      <color indexed="81"/>
      <name val="Tahoma"/>
      <family val="2"/>
    </font>
    <font>
      <sz val="10"/>
      <color indexed="8"/>
      <name val="Arial"/>
      <family val="2"/>
    </font>
    <font>
      <sz val="10"/>
      <name val="Arial"/>
      <family val="2"/>
    </font>
    <font>
      <u/>
      <sz val="10"/>
      <color indexed="12"/>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9"/>
      <color theme="1"/>
      <name val="Arial"/>
      <family val="2"/>
    </font>
    <font>
      <sz val="11"/>
      <color theme="0"/>
      <name val="Verdana"/>
      <family val="2"/>
    </font>
    <font>
      <sz val="11"/>
      <name val="Calibri"/>
      <family val="2"/>
      <scheme val="minor"/>
    </font>
    <font>
      <b/>
      <sz val="12"/>
      <color theme="1"/>
      <name val="Calibri"/>
      <family val="2"/>
      <scheme val="minor"/>
    </font>
    <font>
      <sz val="12"/>
      <color theme="1"/>
      <name val="Calibri"/>
      <family val="2"/>
      <scheme val="minor"/>
    </font>
    <font>
      <sz val="9"/>
      <color theme="0"/>
      <name val="Calibri"/>
      <family val="2"/>
      <scheme val="minor"/>
    </font>
    <font>
      <sz val="10"/>
      <name val="Arial"/>
      <family val="2"/>
    </font>
    <font>
      <sz val="8"/>
      <color theme="1"/>
      <name val="Gill Sans MT"/>
      <family val="2"/>
    </font>
    <font>
      <sz val="8"/>
      <color theme="1"/>
      <name val="Calibri"/>
      <family val="2"/>
      <scheme val="minor"/>
    </font>
    <font>
      <b/>
      <sz val="10"/>
      <name val="Arial"/>
      <family val="2"/>
    </font>
    <font>
      <b/>
      <sz val="8"/>
      <name val="Arial"/>
      <family val="2"/>
    </font>
    <font>
      <sz val="8"/>
      <name val="Arial"/>
      <family val="2"/>
    </font>
    <font>
      <i/>
      <sz val="11"/>
      <color theme="1"/>
      <name val="Calibri"/>
      <family val="2"/>
      <scheme val="minor"/>
    </font>
    <font>
      <b/>
      <i/>
      <u/>
      <sz val="11"/>
      <color theme="1"/>
      <name val="Calibri"/>
      <family val="2"/>
      <scheme val="minor"/>
    </font>
    <font>
      <b/>
      <u/>
      <sz val="11"/>
      <color theme="1"/>
      <name val="Calibri"/>
      <family val="2"/>
      <scheme val="minor"/>
    </font>
    <font>
      <sz val="11"/>
      <name val="Verdana"/>
      <family val="2"/>
    </font>
    <font>
      <b/>
      <sz val="10"/>
      <name val="Calibri"/>
      <family val="2"/>
      <scheme val="minor"/>
    </font>
    <font>
      <b/>
      <sz val="12"/>
      <name val="Calibri"/>
      <family val="2"/>
      <scheme val="minor"/>
    </font>
    <font>
      <b/>
      <i/>
      <sz val="11"/>
      <color theme="1"/>
      <name val="Calibri"/>
      <family val="2"/>
      <scheme val="minor"/>
    </font>
    <font>
      <b/>
      <i/>
      <sz val="11"/>
      <color theme="4"/>
      <name val="Calibri"/>
      <family val="2"/>
      <scheme val="minor"/>
    </font>
    <font>
      <b/>
      <sz val="12"/>
      <color theme="4"/>
      <name val="Calibri"/>
      <family val="2"/>
      <scheme val="minor"/>
    </font>
    <font>
      <i/>
      <sz val="10"/>
      <name val="Calibri"/>
      <family val="2"/>
      <scheme val="minor"/>
    </font>
    <font>
      <i/>
      <sz val="10"/>
      <color indexed="9"/>
      <name val="Calibri"/>
      <family val="2"/>
      <scheme val="minor"/>
    </font>
    <font>
      <sz val="10"/>
      <color theme="0"/>
      <name val="Calibri"/>
      <family val="2"/>
      <scheme val="minor"/>
    </font>
    <font>
      <sz val="10"/>
      <color theme="1"/>
      <name val="Verdana"/>
      <family val="2"/>
    </font>
    <font>
      <sz val="8"/>
      <color theme="0"/>
      <name val="Calibri"/>
      <family val="2"/>
      <scheme val="minor"/>
    </font>
    <font>
      <u/>
      <sz val="11"/>
      <color theme="1"/>
      <name val="Calibri"/>
      <family val="2"/>
      <scheme val="minor"/>
    </font>
    <font>
      <b/>
      <sz val="11"/>
      <color rgb="FF000000"/>
      <name val="Calibri"/>
      <family val="2"/>
      <scheme val="minor"/>
    </font>
    <font>
      <sz val="11"/>
      <color rgb="FF000000"/>
      <name val="Calibri"/>
      <family val="2"/>
      <scheme val="minor"/>
    </font>
    <font>
      <i/>
      <sz val="11"/>
      <color rgb="FF000000"/>
      <name val="Calibri"/>
      <family val="2"/>
      <scheme val="minor"/>
    </font>
    <font>
      <u/>
      <sz val="11"/>
      <color indexed="12"/>
      <name val="Calibri"/>
      <family val="2"/>
      <scheme val="minor"/>
    </font>
    <font>
      <i/>
      <sz val="11"/>
      <name val="Calibri"/>
      <family val="2"/>
      <scheme val="minor"/>
    </font>
    <font>
      <sz val="11"/>
      <color rgb="FFFF0000"/>
      <name val="Verdana"/>
      <family val="2"/>
    </font>
    <font>
      <sz val="11"/>
      <color theme="5"/>
      <name val="Calibri"/>
      <family val="2"/>
      <scheme val="minor"/>
    </font>
    <font>
      <u/>
      <sz val="10"/>
      <color indexed="12"/>
      <name val="Calibri"/>
      <family val="2"/>
      <scheme val="minor"/>
    </font>
    <font>
      <b/>
      <sz val="10"/>
      <color theme="0"/>
      <name val="Calibri"/>
      <family val="2"/>
      <scheme val="minor"/>
    </font>
    <font>
      <sz val="10"/>
      <name val="MS Sans Serif"/>
      <family val="2"/>
    </font>
    <font>
      <u/>
      <sz val="10"/>
      <color indexed="12"/>
      <name val="MS Sans Serif"/>
      <family val="2"/>
    </font>
    <font>
      <sz val="11"/>
      <color rgb="FFFF0000"/>
      <name val="Calibri"/>
      <family val="2"/>
      <scheme val="minor"/>
    </font>
    <font>
      <sz val="10"/>
      <color rgb="FFFF0000"/>
      <name val="Calibri"/>
      <family val="2"/>
      <scheme val="minor"/>
    </font>
    <font>
      <i/>
      <u/>
      <sz val="11"/>
      <color theme="1"/>
      <name val="Calibri"/>
      <family val="2"/>
      <scheme val="minor"/>
    </font>
    <font>
      <sz val="9"/>
      <color theme="0"/>
      <name val="Verdana"/>
      <family val="2"/>
    </font>
    <font>
      <sz val="11"/>
      <color indexed="12"/>
      <name val="Calibri"/>
      <family val="2"/>
      <scheme val="minor"/>
    </font>
    <font>
      <sz val="8"/>
      <name val="Calibri"/>
      <family val="2"/>
      <scheme val="minor"/>
    </font>
    <font>
      <b/>
      <u/>
      <sz val="11"/>
      <name val="Calibri"/>
      <family val="2"/>
      <scheme val="minor"/>
    </font>
    <font>
      <sz val="11"/>
      <color indexed="8"/>
      <name val="Calibri"/>
      <family val="2"/>
      <scheme val="minor"/>
    </font>
    <font>
      <u/>
      <sz val="11"/>
      <color theme="10"/>
      <name val="Calibri"/>
      <family val="2"/>
      <scheme val="minor"/>
    </font>
    <font>
      <sz val="10"/>
      <color indexed="8"/>
      <name val="Calibri"/>
      <family val="2"/>
      <scheme val="minor"/>
    </font>
    <font>
      <u/>
      <sz val="11"/>
      <color theme="10"/>
      <name val="Verdana"/>
      <family val="2"/>
    </font>
    <font>
      <b/>
      <sz val="11"/>
      <color theme="1"/>
      <name val="Verdana"/>
      <family val="2"/>
    </font>
  </fonts>
  <fills count="43">
    <fill>
      <patternFill patternType="none"/>
    </fill>
    <fill>
      <patternFill patternType="gray125"/>
    </fill>
    <fill>
      <patternFill patternType="solid">
        <fgColor theme="0"/>
        <bgColor indexed="64"/>
      </patternFill>
    </fill>
    <fill>
      <patternFill patternType="solid">
        <fgColor theme="7" tint="0.39997558519241921"/>
        <bgColor indexed="64"/>
      </patternFill>
    </fill>
    <fill>
      <patternFill patternType="solid">
        <fgColor theme="5" tint="0.79998168889431442"/>
        <bgColor indexed="64"/>
      </patternFill>
    </fill>
    <fill>
      <patternFill patternType="solid">
        <fgColor theme="3" tint="0.79998168889431442"/>
        <bgColor indexed="64"/>
      </patternFill>
    </fill>
    <fill>
      <patternFill patternType="solid">
        <fgColor theme="7" tint="0.59999389629810485"/>
        <bgColor indexed="64"/>
      </patternFill>
    </fill>
    <fill>
      <patternFill patternType="solid">
        <fgColor theme="4" tint="0.59999389629810485"/>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theme="4" tint="0.39997558519241921"/>
        <bgColor indexed="64"/>
      </patternFill>
    </fill>
    <fill>
      <patternFill patternType="solid">
        <fgColor theme="6" tint="0.39997558519241921"/>
        <bgColor indexed="64"/>
      </patternFill>
    </fill>
    <fill>
      <patternFill patternType="solid">
        <fgColor theme="5" tint="0.59999389629810485"/>
        <bgColor indexed="64"/>
      </patternFill>
    </fill>
    <fill>
      <patternFill patternType="solid">
        <fgColor theme="4" tint="0.79998168889431442"/>
        <bgColor indexed="64"/>
      </patternFill>
    </fill>
    <fill>
      <patternFill patternType="solid">
        <fgColor rgb="FF92D050"/>
        <bgColor indexed="64"/>
      </patternFill>
    </fill>
    <fill>
      <patternFill patternType="solid">
        <fgColor rgb="FFCC0000"/>
        <bgColor indexed="64"/>
      </patternFill>
    </fill>
    <fill>
      <patternFill patternType="solid">
        <fgColor indexed="9"/>
        <bgColor indexed="64"/>
      </patternFill>
    </fill>
    <fill>
      <patternFill patternType="solid">
        <fgColor theme="6" tint="0.79998168889431442"/>
        <bgColor indexed="64"/>
      </patternFill>
    </fill>
    <fill>
      <patternFill patternType="solid">
        <fgColor theme="6" tint="0.59999389629810485"/>
        <bgColor indexed="64"/>
      </patternFill>
    </fill>
    <fill>
      <patternFill patternType="solid">
        <fgColor theme="4"/>
        <bgColor indexed="64"/>
      </patternFill>
    </fill>
    <fill>
      <patternFill patternType="solid">
        <fgColor theme="2"/>
        <bgColor indexed="64"/>
      </patternFill>
    </fill>
  </fills>
  <borders count="95">
    <border>
      <left/>
      <right/>
      <top/>
      <bottom/>
      <diagonal/>
    </border>
    <border>
      <left/>
      <right/>
      <top/>
      <bottom style="thin">
        <color indexed="64"/>
      </bottom>
      <diagonal/>
    </border>
    <border>
      <left/>
      <right style="thin">
        <color indexed="64"/>
      </right>
      <top/>
      <bottom/>
      <diagonal/>
    </border>
    <border>
      <left/>
      <right style="thin">
        <color indexed="64"/>
      </right>
      <top/>
      <bottom style="thin">
        <color indexed="64"/>
      </bottom>
      <diagonal/>
    </border>
    <border>
      <left style="thin">
        <color indexed="64"/>
      </left>
      <right/>
      <top/>
      <bottom/>
      <diagonal/>
    </border>
    <border>
      <left style="thin">
        <color indexed="64"/>
      </left>
      <right/>
      <top/>
      <bottom style="thin">
        <color indexed="64"/>
      </bottom>
      <diagonal/>
    </border>
    <border>
      <left style="thin">
        <color theme="0" tint="-0.249977111117893"/>
      </left>
      <right/>
      <top style="thin">
        <color theme="0" tint="-0.249977111117893"/>
      </top>
      <bottom/>
      <diagonal/>
    </border>
    <border>
      <left/>
      <right/>
      <top style="thin">
        <color theme="0" tint="-0.249977111117893"/>
      </top>
      <bottom/>
      <diagonal/>
    </border>
    <border>
      <left/>
      <right style="thin">
        <color theme="0" tint="-0.249977111117893"/>
      </right>
      <top style="thin">
        <color theme="0" tint="-0.249977111117893"/>
      </top>
      <bottom/>
      <diagonal/>
    </border>
    <border>
      <left style="thin">
        <color theme="0" tint="-0.249977111117893"/>
      </left>
      <right/>
      <top/>
      <bottom/>
      <diagonal/>
    </border>
    <border>
      <left/>
      <right style="thin">
        <color theme="0" tint="-0.249977111117893"/>
      </right>
      <top/>
      <bottom/>
      <diagonal/>
    </border>
    <border>
      <left style="thin">
        <color theme="0" tint="-0.249977111117893"/>
      </left>
      <right/>
      <top/>
      <bottom style="thin">
        <color theme="0" tint="-0.249977111117893"/>
      </bottom>
      <diagonal/>
    </border>
    <border>
      <left/>
      <right/>
      <top/>
      <bottom style="thin">
        <color theme="0" tint="-0.249977111117893"/>
      </bottom>
      <diagonal/>
    </border>
    <border>
      <left/>
      <right style="thin">
        <color theme="0" tint="-0.249977111117893"/>
      </right>
      <top/>
      <bottom style="thin">
        <color theme="0" tint="-0.249977111117893"/>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style="thin">
        <color theme="0" tint="-0.249977111117893"/>
      </top>
      <bottom/>
      <diagonal/>
    </border>
    <border>
      <left style="thin">
        <color theme="0" tint="-0.249977111117893"/>
      </left>
      <right style="thin">
        <color theme="0" tint="-0.249977111117893"/>
      </right>
      <top/>
      <bottom/>
      <diagonal/>
    </border>
    <border>
      <left style="thin">
        <color theme="0" tint="-0.249977111117893"/>
      </left>
      <right style="thin">
        <color theme="0" tint="-0.249977111117893"/>
      </right>
      <top/>
      <bottom style="thin">
        <color theme="0" tint="-0.249977111117893"/>
      </bottom>
      <diagonal/>
    </border>
    <border>
      <left style="thin">
        <color theme="0" tint="-0.249977111117893"/>
      </left>
      <right/>
      <top style="thin">
        <color theme="0" tint="-0.249977111117893"/>
      </top>
      <bottom style="thin">
        <color theme="0" tint="-0.249977111117893"/>
      </bottom>
      <diagonal/>
    </border>
    <border>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right style="thin">
        <color indexed="64"/>
      </right>
      <top style="thin">
        <color indexed="64"/>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bottom style="thin">
        <color theme="0" tint="-0.34998626667073579"/>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style="thin">
        <color theme="0" tint="-0.34998626667073579"/>
      </left>
      <right style="thin">
        <color theme="0" tint="-0.34998626667073579"/>
      </right>
      <top style="thin">
        <color theme="0" tint="-0.34998626667073579"/>
      </top>
      <bottom/>
      <diagonal/>
    </border>
    <border>
      <left style="thin">
        <color indexed="9"/>
      </left>
      <right style="thin">
        <color indexed="9"/>
      </right>
      <top style="thin">
        <color indexed="9"/>
      </top>
      <bottom style="thin">
        <color indexed="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style="thin">
        <color theme="0" tint="-0.34998626667073579"/>
      </bottom>
      <diagonal/>
    </border>
    <border>
      <left/>
      <right style="thin">
        <color theme="0" tint="-0.34998626667073579"/>
      </right>
      <top/>
      <bottom style="thin">
        <color theme="0" tint="-0.34998626667073579"/>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top/>
      <bottom style="thin">
        <color theme="0" tint="-0.34998626667073579"/>
      </bottom>
      <diagonal/>
    </border>
    <border>
      <left/>
      <right style="thin">
        <color theme="0" tint="-0.249977111117893"/>
      </right>
      <top/>
      <bottom style="thin">
        <color theme="0" tint="-0.34998626667073579"/>
      </bottom>
      <diagonal/>
    </border>
    <border>
      <left/>
      <right/>
      <top style="thin">
        <color theme="0" tint="-0.34998626667073579"/>
      </top>
      <bottom/>
      <diagonal/>
    </border>
    <border>
      <left/>
      <right style="thin">
        <color theme="0" tint="-0.249977111117893"/>
      </right>
      <top style="thin">
        <color theme="0" tint="-0.34998626667073579"/>
      </top>
      <bottom/>
      <diagonal/>
    </border>
    <border>
      <left/>
      <right style="thin">
        <color theme="7"/>
      </right>
      <top/>
      <bottom/>
      <diagonal/>
    </border>
    <border>
      <left/>
      <right style="thin">
        <color theme="7"/>
      </right>
      <top/>
      <bottom style="thin">
        <color indexed="64"/>
      </bottom>
      <diagonal/>
    </border>
    <border>
      <left style="thin">
        <color theme="3"/>
      </left>
      <right style="thin">
        <color theme="0" tint="-0.249977111117893"/>
      </right>
      <top style="thin">
        <color theme="3"/>
      </top>
      <bottom style="thin">
        <color theme="0" tint="-0.249977111117893"/>
      </bottom>
      <diagonal/>
    </border>
    <border>
      <left style="thin">
        <color theme="0" tint="-0.249977111117893"/>
      </left>
      <right style="thin">
        <color theme="0" tint="-0.249977111117893"/>
      </right>
      <top style="thin">
        <color theme="3"/>
      </top>
      <bottom style="thin">
        <color theme="0" tint="-0.249977111117893"/>
      </bottom>
      <diagonal/>
    </border>
    <border>
      <left style="thin">
        <color theme="0" tint="-0.249977111117893"/>
      </left>
      <right style="thin">
        <color theme="3"/>
      </right>
      <top style="thin">
        <color theme="3"/>
      </top>
      <bottom style="thin">
        <color theme="0" tint="-0.249977111117893"/>
      </bottom>
      <diagonal/>
    </border>
    <border>
      <left style="thin">
        <color theme="3"/>
      </left>
      <right style="thin">
        <color theme="0" tint="-0.249977111117893"/>
      </right>
      <top style="thin">
        <color theme="0" tint="-0.249977111117893"/>
      </top>
      <bottom style="thin">
        <color theme="3"/>
      </bottom>
      <diagonal/>
    </border>
    <border>
      <left style="thin">
        <color theme="0" tint="-0.249977111117893"/>
      </left>
      <right style="thin">
        <color theme="0" tint="-0.249977111117893"/>
      </right>
      <top style="thin">
        <color theme="0" tint="-0.249977111117893"/>
      </top>
      <bottom style="thin">
        <color theme="3"/>
      </bottom>
      <diagonal/>
    </border>
    <border>
      <left style="thin">
        <color theme="0" tint="-0.249977111117893"/>
      </left>
      <right style="thin">
        <color theme="3"/>
      </right>
      <top style="thin">
        <color theme="0" tint="-0.249977111117893"/>
      </top>
      <bottom style="thin">
        <color theme="3"/>
      </bottom>
      <diagonal/>
    </border>
    <border>
      <left style="thin">
        <color theme="0" tint="-0.249977111117893"/>
      </left>
      <right style="thin">
        <color theme="3"/>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3"/>
      </bottom>
      <diagonal/>
    </border>
    <border>
      <left style="thin">
        <color theme="0" tint="-0.249977111117893"/>
      </left>
      <right style="thin">
        <color theme="3"/>
      </right>
      <top/>
      <bottom style="thin">
        <color theme="0" tint="-0.249977111117893"/>
      </bottom>
      <diagonal/>
    </border>
    <border>
      <left/>
      <right style="thin">
        <color theme="0" tint="-0.249977111117893"/>
      </right>
      <top style="thin">
        <color theme="3"/>
      </top>
      <bottom style="thin">
        <color theme="0" tint="-0.249977111117893"/>
      </bottom>
      <diagonal/>
    </border>
    <border>
      <left style="thin">
        <color theme="3"/>
      </left>
      <right style="thin">
        <color theme="0" tint="-0.249977111117893"/>
      </right>
      <top style="thin">
        <color theme="0" tint="-0.249977111117893"/>
      </top>
      <bottom style="thin">
        <color theme="0" tint="-0.249977111117893"/>
      </bottom>
      <diagonal/>
    </border>
    <border>
      <left style="thin">
        <color theme="3"/>
      </left>
      <right style="thin">
        <color theme="0" tint="-0.249977111117893"/>
      </right>
      <top/>
      <bottom style="thin">
        <color theme="0" tint="-0.249977111117893"/>
      </bottom>
      <diagonal/>
    </border>
    <border>
      <left style="thin">
        <color theme="0" tint="-0.34998626667073579"/>
      </left>
      <right/>
      <top/>
      <bottom/>
      <diagonal/>
    </border>
    <border>
      <left/>
      <right style="thin">
        <color theme="0" tint="-0.34998626667073579"/>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theme="0" tint="-0.249977111117893"/>
      </left>
      <right/>
      <top style="thin">
        <color theme="0" tint="-0.34998626667073579"/>
      </top>
      <bottom style="thin">
        <color theme="0" tint="-0.249977111117893"/>
      </bottom>
      <diagonal/>
    </border>
    <border>
      <left/>
      <right style="thin">
        <color theme="0" tint="-0.34998626667073579"/>
      </right>
      <top style="thin">
        <color theme="0" tint="-0.34998626667073579"/>
      </top>
      <bottom style="thin">
        <color theme="0" tint="-0.249977111117893"/>
      </bottom>
      <diagonal/>
    </border>
    <border>
      <left/>
      <right style="thin">
        <color theme="0" tint="-0.34998626667073579"/>
      </right>
      <top style="thin">
        <color theme="0" tint="-0.249977111117893"/>
      </top>
      <bottom style="thin">
        <color theme="0" tint="-0.249977111117893"/>
      </bottom>
      <diagonal/>
    </border>
    <border>
      <left style="thin">
        <color indexed="64"/>
      </left>
      <right style="thin">
        <color theme="0" tint="-0.34998626667073579"/>
      </right>
      <top style="thin">
        <color theme="0" tint="-0.34998626667073579"/>
      </top>
      <bottom style="thin">
        <color indexed="64"/>
      </bottom>
      <diagonal/>
    </border>
    <border>
      <left style="thin">
        <color indexed="64"/>
      </left>
      <right style="thin">
        <color theme="0" tint="-0.34998626667073579"/>
      </right>
      <top style="thin">
        <color indexed="64"/>
      </top>
      <bottom style="thin">
        <color indexed="64"/>
      </bottom>
      <diagonal/>
    </border>
    <border>
      <left style="thin">
        <color theme="0" tint="-0.34998626667073579"/>
      </left>
      <right/>
      <top/>
      <bottom style="thin">
        <color theme="0" tint="-0.249977111117893"/>
      </bottom>
      <diagonal/>
    </border>
    <border>
      <left style="thin">
        <color theme="0" tint="-0.34998626667073579"/>
      </left>
      <right/>
      <top style="thin">
        <color theme="0" tint="-0.249977111117893"/>
      </top>
      <bottom/>
      <diagonal/>
    </border>
    <border>
      <left style="thin">
        <color indexed="64"/>
      </left>
      <right style="thin">
        <color theme="0" tint="-0.34998626667073579"/>
      </right>
      <top style="thin">
        <color indexed="64"/>
      </top>
      <bottom style="thin">
        <color theme="0" tint="-0.34998626667073579"/>
      </bottom>
      <diagonal/>
    </border>
    <border>
      <left/>
      <right style="thin">
        <color indexed="64"/>
      </right>
      <top style="thin">
        <color theme="0" tint="-0.34998626667073579"/>
      </top>
      <bottom style="thin">
        <color indexed="64"/>
      </bottom>
      <diagonal/>
    </border>
    <border>
      <left/>
      <right style="thin">
        <color indexed="64"/>
      </right>
      <top style="thin">
        <color indexed="64"/>
      </top>
      <bottom style="thin">
        <color theme="0" tint="-0.34998626667073579"/>
      </bottom>
      <diagonal/>
    </border>
    <border>
      <left style="thin">
        <color indexed="64"/>
      </left>
      <right style="thin">
        <color theme="0" tint="-0.34998626667073579"/>
      </right>
      <top/>
      <bottom style="thin">
        <color indexed="64"/>
      </bottom>
      <diagonal/>
    </border>
    <border>
      <left/>
      <right/>
      <top style="thin">
        <color indexed="64"/>
      </top>
      <bottom/>
      <diagonal/>
    </border>
    <border>
      <left style="thin">
        <color theme="0" tint="-0.34998626667073579"/>
      </left>
      <right/>
      <top style="thin">
        <color theme="0" tint="-0.249977111117893"/>
      </top>
      <bottom style="thin">
        <color theme="0" tint="-0.249977111117893"/>
      </bottom>
      <diagonal/>
    </border>
    <border>
      <left/>
      <right/>
      <top style="thin">
        <color theme="0" tint="-0.34998626667073579"/>
      </top>
      <bottom style="thin">
        <color theme="0" tint="-0.249977111117893"/>
      </bottom>
      <diagonal/>
    </border>
    <border>
      <left/>
      <right style="thin">
        <color theme="0" tint="-0.249977111117893"/>
      </right>
      <top style="thin">
        <color theme="0" tint="-0.34998626667073579"/>
      </top>
      <bottom style="thin">
        <color theme="0" tint="-0.249977111117893"/>
      </bottom>
      <diagonal/>
    </border>
    <border>
      <left style="thin">
        <color theme="0" tint="-0.249977111117893"/>
      </left>
      <right/>
      <top style="thin">
        <color theme="0" tint="-0.249977111117893"/>
      </top>
      <bottom style="thin">
        <color theme="0" tint="-0.34998626667073579"/>
      </bottom>
      <diagonal/>
    </border>
    <border>
      <left/>
      <right/>
      <top style="thin">
        <color theme="0" tint="-0.249977111117893"/>
      </top>
      <bottom style="thin">
        <color theme="0" tint="-0.34998626667073579"/>
      </bottom>
      <diagonal/>
    </border>
    <border>
      <left/>
      <right style="thin">
        <color theme="0" tint="-0.249977111117893"/>
      </right>
      <top style="thin">
        <color theme="0" tint="-0.249977111117893"/>
      </top>
      <bottom style="thin">
        <color theme="0" tint="-0.34998626667073579"/>
      </bottom>
      <diagonal/>
    </border>
    <border>
      <left style="thin">
        <color theme="0" tint="-0.249977111117893"/>
      </left>
      <right/>
      <top style="thin">
        <color theme="0" tint="-0.34998626667073579"/>
      </top>
      <bottom style="thin">
        <color theme="0" tint="-0.34998626667073579"/>
      </bottom>
      <diagonal/>
    </border>
    <border>
      <left/>
      <right style="thin">
        <color theme="0" tint="-0.34998626667073579"/>
      </right>
      <top/>
      <bottom style="thin">
        <color theme="0" tint="-0.249977111117893"/>
      </bottom>
      <diagonal/>
    </border>
  </borders>
  <cellStyleXfs count="75">
    <xf numFmtId="0" fontId="0" fillId="0" borderId="0"/>
    <xf numFmtId="9" fontId="1" fillId="0" borderId="0" applyFont="0" applyFill="0" applyBorder="0" applyAlignment="0" applyProtection="0"/>
    <xf numFmtId="43" fontId="1" fillId="0" borderId="0" applyFont="0" applyFill="0" applyBorder="0" applyAlignment="0" applyProtection="0"/>
    <xf numFmtId="0" fontId="14" fillId="0" borderId="0">
      <alignment vertical="top"/>
    </xf>
    <xf numFmtId="0" fontId="15" fillId="0" borderId="0"/>
    <xf numFmtId="0" fontId="17" fillId="10" borderId="0" applyNumberFormat="0" applyBorder="0" applyAlignment="0" applyProtection="0"/>
    <xf numFmtId="0" fontId="17"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7" fillId="14" borderId="0" applyNumberFormat="0" applyBorder="0" applyAlignment="0" applyProtection="0"/>
    <xf numFmtId="0" fontId="17"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7" fillId="18" borderId="0" applyNumberFormat="0" applyBorder="0" applyAlignment="0" applyProtection="0"/>
    <xf numFmtId="0" fontId="17" fillId="13" borderId="0" applyNumberFormat="0" applyBorder="0" applyAlignment="0" applyProtection="0"/>
    <xf numFmtId="0" fontId="17" fillId="16" borderId="0" applyNumberFormat="0" applyBorder="0" applyAlignment="0" applyProtection="0"/>
    <xf numFmtId="0" fontId="17" fillId="19" borderId="0" applyNumberFormat="0" applyBorder="0" applyAlignment="0" applyProtection="0"/>
    <xf numFmtId="0" fontId="18" fillId="20" borderId="0" applyNumberFormat="0" applyBorder="0" applyAlignment="0" applyProtection="0"/>
    <xf numFmtId="0" fontId="18" fillId="17" borderId="0" applyNumberFormat="0" applyBorder="0" applyAlignment="0" applyProtection="0"/>
    <xf numFmtId="0" fontId="18" fillId="18" borderId="0" applyNumberFormat="0" applyBorder="0" applyAlignment="0" applyProtection="0"/>
    <xf numFmtId="0" fontId="18" fillId="21" borderId="0" applyNumberFormat="0" applyBorder="0" applyAlignment="0" applyProtection="0"/>
    <xf numFmtId="0" fontId="18" fillId="22" borderId="0" applyNumberFormat="0" applyBorder="0" applyAlignment="0" applyProtection="0"/>
    <xf numFmtId="0" fontId="18" fillId="23" borderId="0" applyNumberFormat="0" applyBorder="0" applyAlignment="0" applyProtection="0"/>
    <xf numFmtId="0" fontId="18" fillId="24" borderId="0" applyNumberFormat="0" applyBorder="0" applyAlignment="0" applyProtection="0"/>
    <xf numFmtId="0" fontId="18" fillId="25" borderId="0" applyNumberFormat="0" applyBorder="0" applyAlignment="0" applyProtection="0"/>
    <xf numFmtId="0" fontId="18" fillId="26" borderId="0" applyNumberFormat="0" applyBorder="0" applyAlignment="0" applyProtection="0"/>
    <xf numFmtId="0" fontId="18" fillId="21" borderId="0" applyNumberFormat="0" applyBorder="0" applyAlignment="0" applyProtection="0"/>
    <xf numFmtId="0" fontId="18" fillId="22" borderId="0" applyNumberFormat="0" applyBorder="0" applyAlignment="0" applyProtection="0"/>
    <xf numFmtId="0" fontId="18" fillId="27" borderId="0" applyNumberFormat="0" applyBorder="0" applyAlignment="0" applyProtection="0"/>
    <xf numFmtId="0" fontId="19" fillId="11" borderId="0" applyNumberFormat="0" applyBorder="0" applyAlignment="0" applyProtection="0"/>
    <xf numFmtId="0" fontId="20" fillId="28" borderId="21" applyNumberFormat="0" applyAlignment="0" applyProtection="0"/>
    <xf numFmtId="0" fontId="21" fillId="29" borderId="22" applyNumberFormat="0" applyAlignment="0" applyProtection="0"/>
    <xf numFmtId="43" fontId="15" fillId="0" borderId="0" applyFont="0" applyFill="0" applyBorder="0" applyAlignment="0" applyProtection="0"/>
    <xf numFmtId="0" fontId="22" fillId="0" borderId="0" applyNumberFormat="0" applyFill="0" applyBorder="0" applyAlignment="0" applyProtection="0"/>
    <xf numFmtId="0" fontId="23" fillId="12" borderId="0" applyNumberFormat="0" applyBorder="0" applyAlignment="0" applyProtection="0"/>
    <xf numFmtId="0" fontId="24" fillId="0" borderId="23" applyNumberFormat="0" applyFill="0" applyAlignment="0" applyProtection="0"/>
    <xf numFmtId="0" fontId="25" fillId="0" borderId="24" applyNumberFormat="0" applyFill="0" applyAlignment="0" applyProtection="0"/>
    <xf numFmtId="0" fontId="26" fillId="0" borderId="25" applyNumberFormat="0" applyFill="0" applyAlignment="0" applyProtection="0"/>
    <xf numFmtId="0" fontId="26" fillId="0" borderId="0" applyNumberFormat="0" applyFill="0" applyBorder="0" applyAlignment="0" applyProtection="0"/>
    <xf numFmtId="0" fontId="27" fillId="15" borderId="21" applyNumberFormat="0" applyAlignment="0" applyProtection="0"/>
    <xf numFmtId="0" fontId="28" fillId="0" borderId="26" applyNumberFormat="0" applyFill="0" applyAlignment="0" applyProtection="0"/>
    <xf numFmtId="0" fontId="29" fillId="30" borderId="0" applyNumberFormat="0" applyBorder="0" applyAlignment="0" applyProtection="0"/>
    <xf numFmtId="0" fontId="15" fillId="0" borderId="0"/>
    <xf numFmtId="0" fontId="34" fillId="0" borderId="0"/>
    <xf numFmtId="0" fontId="2" fillId="0" borderId="0"/>
    <xf numFmtId="0" fontId="15" fillId="31" borderId="27" applyNumberFormat="0" applyFont="0" applyAlignment="0" applyProtection="0"/>
    <xf numFmtId="0" fontId="30" fillId="28" borderId="28" applyNumberFormat="0" applyAlignment="0" applyProtection="0"/>
    <xf numFmtId="9" fontId="15" fillId="0" borderId="0" applyFont="0" applyFill="0" applyBorder="0" applyAlignment="0" applyProtection="0"/>
    <xf numFmtId="9" fontId="15" fillId="0" borderId="0" applyFont="0" applyFill="0" applyBorder="0" applyAlignment="0" applyProtection="0"/>
    <xf numFmtId="0" fontId="31" fillId="0" borderId="0" applyNumberFormat="0" applyFill="0" applyBorder="0" applyAlignment="0" applyProtection="0"/>
    <xf numFmtId="0" fontId="32" fillId="0" borderId="29" applyNumberFormat="0" applyFill="0" applyAlignment="0" applyProtection="0"/>
    <xf numFmtId="0" fontId="33" fillId="0" borderId="0" applyNumberFormat="0" applyFill="0" applyBorder="0" applyAlignment="0" applyProtection="0"/>
    <xf numFmtId="0" fontId="15" fillId="0" borderId="0"/>
    <xf numFmtId="0" fontId="16" fillId="0" borderId="0" applyNumberFormat="0" applyFill="0" applyBorder="0" applyAlignment="0" applyProtection="0">
      <alignment vertical="top"/>
      <protection locked="0"/>
    </xf>
    <xf numFmtId="0" fontId="2" fillId="0" borderId="0"/>
    <xf numFmtId="9" fontId="15" fillId="0" borderId="0" applyFont="0" applyFill="0" applyBorder="0" applyAlignment="0" applyProtection="0"/>
    <xf numFmtId="0" fontId="15" fillId="0" borderId="0"/>
    <xf numFmtId="0" fontId="40" fillId="0" borderId="0"/>
    <xf numFmtId="0" fontId="27" fillId="15" borderId="31" applyNumberFormat="0" applyAlignment="0" applyProtection="0"/>
    <xf numFmtId="0" fontId="20" fillId="28" borderId="31" applyNumberFormat="0" applyAlignment="0" applyProtection="0"/>
    <xf numFmtId="0" fontId="15" fillId="31" borderId="32" applyNumberFormat="0" applyFont="0" applyAlignment="0" applyProtection="0"/>
    <xf numFmtId="0" fontId="30" fillId="28" borderId="33" applyNumberFormat="0" applyAlignment="0" applyProtection="0"/>
    <xf numFmtId="0" fontId="32" fillId="0" borderId="34" applyNumberFormat="0" applyFill="0" applyAlignment="0" applyProtection="0"/>
    <xf numFmtId="0" fontId="20" fillId="28" borderId="35" applyNumberFormat="0" applyAlignment="0" applyProtection="0"/>
    <xf numFmtId="0" fontId="27" fillId="15" borderId="35" applyNumberFormat="0" applyAlignment="0" applyProtection="0"/>
    <xf numFmtId="0" fontId="16" fillId="0" borderId="0" applyNumberFormat="0" applyFill="0" applyBorder="0" applyAlignment="0" applyProtection="0">
      <alignment vertical="top"/>
      <protection locked="0"/>
    </xf>
    <xf numFmtId="0" fontId="70" fillId="0" borderId="0"/>
    <xf numFmtId="0" fontId="71" fillId="0" borderId="0" applyNumberFormat="0" applyFill="0" applyBorder="0" applyAlignment="0" applyProtection="0"/>
    <xf numFmtId="0" fontId="79" fillId="0" borderId="0"/>
    <xf numFmtId="9" fontId="79" fillId="0" borderId="0" applyFont="0" applyFill="0" applyBorder="0" applyAlignment="0" applyProtection="0"/>
    <xf numFmtId="0" fontId="80" fillId="0" borderId="0" applyNumberFormat="0" applyFill="0" applyBorder="0" applyAlignment="0" applyProtection="0"/>
    <xf numFmtId="0" fontId="1" fillId="0" borderId="0"/>
    <xf numFmtId="0" fontId="82" fillId="0" borderId="0" applyNumberFormat="0" applyFill="0" applyBorder="0" applyAlignment="0" applyProtection="0"/>
    <xf numFmtId="0" fontId="16" fillId="0" borderId="0" applyNumberFormat="0" applyFill="0" applyBorder="0" applyAlignment="0" applyProtection="0">
      <alignment vertical="top"/>
      <protection locked="0"/>
    </xf>
    <xf numFmtId="0" fontId="15" fillId="0" borderId="0"/>
  </cellStyleXfs>
  <cellXfs count="1474">
    <xf numFmtId="0" fontId="0" fillId="0" borderId="0" xfId="0"/>
    <xf numFmtId="0" fontId="0" fillId="2" borderId="0" xfId="0" applyFill="1"/>
    <xf numFmtId="0" fontId="2" fillId="2" borderId="0" xfId="0" applyFont="1" applyFill="1"/>
    <xf numFmtId="0" fontId="4" fillId="2" borderId="0" xfId="0" applyFont="1" applyFill="1"/>
    <xf numFmtId="0" fontId="4" fillId="2" borderId="1" xfId="0" applyFont="1" applyFill="1" applyBorder="1"/>
    <xf numFmtId="0" fontId="0" fillId="3" borderId="0" xfId="0" applyFill="1"/>
    <xf numFmtId="0" fontId="4" fillId="2" borderId="2" xfId="0" applyFont="1" applyFill="1" applyBorder="1"/>
    <xf numFmtId="0" fontId="4" fillId="2" borderId="3" xfId="0" applyFont="1" applyFill="1" applyBorder="1"/>
    <xf numFmtId="0" fontId="2" fillId="2" borderId="2" xfId="0" applyFont="1" applyFill="1" applyBorder="1"/>
    <xf numFmtId="0" fontId="4" fillId="2" borderId="0" xfId="0" applyFont="1" applyFill="1" applyBorder="1"/>
    <xf numFmtId="0" fontId="2" fillId="2" borderId="0" xfId="0" applyFont="1" applyFill="1" applyBorder="1"/>
    <xf numFmtId="0" fontId="3" fillId="2" borderId="1" xfId="0" applyFont="1" applyFill="1" applyBorder="1" applyAlignment="1">
      <alignment wrapText="1"/>
    </xf>
    <xf numFmtId="0" fontId="3" fillId="2" borderId="3" xfId="0" applyFont="1" applyFill="1" applyBorder="1" applyAlignment="1">
      <alignment wrapText="1"/>
    </xf>
    <xf numFmtId="0" fontId="4" fillId="2" borderId="4" xfId="0" applyFont="1" applyFill="1" applyBorder="1"/>
    <xf numFmtId="0" fontId="4" fillId="2" borderId="5" xfId="0" applyFont="1" applyFill="1" applyBorder="1"/>
    <xf numFmtId="0" fontId="3" fillId="2" borderId="5" xfId="0" applyFont="1" applyFill="1" applyBorder="1" applyAlignment="1">
      <alignment horizontal="center" wrapText="1"/>
    </xf>
    <xf numFmtId="165" fontId="4" fillId="2" borderId="4" xfId="1" applyNumberFormat="1" applyFont="1" applyFill="1" applyBorder="1"/>
    <xf numFmtId="165" fontId="4" fillId="2" borderId="0" xfId="1" applyNumberFormat="1" applyFont="1" applyFill="1"/>
    <xf numFmtId="165" fontId="4" fillId="2" borderId="0" xfId="1" applyNumberFormat="1" applyFont="1" applyFill="1" applyBorder="1"/>
    <xf numFmtId="165" fontId="4" fillId="2" borderId="5" xfId="1" applyNumberFormat="1" applyFont="1" applyFill="1" applyBorder="1"/>
    <xf numFmtId="165" fontId="4" fillId="2" borderId="1" xfId="1" applyNumberFormat="1" applyFont="1" applyFill="1" applyBorder="1"/>
    <xf numFmtId="164" fontId="6" fillId="2" borderId="0" xfId="0" applyNumberFormat="1" applyFont="1" applyFill="1"/>
    <xf numFmtId="165" fontId="4" fillId="2" borderId="0" xfId="0" applyNumberFormat="1" applyFont="1" applyFill="1"/>
    <xf numFmtId="165" fontId="4" fillId="2" borderId="1" xfId="0" applyNumberFormat="1" applyFont="1" applyFill="1" applyBorder="1"/>
    <xf numFmtId="0" fontId="7" fillId="2" borderId="0" xfId="0" applyFont="1" applyFill="1" applyBorder="1"/>
    <xf numFmtId="0" fontId="7" fillId="2" borderId="0" xfId="0" applyFont="1" applyFill="1"/>
    <xf numFmtId="0" fontId="8" fillId="2" borderId="0" xfId="0" applyFont="1" applyFill="1"/>
    <xf numFmtId="0" fontId="8" fillId="2" borderId="0" xfId="0" applyFont="1" applyFill="1" applyBorder="1"/>
    <xf numFmtId="0" fontId="9" fillId="5" borderId="11" xfId="0" applyFont="1" applyFill="1" applyBorder="1" applyAlignment="1">
      <alignment horizontal="center"/>
    </xf>
    <xf numFmtId="0" fontId="9" fillId="5" borderId="12" xfId="0" applyFont="1" applyFill="1" applyBorder="1" applyAlignment="1">
      <alignment horizontal="center"/>
    </xf>
    <xf numFmtId="0" fontId="9" fillId="6" borderId="12" xfId="0" applyFont="1" applyFill="1" applyBorder="1" applyAlignment="1">
      <alignment horizontal="center"/>
    </xf>
    <xf numFmtId="0" fontId="9" fillId="5" borderId="17" xfId="0" applyFont="1" applyFill="1" applyBorder="1" applyAlignment="1">
      <alignment horizontal="center"/>
    </xf>
    <xf numFmtId="0" fontId="8" fillId="5" borderId="17" xfId="0" applyFont="1" applyFill="1" applyBorder="1" applyAlignment="1">
      <alignment horizontal="center"/>
    </xf>
    <xf numFmtId="0" fontId="9" fillId="6" borderId="14" xfId="0" applyFont="1" applyFill="1" applyBorder="1" applyAlignment="1">
      <alignment horizontal="center"/>
    </xf>
    <xf numFmtId="0" fontId="8" fillId="6" borderId="14" xfId="0" applyFont="1" applyFill="1" applyBorder="1" applyAlignment="1">
      <alignment horizontal="center"/>
    </xf>
    <xf numFmtId="0" fontId="0" fillId="2" borderId="0" xfId="0" applyFill="1" applyBorder="1"/>
    <xf numFmtId="166" fontId="4" fillId="2" borderId="4" xfId="2" applyNumberFormat="1" applyFont="1" applyFill="1" applyBorder="1"/>
    <xf numFmtId="166" fontId="4" fillId="2" borderId="0" xfId="2" applyNumberFormat="1" applyFont="1" applyFill="1"/>
    <xf numFmtId="166" fontId="4" fillId="2" borderId="2" xfId="2" applyNumberFormat="1" applyFont="1" applyFill="1" applyBorder="1"/>
    <xf numFmtId="166" fontId="4" fillId="2" borderId="5" xfId="2" applyNumberFormat="1" applyFont="1" applyFill="1" applyBorder="1"/>
    <xf numFmtId="166" fontId="4" fillId="2" borderId="1" xfId="2" applyNumberFormat="1" applyFont="1" applyFill="1" applyBorder="1"/>
    <xf numFmtId="166" fontId="4" fillId="2" borderId="3" xfId="2" applyNumberFormat="1" applyFont="1" applyFill="1" applyBorder="1"/>
    <xf numFmtId="166" fontId="4" fillId="2" borderId="0" xfId="2" applyNumberFormat="1" applyFont="1" applyFill="1" applyBorder="1"/>
    <xf numFmtId="166" fontId="2" fillId="2" borderId="14" xfId="2" applyNumberFormat="1" applyFont="1" applyFill="1" applyBorder="1"/>
    <xf numFmtId="166" fontId="2" fillId="2" borderId="14" xfId="2" applyNumberFormat="1" applyFont="1" applyFill="1" applyBorder="1" applyAlignment="1">
      <alignment horizontal="right"/>
    </xf>
    <xf numFmtId="166" fontId="2" fillId="2" borderId="18" xfId="2" applyNumberFormat="1" applyFont="1" applyFill="1" applyBorder="1" applyAlignment="1">
      <alignment horizontal="right"/>
    </xf>
    <xf numFmtId="0" fontId="2" fillId="2" borderId="18" xfId="0" applyFont="1" applyFill="1" applyBorder="1" applyAlignment="1"/>
    <xf numFmtId="0" fontId="2" fillId="2" borderId="20" xfId="0" applyFont="1" applyFill="1" applyBorder="1" applyAlignment="1"/>
    <xf numFmtId="165" fontId="2" fillId="2" borderId="14" xfId="1" applyNumberFormat="1" applyFont="1" applyFill="1" applyBorder="1"/>
    <xf numFmtId="3" fontId="11" fillId="2" borderId="0" xfId="0" applyNumberFormat="1" applyFont="1" applyFill="1" applyBorder="1" applyAlignment="1">
      <alignment horizontal="right" vertical="top"/>
    </xf>
    <xf numFmtId="3" fontId="11" fillId="2" borderId="4" xfId="0" applyNumberFormat="1" applyFont="1" applyFill="1" applyBorder="1" applyAlignment="1">
      <alignment horizontal="right" vertical="top"/>
    </xf>
    <xf numFmtId="3" fontId="11" fillId="2" borderId="5" xfId="0" applyNumberFormat="1" applyFont="1" applyFill="1" applyBorder="1" applyAlignment="1">
      <alignment horizontal="right" vertical="top"/>
    </xf>
    <xf numFmtId="3" fontId="11" fillId="2" borderId="1" xfId="0" applyNumberFormat="1" applyFont="1" applyFill="1" applyBorder="1" applyAlignment="1">
      <alignment horizontal="right" vertical="top"/>
    </xf>
    <xf numFmtId="165" fontId="2" fillId="9" borderId="14" xfId="1" applyNumberFormat="1" applyFont="1" applyFill="1" applyBorder="1"/>
    <xf numFmtId="0" fontId="8" fillId="7" borderId="14" xfId="0" applyFont="1" applyFill="1" applyBorder="1" applyAlignment="1">
      <alignment horizontal="center" vertical="center" wrapText="1"/>
    </xf>
    <xf numFmtId="0" fontId="8" fillId="6" borderId="14" xfId="0" applyFont="1" applyFill="1" applyBorder="1" applyAlignment="1">
      <alignment horizontal="center" vertical="center" wrapText="1"/>
    </xf>
    <xf numFmtId="0" fontId="8" fillId="8" borderId="14" xfId="0" applyFont="1" applyFill="1" applyBorder="1" applyAlignment="1">
      <alignment horizontal="center" vertical="center" wrapText="1"/>
    </xf>
    <xf numFmtId="0" fontId="8" fillId="8" borderId="18" xfId="0" applyFont="1" applyFill="1" applyBorder="1" applyAlignment="1">
      <alignment horizontal="center" vertical="center" wrapText="1"/>
    </xf>
    <xf numFmtId="0" fontId="2" fillId="8" borderId="14" xfId="0" applyFont="1" applyFill="1" applyBorder="1"/>
    <xf numFmtId="166" fontId="8" fillId="2" borderId="14" xfId="2" applyNumberFormat="1" applyFont="1" applyFill="1" applyBorder="1"/>
    <xf numFmtId="166" fontId="2" fillId="2" borderId="14" xfId="2" applyNumberFormat="1" applyFont="1" applyFill="1" applyBorder="1" applyAlignment="1">
      <alignment vertical="center"/>
    </xf>
    <xf numFmtId="0" fontId="2" fillId="2" borderId="0" xfId="0" applyFont="1" applyFill="1" applyBorder="1"/>
    <xf numFmtId="0" fontId="3" fillId="2" borderId="1" xfId="0" applyFont="1" applyFill="1" applyBorder="1" applyAlignment="1">
      <alignment horizontal="center" wrapText="1"/>
    </xf>
    <xf numFmtId="0" fontId="2" fillId="2" borderId="4" xfId="0" applyFont="1" applyFill="1" applyBorder="1"/>
    <xf numFmtId="166" fontId="4" fillId="2" borderId="1" xfId="2" applyNumberFormat="1" applyFont="1" applyFill="1" applyBorder="1" applyAlignment="1">
      <alignment horizontal="right"/>
    </xf>
    <xf numFmtId="0" fontId="3" fillId="2" borderId="5" xfId="0" applyFont="1" applyFill="1" applyBorder="1" applyAlignment="1">
      <alignment wrapText="1"/>
    </xf>
    <xf numFmtId="0" fontId="2" fillId="2" borderId="0" xfId="0" applyFont="1" applyFill="1" applyBorder="1"/>
    <xf numFmtId="0" fontId="0" fillId="2" borderId="0" xfId="0" applyFill="1"/>
    <xf numFmtId="0" fontId="2" fillId="2" borderId="4" xfId="0" applyFont="1" applyFill="1" applyBorder="1"/>
    <xf numFmtId="0" fontId="2" fillId="2" borderId="0" xfId="0" applyFont="1" applyFill="1" applyAlignment="1">
      <alignment horizontal="center" vertical="center"/>
    </xf>
    <xf numFmtId="0" fontId="36" fillId="2" borderId="0" xfId="0" applyFont="1" applyFill="1"/>
    <xf numFmtId="0" fontId="6" fillId="2" borderId="0" xfId="0" applyFont="1" applyFill="1"/>
    <xf numFmtId="166" fontId="6" fillId="2" borderId="0" xfId="0" applyNumberFormat="1" applyFont="1" applyFill="1"/>
    <xf numFmtId="1" fontId="6" fillId="2" borderId="0" xfId="1" applyNumberFormat="1" applyFont="1" applyFill="1"/>
    <xf numFmtId="0" fontId="35" fillId="2" borderId="0" xfId="0" applyFont="1" applyFill="1"/>
    <xf numFmtId="165" fontId="6" fillId="2" borderId="0" xfId="1" applyNumberFormat="1" applyFont="1" applyFill="1"/>
    <xf numFmtId="165" fontId="2" fillId="2" borderId="14" xfId="1" applyNumberFormat="1" applyFont="1" applyFill="1" applyBorder="1" applyAlignment="1">
      <alignment vertical="center"/>
    </xf>
    <xf numFmtId="0" fontId="2" fillId="2" borderId="0" xfId="0" applyFont="1" applyFill="1" applyAlignment="1">
      <alignment horizontal="left" vertical="center" wrapText="1" indent="1"/>
    </xf>
    <xf numFmtId="0" fontId="0" fillId="0" borderId="30" xfId="0" applyBorder="1"/>
    <xf numFmtId="167" fontId="0" fillId="0" borderId="30" xfId="0" applyNumberFormat="1" applyBorder="1"/>
    <xf numFmtId="1" fontId="0" fillId="0" borderId="30" xfId="0" applyNumberFormat="1" applyBorder="1"/>
    <xf numFmtId="0" fontId="0" fillId="0" borderId="30" xfId="0" applyBorder="1" applyAlignment="1">
      <alignment horizontal="center"/>
    </xf>
    <xf numFmtId="0" fontId="2" fillId="2" borderId="0" xfId="0" applyFont="1" applyFill="1" applyAlignment="1">
      <alignment horizontal="left" vertical="center" wrapText="1" indent="1"/>
    </xf>
    <xf numFmtId="0" fontId="0" fillId="0" borderId="30" xfId="0" applyBorder="1" applyAlignment="1"/>
    <xf numFmtId="0" fontId="8" fillId="33" borderId="14" xfId="0" applyFont="1" applyFill="1" applyBorder="1" applyAlignment="1">
      <alignment horizontal="center" vertical="center" wrapText="1"/>
    </xf>
    <xf numFmtId="167" fontId="2" fillId="2" borderId="14" xfId="0" applyNumberFormat="1" applyFont="1" applyFill="1" applyBorder="1"/>
    <xf numFmtId="167" fontId="0" fillId="0" borderId="0" xfId="0" applyNumberFormat="1" applyFill="1" applyBorder="1"/>
    <xf numFmtId="167" fontId="2" fillId="2" borderId="17" xfId="0" applyNumberFormat="1" applyFont="1" applyFill="1" applyBorder="1"/>
    <xf numFmtId="0" fontId="2" fillId="2" borderId="13" xfId="0" applyFont="1" applyFill="1" applyBorder="1"/>
    <xf numFmtId="166" fontId="2" fillId="2" borderId="13" xfId="2" applyNumberFormat="1" applyFont="1" applyFill="1" applyBorder="1"/>
    <xf numFmtId="166" fontId="2" fillId="2" borderId="20" xfId="2" applyNumberFormat="1" applyFont="1" applyFill="1" applyBorder="1"/>
    <xf numFmtId="167" fontId="35" fillId="2" borderId="0" xfId="0" applyNumberFormat="1" applyFont="1" applyFill="1"/>
    <xf numFmtId="0" fontId="2" fillId="2" borderId="0" xfId="0" applyFont="1" applyFill="1"/>
    <xf numFmtId="165" fontId="4" fillId="2" borderId="2" xfId="1" applyNumberFormat="1" applyFont="1" applyFill="1" applyBorder="1"/>
    <xf numFmtId="165" fontId="4" fillId="2" borderId="3" xfId="1" applyNumberFormat="1" applyFont="1" applyFill="1" applyBorder="1"/>
    <xf numFmtId="0" fontId="2" fillId="2" borderId="0" xfId="0" applyFont="1" applyFill="1" applyAlignment="1">
      <alignment vertical="top"/>
    </xf>
    <xf numFmtId="0" fontId="39" fillId="2" borderId="0" xfId="0" applyFont="1" applyFill="1" applyAlignment="1">
      <alignment horizontal="center" vertical="center"/>
    </xf>
    <xf numFmtId="0" fontId="39" fillId="2" borderId="0" xfId="0" applyFont="1" applyFill="1"/>
    <xf numFmtId="166" fontId="39" fillId="2" borderId="0" xfId="0" applyNumberFormat="1" applyFont="1" applyFill="1" applyAlignment="1">
      <alignment horizontal="center" vertical="center"/>
    </xf>
    <xf numFmtId="165" fontId="2" fillId="2" borderId="20" xfId="1" applyNumberFormat="1" applyFont="1" applyFill="1" applyBorder="1"/>
    <xf numFmtId="0" fontId="8" fillId="8" borderId="0" xfId="0" applyFont="1" applyFill="1"/>
    <xf numFmtId="3" fontId="11" fillId="0" borderId="0" xfId="57" applyNumberFormat="1" applyFont="1"/>
    <xf numFmtId="0" fontId="2" fillId="0" borderId="0" xfId="0" applyFont="1"/>
    <xf numFmtId="0" fontId="2" fillId="8" borderId="0" xfId="0" applyFont="1" applyFill="1"/>
    <xf numFmtId="3" fontId="42" fillId="0" borderId="0" xfId="57" applyNumberFormat="1" applyFont="1" applyFill="1" applyBorder="1" applyAlignment="1">
      <alignment horizontal="right" vertical="center"/>
    </xf>
    <xf numFmtId="3" fontId="41" fillId="0" borderId="0" xfId="42" applyNumberFormat="1" applyFont="1" applyFill="1" applyBorder="1" applyAlignment="1">
      <alignment horizontal="right" vertical="center"/>
    </xf>
    <xf numFmtId="0" fontId="4" fillId="2" borderId="0" xfId="0" applyFont="1" applyFill="1" applyBorder="1" applyAlignment="1">
      <alignment vertical="center" wrapText="1"/>
    </xf>
    <xf numFmtId="166" fontId="4" fillId="2" borderId="0" xfId="2" applyNumberFormat="1" applyFont="1" applyFill="1" applyAlignment="1">
      <alignment horizontal="right"/>
    </xf>
    <xf numFmtId="166" fontId="4" fillId="2" borderId="2" xfId="2" applyNumberFormat="1" applyFont="1" applyFill="1" applyBorder="1" applyAlignment="1">
      <alignment horizontal="right"/>
    </xf>
    <xf numFmtId="0" fontId="4" fillId="2" borderId="0" xfId="0" applyFont="1" applyFill="1" applyBorder="1" applyAlignment="1">
      <alignment horizontal="right"/>
    </xf>
    <xf numFmtId="0" fontId="4" fillId="2" borderId="1" xfId="0" applyFont="1" applyFill="1" applyBorder="1" applyAlignment="1">
      <alignment horizontal="right"/>
    </xf>
    <xf numFmtId="0" fontId="2" fillId="2" borderId="0" xfId="0" applyFont="1" applyFill="1" applyBorder="1" applyAlignment="1">
      <alignment vertical="center"/>
    </xf>
    <xf numFmtId="0" fontId="2" fillId="2" borderId="0" xfId="0" applyFont="1" applyFill="1" applyBorder="1" applyAlignment="1">
      <alignment horizontal="center" vertical="center"/>
    </xf>
    <xf numFmtId="3" fontId="2" fillId="2" borderId="0" xfId="0" applyNumberFormat="1" applyFont="1" applyFill="1" applyBorder="1" applyAlignment="1">
      <alignment horizontal="center" vertical="center"/>
    </xf>
    <xf numFmtId="166" fontId="4" fillId="2" borderId="0" xfId="2" applyNumberFormat="1" applyFont="1" applyFill="1" applyBorder="1" applyAlignment="1">
      <alignment horizontal="right"/>
    </xf>
    <xf numFmtId="0" fontId="4" fillId="2" borderId="2" xfId="0" applyFont="1" applyFill="1" applyBorder="1" applyAlignment="1">
      <alignment horizontal="right"/>
    </xf>
    <xf numFmtId="0" fontId="4" fillId="2" borderId="3" xfId="0" applyFont="1" applyFill="1" applyBorder="1" applyAlignment="1">
      <alignment horizontal="right"/>
    </xf>
    <xf numFmtId="3" fontId="43" fillId="0" borderId="0" xfId="0" applyNumberFormat="1" applyFont="1" applyAlignment="1">
      <alignment horizontal="right"/>
    </xf>
    <xf numFmtId="3" fontId="15" fillId="0" borderId="0" xfId="0" applyNumberFormat="1" applyFont="1" applyAlignment="1">
      <alignment horizontal="right"/>
    </xf>
    <xf numFmtId="3" fontId="44" fillId="0" borderId="0" xfId="0" applyNumberFormat="1" applyFont="1"/>
    <xf numFmtId="3" fontId="45" fillId="0" borderId="0" xfId="0" applyNumberFormat="1" applyFont="1"/>
    <xf numFmtId="0" fontId="6" fillId="2" borderId="0" xfId="0" applyFont="1" applyFill="1" applyBorder="1" applyAlignment="1">
      <alignment vertical="center"/>
    </xf>
    <xf numFmtId="165" fontId="6" fillId="2" borderId="0" xfId="1" applyNumberFormat="1" applyFont="1" applyFill="1" applyBorder="1" applyAlignment="1">
      <alignment vertical="center"/>
    </xf>
    <xf numFmtId="165" fontId="6" fillId="2" borderId="0" xfId="0" applyNumberFormat="1" applyFont="1" applyFill="1" applyBorder="1" applyAlignment="1">
      <alignment vertical="center"/>
    </xf>
    <xf numFmtId="165" fontId="6" fillId="2" borderId="0" xfId="1" applyNumberFormat="1" applyFont="1" applyFill="1" applyBorder="1" applyAlignment="1">
      <alignment horizontal="center" vertical="center"/>
    </xf>
    <xf numFmtId="165" fontId="6" fillId="2" borderId="0" xfId="0" applyNumberFormat="1" applyFont="1" applyFill="1" applyBorder="1" applyAlignment="1">
      <alignment horizontal="center" vertical="center"/>
    </xf>
    <xf numFmtId="0" fontId="2" fillId="2" borderId="0" xfId="0" applyFont="1" applyFill="1" applyAlignment="1">
      <alignment horizontal="left" indent="1"/>
    </xf>
    <xf numFmtId="0" fontId="8" fillId="2" borderId="0" xfId="0" applyFont="1" applyFill="1" applyAlignment="1">
      <alignment horizontal="left" vertical="center" indent="1"/>
    </xf>
    <xf numFmtId="0" fontId="2" fillId="2" borderId="0" xfId="0" applyFont="1" applyFill="1" applyAlignment="1">
      <alignment horizontal="left" vertical="center" indent="1"/>
    </xf>
    <xf numFmtId="0" fontId="6" fillId="2" borderId="0" xfId="0" applyFont="1" applyFill="1" applyAlignment="1">
      <alignment horizontal="right"/>
    </xf>
    <xf numFmtId="165" fontId="6" fillId="2" borderId="0" xfId="0" applyNumberFormat="1" applyFont="1" applyFill="1" applyAlignment="1">
      <alignment horizontal="right"/>
    </xf>
    <xf numFmtId="0" fontId="46" fillId="2" borderId="0" xfId="0" applyFont="1" applyFill="1"/>
    <xf numFmtId="49" fontId="2" fillId="2" borderId="0" xfId="0" applyNumberFormat="1" applyFont="1" applyFill="1" applyAlignment="1">
      <alignment horizontal="left" indent="1"/>
    </xf>
    <xf numFmtId="49" fontId="2" fillId="2" borderId="0" xfId="0" applyNumberFormat="1" applyFont="1" applyFill="1"/>
    <xf numFmtId="49" fontId="46" fillId="2" borderId="0" xfId="0" applyNumberFormat="1" applyFont="1" applyFill="1" applyAlignment="1">
      <alignment horizontal="left" indent="2"/>
    </xf>
    <xf numFmtId="49" fontId="46" fillId="2" borderId="0" xfId="0" applyNumberFormat="1" applyFont="1" applyFill="1"/>
    <xf numFmtId="0" fontId="46" fillId="2" borderId="0" xfId="0" applyFont="1" applyFill="1" applyAlignment="1">
      <alignment horizontal="left" indent="2"/>
    </xf>
    <xf numFmtId="0" fontId="2" fillId="2" borderId="0" xfId="0" applyFont="1" applyFill="1"/>
    <xf numFmtId="3" fontId="0" fillId="0" borderId="0" xfId="0" applyNumberFormat="1"/>
    <xf numFmtId="10" fontId="0" fillId="0" borderId="0" xfId="0" applyNumberFormat="1"/>
    <xf numFmtId="0" fontId="0" fillId="34" borderId="0" xfId="0" applyFill="1"/>
    <xf numFmtId="0" fontId="2" fillId="2" borderId="0" xfId="0" applyFont="1" applyFill="1" applyAlignment="1">
      <alignment horizontal="center" vertical="center"/>
    </xf>
    <xf numFmtId="0" fontId="2" fillId="2" borderId="0" xfId="0" applyFont="1" applyFill="1"/>
    <xf numFmtId="165" fontId="0" fillId="34" borderId="0" xfId="1" applyNumberFormat="1" applyFont="1" applyFill="1"/>
    <xf numFmtId="165" fontId="0" fillId="0" borderId="0" xfId="1" applyNumberFormat="1" applyFont="1"/>
    <xf numFmtId="165" fontId="0" fillId="34" borderId="0" xfId="0" applyNumberFormat="1" applyFill="1"/>
    <xf numFmtId="165" fontId="0" fillId="0" borderId="0" xfId="0" applyNumberFormat="1"/>
    <xf numFmtId="0" fontId="8" fillId="2" borderId="0" xfId="0" applyFont="1" applyFill="1" applyAlignment="1">
      <alignment horizontal="left" indent="1"/>
    </xf>
    <xf numFmtId="0" fontId="49" fillId="2" borderId="0" xfId="0" applyFont="1" applyFill="1"/>
    <xf numFmtId="0" fontId="52" fillId="2" borderId="0" xfId="0" applyFont="1" applyFill="1" applyAlignment="1">
      <alignment horizontal="left" vertical="top" indent="1"/>
    </xf>
    <xf numFmtId="0" fontId="2" fillId="2" borderId="0" xfId="0" applyFont="1" applyFill="1" applyAlignment="1">
      <alignment horizontal="left" vertical="top" indent="1"/>
    </xf>
    <xf numFmtId="0" fontId="11" fillId="5" borderId="0" xfId="42" applyFont="1" applyFill="1" applyAlignment="1">
      <alignment vertical="center"/>
    </xf>
    <xf numFmtId="0" fontId="11" fillId="2" borderId="0" xfId="42" applyFont="1" applyFill="1" applyAlignment="1">
      <alignment vertical="center"/>
    </xf>
    <xf numFmtId="0" fontId="50" fillId="5" borderId="0" xfId="65" applyFont="1" applyFill="1" applyBorder="1" applyAlignment="1" applyProtection="1">
      <alignment vertical="center" wrapText="1"/>
    </xf>
    <xf numFmtId="0" fontId="11" fillId="5" borderId="0" xfId="42" applyFont="1" applyFill="1" applyBorder="1" applyAlignment="1">
      <alignment vertical="center" wrapText="1"/>
    </xf>
    <xf numFmtId="0" fontId="51" fillId="2" borderId="0" xfId="65" applyFont="1" applyFill="1" applyBorder="1" applyAlignment="1" applyProtection="1">
      <alignment vertical="center" wrapText="1"/>
    </xf>
    <xf numFmtId="0" fontId="11" fillId="2" borderId="4" xfId="42" applyFont="1" applyFill="1" applyBorder="1" applyAlignment="1">
      <alignment vertical="center"/>
    </xf>
    <xf numFmtId="0" fontId="11" fillId="2" borderId="0" xfId="42" applyFont="1" applyFill="1" applyBorder="1" applyAlignment="1">
      <alignment vertical="center" wrapText="1"/>
    </xf>
    <xf numFmtId="0" fontId="52" fillId="2" borderId="0" xfId="0" applyFont="1" applyFill="1"/>
    <xf numFmtId="0" fontId="52" fillId="2" borderId="0" xfId="0" applyFont="1" applyFill="1" applyAlignment="1">
      <alignment vertical="top"/>
    </xf>
    <xf numFmtId="0" fontId="2" fillId="33" borderId="18" xfId="0" applyFont="1" applyFill="1" applyBorder="1" applyAlignment="1"/>
    <xf numFmtId="0" fontId="2" fillId="33" borderId="19" xfId="0" applyFont="1" applyFill="1" applyBorder="1" applyAlignment="1"/>
    <xf numFmtId="0" fontId="2" fillId="33" borderId="20" xfId="0" applyFont="1" applyFill="1" applyBorder="1" applyAlignment="1"/>
    <xf numFmtId="0" fontId="2" fillId="8" borderId="18" xfId="0" applyFont="1" applyFill="1" applyBorder="1" applyAlignment="1"/>
    <xf numFmtId="0" fontId="2" fillId="8" borderId="19" xfId="0" applyFont="1" applyFill="1" applyBorder="1" applyAlignment="1"/>
    <xf numFmtId="0" fontId="2" fillId="8" borderId="20" xfId="0" applyFont="1" applyFill="1" applyBorder="1" applyAlignment="1"/>
    <xf numFmtId="49" fontId="0" fillId="0" borderId="0" xfId="0" applyNumberFormat="1" applyAlignment="1">
      <alignment horizontal="left"/>
    </xf>
    <xf numFmtId="168" fontId="0" fillId="0" borderId="0" xfId="0" applyNumberFormat="1"/>
    <xf numFmtId="167" fontId="0" fillId="0" borderId="0" xfId="0" applyNumberFormat="1"/>
    <xf numFmtId="0" fontId="2" fillId="4" borderId="18" xfId="0" applyFont="1" applyFill="1" applyBorder="1" applyAlignment="1"/>
    <xf numFmtId="0" fontId="2" fillId="4" borderId="19" xfId="0" applyFont="1" applyFill="1" applyBorder="1" applyAlignment="1"/>
    <xf numFmtId="0" fontId="2" fillId="2" borderId="0" xfId="0" applyFont="1" applyFill="1" applyAlignment="1">
      <alignment horizontal="left" indent="1"/>
    </xf>
    <xf numFmtId="0" fontId="2" fillId="2" borderId="0" xfId="0" applyFont="1" applyFill="1"/>
    <xf numFmtId="0" fontId="11" fillId="5" borderId="0" xfId="42" applyFont="1" applyFill="1" applyBorder="1" applyAlignment="1">
      <alignment vertical="center"/>
    </xf>
    <xf numFmtId="0" fontId="11" fillId="5" borderId="0" xfId="42" applyFont="1" applyFill="1" applyBorder="1" applyAlignment="1">
      <alignment vertical="center" wrapText="1"/>
    </xf>
    <xf numFmtId="0" fontId="11" fillId="2" borderId="0" xfId="0" applyFont="1" applyFill="1" applyBorder="1" applyAlignment="1">
      <alignment vertical="center" wrapText="1"/>
    </xf>
    <xf numFmtId="0" fontId="36" fillId="2" borderId="0" xfId="65" applyFont="1" applyFill="1" applyBorder="1" applyAlignment="1" applyProtection="1">
      <alignment horizontal="left" vertical="center" wrapText="1" indent="3"/>
    </xf>
    <xf numFmtId="0" fontId="36" fillId="2" borderId="0" xfId="65" applyFont="1" applyFill="1" applyBorder="1" applyAlignment="1" applyProtection="1">
      <alignment horizontal="left" vertical="center" indent="3"/>
    </xf>
    <xf numFmtId="0" fontId="4" fillId="9" borderId="0" xfId="0" applyFont="1" applyFill="1" applyBorder="1"/>
    <xf numFmtId="0" fontId="4" fillId="9" borderId="2" xfId="0" applyFont="1" applyFill="1" applyBorder="1"/>
    <xf numFmtId="166" fontId="4" fillId="9" borderId="4" xfId="2" applyNumberFormat="1" applyFont="1" applyFill="1" applyBorder="1"/>
    <xf numFmtId="166" fontId="4" fillId="9" borderId="0" xfId="2" applyNumberFormat="1" applyFont="1" applyFill="1"/>
    <xf numFmtId="166" fontId="4" fillId="9" borderId="0" xfId="2" applyNumberFormat="1" applyFont="1" applyFill="1" applyBorder="1"/>
    <xf numFmtId="0" fontId="4" fillId="9" borderId="4" xfId="0" applyFont="1" applyFill="1" applyBorder="1"/>
    <xf numFmtId="0" fontId="4" fillId="9" borderId="0" xfId="0" applyFont="1" applyFill="1"/>
    <xf numFmtId="165" fontId="4" fillId="9" borderId="0" xfId="1" applyNumberFormat="1" applyFont="1" applyFill="1" applyBorder="1"/>
    <xf numFmtId="1" fontId="4" fillId="9" borderId="4" xfId="1" applyNumberFormat="1" applyFont="1" applyFill="1" applyBorder="1"/>
    <xf numFmtId="1" fontId="4" fillId="9" borderId="0" xfId="1" applyNumberFormat="1" applyFont="1" applyFill="1" applyBorder="1"/>
    <xf numFmtId="165" fontId="4" fillId="9" borderId="0" xfId="0" applyNumberFormat="1" applyFont="1" applyFill="1"/>
    <xf numFmtId="165" fontId="4" fillId="9" borderId="0" xfId="0" applyNumberFormat="1" applyFont="1" applyFill="1" applyBorder="1"/>
    <xf numFmtId="166" fontId="4" fillId="9" borderId="2" xfId="2" applyNumberFormat="1" applyFont="1" applyFill="1" applyBorder="1"/>
    <xf numFmtId="0" fontId="4" fillId="9" borderId="1" xfId="0" applyFont="1" applyFill="1" applyBorder="1"/>
    <xf numFmtId="0" fontId="4" fillId="9" borderId="3" xfId="0" applyFont="1" applyFill="1" applyBorder="1"/>
    <xf numFmtId="166" fontId="4" fillId="9" borderId="5" xfId="2" applyNumberFormat="1" applyFont="1" applyFill="1" applyBorder="1" applyAlignment="1">
      <alignment horizontal="right"/>
    </xf>
    <xf numFmtId="166" fontId="4" fillId="9" borderId="1" xfId="2" applyNumberFormat="1" applyFont="1" applyFill="1" applyBorder="1" applyAlignment="1">
      <alignment horizontal="right"/>
    </xf>
    <xf numFmtId="166" fontId="4" fillId="9" borderId="5" xfId="2" applyNumberFormat="1" applyFont="1" applyFill="1" applyBorder="1"/>
    <xf numFmtId="166" fontId="4" fillId="9" borderId="1" xfId="2" applyNumberFormat="1" applyFont="1" applyFill="1" applyBorder="1"/>
    <xf numFmtId="166" fontId="4" fillId="9" borderId="3" xfId="2" applyNumberFormat="1" applyFont="1" applyFill="1" applyBorder="1"/>
    <xf numFmtId="0" fontId="4" fillId="9" borderId="5" xfId="0" applyFont="1" applyFill="1" applyBorder="1"/>
    <xf numFmtId="166" fontId="4" fillId="9" borderId="5" xfId="0" applyNumberFormat="1" applyFont="1" applyFill="1" applyBorder="1"/>
    <xf numFmtId="165" fontId="4" fillId="9" borderId="1" xfId="0" applyNumberFormat="1" applyFont="1" applyFill="1" applyBorder="1"/>
    <xf numFmtId="165" fontId="4" fillId="9" borderId="1" xfId="1" applyNumberFormat="1" applyFont="1" applyFill="1" applyBorder="1"/>
    <xf numFmtId="166" fontId="4" fillId="9" borderId="1" xfId="2" applyNumberFormat="1" applyFont="1" applyFill="1" applyBorder="1" applyAlignment="1">
      <alignment horizontal="center"/>
    </xf>
    <xf numFmtId="166" fontId="4" fillId="9" borderId="3" xfId="2" applyNumberFormat="1" applyFont="1" applyFill="1" applyBorder="1" applyAlignment="1">
      <alignment horizontal="center"/>
    </xf>
    <xf numFmtId="0" fontId="2" fillId="2" borderId="0" xfId="0" applyFont="1" applyFill="1"/>
    <xf numFmtId="166" fontId="2" fillId="2" borderId="0" xfId="0" applyNumberFormat="1" applyFont="1" applyFill="1"/>
    <xf numFmtId="0" fontId="2" fillId="2" borderId="0" xfId="0" applyFont="1" applyFill="1" applyAlignment="1">
      <alignment horizontal="left" vertical="center" wrapText="1" indent="1"/>
    </xf>
    <xf numFmtId="0" fontId="2" fillId="2" borderId="0" xfId="0" applyFont="1" applyFill="1" applyAlignment="1">
      <alignment wrapText="1"/>
    </xf>
    <xf numFmtId="0" fontId="2" fillId="2" borderId="0" xfId="0" applyFont="1" applyFill="1"/>
    <xf numFmtId="0" fontId="2" fillId="2" borderId="14" xfId="0" applyFont="1" applyFill="1" applyBorder="1" applyAlignment="1">
      <alignment horizontal="center" vertical="center"/>
    </xf>
    <xf numFmtId="165" fontId="6" fillId="2" borderId="0" xfId="0" applyNumberFormat="1" applyFont="1" applyFill="1"/>
    <xf numFmtId="165" fontId="35" fillId="2" borderId="0" xfId="0" applyNumberFormat="1" applyFont="1" applyFill="1"/>
    <xf numFmtId="0" fontId="8" fillId="2" borderId="0" xfId="0" applyFont="1" applyFill="1" applyAlignment="1"/>
    <xf numFmtId="165" fontId="2" fillId="2" borderId="14" xfId="1" applyNumberFormat="1" applyFont="1" applyFill="1" applyBorder="1" applyAlignment="1">
      <alignment horizontal="center" vertical="center"/>
    </xf>
    <xf numFmtId="0" fontId="56" fillId="2" borderId="0" xfId="0" applyFont="1" applyFill="1" applyBorder="1" applyAlignment="1">
      <alignment horizontal="center" vertical="center"/>
    </xf>
    <xf numFmtId="165" fontId="2" fillId="9" borderId="2" xfId="1" applyNumberFormat="1" applyFont="1" applyFill="1" applyBorder="1"/>
    <xf numFmtId="0" fontId="2" fillId="9" borderId="2" xfId="0" applyFont="1" applyFill="1" applyBorder="1"/>
    <xf numFmtId="0" fontId="2" fillId="9" borderId="0" xfId="0" applyFont="1" applyFill="1"/>
    <xf numFmtId="165" fontId="2" fillId="9" borderId="0" xfId="1" applyNumberFormat="1" applyFont="1" applyFill="1"/>
    <xf numFmtId="2" fontId="2" fillId="9" borderId="0" xfId="1" applyNumberFormat="1" applyFont="1" applyFill="1"/>
    <xf numFmtId="0" fontId="2" fillId="2" borderId="0" xfId="0" applyFont="1" applyFill="1" applyAlignment="1"/>
    <xf numFmtId="0" fontId="6" fillId="2" borderId="0" xfId="0" applyFont="1" applyFill="1" applyAlignment="1">
      <alignment horizontal="left" vertical="center" indent="1"/>
    </xf>
    <xf numFmtId="0" fontId="6" fillId="2" borderId="0" xfId="0" applyFont="1" applyFill="1" applyAlignment="1"/>
    <xf numFmtId="0" fontId="0" fillId="2" borderId="0" xfId="0" applyFill="1" applyAlignment="1">
      <alignment wrapText="1"/>
    </xf>
    <xf numFmtId="0" fontId="0" fillId="2" borderId="0" xfId="0" applyFill="1" applyAlignment="1">
      <alignment horizontal="left" vertical="center" wrapText="1" indent="1"/>
    </xf>
    <xf numFmtId="1" fontId="2" fillId="9" borderId="11" xfId="2" applyNumberFormat="1" applyFont="1" applyFill="1" applyBorder="1" applyAlignment="1">
      <alignment horizontal="center" vertical="center"/>
    </xf>
    <xf numFmtId="1" fontId="2" fillId="9" borderId="13" xfId="2" applyNumberFormat="1" applyFont="1" applyFill="1" applyBorder="1" applyAlignment="1">
      <alignment horizontal="center" vertical="center"/>
    </xf>
    <xf numFmtId="169" fontId="2" fillId="9" borderId="11" xfId="2" applyNumberFormat="1" applyFont="1" applyFill="1" applyBorder="1" applyAlignment="1">
      <alignment horizontal="center" vertical="center"/>
    </xf>
    <xf numFmtId="169" fontId="2" fillId="9" borderId="13" xfId="2" applyNumberFormat="1" applyFont="1" applyFill="1" applyBorder="1" applyAlignment="1">
      <alignment horizontal="center" vertical="center"/>
    </xf>
    <xf numFmtId="165" fontId="2" fillId="9" borderId="18" xfId="1" applyNumberFormat="1" applyFont="1" applyFill="1" applyBorder="1" applyAlignment="1">
      <alignment horizontal="center" vertical="center"/>
    </xf>
    <xf numFmtId="165" fontId="2" fillId="9" borderId="20" xfId="1" applyNumberFormat="1" applyFont="1" applyFill="1" applyBorder="1" applyAlignment="1">
      <alignment horizontal="center" vertical="center"/>
    </xf>
    <xf numFmtId="0" fontId="57" fillId="2" borderId="0" xfId="48" applyNumberFormat="1" applyFont="1" applyFill="1" applyBorder="1" applyAlignment="1">
      <alignment horizontal="left" vertical="center" wrapText="1"/>
    </xf>
    <xf numFmtId="0" fontId="57" fillId="2" borderId="0" xfId="48" applyNumberFormat="1" applyFont="1" applyFill="1" applyBorder="1" applyAlignment="1">
      <alignment vertical="center" wrapText="1"/>
    </xf>
    <xf numFmtId="0" fontId="57" fillId="2" borderId="43" xfId="48" applyNumberFormat="1" applyFont="1" applyFill="1" applyBorder="1" applyAlignment="1">
      <alignment horizontal="left" vertical="center" wrapText="1"/>
    </xf>
    <xf numFmtId="165" fontId="57" fillId="2" borderId="43" xfId="48" applyNumberFormat="1" applyFont="1" applyFill="1" applyBorder="1" applyAlignment="1">
      <alignment horizontal="center" vertical="center" wrapText="1"/>
    </xf>
    <xf numFmtId="0" fontId="57" fillId="2" borderId="42" xfId="48" applyNumberFormat="1" applyFont="1" applyFill="1" applyBorder="1" applyAlignment="1">
      <alignment horizontal="left" vertical="center" wrapText="1"/>
    </xf>
    <xf numFmtId="165" fontId="57" fillId="2" borderId="42" xfId="48" applyNumberFormat="1" applyFont="1" applyFill="1" applyBorder="1" applyAlignment="1">
      <alignment horizontal="center" vertical="center" wrapText="1"/>
    </xf>
    <xf numFmtId="0" fontId="11" fillId="2" borderId="0" xfId="0" applyFont="1" applyFill="1" applyBorder="1" applyAlignment="1">
      <alignment horizontal="left" vertical="center" wrapText="1"/>
    </xf>
    <xf numFmtId="0" fontId="0" fillId="2" borderId="0" xfId="0" applyFill="1" applyBorder="1" applyAlignment="1">
      <alignment vertical="center" wrapText="1"/>
    </xf>
    <xf numFmtId="0" fontId="0" fillId="2" borderId="0" xfId="0" applyFill="1" applyAlignment="1"/>
    <xf numFmtId="0" fontId="59" fillId="38" borderId="45" xfId="0" applyFont="1" applyFill="1" applyBorder="1" applyAlignment="1">
      <alignment horizontal="right" vertical="center" wrapText="1"/>
    </xf>
    <xf numFmtId="0" fontId="59" fillId="38" borderId="45" xfId="0" applyFont="1" applyFill="1" applyBorder="1" applyAlignment="1">
      <alignment vertical="center" wrapText="1"/>
    </xf>
    <xf numFmtId="165" fontId="35" fillId="2" borderId="0" xfId="1" applyNumberFormat="1" applyFont="1" applyFill="1"/>
    <xf numFmtId="0" fontId="59" fillId="0" borderId="45" xfId="0" applyFont="1" applyBorder="1" applyAlignment="1">
      <alignment vertical="center"/>
    </xf>
    <xf numFmtId="165" fontId="57" fillId="2" borderId="1" xfId="1" applyNumberFormat="1" applyFont="1" applyFill="1" applyBorder="1" applyAlignment="1"/>
    <xf numFmtId="0" fontId="35" fillId="2" borderId="0" xfId="0" applyFont="1" applyFill="1" applyAlignment="1"/>
    <xf numFmtId="165" fontId="6" fillId="2" borderId="0" xfId="0" applyNumberFormat="1" applyFont="1" applyFill="1" applyAlignment="1"/>
    <xf numFmtId="166" fontId="4" fillId="2" borderId="3" xfId="2" applyNumberFormat="1" applyFont="1" applyFill="1" applyBorder="1" applyAlignment="1">
      <alignment horizontal="right"/>
    </xf>
    <xf numFmtId="0" fontId="2" fillId="2" borderId="0" xfId="0" applyFont="1" applyFill="1"/>
    <xf numFmtId="0" fontId="11" fillId="5" borderId="0" xfId="42" applyFont="1" applyFill="1" applyBorder="1" applyAlignment="1">
      <alignment vertical="center" wrapText="1"/>
    </xf>
    <xf numFmtId="165" fontId="2" fillId="2" borderId="0" xfId="1" applyNumberFormat="1" applyFont="1" applyFill="1" applyBorder="1"/>
    <xf numFmtId="165" fontId="2" fillId="2" borderId="2" xfId="1" applyNumberFormat="1" applyFont="1" applyFill="1" applyBorder="1"/>
    <xf numFmtId="165" fontId="2" fillId="2" borderId="0" xfId="1" applyNumberFormat="1" applyFont="1" applyFill="1"/>
    <xf numFmtId="165" fontId="3" fillId="2" borderId="1" xfId="1" applyNumberFormat="1" applyFont="1" applyFill="1" applyBorder="1" applyAlignment="1">
      <alignment wrapText="1"/>
    </xf>
    <xf numFmtId="165" fontId="3" fillId="2" borderId="3" xfId="1" applyNumberFormat="1" applyFont="1" applyFill="1" applyBorder="1" applyAlignment="1">
      <alignment wrapText="1"/>
    </xf>
    <xf numFmtId="2" fontId="2" fillId="2" borderId="0" xfId="1" applyNumberFormat="1" applyFont="1" applyFill="1" applyBorder="1"/>
    <xf numFmtId="166" fontId="2" fillId="2" borderId="0" xfId="2" applyNumberFormat="1" applyFont="1" applyFill="1" applyBorder="1"/>
    <xf numFmtId="166" fontId="3" fillId="2" borderId="1" xfId="2" applyNumberFormat="1" applyFont="1" applyFill="1" applyBorder="1" applyAlignment="1">
      <alignment wrapText="1"/>
    </xf>
    <xf numFmtId="165" fontId="4" fillId="2" borderId="0" xfId="1" applyNumberFormat="1" applyFont="1" applyFill="1" applyBorder="1" applyAlignment="1">
      <alignment horizontal="right"/>
    </xf>
    <xf numFmtId="165" fontId="4" fillId="2" borderId="2" xfId="1" applyNumberFormat="1" applyFont="1" applyFill="1" applyBorder="1" applyAlignment="1">
      <alignment horizontal="right"/>
    </xf>
    <xf numFmtId="165" fontId="4" fillId="2" borderId="1" xfId="1" applyNumberFormat="1" applyFont="1" applyFill="1" applyBorder="1" applyAlignment="1">
      <alignment horizontal="right"/>
    </xf>
    <xf numFmtId="165" fontId="4" fillId="2" borderId="3" xfId="1" applyNumberFormat="1" applyFont="1" applyFill="1" applyBorder="1" applyAlignment="1">
      <alignment horizontal="right"/>
    </xf>
    <xf numFmtId="0" fontId="11" fillId="39" borderId="0" xfId="42" applyFont="1" applyFill="1" applyBorder="1" applyAlignment="1">
      <alignment vertical="center" wrapText="1"/>
    </xf>
    <xf numFmtId="0" fontId="2" fillId="39" borderId="0" xfId="0" applyFont="1" applyFill="1"/>
    <xf numFmtId="0" fontId="2" fillId="5" borderId="0" xfId="0" applyFont="1" applyFill="1"/>
    <xf numFmtId="49" fontId="4" fillId="2" borderId="0" xfId="0" applyNumberFormat="1" applyFont="1" applyFill="1" applyBorder="1"/>
    <xf numFmtId="49" fontId="4" fillId="2" borderId="1" xfId="0" applyNumberFormat="1" applyFont="1" applyFill="1" applyBorder="1"/>
    <xf numFmtId="49" fontId="4" fillId="2" borderId="0" xfId="0" applyNumberFormat="1" applyFont="1" applyFill="1"/>
    <xf numFmtId="1" fontId="4" fillId="2" borderId="0" xfId="0" applyNumberFormat="1" applyFont="1" applyFill="1"/>
    <xf numFmtId="1" fontId="4" fillId="2" borderId="1" xfId="0" applyNumberFormat="1" applyFont="1" applyFill="1" applyBorder="1"/>
    <xf numFmtId="1" fontId="4" fillId="2" borderId="0" xfId="0" applyNumberFormat="1" applyFont="1" applyFill="1" applyBorder="1"/>
    <xf numFmtId="2" fontId="2" fillId="2" borderId="0" xfId="1" applyNumberFormat="1" applyFont="1" applyFill="1"/>
    <xf numFmtId="2" fontId="3" fillId="2" borderId="1" xfId="1" applyNumberFormat="1" applyFont="1" applyFill="1" applyBorder="1" applyAlignment="1">
      <alignment wrapText="1"/>
    </xf>
    <xf numFmtId="0" fontId="2" fillId="2" borderId="0" xfId="0" applyFont="1" applyFill="1"/>
    <xf numFmtId="0" fontId="11" fillId="5" borderId="0" xfId="42" applyFont="1" applyFill="1" applyBorder="1" applyAlignment="1">
      <alignment vertical="center"/>
    </xf>
    <xf numFmtId="0" fontId="11" fillId="5" borderId="0" xfId="42" applyFont="1" applyFill="1" applyBorder="1" applyAlignment="1">
      <alignment vertical="center" wrapText="1"/>
    </xf>
    <xf numFmtId="165" fontId="4" fillId="9" borderId="0" xfId="1" applyNumberFormat="1" applyFont="1" applyFill="1" applyAlignment="1">
      <alignment horizontal="right"/>
    </xf>
    <xf numFmtId="165" fontId="4" fillId="9" borderId="2" xfId="1" applyNumberFormat="1" applyFont="1" applyFill="1" applyBorder="1" applyAlignment="1">
      <alignment horizontal="right"/>
    </xf>
    <xf numFmtId="165" fontId="4" fillId="9" borderId="0" xfId="1" applyNumberFormat="1" applyFont="1" applyFill="1" applyBorder="1" applyAlignment="1">
      <alignment horizontal="right"/>
    </xf>
    <xf numFmtId="165" fontId="4" fillId="9" borderId="1" xfId="1" applyNumberFormat="1" applyFont="1" applyFill="1" applyBorder="1" applyAlignment="1">
      <alignment horizontal="right"/>
    </xf>
    <xf numFmtId="165" fontId="4" fillId="9" borderId="3" xfId="1" applyNumberFormat="1" applyFont="1" applyFill="1" applyBorder="1" applyAlignment="1">
      <alignment horizontal="right"/>
    </xf>
    <xf numFmtId="49" fontId="2" fillId="2" borderId="0" xfId="0" applyNumberFormat="1" applyFont="1" applyFill="1"/>
    <xf numFmtId="0" fontId="2" fillId="2" borderId="0" xfId="0" applyFont="1" applyFill="1"/>
    <xf numFmtId="0" fontId="11" fillId="5" borderId="2" xfId="42" applyFont="1" applyFill="1" applyBorder="1" applyAlignment="1">
      <alignment vertical="center"/>
    </xf>
    <xf numFmtId="0" fontId="8" fillId="2" borderId="0" xfId="0" applyFont="1" applyFill="1" applyAlignment="1">
      <alignment vertical="top"/>
    </xf>
    <xf numFmtId="0" fontId="4" fillId="9" borderId="0" xfId="0" applyFont="1" applyFill="1" applyAlignment="1">
      <alignment horizontal="right"/>
    </xf>
    <xf numFmtId="0" fontId="4" fillId="9" borderId="0" xfId="0" applyFont="1" applyFill="1" applyBorder="1" applyAlignment="1">
      <alignment horizontal="right"/>
    </xf>
    <xf numFmtId="0" fontId="4" fillId="9" borderId="1" xfId="0" applyFont="1" applyFill="1" applyBorder="1" applyAlignment="1">
      <alignment horizontal="right"/>
    </xf>
    <xf numFmtId="0" fontId="11" fillId="5" borderId="0" xfId="42" applyFont="1" applyFill="1" applyBorder="1" applyAlignment="1">
      <alignment vertical="center" wrapText="1"/>
    </xf>
    <xf numFmtId="0" fontId="4" fillId="2" borderId="4" xfId="0" applyFont="1" applyFill="1" applyBorder="1" applyAlignment="1">
      <alignment horizontal="right"/>
    </xf>
    <xf numFmtId="0" fontId="4" fillId="2" borderId="5" xfId="0" applyFont="1" applyFill="1" applyBorder="1" applyAlignment="1">
      <alignment horizontal="right"/>
    </xf>
    <xf numFmtId="0" fontId="4" fillId="9" borderId="5" xfId="0" applyFont="1" applyFill="1" applyBorder="1" applyAlignment="1">
      <alignment horizontal="right"/>
    </xf>
    <xf numFmtId="0" fontId="4" fillId="2" borderId="0" xfId="0" applyNumberFormat="1" applyFont="1" applyFill="1"/>
    <xf numFmtId="167" fontId="4" fillId="2" borderId="0" xfId="1" applyNumberFormat="1" applyFont="1" applyFill="1"/>
    <xf numFmtId="167" fontId="4" fillId="2" borderId="0" xfId="1" applyNumberFormat="1" applyFont="1" applyFill="1" applyBorder="1"/>
    <xf numFmtId="167" fontId="4" fillId="2" borderId="1" xfId="1" applyNumberFormat="1" applyFont="1" applyFill="1" applyBorder="1"/>
    <xf numFmtId="2" fontId="2" fillId="2" borderId="4" xfId="0" applyNumberFormat="1" applyFont="1" applyFill="1" applyBorder="1"/>
    <xf numFmtId="167" fontId="2" fillId="2" borderId="0" xfId="1" applyNumberFormat="1" applyFont="1" applyFill="1"/>
    <xf numFmtId="170" fontId="2" fillId="2" borderId="0" xfId="1" applyNumberFormat="1" applyFont="1" applyFill="1"/>
    <xf numFmtId="0" fontId="2" fillId="2" borderId="0" xfId="0" applyFont="1" applyFill="1"/>
    <xf numFmtId="0" fontId="8" fillId="33" borderId="37" xfId="0" applyFont="1" applyFill="1" applyBorder="1" applyAlignment="1">
      <alignment horizontal="center" vertical="center" wrapText="1"/>
    </xf>
    <xf numFmtId="9" fontId="2" fillId="2" borderId="0" xfId="1" applyFont="1" applyFill="1" applyBorder="1"/>
    <xf numFmtId="10" fontId="2" fillId="2" borderId="0" xfId="0" applyNumberFormat="1" applyFont="1" applyFill="1"/>
    <xf numFmtId="166" fontId="2" fillId="2" borderId="37" xfId="2" applyNumberFormat="1" applyFont="1" applyFill="1" applyBorder="1"/>
    <xf numFmtId="0" fontId="8" fillId="32" borderId="37" xfId="0" applyFont="1" applyFill="1" applyBorder="1" applyAlignment="1">
      <alignment horizontal="center" vertical="center" wrapText="1"/>
    </xf>
    <xf numFmtId="0" fontId="8" fillId="3" borderId="37" xfId="0" applyFont="1" applyFill="1" applyBorder="1" applyAlignment="1">
      <alignment horizontal="center" vertical="center" wrapText="1"/>
    </xf>
    <xf numFmtId="166" fontId="2" fillId="2" borderId="37" xfId="2" applyNumberFormat="1" applyFont="1" applyFill="1" applyBorder="1" applyAlignment="1"/>
    <xf numFmtId="0" fontId="6" fillId="2" borderId="0" xfId="2" applyNumberFormat="1" applyFont="1" applyFill="1" applyBorder="1" applyAlignment="1">
      <alignment horizontal="left" indent="1"/>
    </xf>
    <xf numFmtId="0" fontId="6" fillId="2" borderId="0" xfId="0" applyNumberFormat="1" applyFont="1" applyFill="1" applyAlignment="1">
      <alignment horizontal="left" indent="1"/>
    </xf>
    <xf numFmtId="0" fontId="6" fillId="2" borderId="0" xfId="1" applyNumberFormat="1" applyFont="1" applyFill="1" applyBorder="1" applyAlignment="1">
      <alignment horizontal="left" indent="1"/>
    </xf>
    <xf numFmtId="0" fontId="16" fillId="2" borderId="0" xfId="65" applyFill="1" applyBorder="1" applyAlignment="1" applyProtection="1">
      <alignment horizontal="right"/>
    </xf>
    <xf numFmtId="0" fontId="16" fillId="2" borderId="1" xfId="65" applyFill="1" applyBorder="1" applyAlignment="1" applyProtection="1">
      <alignment horizontal="right"/>
    </xf>
    <xf numFmtId="165" fontId="46" fillId="2" borderId="14" xfId="0" applyNumberFormat="1" applyFont="1" applyFill="1" applyBorder="1" applyAlignment="1">
      <alignment horizontal="right" vertical="center"/>
    </xf>
    <xf numFmtId="165" fontId="46" fillId="8" borderId="14" xfId="0" applyNumberFormat="1" applyFont="1" applyFill="1" applyBorder="1" applyAlignment="1">
      <alignment horizontal="right" vertical="center"/>
    </xf>
    <xf numFmtId="0" fontId="2" fillId="2" borderId="0" xfId="0" applyFont="1" applyFill="1"/>
    <xf numFmtId="0" fontId="64" fillId="2" borderId="0" xfId="65" applyFont="1" applyFill="1" applyAlignment="1" applyProtection="1">
      <alignment horizontal="left" vertical="center" indent="2"/>
    </xf>
    <xf numFmtId="0" fontId="9" fillId="2" borderId="0" xfId="65" applyFont="1" applyFill="1" applyAlignment="1" applyProtection="1">
      <alignment horizontal="left" vertical="center" indent="1"/>
    </xf>
    <xf numFmtId="0" fontId="36" fillId="2" borderId="0" xfId="65" applyFont="1" applyFill="1" applyAlignment="1" applyProtection="1">
      <alignment horizontal="left" vertical="center" indent="2"/>
    </xf>
    <xf numFmtId="165" fontId="59" fillId="2" borderId="0" xfId="1" applyNumberFormat="1" applyFont="1" applyFill="1"/>
    <xf numFmtId="0" fontId="2" fillId="2" borderId="0" xfId="0" applyFont="1" applyFill="1"/>
    <xf numFmtId="0" fontId="36" fillId="2" borderId="0" xfId="65" applyFont="1" applyFill="1" applyBorder="1" applyAlignment="1" applyProtection="1">
      <alignment vertical="center"/>
    </xf>
    <xf numFmtId="0" fontId="2" fillId="2" borderId="0" xfId="0" applyFont="1" applyFill="1" applyAlignment="1">
      <alignment horizontal="left" vertical="center" wrapText="1" indent="1"/>
    </xf>
    <xf numFmtId="0" fontId="2" fillId="2" borderId="0" xfId="0" applyFont="1" applyFill="1"/>
    <xf numFmtId="0" fontId="0" fillId="2" borderId="0" xfId="0" applyFill="1" applyAlignment="1">
      <alignment vertical="top"/>
    </xf>
    <xf numFmtId="0" fontId="0" fillId="2" borderId="0" xfId="0" applyFill="1" applyAlignment="1">
      <alignment horizontal="left" vertical="center" indent="1"/>
    </xf>
    <xf numFmtId="0" fontId="2" fillId="2" borderId="0" xfId="0" applyFont="1" applyFill="1" applyAlignment="1">
      <alignment horizontal="left" vertical="top" wrapText="1"/>
    </xf>
    <xf numFmtId="2" fontId="7" fillId="2" borderId="4" xfId="0" applyNumberFormat="1" applyFont="1" applyFill="1" applyBorder="1" applyAlignment="1">
      <alignment horizontal="center" vertical="center"/>
    </xf>
    <xf numFmtId="0" fontId="3" fillId="2" borderId="5" xfId="0" applyNumberFormat="1" applyFont="1" applyFill="1" applyBorder="1" applyAlignment="1">
      <alignment vertical="center" wrapText="1"/>
    </xf>
    <xf numFmtId="1" fontId="4" fillId="2" borderId="4" xfId="1" applyNumberFormat="1" applyFont="1" applyFill="1" applyBorder="1"/>
    <xf numFmtId="1" fontId="4" fillId="2" borderId="5" xfId="1" applyNumberFormat="1" applyFont="1" applyFill="1" applyBorder="1"/>
    <xf numFmtId="2" fontId="2" fillId="2" borderId="2" xfId="0" applyNumberFormat="1" applyFont="1" applyFill="1" applyBorder="1"/>
    <xf numFmtId="2" fontId="7" fillId="2" borderId="2" xfId="0" applyNumberFormat="1" applyFont="1" applyFill="1" applyBorder="1" applyAlignment="1">
      <alignment horizontal="center" vertical="center"/>
    </xf>
    <xf numFmtId="0" fontId="3" fillId="2" borderId="3" xfId="0" applyNumberFormat="1" applyFont="1" applyFill="1" applyBorder="1" applyAlignment="1">
      <alignment vertical="center" wrapText="1"/>
    </xf>
    <xf numFmtId="1" fontId="4" fillId="2" borderId="2" xfId="1" applyNumberFormat="1" applyFont="1" applyFill="1" applyBorder="1"/>
    <xf numFmtId="1" fontId="4" fillId="2" borderId="3" xfId="1" applyNumberFormat="1" applyFont="1" applyFill="1" applyBorder="1"/>
    <xf numFmtId="165" fontId="2" fillId="9" borderId="0" xfId="1" applyNumberFormat="1" applyFont="1" applyFill="1" applyBorder="1"/>
    <xf numFmtId="165" fontId="3" fillId="2" borderId="0" xfId="1" applyNumberFormat="1" applyFont="1" applyFill="1" applyBorder="1" applyAlignment="1">
      <alignment wrapText="1"/>
    </xf>
    <xf numFmtId="1" fontId="4" fillId="2" borderId="0" xfId="1" applyNumberFormat="1" applyFont="1" applyFill="1" applyBorder="1"/>
    <xf numFmtId="1" fontId="4" fillId="2" borderId="1" xfId="1" applyNumberFormat="1" applyFont="1" applyFill="1" applyBorder="1"/>
    <xf numFmtId="166" fontId="2" fillId="2" borderId="4" xfId="2" applyNumberFormat="1" applyFont="1" applyFill="1" applyBorder="1"/>
    <xf numFmtId="166" fontId="3" fillId="2" borderId="5" xfId="2" applyNumberFormat="1" applyFont="1" applyFill="1" applyBorder="1" applyAlignment="1">
      <alignment wrapText="1"/>
    </xf>
    <xf numFmtId="166" fontId="4" fillId="2" borderId="4" xfId="2" applyNumberFormat="1" applyFont="1" applyFill="1" applyBorder="1" applyAlignment="1">
      <alignment horizontal="right"/>
    </xf>
    <xf numFmtId="166" fontId="4" fillId="2" borderId="5" xfId="2" applyNumberFormat="1" applyFont="1" applyFill="1" applyBorder="1" applyAlignment="1">
      <alignment horizontal="right"/>
    </xf>
    <xf numFmtId="165" fontId="4" fillId="2" borderId="3" xfId="0" applyNumberFormat="1" applyFont="1" applyFill="1" applyBorder="1"/>
    <xf numFmtId="0" fontId="4" fillId="9" borderId="2" xfId="0" applyFont="1" applyFill="1" applyBorder="1" applyAlignment="1">
      <alignment horizontal="right"/>
    </xf>
    <xf numFmtId="171" fontId="6" fillId="2" borderId="0" xfId="0" applyNumberFormat="1" applyFont="1" applyFill="1"/>
    <xf numFmtId="165" fontId="57" fillId="2" borderId="0" xfId="1" applyNumberFormat="1" applyFont="1" applyFill="1" applyBorder="1" applyAlignment="1">
      <alignment horizontal="center" vertical="center"/>
    </xf>
    <xf numFmtId="165" fontId="6" fillId="2" borderId="0" xfId="0" applyNumberFormat="1" applyFont="1" applyFill="1" applyBorder="1"/>
    <xf numFmtId="165" fontId="57" fillId="2" borderId="0" xfId="1" applyNumberFormat="1" applyFont="1" applyFill="1" applyBorder="1" applyAlignment="1">
      <alignment horizontal="center"/>
    </xf>
    <xf numFmtId="171" fontId="6" fillId="2" borderId="0" xfId="0" applyNumberFormat="1" applyFont="1" applyFill="1" applyBorder="1"/>
    <xf numFmtId="0" fontId="2" fillId="2" borderId="0" xfId="0" applyFont="1" applyFill="1"/>
    <xf numFmtId="0" fontId="2" fillId="40" borderId="18" xfId="0" applyFont="1" applyFill="1" applyBorder="1" applyAlignment="1"/>
    <xf numFmtId="0" fontId="2" fillId="40" borderId="19" xfId="0" applyFont="1" applyFill="1" applyBorder="1" applyAlignment="1"/>
    <xf numFmtId="165" fontId="46" fillId="40" borderId="14" xfId="0" applyNumberFormat="1" applyFont="1" applyFill="1" applyBorder="1" applyAlignment="1">
      <alignment horizontal="right" vertical="center"/>
    </xf>
    <xf numFmtId="2" fontId="6" fillId="2" borderId="0" xfId="1" applyNumberFormat="1" applyFont="1" applyFill="1" applyBorder="1"/>
    <xf numFmtId="0" fontId="64" fillId="2" borderId="0" xfId="65" applyFont="1" applyFill="1" applyAlignment="1" applyProtection="1">
      <alignment horizontal="left" vertical="center" indent="2"/>
    </xf>
    <xf numFmtId="0" fontId="64" fillId="2" borderId="0" xfId="65" applyFont="1" applyFill="1" applyAlignment="1" applyProtection="1">
      <alignment horizontal="left" vertical="center" indent="3"/>
    </xf>
    <xf numFmtId="0" fontId="2" fillId="2" borderId="0" xfId="0" applyFont="1" applyFill="1"/>
    <xf numFmtId="0" fontId="64" fillId="2" borderId="0" xfId="65" applyFont="1" applyFill="1" applyAlignment="1" applyProtection="1">
      <alignment horizontal="left" vertical="center" indent="2"/>
    </xf>
    <xf numFmtId="165" fontId="4" fillId="9" borderId="4" xfId="1" applyNumberFormat="1" applyFont="1" applyFill="1" applyBorder="1" applyAlignment="1">
      <alignment horizontal="center"/>
    </xf>
    <xf numFmtId="165" fontId="4" fillId="9" borderId="0" xfId="1" applyNumberFormat="1" applyFont="1" applyFill="1" applyAlignment="1">
      <alignment horizontal="center"/>
    </xf>
    <xf numFmtId="165" fontId="4" fillId="9" borderId="0" xfId="1" applyNumberFormat="1" applyFont="1" applyFill="1" applyBorder="1" applyAlignment="1">
      <alignment horizontal="center"/>
    </xf>
    <xf numFmtId="0" fontId="4" fillId="9" borderId="5" xfId="0" applyFont="1" applyFill="1" applyBorder="1" applyAlignment="1">
      <alignment horizontal="center"/>
    </xf>
    <xf numFmtId="0" fontId="4" fillId="9" borderId="1" xfId="0" applyFont="1" applyFill="1" applyBorder="1" applyAlignment="1">
      <alignment horizontal="center"/>
    </xf>
    <xf numFmtId="166" fontId="4" fillId="9" borderId="5" xfId="2" applyNumberFormat="1" applyFont="1" applyFill="1" applyBorder="1" applyAlignment="1">
      <alignment horizontal="center"/>
    </xf>
    <xf numFmtId="0" fontId="4" fillId="2" borderId="50" xfId="0" applyFont="1" applyFill="1" applyBorder="1" applyAlignment="1">
      <alignment horizontal="right"/>
    </xf>
    <xf numFmtId="0" fontId="4" fillId="2" borderId="51" xfId="0" applyFont="1" applyFill="1" applyBorder="1" applyAlignment="1">
      <alignment horizontal="right"/>
    </xf>
    <xf numFmtId="0" fontId="4" fillId="9" borderId="4" xfId="0" applyFont="1" applyFill="1" applyBorder="1" applyAlignment="1">
      <alignment horizontal="right"/>
    </xf>
    <xf numFmtId="2" fontId="4" fillId="2" borderId="4" xfId="1" applyNumberFormat="1" applyFont="1" applyFill="1" applyBorder="1" applyAlignment="1">
      <alignment horizontal="right"/>
    </xf>
    <xf numFmtId="2" fontId="4" fillId="2" borderId="2" xfId="1" applyNumberFormat="1" applyFont="1" applyFill="1" applyBorder="1" applyAlignment="1">
      <alignment horizontal="right"/>
    </xf>
    <xf numFmtId="2" fontId="4" fillId="2" borderId="5" xfId="1" applyNumberFormat="1" applyFont="1" applyFill="1" applyBorder="1" applyAlignment="1">
      <alignment horizontal="right"/>
    </xf>
    <xf numFmtId="2" fontId="4" fillId="2" borderId="3" xfId="1" applyNumberFormat="1" applyFont="1" applyFill="1" applyBorder="1" applyAlignment="1">
      <alignment horizontal="right"/>
    </xf>
    <xf numFmtId="2" fontId="4" fillId="9" borderId="4" xfId="0" applyNumberFormat="1" applyFont="1" applyFill="1" applyBorder="1" applyAlignment="1">
      <alignment horizontal="right"/>
    </xf>
    <xf numFmtId="2" fontId="4" fillId="9" borderId="2" xfId="0" applyNumberFormat="1" applyFont="1" applyFill="1" applyBorder="1" applyAlignment="1">
      <alignment horizontal="right"/>
    </xf>
    <xf numFmtId="2" fontId="4" fillId="9" borderId="5" xfId="0" applyNumberFormat="1" applyFont="1" applyFill="1" applyBorder="1" applyAlignment="1">
      <alignment horizontal="right"/>
    </xf>
    <xf numFmtId="2" fontId="4" fillId="9" borderId="3" xfId="0" applyNumberFormat="1" applyFont="1" applyFill="1" applyBorder="1" applyAlignment="1">
      <alignment horizontal="right"/>
    </xf>
    <xf numFmtId="166" fontId="4" fillId="9" borderId="0" xfId="2" applyNumberFormat="1" applyFont="1" applyFill="1" applyBorder="1" applyAlignment="1">
      <alignment horizontal="right"/>
    </xf>
    <xf numFmtId="166" fontId="4" fillId="9" borderId="4" xfId="2" applyNumberFormat="1" applyFont="1" applyFill="1" applyBorder="1" applyAlignment="1">
      <alignment horizontal="right"/>
    </xf>
    <xf numFmtId="1" fontId="4" fillId="9" borderId="0" xfId="0" applyNumberFormat="1" applyFont="1" applyFill="1"/>
    <xf numFmtId="0" fontId="4" fillId="9" borderId="3" xfId="0" applyFont="1" applyFill="1" applyBorder="1" applyAlignment="1">
      <alignment horizontal="right"/>
    </xf>
    <xf numFmtId="1" fontId="4" fillId="2" borderId="0" xfId="0" applyNumberFormat="1" applyFont="1" applyFill="1" applyBorder="1" applyAlignment="1">
      <alignment horizontal="right"/>
    </xf>
    <xf numFmtId="1" fontId="4" fillId="2" borderId="1" xfId="0" applyNumberFormat="1" applyFont="1" applyFill="1" applyBorder="1" applyAlignment="1">
      <alignment horizontal="right"/>
    </xf>
    <xf numFmtId="1" fontId="4" fillId="9" borderId="0" xfId="0" applyNumberFormat="1" applyFont="1" applyFill="1" applyAlignment="1">
      <alignment horizontal="right"/>
    </xf>
    <xf numFmtId="49" fontId="4" fillId="9" borderId="0" xfId="0" applyNumberFormat="1" applyFont="1" applyFill="1" applyBorder="1" applyAlignment="1">
      <alignment horizontal="right"/>
    </xf>
    <xf numFmtId="166" fontId="11" fillId="2" borderId="0" xfId="2" applyNumberFormat="1" applyFont="1" applyFill="1" applyBorder="1"/>
    <xf numFmtId="165" fontId="11" fillId="2" borderId="0" xfId="1" applyNumberFormat="1" applyFont="1" applyFill="1" applyBorder="1"/>
    <xf numFmtId="0" fontId="36" fillId="2" borderId="0" xfId="65" applyFont="1" applyFill="1" applyAlignment="1" applyProtection="1">
      <alignment horizontal="left" vertical="center" indent="3"/>
    </xf>
    <xf numFmtId="0" fontId="6" fillId="2" borderId="0" xfId="0" applyFont="1" applyFill="1" applyAlignment="1">
      <alignment horizontal="left" vertical="center" wrapText="1" indent="1"/>
    </xf>
    <xf numFmtId="0" fontId="2" fillId="2" borderId="0" xfId="0" applyFont="1" applyFill="1"/>
    <xf numFmtId="165" fontId="4" fillId="2" borderId="0" xfId="0" applyNumberFormat="1" applyFont="1" applyFill="1" applyBorder="1"/>
    <xf numFmtId="165" fontId="4" fillId="2" borderId="1" xfId="0" applyNumberFormat="1" applyFont="1" applyFill="1" applyBorder="1" applyAlignment="1">
      <alignment horizontal="right"/>
    </xf>
    <xf numFmtId="0" fontId="4" fillId="2" borderId="0" xfId="0" applyFont="1" applyFill="1" applyAlignment="1">
      <alignment horizontal="right"/>
    </xf>
    <xf numFmtId="165" fontId="4" fillId="2" borderId="0" xfId="1" applyNumberFormat="1" applyFont="1" applyFill="1" applyAlignment="1">
      <alignment horizontal="right"/>
    </xf>
    <xf numFmtId="165" fontId="4" fillId="2" borderId="0" xfId="1" applyNumberFormat="1" applyFont="1" applyFill="1" applyBorder="1"/>
    <xf numFmtId="0" fontId="2" fillId="2" borderId="0" xfId="0" applyFont="1" applyFill="1"/>
    <xf numFmtId="165" fontId="4" fillId="9" borderId="56" xfId="1" applyNumberFormat="1" applyFont="1" applyFill="1" applyBorder="1" applyAlignment="1">
      <alignment horizontal="right"/>
    </xf>
    <xf numFmtId="0" fontId="4" fillId="9" borderId="56" xfId="0" applyFont="1" applyFill="1" applyBorder="1" applyAlignment="1">
      <alignment horizontal="right"/>
    </xf>
    <xf numFmtId="1" fontId="4" fillId="2" borderId="0" xfId="0" applyNumberFormat="1" applyFont="1" applyFill="1" applyAlignment="1">
      <alignment horizontal="right"/>
    </xf>
    <xf numFmtId="0" fontId="6" fillId="2" borderId="2" xfId="0" applyFont="1" applyFill="1" applyBorder="1"/>
    <xf numFmtId="0" fontId="4" fillId="2" borderId="0" xfId="0" applyFont="1" applyFill="1" applyAlignment="1">
      <alignment horizontal="left"/>
    </xf>
    <xf numFmtId="0" fontId="4" fillId="2" borderId="1" xfId="0" applyFont="1" applyFill="1" applyBorder="1" applyAlignment="1">
      <alignment horizontal="left"/>
    </xf>
    <xf numFmtId="0" fontId="4" fillId="2" borderId="0" xfId="0" applyFont="1" applyFill="1" applyBorder="1" applyAlignment="1">
      <alignment horizontal="left"/>
    </xf>
    <xf numFmtId="0" fontId="4" fillId="9" borderId="0" xfId="0" applyFont="1" applyFill="1" applyAlignment="1">
      <alignment horizontal="left"/>
    </xf>
    <xf numFmtId="49" fontId="4" fillId="9" borderId="0" xfId="0" applyNumberFormat="1" applyFont="1" applyFill="1" applyAlignment="1">
      <alignment horizontal="left"/>
    </xf>
    <xf numFmtId="0" fontId="4" fillId="9" borderId="0" xfId="0" applyFont="1" applyFill="1" applyBorder="1" applyAlignment="1">
      <alignment horizontal="left"/>
    </xf>
    <xf numFmtId="0" fontId="4" fillId="9" borderId="1" xfId="0" applyFont="1" applyFill="1" applyBorder="1" applyAlignment="1">
      <alignment horizontal="left"/>
    </xf>
    <xf numFmtId="49" fontId="4" fillId="2" borderId="0" xfId="0" applyNumberFormat="1" applyFont="1" applyFill="1" applyAlignment="1">
      <alignment horizontal="left"/>
    </xf>
    <xf numFmtId="49" fontId="4" fillId="2" borderId="1" xfId="0" applyNumberFormat="1" applyFont="1" applyFill="1" applyBorder="1" applyAlignment="1">
      <alignment horizontal="left"/>
    </xf>
    <xf numFmtId="49" fontId="4" fillId="2" borderId="0" xfId="0" applyNumberFormat="1" applyFont="1" applyFill="1" applyBorder="1" applyAlignment="1">
      <alignment horizontal="left"/>
    </xf>
    <xf numFmtId="49" fontId="4" fillId="9" borderId="0" xfId="0" applyNumberFormat="1" applyFont="1" applyFill="1" applyBorder="1" applyAlignment="1">
      <alignment horizontal="left"/>
    </xf>
    <xf numFmtId="49" fontId="4" fillId="9" borderId="1" xfId="0" applyNumberFormat="1" applyFont="1" applyFill="1" applyBorder="1" applyAlignment="1">
      <alignment horizontal="left"/>
    </xf>
    <xf numFmtId="166" fontId="4" fillId="9" borderId="0" xfId="0" applyNumberFormat="1" applyFont="1" applyFill="1"/>
    <xf numFmtId="0" fontId="2" fillId="0" borderId="0" xfId="0" applyFont="1" applyAlignment="1">
      <alignment vertical="top" wrapText="1"/>
    </xf>
    <xf numFmtId="0" fontId="64" fillId="2" borderId="0" xfId="65" applyFont="1" applyFill="1" applyAlignment="1" applyProtection="1">
      <alignment horizontal="left" indent="3"/>
    </xf>
    <xf numFmtId="0" fontId="2" fillId="2" borderId="0" xfId="0" applyFont="1" applyFill="1" applyAlignment="1">
      <alignment vertical="top" wrapText="1"/>
    </xf>
    <xf numFmtId="0" fontId="2" fillId="2" borderId="18" xfId="0" applyFont="1" applyFill="1" applyBorder="1" applyAlignment="1">
      <alignment horizontal="left" indent="1"/>
    </xf>
    <xf numFmtId="0" fontId="2" fillId="2" borderId="19" xfId="0" applyFont="1" applyFill="1" applyBorder="1" applyAlignment="1">
      <alignment horizontal="left" indent="1"/>
    </xf>
    <xf numFmtId="0" fontId="2" fillId="2" borderId="20" xfId="0" applyFont="1" applyFill="1" applyBorder="1" applyAlignment="1">
      <alignment horizontal="left" indent="1"/>
    </xf>
    <xf numFmtId="0" fontId="2" fillId="2" borderId="0" xfId="0" applyFont="1" applyFill="1" applyAlignment="1">
      <alignment vertical="center" wrapText="1"/>
    </xf>
    <xf numFmtId="0" fontId="2" fillId="2" borderId="0" xfId="0" applyFont="1" applyFill="1"/>
    <xf numFmtId="2" fontId="4" fillId="2" borderId="0" xfId="1" applyNumberFormat="1" applyFont="1" applyFill="1" applyBorder="1" applyAlignment="1">
      <alignment horizontal="right"/>
    </xf>
    <xf numFmtId="2" fontId="4" fillId="2" borderId="1" xfId="1" applyNumberFormat="1" applyFont="1" applyFill="1" applyBorder="1" applyAlignment="1">
      <alignment horizontal="right"/>
    </xf>
    <xf numFmtId="2" fontId="4" fillId="9" borderId="0" xfId="1" applyNumberFormat="1" applyFont="1" applyFill="1" applyBorder="1" applyAlignment="1">
      <alignment horizontal="right"/>
    </xf>
    <xf numFmtId="2" fontId="4" fillId="9" borderId="0" xfId="0" applyNumberFormat="1" applyFont="1" applyFill="1" applyBorder="1" applyAlignment="1">
      <alignment horizontal="right"/>
    </xf>
    <xf numFmtId="1" fontId="2" fillId="2" borderId="0" xfId="1" applyNumberFormat="1" applyFont="1" applyFill="1" applyBorder="1"/>
    <xf numFmtId="1" fontId="4" fillId="2" borderId="0" xfId="1" applyNumberFormat="1" applyFont="1" applyFill="1" applyBorder="1" applyAlignment="1">
      <alignment horizontal="right"/>
    </xf>
    <xf numFmtId="1" fontId="4" fillId="2" borderId="1" xfId="1" applyNumberFormat="1" applyFont="1" applyFill="1" applyBorder="1" applyAlignment="1">
      <alignment horizontal="right"/>
    </xf>
    <xf numFmtId="1" fontId="4" fillId="9" borderId="0" xfId="1" applyNumberFormat="1" applyFont="1" applyFill="1" applyBorder="1" applyAlignment="1">
      <alignment horizontal="right"/>
    </xf>
    <xf numFmtId="1" fontId="4" fillId="9" borderId="0" xfId="0" applyNumberFormat="1" applyFont="1" applyFill="1" applyBorder="1" applyAlignment="1">
      <alignment horizontal="right"/>
    </xf>
    <xf numFmtId="0" fontId="4" fillId="9" borderId="57" xfId="0" applyFont="1" applyFill="1" applyBorder="1" applyAlignment="1">
      <alignment horizontal="right"/>
    </xf>
    <xf numFmtId="1" fontId="4" fillId="9" borderId="1" xfId="0" applyNumberFormat="1" applyFont="1" applyFill="1" applyBorder="1" applyAlignment="1">
      <alignment horizontal="right"/>
    </xf>
    <xf numFmtId="2" fontId="4" fillId="9" borderId="1" xfId="0" applyNumberFormat="1" applyFont="1" applyFill="1" applyBorder="1" applyAlignment="1">
      <alignment horizontal="right"/>
    </xf>
    <xf numFmtId="0" fontId="2" fillId="2" borderId="0" xfId="0" applyFont="1" applyFill="1" applyAlignment="1">
      <alignment horizontal="center" vertical="center" wrapText="1"/>
    </xf>
    <xf numFmtId="0" fontId="66" fillId="2" borderId="0" xfId="0" applyFont="1" applyFill="1"/>
    <xf numFmtId="0" fontId="67" fillId="2" borderId="0" xfId="0" applyFont="1" applyFill="1"/>
    <xf numFmtId="0" fontId="11" fillId="2" borderId="0" xfId="65" applyFont="1" applyFill="1" applyBorder="1" applyAlignment="1" applyProtection="1">
      <alignment vertical="center" wrapText="1"/>
    </xf>
    <xf numFmtId="0" fontId="11" fillId="2" borderId="0" xfId="0" applyFont="1" applyFill="1" applyBorder="1" applyAlignment="1">
      <alignment vertical="center"/>
    </xf>
    <xf numFmtId="0" fontId="2" fillId="2" borderId="0" xfId="0" applyFont="1" applyFill="1"/>
    <xf numFmtId="0" fontId="68" fillId="2" borderId="0" xfId="65" applyFont="1" applyFill="1" applyBorder="1" applyAlignment="1" applyProtection="1">
      <alignment vertical="center"/>
    </xf>
    <xf numFmtId="0" fontId="36" fillId="2" borderId="0" xfId="0" applyFont="1" applyFill="1" applyBorder="1" applyAlignment="1">
      <alignment vertical="center"/>
    </xf>
    <xf numFmtId="0" fontId="36" fillId="2" borderId="0" xfId="0" applyFont="1" applyFill="1" applyBorder="1" applyAlignment="1">
      <alignment horizontal="left" vertical="center" indent="1"/>
    </xf>
    <xf numFmtId="0" fontId="0" fillId="2" borderId="0" xfId="0" applyFont="1" applyFill="1"/>
    <xf numFmtId="1" fontId="2" fillId="2" borderId="1" xfId="1" applyNumberFormat="1" applyFont="1" applyFill="1" applyBorder="1"/>
    <xf numFmtId="166" fontId="4" fillId="9" borderId="0" xfId="0" applyNumberFormat="1" applyFont="1" applyFill="1" applyBorder="1" applyAlignment="1">
      <alignment horizontal="right"/>
    </xf>
    <xf numFmtId="166" fontId="4" fillId="9" borderId="0" xfId="0" applyNumberFormat="1" applyFont="1" applyFill="1" applyAlignment="1">
      <alignment horizontal="right"/>
    </xf>
    <xf numFmtId="166" fontId="4" fillId="9" borderId="1" xfId="0" applyNumberFormat="1" applyFont="1" applyFill="1" applyBorder="1" applyAlignment="1">
      <alignment horizontal="right"/>
    </xf>
    <xf numFmtId="0" fontId="2" fillId="5" borderId="14" xfId="0" applyFont="1" applyFill="1" applyBorder="1" applyAlignment="1">
      <alignment horizontal="center"/>
    </xf>
    <xf numFmtId="0" fontId="2" fillId="6" borderId="14" xfId="0" applyFont="1" applyFill="1" applyBorder="1" applyAlignment="1">
      <alignment horizontal="center"/>
    </xf>
    <xf numFmtId="0" fontId="2" fillId="8" borderId="14" xfId="0" applyFont="1" applyFill="1" applyBorder="1" applyAlignment="1">
      <alignment horizontal="center"/>
    </xf>
    <xf numFmtId="0" fontId="2" fillId="2" borderId="0" xfId="0" applyFont="1" applyFill="1"/>
    <xf numFmtId="0" fontId="2" fillId="2" borderId="0" xfId="0" applyFont="1" applyFill="1" applyBorder="1" applyAlignment="1">
      <alignment horizontal="center" vertical="center"/>
    </xf>
    <xf numFmtId="0" fontId="2" fillId="2" borderId="14" xfId="0" applyFont="1" applyFill="1" applyBorder="1" applyAlignment="1">
      <alignment horizontal="center" vertical="center"/>
    </xf>
    <xf numFmtId="165" fontId="57" fillId="2" borderId="0" xfId="1" applyNumberFormat="1" applyFont="1" applyFill="1" applyBorder="1" applyAlignment="1"/>
    <xf numFmtId="1" fontId="4" fillId="9" borderId="1" xfId="1" applyNumberFormat="1" applyFont="1" applyFill="1" applyBorder="1" applyAlignment="1">
      <alignment horizontal="right"/>
    </xf>
    <xf numFmtId="0" fontId="2" fillId="33" borderId="14" xfId="0" applyFont="1" applyFill="1" applyBorder="1" applyAlignment="1">
      <alignment horizontal="center"/>
    </xf>
    <xf numFmtId="0" fontId="2" fillId="2" borderId="0" xfId="0" applyFont="1" applyFill="1" applyBorder="1" applyAlignment="1"/>
    <xf numFmtId="165" fontId="2" fillId="2" borderId="14" xfId="1" applyNumberFormat="1" applyFont="1" applyFill="1" applyBorder="1" applyAlignment="1">
      <alignment horizontal="center" vertical="center"/>
    </xf>
    <xf numFmtId="165" fontId="69" fillId="2" borderId="0" xfId="1" applyNumberFormat="1" applyFont="1" applyFill="1" applyBorder="1" applyAlignment="1"/>
    <xf numFmtId="165" fontId="0" fillId="2" borderId="0" xfId="0" applyNumberFormat="1" applyFill="1"/>
    <xf numFmtId="0" fontId="2" fillId="9" borderId="0" xfId="0" applyFont="1" applyFill="1" applyBorder="1"/>
    <xf numFmtId="0" fontId="3" fillId="2" borderId="0" xfId="0" applyFont="1" applyFill="1" applyBorder="1" applyAlignment="1">
      <alignment wrapText="1"/>
    </xf>
    <xf numFmtId="1" fontId="4" fillId="9" borderId="2" xfId="1" applyNumberFormat="1" applyFont="1" applyFill="1" applyBorder="1" applyAlignment="1">
      <alignment horizontal="right"/>
    </xf>
    <xf numFmtId="167" fontId="4" fillId="2" borderId="0" xfId="0" applyNumberFormat="1" applyFont="1" applyFill="1" applyBorder="1"/>
    <xf numFmtId="165" fontId="4" fillId="2" borderId="1" xfId="1" applyNumberFormat="1" applyFont="1" applyFill="1" applyBorder="1" applyAlignment="1"/>
    <xf numFmtId="165" fontId="2" fillId="2" borderId="0" xfId="1" applyNumberFormat="1" applyFont="1" applyFill="1" applyBorder="1" applyAlignment="1">
      <alignment horizontal="center" vertical="center"/>
    </xf>
    <xf numFmtId="0" fontId="4" fillId="2" borderId="0" xfId="0" applyNumberFormat="1" applyFont="1" applyFill="1" applyBorder="1"/>
    <xf numFmtId="0" fontId="4" fillId="2" borderId="1" xfId="0" applyNumberFormat="1" applyFont="1" applyFill="1" applyBorder="1"/>
    <xf numFmtId="0" fontId="6" fillId="2" borderId="0" xfId="0" applyFont="1" applyFill="1" applyBorder="1"/>
    <xf numFmtId="0" fontId="36" fillId="2" borderId="0" xfId="0" applyFont="1" applyFill="1" applyBorder="1"/>
    <xf numFmtId="165" fontId="2" fillId="2" borderId="14" xfId="1" applyNumberFormat="1" applyFont="1" applyFill="1" applyBorder="1" applyAlignment="1">
      <alignment horizontal="right" vertical="center"/>
    </xf>
    <xf numFmtId="1" fontId="4" fillId="2" borderId="2" xfId="1" applyNumberFormat="1" applyFont="1" applyFill="1" applyBorder="1" applyAlignment="1">
      <alignment horizontal="right"/>
    </xf>
    <xf numFmtId="1" fontId="4" fillId="2" borderId="3" xfId="1" applyNumberFormat="1" applyFont="1" applyFill="1" applyBorder="1" applyAlignment="1">
      <alignment horizontal="right"/>
    </xf>
    <xf numFmtId="9" fontId="6" fillId="2" borderId="0" xfId="1" applyFont="1" applyFill="1" applyBorder="1"/>
    <xf numFmtId="165" fontId="6" fillId="2" borderId="0" xfId="1" applyNumberFormat="1" applyFont="1" applyFill="1" applyBorder="1"/>
    <xf numFmtId="0" fontId="2" fillId="2" borderId="0" xfId="0" applyFont="1" applyFill="1" applyBorder="1" applyProtection="1">
      <protection locked="0"/>
    </xf>
    <xf numFmtId="0" fontId="2" fillId="2" borderId="0" xfId="0" applyFont="1" applyFill="1" applyProtection="1">
      <protection locked="0"/>
    </xf>
    <xf numFmtId="0" fontId="2" fillId="2" borderId="20" xfId="0" applyFont="1" applyFill="1" applyBorder="1"/>
    <xf numFmtId="0" fontId="2" fillId="2" borderId="0" xfId="0" applyFont="1" applyFill="1"/>
    <xf numFmtId="166" fontId="2" fillId="2" borderId="14" xfId="2" applyNumberFormat="1" applyFont="1" applyFill="1" applyBorder="1" applyAlignment="1">
      <alignment horizontal="right"/>
    </xf>
    <xf numFmtId="0" fontId="2" fillId="2" borderId="18" xfId="0" applyFont="1" applyFill="1" applyBorder="1" applyAlignment="1">
      <alignment horizontal="left" indent="1"/>
    </xf>
    <xf numFmtId="0" fontId="2" fillId="2" borderId="19" xfId="0" applyFont="1" applyFill="1" applyBorder="1" applyAlignment="1">
      <alignment horizontal="left" indent="1"/>
    </xf>
    <xf numFmtId="0" fontId="2" fillId="2" borderId="20" xfId="0" applyFont="1" applyFill="1" applyBorder="1" applyAlignment="1">
      <alignment horizontal="left" indent="1"/>
    </xf>
    <xf numFmtId="0" fontId="4" fillId="2" borderId="0" xfId="0" applyFont="1" applyFill="1" applyBorder="1" applyAlignment="1">
      <alignment horizontal="center" vertical="center"/>
    </xf>
    <xf numFmtId="0" fontId="2" fillId="2" borderId="18" xfId="0" applyFont="1" applyFill="1" applyBorder="1" applyAlignment="1"/>
    <xf numFmtId="0" fontId="2" fillId="2" borderId="20" xfId="0" applyFont="1" applyFill="1" applyBorder="1" applyAlignment="1"/>
    <xf numFmtId="0" fontId="2" fillId="2" borderId="0" xfId="0" applyFont="1" applyFill="1"/>
    <xf numFmtId="0" fontId="0" fillId="41" borderId="0" xfId="0" applyFill="1"/>
    <xf numFmtId="0" fontId="2" fillId="32" borderId="0" xfId="0" applyFont="1" applyFill="1"/>
    <xf numFmtId="164" fontId="2" fillId="32" borderId="0" xfId="0" applyNumberFormat="1" applyFont="1" applyFill="1"/>
    <xf numFmtId="0" fontId="0" fillId="32" borderId="0" xfId="0" applyFill="1"/>
    <xf numFmtId="0" fontId="0" fillId="32" borderId="0" xfId="0" applyFill="1" applyAlignment="1">
      <alignment horizontal="left" vertical="center" indent="1"/>
    </xf>
    <xf numFmtId="0" fontId="0" fillId="32" borderId="0" xfId="0" applyFill="1" applyAlignment="1">
      <alignment vertical="top"/>
    </xf>
    <xf numFmtId="0" fontId="11" fillId="32" borderId="0" xfId="0" applyFont="1" applyFill="1" applyBorder="1" applyAlignment="1">
      <alignment vertical="center" wrapText="1"/>
    </xf>
    <xf numFmtId="0" fontId="11" fillId="32" borderId="0" xfId="0" applyFont="1" applyFill="1" applyBorder="1" applyAlignment="1">
      <alignment vertical="center"/>
    </xf>
    <xf numFmtId="0" fontId="11" fillId="32" borderId="0" xfId="65" applyFont="1" applyFill="1" applyBorder="1" applyAlignment="1" applyProtection="1">
      <alignment vertical="center" wrapText="1"/>
    </xf>
    <xf numFmtId="0" fontId="49" fillId="32" borderId="0" xfId="0" applyFont="1" applyFill="1"/>
    <xf numFmtId="0" fontId="2" fillId="32" borderId="0" xfId="0" applyFont="1" applyFill="1" applyAlignment="1"/>
    <xf numFmtId="0" fontId="2" fillId="32" borderId="0" xfId="0" applyFont="1" applyFill="1" applyBorder="1" applyAlignment="1">
      <alignment vertical="center"/>
    </xf>
    <xf numFmtId="0" fontId="2" fillId="32" borderId="0" xfId="0" applyFont="1" applyFill="1" applyBorder="1" applyAlignment="1">
      <alignment horizontal="center" vertical="center"/>
    </xf>
    <xf numFmtId="3" fontId="2" fillId="32" borderId="0" xfId="0" applyNumberFormat="1" applyFont="1" applyFill="1" applyBorder="1" applyAlignment="1">
      <alignment horizontal="center" vertical="center"/>
    </xf>
    <xf numFmtId="0" fontId="38" fillId="7" borderId="62" xfId="0" applyFont="1" applyFill="1" applyBorder="1" applyAlignment="1">
      <alignment horizontal="center"/>
    </xf>
    <xf numFmtId="0" fontId="38" fillId="33" borderId="62" xfId="0" applyFont="1" applyFill="1" applyBorder="1" applyAlignment="1">
      <alignment horizontal="center"/>
    </xf>
    <xf numFmtId="0" fontId="38" fillId="8" borderId="62" xfId="0" applyFont="1" applyFill="1" applyBorder="1" applyAlignment="1">
      <alignment horizontal="center"/>
    </xf>
    <xf numFmtId="0" fontId="38" fillId="8" borderId="63" xfId="0" applyFont="1" applyFill="1" applyBorder="1" applyAlignment="1">
      <alignment horizontal="center"/>
    </xf>
    <xf numFmtId="0" fontId="38" fillId="8" borderId="65" xfId="0" applyFont="1" applyFill="1" applyBorder="1" applyAlignment="1">
      <alignment horizontal="center"/>
    </xf>
    <xf numFmtId="0" fontId="38" fillId="33" borderId="63" xfId="0" applyFont="1" applyFill="1" applyBorder="1" applyAlignment="1">
      <alignment horizontal="center"/>
    </xf>
    <xf numFmtId="167" fontId="2" fillId="2" borderId="66" xfId="0" applyNumberFormat="1" applyFont="1" applyFill="1" applyBorder="1"/>
    <xf numFmtId="167" fontId="2" fillId="2" borderId="64" xfId="0" applyNumberFormat="1" applyFont="1" applyFill="1" applyBorder="1"/>
    <xf numFmtId="0" fontId="38" fillId="33" borderId="65" xfId="0" applyFont="1" applyFill="1" applyBorder="1" applyAlignment="1">
      <alignment horizontal="center"/>
    </xf>
    <xf numFmtId="0" fontId="38" fillId="7" borderId="63" xfId="0" applyFont="1" applyFill="1" applyBorder="1" applyAlignment="1">
      <alignment horizontal="center"/>
    </xf>
    <xf numFmtId="0" fontId="38" fillId="7" borderId="65" xfId="0" applyFont="1" applyFill="1" applyBorder="1" applyAlignment="1">
      <alignment horizontal="center"/>
    </xf>
    <xf numFmtId="0" fontId="2" fillId="2" borderId="65" xfId="0" applyFont="1" applyFill="1" applyBorder="1"/>
    <xf numFmtId="167" fontId="2" fillId="2" borderId="62" xfId="0" applyNumberFormat="1" applyFont="1" applyFill="1" applyBorder="1"/>
    <xf numFmtId="167" fontId="2" fillId="2" borderId="63" xfId="0" applyNumberFormat="1" applyFont="1" applyFill="1" applyBorder="1"/>
    <xf numFmtId="166" fontId="2" fillId="2" borderId="65" xfId="2" applyNumberFormat="1" applyFont="1" applyFill="1" applyBorder="1"/>
    <xf numFmtId="0" fontId="4" fillId="32" borderId="0" xfId="0" applyFont="1" applyFill="1" applyBorder="1"/>
    <xf numFmtId="0" fontId="0" fillId="32" borderId="0" xfId="0" applyFill="1" applyAlignment="1">
      <alignment wrapText="1"/>
    </xf>
    <xf numFmtId="0" fontId="0" fillId="32" borderId="0" xfId="0" applyFill="1" applyAlignment="1">
      <alignment horizontal="left" vertical="center" wrapText="1" indent="1"/>
    </xf>
    <xf numFmtId="0" fontId="2" fillId="32" borderId="0" xfId="0" applyFont="1" applyFill="1" applyAlignment="1">
      <alignment wrapText="1"/>
    </xf>
    <xf numFmtId="0" fontId="2" fillId="32" borderId="0" xfId="0" applyFont="1" applyFill="1" applyAlignment="1">
      <alignment horizontal="left" vertical="center" wrapText="1" indent="1"/>
    </xf>
    <xf numFmtId="0" fontId="2" fillId="2" borderId="18" xfId="0" applyFont="1" applyFill="1" applyBorder="1" applyAlignment="1"/>
    <xf numFmtId="0" fontId="2" fillId="2" borderId="19" xfId="0" applyFont="1" applyFill="1" applyBorder="1" applyAlignment="1"/>
    <xf numFmtId="0" fontId="46" fillId="2" borderId="0" xfId="0" applyFont="1" applyFill="1" applyAlignment="1">
      <alignment wrapText="1"/>
    </xf>
    <xf numFmtId="165" fontId="2" fillId="2" borderId="14" xfId="1" applyNumberFormat="1" applyFont="1" applyFill="1" applyBorder="1" applyAlignment="1">
      <alignment horizontal="center" vertical="center"/>
    </xf>
    <xf numFmtId="0" fontId="2" fillId="2" borderId="0" xfId="0" applyFont="1" applyFill="1"/>
    <xf numFmtId="0" fontId="2" fillId="2" borderId="14" xfId="0" applyFont="1" applyFill="1" applyBorder="1" applyAlignment="1">
      <alignment horizontal="center" vertical="center"/>
    </xf>
    <xf numFmtId="166" fontId="4" fillId="2" borderId="0" xfId="2" applyNumberFormat="1" applyFont="1" applyFill="1" applyBorder="1" applyAlignment="1">
      <alignment horizontal="center"/>
    </xf>
    <xf numFmtId="166" fontId="4" fillId="2" borderId="1" xfId="2" applyNumberFormat="1" applyFont="1" applyFill="1" applyBorder="1" applyAlignment="1">
      <alignment horizontal="center"/>
    </xf>
    <xf numFmtId="49" fontId="4" fillId="2" borderId="0" xfId="0" applyNumberFormat="1" applyFont="1" applyFill="1" applyBorder="1" applyAlignment="1">
      <alignment horizontal="center"/>
    </xf>
    <xf numFmtId="49" fontId="4" fillId="2" borderId="1" xfId="0" applyNumberFormat="1" applyFont="1" applyFill="1" applyBorder="1" applyAlignment="1">
      <alignment horizontal="center"/>
    </xf>
    <xf numFmtId="0" fontId="4" fillId="9" borderId="0" xfId="0" applyFont="1" applyFill="1" applyBorder="1" applyAlignment="1">
      <alignment horizontal="center"/>
    </xf>
    <xf numFmtId="166" fontId="4" fillId="9" borderId="0" xfId="2" applyNumberFormat="1" applyFont="1" applyFill="1" applyBorder="1" applyAlignment="1">
      <alignment horizontal="center"/>
    </xf>
    <xf numFmtId="0" fontId="72" fillId="2" borderId="2" xfId="0" applyFont="1" applyFill="1" applyBorder="1"/>
    <xf numFmtId="49" fontId="4" fillId="2" borderId="0" xfId="0" applyNumberFormat="1" applyFont="1" applyFill="1" applyBorder="1" applyAlignment="1">
      <alignment horizontal="center" vertical="top"/>
    </xf>
    <xf numFmtId="0" fontId="4" fillId="2" borderId="0" xfId="0" applyFont="1" applyFill="1" applyBorder="1" applyAlignment="1">
      <alignment horizontal="center" vertical="top"/>
    </xf>
    <xf numFmtId="0" fontId="4" fillId="2" borderId="1" xfId="0" applyFont="1" applyFill="1" applyBorder="1" applyAlignment="1">
      <alignment horizontal="center" vertical="center"/>
    </xf>
    <xf numFmtId="0" fontId="4" fillId="2" borderId="0" xfId="0" applyFont="1" applyFill="1" applyBorder="1" applyAlignment="1">
      <alignment horizontal="right" vertical="center"/>
    </xf>
    <xf numFmtId="0" fontId="4" fillId="2" borderId="0" xfId="0" applyFont="1" applyFill="1" applyBorder="1" applyAlignment="1">
      <alignment horizontal="center"/>
    </xf>
    <xf numFmtId="0" fontId="4" fillId="2" borderId="1" xfId="0" applyFont="1" applyFill="1" applyBorder="1" applyAlignment="1">
      <alignment horizontal="center"/>
    </xf>
    <xf numFmtId="3" fontId="4" fillId="2" borderId="0" xfId="0" applyNumberFormat="1" applyFont="1" applyFill="1" applyBorder="1" applyAlignment="1">
      <alignment horizontal="right"/>
    </xf>
    <xf numFmtId="3" fontId="4" fillId="2" borderId="1" xfId="0" applyNumberFormat="1" applyFont="1" applyFill="1" applyBorder="1" applyAlignment="1">
      <alignment horizontal="right"/>
    </xf>
    <xf numFmtId="0" fontId="4" fillId="2" borderId="1" xfId="0" applyFont="1" applyFill="1" applyBorder="1" applyAlignment="1">
      <alignment horizontal="right" vertical="center"/>
    </xf>
    <xf numFmtId="0" fontId="2" fillId="2" borderId="0" xfId="0" applyFont="1" applyFill="1" applyBorder="1" applyAlignment="1">
      <alignment horizontal="left" indent="1"/>
    </xf>
    <xf numFmtId="165" fontId="2" fillId="2" borderId="0" xfId="1" applyNumberFormat="1" applyFont="1" applyFill="1" applyBorder="1" applyAlignment="1">
      <alignment horizontal="right"/>
    </xf>
    <xf numFmtId="0" fontId="72" fillId="2" borderId="0" xfId="0" applyFont="1" applyFill="1"/>
    <xf numFmtId="0" fontId="73" fillId="2" borderId="0" xfId="0" applyFont="1" applyFill="1"/>
    <xf numFmtId="0" fontId="8" fillId="8" borderId="37" xfId="0" applyFont="1" applyFill="1" applyBorder="1" applyAlignment="1">
      <alignment horizontal="center" vertical="center"/>
    </xf>
    <xf numFmtId="165" fontId="2" fillId="0" borderId="37" xfId="1" applyNumberFormat="1" applyFont="1" applyBorder="1"/>
    <xf numFmtId="165" fontId="2" fillId="34" borderId="37" xfId="1" applyNumberFormat="1" applyFont="1" applyFill="1" applyBorder="1"/>
    <xf numFmtId="165" fontId="2" fillId="2" borderId="37" xfId="1" applyNumberFormat="1" applyFont="1" applyFill="1" applyBorder="1"/>
    <xf numFmtId="0" fontId="46" fillId="2" borderId="0" xfId="0" applyFont="1" applyFill="1" applyBorder="1"/>
    <xf numFmtId="165" fontId="2" fillId="34" borderId="37" xfId="1" quotePrefix="1" applyNumberFormat="1" applyFont="1" applyFill="1" applyBorder="1" applyAlignment="1">
      <alignment horizontal="center"/>
    </xf>
    <xf numFmtId="165" fontId="2" fillId="34" borderId="37" xfId="1" quotePrefix="1" applyNumberFormat="1" applyFont="1" applyFill="1" applyBorder="1" applyAlignment="1">
      <alignment horizontal="right"/>
    </xf>
    <xf numFmtId="0" fontId="4" fillId="35" borderId="14" xfId="0" applyFont="1" applyFill="1" applyBorder="1" applyAlignment="1">
      <alignment horizontal="center" vertical="center"/>
    </xf>
    <xf numFmtId="0" fontId="2" fillId="2" borderId="11" xfId="0" applyFont="1" applyFill="1" applyBorder="1" applyAlignment="1"/>
    <xf numFmtId="0" fontId="2" fillId="2" borderId="12" xfId="0" applyFont="1" applyFill="1" applyBorder="1" applyAlignment="1"/>
    <xf numFmtId="0" fontId="64" fillId="2" borderId="0" xfId="65" applyFont="1" applyFill="1" applyAlignment="1" applyProtection="1">
      <alignment horizontal="left" vertical="center" indent="1"/>
    </xf>
    <xf numFmtId="49" fontId="64" fillId="2" borderId="0" xfId="65" applyNumberFormat="1" applyFont="1" applyFill="1" applyAlignment="1" applyProtection="1">
      <alignment horizontal="left" vertical="top" indent="1"/>
    </xf>
    <xf numFmtId="0" fontId="36" fillId="2" borderId="0" xfId="0" applyFont="1" applyFill="1" applyAlignment="1">
      <alignment vertical="center" wrapText="1"/>
    </xf>
    <xf numFmtId="2" fontId="46" fillId="4" borderId="14" xfId="0" applyNumberFormat="1" applyFont="1" applyFill="1" applyBorder="1" applyAlignment="1">
      <alignment horizontal="right" vertical="center"/>
    </xf>
    <xf numFmtId="2" fontId="46" fillId="40" borderId="14" xfId="0" applyNumberFormat="1" applyFont="1" applyFill="1" applyBorder="1" applyAlignment="1">
      <alignment horizontal="right" vertical="center"/>
    </xf>
    <xf numFmtId="2" fontId="46" fillId="8" borderId="14" xfId="0" applyNumberFormat="1" applyFont="1" applyFill="1" applyBorder="1" applyAlignment="1">
      <alignment horizontal="right" vertical="center"/>
    </xf>
    <xf numFmtId="2" fontId="46" fillId="2" borderId="14" xfId="0" applyNumberFormat="1" applyFont="1" applyFill="1" applyBorder="1" applyAlignment="1">
      <alignment horizontal="right" vertical="center"/>
    </xf>
    <xf numFmtId="0" fontId="57" fillId="2" borderId="0" xfId="0" applyFont="1" applyFill="1"/>
    <xf numFmtId="167" fontId="39" fillId="2" borderId="0" xfId="0" applyNumberFormat="1" applyFont="1" applyFill="1"/>
    <xf numFmtId="167" fontId="75" fillId="2" borderId="0" xfId="0" applyNumberFormat="1" applyFont="1" applyFill="1"/>
    <xf numFmtId="0" fontId="64" fillId="2" borderId="0" xfId="65" applyFont="1" applyFill="1" applyAlignment="1" applyProtection="1">
      <alignment horizontal="left" indent="1"/>
    </xf>
    <xf numFmtId="0" fontId="11" fillId="2" borderId="3" xfId="0" applyFont="1" applyFill="1" applyBorder="1" applyAlignment="1">
      <alignment horizontal="right"/>
    </xf>
    <xf numFmtId="166" fontId="11" fillId="2" borderId="2" xfId="2" applyNumberFormat="1" applyFont="1" applyFill="1" applyBorder="1" applyAlignment="1">
      <alignment horizontal="right"/>
    </xf>
    <xf numFmtId="166" fontId="11" fillId="2" borderId="3" xfId="2" applyNumberFormat="1" applyFont="1" applyFill="1" applyBorder="1" applyAlignment="1">
      <alignment horizontal="right"/>
    </xf>
    <xf numFmtId="166" fontId="11" fillId="2" borderId="2" xfId="2" applyNumberFormat="1" applyFont="1" applyFill="1" applyBorder="1"/>
    <xf numFmtId="166" fontId="11" fillId="2" borderId="3" xfId="2" applyNumberFormat="1" applyFont="1" applyFill="1" applyBorder="1"/>
    <xf numFmtId="166" fontId="11" fillId="9" borderId="3" xfId="2" applyNumberFormat="1" applyFont="1" applyFill="1" applyBorder="1" applyAlignment="1">
      <alignment horizontal="center"/>
    </xf>
    <xf numFmtId="1" fontId="2" fillId="2" borderId="0" xfId="0" applyNumberFormat="1" applyFont="1" applyFill="1" applyBorder="1"/>
    <xf numFmtId="1" fontId="3" fillId="2" borderId="0" xfId="1" applyNumberFormat="1" applyFont="1" applyFill="1" applyBorder="1" applyAlignment="1">
      <alignment wrapText="1"/>
    </xf>
    <xf numFmtId="1" fontId="3" fillId="2" borderId="1" xfId="0" applyNumberFormat="1" applyFont="1" applyFill="1" applyBorder="1" applyAlignment="1">
      <alignment wrapText="1"/>
    </xf>
    <xf numFmtId="0" fontId="2" fillId="2" borderId="20" xfId="0" applyFont="1" applyFill="1" applyBorder="1"/>
    <xf numFmtId="0" fontId="2" fillId="2" borderId="0" xfId="0" applyFont="1" applyFill="1"/>
    <xf numFmtId="0" fontId="50" fillId="2" borderId="1" xfId="0" applyFont="1" applyFill="1" applyBorder="1" applyAlignment="1">
      <alignment wrapText="1"/>
    </xf>
    <xf numFmtId="2" fontId="0" fillId="0" borderId="0" xfId="0" applyNumberFormat="1"/>
    <xf numFmtId="2" fontId="0" fillId="0" borderId="30" xfId="0" applyNumberFormat="1" applyBorder="1"/>
    <xf numFmtId="0" fontId="69" fillId="2" borderId="71" xfId="0" applyFont="1" applyFill="1" applyBorder="1" applyAlignment="1"/>
    <xf numFmtId="0" fontId="2" fillId="7" borderId="37" xfId="0" applyFont="1" applyFill="1" applyBorder="1" applyAlignment="1">
      <alignment horizontal="center" vertical="center" wrapText="1"/>
    </xf>
    <xf numFmtId="0" fontId="2" fillId="6" borderId="37" xfId="0" applyFont="1" applyFill="1" applyBorder="1" applyAlignment="1">
      <alignment horizontal="center" vertical="center" wrapText="1"/>
    </xf>
    <xf numFmtId="0" fontId="2" fillId="33" borderId="37" xfId="0" applyFont="1" applyFill="1" applyBorder="1" applyAlignment="1">
      <alignment horizontal="center" vertical="center" wrapText="1"/>
    </xf>
    <xf numFmtId="0" fontId="2" fillId="8" borderId="37" xfId="0" applyFont="1" applyFill="1" applyBorder="1" applyAlignment="1">
      <alignment horizontal="center" vertical="center" wrapText="1"/>
    </xf>
    <xf numFmtId="165" fontId="4" fillId="2" borderId="37" xfId="1" applyNumberFormat="1" applyFont="1" applyFill="1" applyBorder="1" applyAlignment="1">
      <alignment horizontal="center" vertical="center"/>
    </xf>
    <xf numFmtId="1" fontId="4" fillId="2" borderId="37" xfId="2" applyNumberFormat="1" applyFont="1" applyFill="1" applyBorder="1" applyAlignment="1">
      <alignment horizontal="center" vertical="center"/>
    </xf>
    <xf numFmtId="166" fontId="4" fillId="2" borderId="37" xfId="2" applyNumberFormat="1" applyFont="1" applyFill="1" applyBorder="1" applyAlignment="1">
      <alignment vertical="center"/>
    </xf>
    <xf numFmtId="166" fontId="4" fillId="2" borderId="37" xfId="2" applyNumberFormat="1" applyFont="1" applyFill="1" applyBorder="1" applyAlignment="1">
      <alignment horizontal="center" vertical="center"/>
    </xf>
    <xf numFmtId="165" fontId="4" fillId="2" borderId="40" xfId="1" applyNumberFormat="1" applyFont="1" applyFill="1" applyBorder="1" applyAlignment="1">
      <alignment horizontal="center" vertical="center"/>
    </xf>
    <xf numFmtId="0" fontId="6" fillId="2" borderId="40" xfId="0" applyFont="1" applyFill="1" applyBorder="1" applyAlignment="1">
      <alignment horizontal="left" vertical="center" wrapText="1"/>
    </xf>
    <xf numFmtId="0" fontId="6" fillId="2" borderId="49" xfId="0" applyFont="1" applyFill="1" applyBorder="1"/>
    <xf numFmtId="0" fontId="6" fillId="2" borderId="40" xfId="0" applyFont="1" applyFill="1" applyBorder="1"/>
    <xf numFmtId="0" fontId="2" fillId="2" borderId="0" xfId="0" applyFont="1" applyFill="1"/>
    <xf numFmtId="0" fontId="2" fillId="8" borderId="18" xfId="0" applyFont="1" applyFill="1" applyBorder="1" applyAlignment="1"/>
    <xf numFmtId="0" fontId="2" fillId="8" borderId="19" xfId="0" applyFont="1" applyFill="1" applyBorder="1" applyAlignment="1"/>
    <xf numFmtId="0" fontId="2" fillId="2" borderId="0" xfId="0" applyFont="1" applyFill="1"/>
    <xf numFmtId="0" fontId="36" fillId="2" borderId="0" xfId="0" applyFont="1" applyFill="1" applyBorder="1" applyAlignment="1">
      <alignment vertical="center" wrapText="1"/>
    </xf>
    <xf numFmtId="0" fontId="11" fillId="2" borderId="0" xfId="65" applyFont="1" applyFill="1" applyBorder="1" applyAlignment="1" applyProtection="1">
      <alignment vertical="center" wrapText="1"/>
    </xf>
    <xf numFmtId="0" fontId="2" fillId="2" borderId="0" xfId="0" applyFont="1" applyFill="1"/>
    <xf numFmtId="165" fontId="2" fillId="2" borderId="14" xfId="1" applyNumberFormat="1" applyFont="1" applyFill="1" applyBorder="1" applyAlignment="1">
      <alignment horizontal="center" vertical="center"/>
    </xf>
    <xf numFmtId="0" fontId="2" fillId="2" borderId="14" xfId="0" applyFont="1" applyFill="1" applyBorder="1" applyAlignment="1">
      <alignment horizontal="center" vertical="center"/>
    </xf>
    <xf numFmtId="0" fontId="50" fillId="2" borderId="1" xfId="0" applyFont="1" applyFill="1" applyBorder="1" applyAlignment="1">
      <alignment horizontal="center" wrapText="1"/>
    </xf>
    <xf numFmtId="0" fontId="4" fillId="9" borderId="0" xfId="0" applyFont="1" applyFill="1" applyBorder="1" applyAlignment="1"/>
    <xf numFmtId="0" fontId="4" fillId="9" borderId="1" xfId="0" applyFont="1" applyFill="1" applyBorder="1" applyAlignment="1"/>
    <xf numFmtId="0" fontId="36" fillId="2" borderId="0" xfId="0" applyFont="1" applyFill="1" applyAlignment="1"/>
    <xf numFmtId="165" fontId="36" fillId="2" borderId="0" xfId="0" applyNumberFormat="1" applyFont="1" applyFill="1"/>
    <xf numFmtId="0" fontId="36" fillId="2" borderId="0" xfId="0" applyFont="1" applyFill="1" applyAlignment="1">
      <alignment horizontal="left" vertical="center" wrapText="1" indent="1"/>
    </xf>
    <xf numFmtId="0" fontId="2" fillId="2" borderId="0" xfId="0" applyFont="1" applyFill="1" applyAlignment="1">
      <alignment horizontal="left" vertical="center" wrapText="1" indent="1"/>
    </xf>
    <xf numFmtId="0" fontId="8" fillId="8" borderId="37" xfId="0" applyFont="1" applyFill="1" applyBorder="1" applyAlignment="1">
      <alignment horizontal="center" vertical="center"/>
    </xf>
    <xf numFmtId="0" fontId="46" fillId="2" borderId="0" xfId="0" applyFont="1" applyFill="1" applyBorder="1"/>
    <xf numFmtId="0" fontId="2" fillId="2" borderId="0" xfId="0" applyFont="1" applyFill="1"/>
    <xf numFmtId="0" fontId="8" fillId="2" borderId="0" xfId="0" applyFont="1" applyFill="1" applyBorder="1" applyAlignment="1">
      <alignment horizontal="center" vertical="center"/>
    </xf>
    <xf numFmtId="0" fontId="77" fillId="2" borderId="0" xfId="0" applyFont="1" applyFill="1" applyAlignment="1">
      <alignment vertical="top" wrapText="1"/>
    </xf>
    <xf numFmtId="0" fontId="2" fillId="2" borderId="0" xfId="0" applyFont="1" applyFill="1" applyAlignment="1">
      <alignment horizontal="left" vertical="center" wrapText="1" indent="1"/>
    </xf>
    <xf numFmtId="0" fontId="2" fillId="2" borderId="0" xfId="0" applyFont="1" applyFill="1" applyBorder="1" applyAlignment="1">
      <alignment horizontal="center" vertical="center"/>
    </xf>
    <xf numFmtId="0" fontId="2" fillId="2" borderId="0" xfId="0" applyFont="1" applyFill="1"/>
    <xf numFmtId="0" fontId="7" fillId="2" borderId="0" xfId="0" applyFont="1" applyFill="1" applyBorder="1" applyAlignment="1">
      <alignment horizontal="center" vertical="center"/>
    </xf>
    <xf numFmtId="0" fontId="7" fillId="2" borderId="2" xfId="0" applyFont="1" applyFill="1" applyBorder="1" applyAlignment="1">
      <alignment horizontal="center" vertical="center"/>
    </xf>
    <xf numFmtId="0" fontId="8" fillId="2" borderId="0" xfId="0" applyFont="1" applyFill="1" applyBorder="1" applyAlignment="1">
      <alignment vertical="center"/>
    </xf>
    <xf numFmtId="0" fontId="8" fillId="2" borderId="70" xfId="0" applyFont="1" applyFill="1" applyBorder="1" applyAlignment="1">
      <alignment vertical="center"/>
    </xf>
    <xf numFmtId="0" fontId="8" fillId="2" borderId="70" xfId="0" applyFont="1" applyFill="1" applyBorder="1" applyAlignment="1">
      <alignment horizontal="center" vertical="center"/>
    </xf>
    <xf numFmtId="165" fontId="2" fillId="2" borderId="70" xfId="1" applyNumberFormat="1" applyFont="1" applyFill="1" applyBorder="1"/>
    <xf numFmtId="0" fontId="36" fillId="2" borderId="0" xfId="0" applyFont="1" applyFill="1" applyAlignment="1">
      <alignment horizontal="left" vertical="center" indent="1"/>
    </xf>
    <xf numFmtId="0" fontId="37" fillId="2" borderId="0" xfId="0" applyFont="1" applyFill="1" applyBorder="1" applyAlignment="1">
      <alignment vertical="center"/>
    </xf>
    <xf numFmtId="165" fontId="81" fillId="2" borderId="0" xfId="69" applyNumberFormat="1" applyFont="1" applyFill="1" applyBorder="1"/>
    <xf numFmtId="0" fontId="2" fillId="2" borderId="0" xfId="0" applyFont="1" applyFill="1"/>
    <xf numFmtId="3" fontId="2" fillId="2" borderId="0" xfId="0" applyNumberFormat="1" applyFont="1" applyFill="1" applyBorder="1" applyAlignment="1">
      <alignment horizontal="center" vertical="center"/>
    </xf>
    <xf numFmtId="0" fontId="2" fillId="2" borderId="0" xfId="0" applyFont="1" applyFill="1" applyBorder="1" applyAlignment="1">
      <alignment horizontal="center" vertical="center"/>
    </xf>
    <xf numFmtId="1" fontId="7" fillId="2" borderId="0" xfId="0" applyNumberFormat="1" applyFont="1" applyFill="1" applyBorder="1" applyAlignment="1">
      <alignment horizontal="center" vertical="center"/>
    </xf>
    <xf numFmtId="2" fontId="2" fillId="2" borderId="0" xfId="0" applyNumberFormat="1" applyFont="1" applyFill="1" applyBorder="1"/>
    <xf numFmtId="0" fontId="3" fillId="2" borderId="1" xfId="0" applyNumberFormat="1" applyFont="1" applyFill="1" applyBorder="1" applyAlignment="1">
      <alignment vertical="center" wrapText="1"/>
    </xf>
    <xf numFmtId="165" fontId="2" fillId="2" borderId="37" xfId="1" applyNumberFormat="1" applyFont="1" applyFill="1" applyBorder="1" applyAlignment="1">
      <alignment horizontal="center" vertical="center"/>
    </xf>
    <xf numFmtId="0" fontId="8" fillId="2" borderId="0" xfId="0" applyFont="1" applyFill="1" applyBorder="1" applyAlignment="1">
      <alignment vertical="center" wrapText="1"/>
    </xf>
    <xf numFmtId="0" fontId="6" fillId="2" borderId="0" xfId="0" applyFont="1" applyFill="1" applyBorder="1" applyAlignment="1">
      <alignment wrapText="1"/>
    </xf>
    <xf numFmtId="165" fontId="4" fillId="2" borderId="86" xfId="1" applyNumberFormat="1" applyFont="1" applyFill="1" applyBorder="1"/>
    <xf numFmtId="0" fontId="2" fillId="2" borderId="0" xfId="0" applyFont="1" applyFill="1" applyBorder="1" applyAlignment="1">
      <alignment horizontal="left" vertical="center" wrapText="1" indent="1"/>
    </xf>
    <xf numFmtId="165" fontId="2" fillId="2" borderId="0" xfId="1" applyNumberFormat="1" applyFont="1" applyFill="1" applyBorder="1" applyAlignment="1">
      <alignment horizontal="center" vertical="center" wrapText="1"/>
    </xf>
    <xf numFmtId="0" fontId="36" fillId="2" borderId="0" xfId="0" applyFont="1" applyFill="1" applyBorder="1" applyAlignment="1">
      <alignment horizontal="left" vertical="center" wrapText="1" indent="1"/>
    </xf>
    <xf numFmtId="167" fontId="2" fillId="2" borderId="0" xfId="1" applyNumberFormat="1" applyFont="1" applyFill="1" applyBorder="1"/>
    <xf numFmtId="167" fontId="7" fillId="2" borderId="0" xfId="0" applyNumberFormat="1" applyFont="1" applyFill="1" applyBorder="1" applyAlignment="1">
      <alignment horizontal="center" vertical="center"/>
    </xf>
    <xf numFmtId="167" fontId="4" fillId="9" borderId="0" xfId="0" applyNumberFormat="1" applyFont="1" applyFill="1" applyBorder="1" applyAlignment="1">
      <alignment horizontal="right"/>
    </xf>
    <xf numFmtId="167" fontId="4" fillId="9" borderId="1" xfId="0" applyNumberFormat="1" applyFont="1" applyFill="1" applyBorder="1" applyAlignment="1">
      <alignment horizontal="right"/>
    </xf>
    <xf numFmtId="167" fontId="2" fillId="2" borderId="0" xfId="0" applyNumberFormat="1" applyFont="1" applyFill="1"/>
    <xf numFmtId="167" fontId="2" fillId="9" borderId="0" xfId="1" applyNumberFormat="1" applyFont="1" applyFill="1" applyBorder="1"/>
    <xf numFmtId="1" fontId="2" fillId="2" borderId="0" xfId="0" applyNumberFormat="1" applyFont="1" applyFill="1"/>
    <xf numFmtId="1" fontId="2" fillId="9" borderId="0" xfId="1" applyNumberFormat="1" applyFont="1" applyFill="1" applyBorder="1"/>
    <xf numFmtId="165" fontId="50" fillId="2" borderId="1" xfId="1" applyNumberFormat="1" applyFont="1" applyFill="1" applyBorder="1" applyAlignment="1">
      <alignment wrapText="1"/>
    </xf>
    <xf numFmtId="1" fontId="50" fillId="2" borderId="1" xfId="1" applyNumberFormat="1" applyFont="1" applyFill="1" applyBorder="1" applyAlignment="1">
      <alignment wrapText="1"/>
    </xf>
    <xf numFmtId="167" fontId="50" fillId="2" borderId="1" xfId="1" applyNumberFormat="1" applyFont="1" applyFill="1" applyBorder="1" applyAlignment="1">
      <alignment wrapText="1"/>
    </xf>
    <xf numFmtId="165" fontId="50" fillId="2" borderId="3" xfId="1" applyNumberFormat="1" applyFont="1" applyFill="1" applyBorder="1" applyAlignment="1">
      <alignment wrapText="1"/>
    </xf>
    <xf numFmtId="0" fontId="69" fillId="2" borderId="0" xfId="0" applyFont="1" applyFill="1" applyBorder="1" applyAlignment="1"/>
    <xf numFmtId="0" fontId="2" fillId="2" borderId="0" xfId="0" applyFont="1" applyFill="1" applyAlignment="1">
      <alignment horizontal="left" wrapText="1" indent="1"/>
    </xf>
    <xf numFmtId="0" fontId="2" fillId="8" borderId="18" xfId="0" applyFont="1" applyFill="1" applyBorder="1" applyAlignment="1"/>
    <xf numFmtId="0" fontId="2" fillId="8" borderId="19" xfId="0" applyFont="1" applyFill="1" applyBorder="1" applyAlignment="1"/>
    <xf numFmtId="0" fontId="2" fillId="8" borderId="20" xfId="0" applyFont="1" applyFill="1" applyBorder="1" applyAlignment="1"/>
    <xf numFmtId="0" fontId="2" fillId="2" borderId="0" xfId="0" applyFont="1" applyFill="1"/>
    <xf numFmtId="0" fontId="2" fillId="2" borderId="0" xfId="0" applyFont="1" applyFill="1" applyBorder="1" applyAlignment="1">
      <alignment horizontal="center" vertical="center"/>
    </xf>
    <xf numFmtId="0" fontId="50" fillId="2" borderId="2" xfId="0" applyFont="1" applyFill="1" applyBorder="1" applyAlignment="1">
      <alignment wrapText="1"/>
    </xf>
    <xf numFmtId="0" fontId="11" fillId="2" borderId="2" xfId="0" applyNumberFormat="1" applyFont="1" applyFill="1" applyBorder="1"/>
    <xf numFmtId="0" fontId="11" fillId="2" borderId="3" xfId="0" applyNumberFormat="1" applyFont="1" applyFill="1" applyBorder="1"/>
    <xf numFmtId="0" fontId="11" fillId="2" borderId="2" xfId="0" applyFont="1" applyFill="1" applyBorder="1"/>
    <xf numFmtId="0" fontId="11" fillId="2" borderId="3" xfId="0" applyFont="1" applyFill="1" applyBorder="1"/>
    <xf numFmtId="0" fontId="11" fillId="2" borderId="2" xfId="0" applyFont="1" applyFill="1" applyBorder="1" applyAlignment="1">
      <alignment horizontal="left"/>
    </xf>
    <xf numFmtId="0" fontId="11" fillId="2" borderId="3" xfId="0" applyFont="1" applyFill="1" applyBorder="1" applyAlignment="1">
      <alignment horizontal="left"/>
    </xf>
    <xf numFmtId="165" fontId="11" fillId="2" borderId="1" xfId="1" applyNumberFormat="1" applyFont="1" applyFill="1" applyBorder="1"/>
    <xf numFmtId="0" fontId="11" fillId="2" borderId="0" xfId="0" applyFont="1" applyFill="1" applyBorder="1"/>
    <xf numFmtId="0" fontId="11" fillId="2" borderId="1" xfId="0" applyFont="1" applyFill="1" applyBorder="1"/>
    <xf numFmtId="165" fontId="11" fillId="2" borderId="0" xfId="1" applyNumberFormat="1" applyFont="1" applyFill="1" applyBorder="1" applyAlignment="1">
      <alignment horizontal="right"/>
    </xf>
    <xf numFmtId="165" fontId="11" fillId="2" borderId="1" xfId="1" applyNumberFormat="1" applyFont="1" applyFill="1" applyBorder="1" applyAlignment="1">
      <alignment horizontal="right"/>
    </xf>
    <xf numFmtId="0" fontId="50" fillId="2" borderId="3" xfId="0" applyFont="1" applyFill="1" applyBorder="1" applyAlignment="1">
      <alignment wrapText="1"/>
    </xf>
    <xf numFmtId="0" fontId="11" fillId="2" borderId="0" xfId="0" applyFont="1" applyFill="1" applyBorder="1" applyAlignment="1">
      <alignment horizontal="right"/>
    </xf>
    <xf numFmtId="0" fontId="11" fillId="2" borderId="1" xfId="0" applyFont="1" applyFill="1" applyBorder="1" applyAlignment="1">
      <alignment horizontal="right"/>
    </xf>
    <xf numFmtId="0" fontId="11" fillId="2" borderId="0" xfId="0" applyFont="1" applyFill="1" applyBorder="1" applyAlignment="1"/>
    <xf numFmtId="0" fontId="11" fillId="2" borderId="1" xfId="0" applyFont="1" applyFill="1" applyBorder="1" applyAlignment="1"/>
    <xf numFmtId="171" fontId="2" fillId="2" borderId="0" xfId="1" applyNumberFormat="1" applyFont="1" applyFill="1" applyBorder="1"/>
    <xf numFmtId="167" fontId="2" fillId="2" borderId="0" xfId="0" applyNumberFormat="1" applyFont="1" applyFill="1" applyBorder="1"/>
    <xf numFmtId="0" fontId="0" fillId="0" borderId="0" xfId="0" applyBorder="1"/>
    <xf numFmtId="10" fontId="0" fillId="0" borderId="0" xfId="1" applyNumberFormat="1" applyFont="1" applyBorder="1"/>
    <xf numFmtId="0" fontId="0" fillId="0" borderId="1" xfId="0" applyBorder="1"/>
    <xf numFmtId="10" fontId="0" fillId="0" borderId="1" xfId="1" applyNumberFormat="1" applyFont="1" applyBorder="1"/>
    <xf numFmtId="0" fontId="0" fillId="0" borderId="86" xfId="0" applyBorder="1"/>
    <xf numFmtId="0" fontId="83" fillId="0" borderId="1" xfId="0" applyFont="1" applyBorder="1"/>
    <xf numFmtId="0" fontId="83" fillId="0" borderId="73" xfId="0" applyFont="1" applyBorder="1" applyAlignment="1"/>
    <xf numFmtId="0" fontId="83" fillId="0" borderId="0" xfId="0" applyFont="1" applyBorder="1" applyAlignment="1"/>
    <xf numFmtId="167" fontId="66" fillId="2" borderId="0" xfId="0" applyNumberFormat="1" applyFont="1" applyFill="1"/>
    <xf numFmtId="0" fontId="2" fillId="2" borderId="0" xfId="0" applyFont="1" applyFill="1"/>
    <xf numFmtId="165" fontId="4" fillId="2" borderId="36" xfId="1" applyNumberFormat="1" applyFont="1" applyFill="1" applyBorder="1"/>
    <xf numFmtId="165" fontId="57" fillId="2" borderId="0" xfId="1" applyNumberFormat="1" applyFont="1" applyFill="1"/>
    <xf numFmtId="165" fontId="57" fillId="2" borderId="0" xfId="0" applyNumberFormat="1" applyFont="1" applyFill="1"/>
    <xf numFmtId="9" fontId="57" fillId="2" borderId="0" xfId="1" applyFont="1" applyFill="1"/>
    <xf numFmtId="1" fontId="3" fillId="42" borderId="1" xfId="1" applyNumberFormat="1" applyFont="1" applyFill="1" applyBorder="1" applyAlignment="1">
      <alignment wrapText="1"/>
    </xf>
    <xf numFmtId="2" fontId="3" fillId="42" borderId="1" xfId="1" applyNumberFormat="1" applyFont="1" applyFill="1" applyBorder="1" applyAlignment="1">
      <alignment wrapText="1"/>
    </xf>
    <xf numFmtId="165" fontId="3" fillId="42" borderId="1" xfId="1" applyNumberFormat="1" applyFont="1" applyFill="1" applyBorder="1" applyAlignment="1">
      <alignment wrapText="1"/>
    </xf>
    <xf numFmtId="165" fontId="3" fillId="42" borderId="3" xfId="1" applyNumberFormat="1" applyFont="1" applyFill="1" applyBorder="1" applyAlignment="1">
      <alignment wrapText="1"/>
    </xf>
    <xf numFmtId="1" fontId="4" fillId="42" borderId="0" xfId="1" applyNumberFormat="1" applyFont="1" applyFill="1" applyBorder="1"/>
    <xf numFmtId="165" fontId="4" fillId="42" borderId="0" xfId="1" applyNumberFormat="1" applyFont="1" applyFill="1" applyBorder="1"/>
    <xf numFmtId="165" fontId="4" fillId="42" borderId="2" xfId="1" applyNumberFormat="1" applyFont="1" applyFill="1" applyBorder="1"/>
    <xf numFmtId="1" fontId="4" fillId="42" borderId="1" xfId="1" applyNumberFormat="1" applyFont="1" applyFill="1" applyBorder="1"/>
    <xf numFmtId="165" fontId="4" fillId="42" borderId="1" xfId="1" applyNumberFormat="1" applyFont="1" applyFill="1" applyBorder="1"/>
    <xf numFmtId="165" fontId="4" fillId="42" borderId="3" xfId="1" applyNumberFormat="1" applyFont="1" applyFill="1" applyBorder="1"/>
    <xf numFmtId="1" fontId="4" fillId="42" borderId="0" xfId="1" applyNumberFormat="1" applyFont="1" applyFill="1" applyBorder="1" applyAlignment="1">
      <alignment horizontal="right"/>
    </xf>
    <xf numFmtId="2" fontId="4" fillId="42" borderId="0" xfId="1" applyNumberFormat="1" applyFont="1" applyFill="1" applyBorder="1" applyAlignment="1">
      <alignment horizontal="right"/>
    </xf>
    <xf numFmtId="165" fontId="4" fillId="42" borderId="0" xfId="1" applyNumberFormat="1" applyFont="1" applyFill="1" applyBorder="1" applyAlignment="1">
      <alignment horizontal="right"/>
    </xf>
    <xf numFmtId="165" fontId="4" fillId="42" borderId="2" xfId="1" applyNumberFormat="1" applyFont="1" applyFill="1" applyBorder="1" applyAlignment="1">
      <alignment horizontal="right"/>
    </xf>
    <xf numFmtId="1" fontId="4" fillId="42" borderId="1" xfId="1" applyNumberFormat="1" applyFont="1" applyFill="1" applyBorder="1" applyAlignment="1">
      <alignment horizontal="right"/>
    </xf>
    <xf numFmtId="2" fontId="4" fillId="42" borderId="1" xfId="1" applyNumberFormat="1" applyFont="1" applyFill="1" applyBorder="1" applyAlignment="1">
      <alignment horizontal="right"/>
    </xf>
    <xf numFmtId="165" fontId="4" fillId="42" borderId="1" xfId="1" applyNumberFormat="1" applyFont="1" applyFill="1" applyBorder="1" applyAlignment="1">
      <alignment horizontal="right"/>
    </xf>
    <xf numFmtId="165" fontId="4" fillId="42" borderId="3" xfId="1" applyNumberFormat="1" applyFont="1" applyFill="1" applyBorder="1" applyAlignment="1">
      <alignment horizontal="right"/>
    </xf>
    <xf numFmtId="0" fontId="46" fillId="2" borderId="0" xfId="0" applyFont="1" applyFill="1" applyAlignment="1">
      <alignment horizontal="left" vertical="top" wrapText="1" indent="1"/>
    </xf>
    <xf numFmtId="0" fontId="2" fillId="2" borderId="0" xfId="0" applyFont="1" applyFill="1"/>
    <xf numFmtId="0" fontId="6" fillId="2" borderId="0" xfId="0" applyFont="1" applyFill="1" applyBorder="1" applyAlignment="1">
      <alignment horizontal="center" vertical="center"/>
    </xf>
    <xf numFmtId="166" fontId="11" fillId="2" borderId="36" xfId="2" applyNumberFormat="1" applyFont="1" applyFill="1" applyBorder="1" applyAlignment="1">
      <alignment horizontal="right"/>
    </xf>
    <xf numFmtId="166" fontId="11" fillId="9" borderId="2" xfId="2" applyNumberFormat="1" applyFont="1" applyFill="1" applyBorder="1" applyAlignment="1">
      <alignment horizontal="right"/>
    </xf>
    <xf numFmtId="0" fontId="4" fillId="2" borderId="36" xfId="0" quotePrefix="1" applyNumberFormat="1" applyFont="1" applyFill="1" applyBorder="1" applyAlignment="1">
      <alignment horizontal="right"/>
    </xf>
    <xf numFmtId="0" fontId="4" fillId="2" borderId="2" xfId="0" quotePrefix="1" applyNumberFormat="1" applyFont="1" applyFill="1" applyBorder="1" applyAlignment="1">
      <alignment horizontal="right"/>
    </xf>
    <xf numFmtId="0" fontId="4" fillId="2" borderId="3" xfId="0" quotePrefix="1" applyNumberFormat="1" applyFont="1" applyFill="1" applyBorder="1" applyAlignment="1">
      <alignment horizontal="right"/>
    </xf>
    <xf numFmtId="0" fontId="4" fillId="2" borderId="2" xfId="0" quotePrefix="1" applyFont="1" applyFill="1" applyBorder="1" applyAlignment="1"/>
    <xf numFmtId="0" fontId="4" fillId="2" borderId="3" xfId="0" quotePrefix="1" applyFont="1" applyFill="1" applyBorder="1" applyAlignment="1">
      <alignment horizontal="right"/>
    </xf>
    <xf numFmtId="0" fontId="50" fillId="2" borderId="5" xfId="0" applyFont="1" applyFill="1" applyBorder="1" applyAlignment="1">
      <alignment wrapText="1"/>
    </xf>
    <xf numFmtId="0" fontId="2" fillId="2" borderId="0" xfId="0" applyFont="1" applyFill="1"/>
    <xf numFmtId="0" fontId="6" fillId="2" borderId="71" xfId="0" applyFont="1" applyFill="1" applyBorder="1"/>
    <xf numFmtId="0" fontId="2" fillId="2" borderId="71" xfId="0" applyFont="1" applyFill="1" applyBorder="1"/>
    <xf numFmtId="0" fontId="4" fillId="2" borderId="2" xfId="0" applyFont="1" applyFill="1" applyBorder="1" applyAlignment="1">
      <alignment horizontal="right" vertical="center"/>
    </xf>
    <xf numFmtId="0" fontId="2" fillId="2" borderId="0" xfId="0" applyFont="1" applyFill="1"/>
    <xf numFmtId="0" fontId="2" fillId="2" borderId="0" xfId="0" applyFont="1" applyFill="1" applyAlignment="1">
      <alignment vertical="center"/>
    </xf>
    <xf numFmtId="0" fontId="52" fillId="2" borderId="0" xfId="0" applyFont="1" applyFill="1" applyAlignment="1">
      <alignment vertical="center"/>
    </xf>
    <xf numFmtId="0" fontId="2" fillId="2" borderId="0" xfId="0" applyFont="1" applyFill="1"/>
    <xf numFmtId="0" fontId="5" fillId="41" borderId="0" xfId="0" applyFont="1" applyFill="1" applyAlignment="1">
      <alignment horizontal="center" vertical="center"/>
    </xf>
    <xf numFmtId="0" fontId="2" fillId="41" borderId="0" xfId="0" applyFont="1" applyFill="1" applyAlignment="1">
      <alignment horizontal="center" vertical="center"/>
    </xf>
    <xf numFmtId="0" fontId="2" fillId="32" borderId="0" xfId="0" applyFont="1" applyFill="1" applyBorder="1" applyAlignment="1">
      <alignment horizontal="center"/>
    </xf>
    <xf numFmtId="0" fontId="5" fillId="2" borderId="0" xfId="0" applyFont="1" applyFill="1" applyAlignment="1">
      <alignment horizontal="center" vertical="center"/>
    </xf>
    <xf numFmtId="0" fontId="2" fillId="2" borderId="0" xfId="0" applyFont="1" applyFill="1" applyAlignment="1">
      <alignment horizontal="center" vertical="center"/>
    </xf>
    <xf numFmtId="0" fontId="53" fillId="2" borderId="0" xfId="0" applyFont="1" applyFill="1" applyBorder="1" applyAlignment="1">
      <alignment horizontal="left" vertical="center" wrapText="1" indent="2"/>
    </xf>
    <xf numFmtId="0" fontId="53" fillId="2" borderId="0" xfId="0" applyFont="1" applyFill="1" applyBorder="1" applyAlignment="1">
      <alignment horizontal="left" vertical="center" indent="2"/>
    </xf>
    <xf numFmtId="0" fontId="36" fillId="2" borderId="0" xfId="0" applyFont="1" applyFill="1" applyBorder="1" applyAlignment="1">
      <alignment horizontal="left" vertical="center" wrapText="1" indent="4"/>
    </xf>
    <xf numFmtId="0" fontId="36" fillId="2" borderId="0" xfId="0" applyFont="1" applyFill="1" applyBorder="1" applyAlignment="1">
      <alignment horizontal="left" vertical="center" indent="4"/>
    </xf>
    <xf numFmtId="0" fontId="11" fillId="32" borderId="0" xfId="0" applyFont="1" applyFill="1" applyBorder="1" applyAlignment="1">
      <alignment vertical="center"/>
    </xf>
    <xf numFmtId="0" fontId="2" fillId="2" borderId="0" xfId="0" applyFont="1" applyFill="1" applyAlignment="1">
      <alignment horizontal="left" vertical="center" indent="4"/>
    </xf>
    <xf numFmtId="0" fontId="36" fillId="2" borderId="0" xfId="0" applyFont="1" applyFill="1" applyBorder="1" applyAlignment="1">
      <alignment vertical="center" wrapText="1"/>
    </xf>
    <xf numFmtId="0" fontId="2" fillId="2" borderId="0" xfId="0" applyFont="1" applyFill="1" applyAlignment="1">
      <alignment horizontal="left" vertical="top" wrapText="1" indent="4"/>
    </xf>
    <xf numFmtId="0" fontId="36" fillId="2" borderId="0" xfId="0" applyFont="1" applyFill="1" applyAlignment="1">
      <alignment horizontal="left" vertical="top" wrapText="1"/>
    </xf>
    <xf numFmtId="0" fontId="54" fillId="2" borderId="0" xfId="0" applyFont="1" applyFill="1" applyAlignment="1">
      <alignment horizontal="left" vertical="center" indent="1"/>
    </xf>
    <xf numFmtId="0" fontId="36" fillId="2" borderId="0" xfId="65" applyFont="1" applyFill="1" applyBorder="1" applyAlignment="1" applyProtection="1">
      <alignment vertical="center"/>
    </xf>
    <xf numFmtId="0" fontId="11" fillId="32" borderId="0" xfId="65" applyFont="1" applyFill="1" applyBorder="1" applyAlignment="1" applyProtection="1">
      <alignment vertical="center" wrapText="1"/>
    </xf>
    <xf numFmtId="0" fontId="11" fillId="32" borderId="0" xfId="65" applyFont="1" applyFill="1" applyBorder="1" applyAlignment="1" applyProtection="1">
      <alignment vertical="center"/>
    </xf>
    <xf numFmtId="0" fontId="11" fillId="2" borderId="0" xfId="65" applyFont="1" applyFill="1" applyBorder="1" applyAlignment="1" applyProtection="1">
      <alignment vertical="center" wrapText="1"/>
    </xf>
    <xf numFmtId="0" fontId="36" fillId="2" borderId="0" xfId="0" applyFont="1" applyFill="1" applyAlignment="1">
      <alignment horizontal="left" vertical="center" wrapText="1" indent="1"/>
    </xf>
    <xf numFmtId="0" fontId="8" fillId="8" borderId="15" xfId="0" applyFont="1" applyFill="1" applyBorder="1" applyAlignment="1">
      <alignment horizontal="center" vertical="center"/>
    </xf>
    <xf numFmtId="0" fontId="8" fillId="8" borderId="17" xfId="0" applyFont="1" applyFill="1" applyBorder="1" applyAlignment="1">
      <alignment horizontal="center" vertical="center"/>
    </xf>
    <xf numFmtId="0" fontId="8" fillId="6" borderId="15" xfId="0" applyFont="1" applyFill="1" applyBorder="1" applyAlignment="1">
      <alignment horizontal="center" vertical="center" wrapText="1"/>
    </xf>
    <xf numFmtId="0" fontId="8" fillId="6" borderId="17" xfId="0" applyFont="1" applyFill="1" applyBorder="1" applyAlignment="1">
      <alignment horizontal="center" vertical="center" wrapText="1"/>
    </xf>
    <xf numFmtId="0" fontId="8" fillId="33" borderId="15" xfId="0" applyFont="1" applyFill="1" applyBorder="1" applyAlignment="1">
      <alignment horizontal="center" vertical="center" wrapText="1"/>
    </xf>
    <xf numFmtId="0" fontId="8" fillId="33" borderId="17" xfId="0" applyFont="1" applyFill="1" applyBorder="1" applyAlignment="1">
      <alignment horizontal="center" vertical="center" wrapText="1"/>
    </xf>
    <xf numFmtId="0" fontId="8" fillId="8" borderId="14" xfId="0" applyFont="1" applyFill="1" applyBorder="1" applyAlignment="1">
      <alignment horizontal="center" vertical="center"/>
    </xf>
    <xf numFmtId="0" fontId="10" fillId="2" borderId="6" xfId="0" applyFont="1" applyFill="1" applyBorder="1" applyAlignment="1">
      <alignment horizontal="center" vertical="center"/>
    </xf>
    <xf numFmtId="0" fontId="10" fillId="2" borderId="7" xfId="0" applyFont="1" applyFill="1" applyBorder="1" applyAlignment="1">
      <alignment horizontal="center" vertical="center"/>
    </xf>
    <xf numFmtId="0" fontId="10" fillId="2" borderId="8" xfId="0" applyFont="1" applyFill="1" applyBorder="1" applyAlignment="1">
      <alignment horizontal="center" vertical="center"/>
    </xf>
    <xf numFmtId="0" fontId="10" fillId="2" borderId="11" xfId="0" applyFont="1" applyFill="1" applyBorder="1" applyAlignment="1">
      <alignment horizontal="center" vertical="center"/>
    </xf>
    <xf numFmtId="0" fontId="10" fillId="2" borderId="12" xfId="0" applyFont="1" applyFill="1" applyBorder="1" applyAlignment="1">
      <alignment horizontal="center" vertical="center"/>
    </xf>
    <xf numFmtId="0" fontId="10" fillId="2" borderId="13" xfId="0" applyFont="1" applyFill="1" applyBorder="1" applyAlignment="1">
      <alignment horizontal="center" vertical="center"/>
    </xf>
    <xf numFmtId="0" fontId="8" fillId="7" borderId="15" xfId="0" applyFont="1" applyFill="1" applyBorder="1" applyAlignment="1">
      <alignment horizontal="center" vertical="center" wrapText="1"/>
    </xf>
    <xf numFmtId="0" fontId="8" fillId="7" borderId="17" xfId="0" applyFont="1" applyFill="1" applyBorder="1" applyAlignment="1">
      <alignment horizontal="center" vertical="center" wrapText="1"/>
    </xf>
    <xf numFmtId="0" fontId="2" fillId="2" borderId="14" xfId="0" applyFont="1" applyFill="1" applyBorder="1"/>
    <xf numFmtId="0" fontId="2" fillId="8" borderId="14" xfId="0" applyFont="1" applyFill="1" applyBorder="1"/>
    <xf numFmtId="0" fontId="8" fillId="2" borderId="14" xfId="0" applyFont="1" applyFill="1" applyBorder="1"/>
    <xf numFmtId="0" fontId="2" fillId="2" borderId="18" xfId="0" applyFont="1" applyFill="1" applyBorder="1" applyAlignment="1">
      <alignment horizontal="left" vertical="center"/>
    </xf>
    <xf numFmtId="0" fontId="2" fillId="2" borderId="19" xfId="0" applyFont="1" applyFill="1" applyBorder="1" applyAlignment="1">
      <alignment horizontal="left" vertical="center"/>
    </xf>
    <xf numFmtId="0" fontId="2" fillId="2" borderId="20" xfId="0" applyFont="1" applyFill="1" applyBorder="1" applyAlignment="1">
      <alignment horizontal="left" vertical="center"/>
    </xf>
    <xf numFmtId="0" fontId="2" fillId="9" borderId="18" xfId="0" applyFont="1" applyFill="1" applyBorder="1" applyAlignment="1">
      <alignment horizontal="left" vertical="center" wrapText="1"/>
    </xf>
    <xf numFmtId="0" fontId="2" fillId="9" borderId="19" xfId="0" applyFont="1" applyFill="1" applyBorder="1" applyAlignment="1">
      <alignment horizontal="left" vertical="center" wrapText="1"/>
    </xf>
    <xf numFmtId="0" fontId="2" fillId="9" borderId="20" xfId="0" applyFont="1" applyFill="1" applyBorder="1" applyAlignment="1">
      <alignment horizontal="left" vertical="center" wrapText="1"/>
    </xf>
    <xf numFmtId="0" fontId="8" fillId="33" borderId="14" xfId="0" applyFont="1" applyFill="1" applyBorder="1" applyAlignment="1">
      <alignment horizontal="center" vertical="center" wrapText="1"/>
    </xf>
    <xf numFmtId="0" fontId="8" fillId="8" borderId="14" xfId="0" applyFont="1" applyFill="1" applyBorder="1" applyAlignment="1">
      <alignment horizontal="center" vertical="center" wrapText="1"/>
    </xf>
    <xf numFmtId="0" fontId="10" fillId="2" borderId="0" xfId="0" applyFont="1" applyFill="1" applyAlignment="1">
      <alignment horizontal="left" wrapText="1"/>
    </xf>
    <xf numFmtId="0" fontId="8" fillId="33" borderId="16" xfId="0" applyFont="1" applyFill="1" applyBorder="1" applyAlignment="1">
      <alignment horizontal="center" vertical="center" wrapText="1"/>
    </xf>
    <xf numFmtId="0" fontId="8" fillId="7" borderId="14" xfId="0" applyFont="1" applyFill="1" applyBorder="1" applyAlignment="1">
      <alignment horizontal="center" vertical="center" wrapText="1"/>
    </xf>
    <xf numFmtId="0" fontId="8" fillId="7" borderId="16" xfId="0" applyFont="1" applyFill="1" applyBorder="1" applyAlignment="1">
      <alignment horizontal="center" vertical="center" wrapText="1"/>
    </xf>
    <xf numFmtId="0" fontId="8" fillId="6" borderId="14" xfId="0" applyFont="1" applyFill="1" applyBorder="1" applyAlignment="1">
      <alignment horizontal="center" vertical="center" wrapText="1"/>
    </xf>
    <xf numFmtId="0" fontId="10" fillId="2" borderId="9" xfId="0" applyFont="1" applyFill="1" applyBorder="1" applyAlignment="1">
      <alignment horizontal="center" vertical="center"/>
    </xf>
    <xf numFmtId="0" fontId="10" fillId="2" borderId="10" xfId="0" applyFont="1" applyFill="1" applyBorder="1" applyAlignment="1">
      <alignment horizontal="center" vertical="center"/>
    </xf>
    <xf numFmtId="0" fontId="10" fillId="2" borderId="6" xfId="0" applyFont="1" applyFill="1" applyBorder="1" applyAlignment="1">
      <alignment horizontal="center" vertical="center" wrapText="1"/>
    </xf>
    <xf numFmtId="0" fontId="10" fillId="2" borderId="8" xfId="0" applyFont="1" applyFill="1" applyBorder="1" applyAlignment="1">
      <alignment horizontal="center" vertical="center" wrapText="1"/>
    </xf>
    <xf numFmtId="0" fontId="10" fillId="2" borderId="11" xfId="0" applyFont="1" applyFill="1" applyBorder="1" applyAlignment="1">
      <alignment horizontal="center" vertical="center" wrapText="1"/>
    </xf>
    <xf numFmtId="0" fontId="10" fillId="2" borderId="13" xfId="0" applyFont="1" applyFill="1" applyBorder="1" applyAlignment="1">
      <alignment horizontal="center" vertical="center" wrapText="1"/>
    </xf>
    <xf numFmtId="0" fontId="2" fillId="2" borderId="18" xfId="0" applyFont="1" applyFill="1" applyBorder="1" applyAlignment="1">
      <alignment horizontal="left"/>
    </xf>
    <xf numFmtId="0" fontId="2" fillId="2" borderId="20" xfId="0" applyFont="1" applyFill="1" applyBorder="1" applyAlignment="1">
      <alignment horizontal="left"/>
    </xf>
    <xf numFmtId="0" fontId="10" fillId="2" borderId="18" xfId="0" applyFont="1" applyFill="1" applyBorder="1" applyAlignment="1">
      <alignment horizontal="center" vertical="center" wrapText="1"/>
    </xf>
    <xf numFmtId="0" fontId="10" fillId="2" borderId="20" xfId="0" applyFont="1" applyFill="1" applyBorder="1" applyAlignment="1">
      <alignment horizontal="center" vertical="center" wrapText="1"/>
    </xf>
    <xf numFmtId="0" fontId="2" fillId="2" borderId="0" xfId="0" applyFont="1" applyFill="1" applyBorder="1" applyAlignment="1">
      <alignment horizontal="center"/>
    </xf>
    <xf numFmtId="0" fontId="4" fillId="2" borderId="6" xfId="0" applyFont="1" applyFill="1" applyBorder="1" applyAlignment="1">
      <alignment horizontal="center" vertical="center" wrapText="1"/>
    </xf>
    <xf numFmtId="0" fontId="4" fillId="2" borderId="9" xfId="0" applyFont="1" applyFill="1" applyBorder="1" applyAlignment="1">
      <alignment horizontal="center" vertical="center" wrapText="1"/>
    </xf>
    <xf numFmtId="0" fontId="4" fillId="2" borderId="11" xfId="0" applyFont="1" applyFill="1" applyBorder="1" applyAlignment="1">
      <alignment horizontal="center" vertical="center" wrapText="1"/>
    </xf>
    <xf numFmtId="0" fontId="42" fillId="2" borderId="15" xfId="0" applyFont="1" applyFill="1" applyBorder="1" applyAlignment="1">
      <alignment horizontal="center" vertical="center" wrapText="1"/>
    </xf>
    <xf numFmtId="0" fontId="42" fillId="2" borderId="16" xfId="0" applyFont="1" applyFill="1" applyBorder="1" applyAlignment="1">
      <alignment horizontal="center" vertical="center" wrapText="1"/>
    </xf>
    <xf numFmtId="0" fontId="42" fillId="2" borderId="17" xfId="0" applyFont="1" applyFill="1" applyBorder="1" applyAlignment="1">
      <alignment horizontal="center" vertical="center" wrapText="1"/>
    </xf>
    <xf numFmtId="0" fontId="4" fillId="2" borderId="7" xfId="0" applyFont="1" applyFill="1" applyBorder="1" applyAlignment="1">
      <alignment horizontal="center" vertical="center" wrapText="1"/>
    </xf>
    <xf numFmtId="0" fontId="4" fillId="2" borderId="0" xfId="0" applyFont="1" applyFill="1" applyBorder="1" applyAlignment="1">
      <alignment horizontal="center" vertical="center" wrapText="1"/>
    </xf>
    <xf numFmtId="0" fontId="4" fillId="2" borderId="12" xfId="0" applyFont="1" applyFill="1" applyBorder="1" applyAlignment="1">
      <alignment horizontal="center" vertical="center" wrapText="1"/>
    </xf>
    <xf numFmtId="0" fontId="4" fillId="2" borderId="15" xfId="0" applyFont="1" applyFill="1" applyBorder="1" applyAlignment="1">
      <alignment horizontal="center" vertical="center" wrapText="1"/>
    </xf>
    <xf numFmtId="0" fontId="4" fillId="2" borderId="16" xfId="0" applyFont="1" applyFill="1" applyBorder="1" applyAlignment="1">
      <alignment horizontal="center" vertical="center" wrapText="1"/>
    </xf>
    <xf numFmtId="0" fontId="4" fillId="2" borderId="17" xfId="0" applyFont="1" applyFill="1" applyBorder="1" applyAlignment="1">
      <alignment horizontal="center" vertical="center" wrapText="1"/>
    </xf>
    <xf numFmtId="0" fontId="9" fillId="5" borderId="18" xfId="0" applyFont="1" applyFill="1" applyBorder="1" applyAlignment="1">
      <alignment horizontal="center"/>
    </xf>
    <xf numFmtId="0" fontId="9" fillId="5" borderId="19" xfId="0" applyFont="1" applyFill="1" applyBorder="1" applyAlignment="1">
      <alignment horizontal="center"/>
    </xf>
    <xf numFmtId="0" fontId="9" fillId="5" borderId="20" xfId="0" applyFont="1" applyFill="1" applyBorder="1" applyAlignment="1">
      <alignment horizontal="center"/>
    </xf>
    <xf numFmtId="0" fontId="9" fillId="6" borderId="18" xfId="0" applyFont="1" applyFill="1" applyBorder="1" applyAlignment="1">
      <alignment horizontal="center"/>
    </xf>
    <xf numFmtId="0" fontId="9" fillId="6" borderId="19" xfId="0" applyFont="1" applyFill="1" applyBorder="1" applyAlignment="1">
      <alignment horizontal="center"/>
    </xf>
    <xf numFmtId="0" fontId="9" fillId="6" borderId="20" xfId="0" applyFont="1" applyFill="1" applyBorder="1" applyAlignment="1">
      <alignment horizontal="center"/>
    </xf>
    <xf numFmtId="0" fontId="2" fillId="2" borderId="0" xfId="0" applyFont="1" applyFill="1" applyAlignment="1">
      <alignment vertical="top" wrapText="1"/>
    </xf>
    <xf numFmtId="0" fontId="4" fillId="2" borderId="0" xfId="0" applyFont="1" applyFill="1" applyAlignment="1">
      <alignment wrapText="1"/>
    </xf>
    <xf numFmtId="0" fontId="2" fillId="2" borderId="18" xfId="0" applyFont="1" applyFill="1" applyBorder="1" applyAlignment="1">
      <alignment horizontal="left" vertical="center" indent="1"/>
    </xf>
    <xf numFmtId="0" fontId="2" fillId="2" borderId="19" xfId="0" applyFont="1" applyFill="1" applyBorder="1" applyAlignment="1">
      <alignment horizontal="left" vertical="center" indent="1"/>
    </xf>
    <xf numFmtId="0" fontId="2" fillId="2" borderId="20" xfId="0" applyFont="1" applyFill="1" applyBorder="1" applyAlignment="1">
      <alignment horizontal="left" vertical="center" indent="1"/>
    </xf>
    <xf numFmtId="0" fontId="8" fillId="2" borderId="18" xfId="0" applyFont="1" applyFill="1" applyBorder="1" applyAlignment="1">
      <alignment vertical="center"/>
    </xf>
    <xf numFmtId="0" fontId="8" fillId="2" borderId="19" xfId="0" applyFont="1" applyFill="1" applyBorder="1" applyAlignment="1">
      <alignment vertical="center"/>
    </xf>
    <xf numFmtId="0" fontId="8" fillId="2" borderId="20" xfId="0" applyFont="1" applyFill="1" applyBorder="1" applyAlignment="1">
      <alignment vertical="center"/>
    </xf>
    <xf numFmtId="0" fontId="8" fillId="6" borderId="16" xfId="0" applyFont="1" applyFill="1" applyBorder="1" applyAlignment="1">
      <alignment horizontal="center" vertical="center" wrapText="1"/>
    </xf>
    <xf numFmtId="0" fontId="10" fillId="2" borderId="0" xfId="0" applyFont="1" applyFill="1" applyBorder="1" applyAlignment="1">
      <alignment horizontal="center" vertical="center"/>
    </xf>
    <xf numFmtId="0" fontId="2" fillId="2" borderId="38" xfId="0" applyFont="1" applyFill="1" applyBorder="1" applyAlignment="1"/>
    <xf numFmtId="0" fontId="2" fillId="2" borderId="39" xfId="0" applyFont="1" applyFill="1" applyBorder="1" applyAlignment="1"/>
    <xf numFmtId="0" fontId="2" fillId="2" borderId="40" xfId="0" applyFont="1" applyFill="1" applyBorder="1" applyAlignment="1"/>
    <xf numFmtId="0" fontId="9" fillId="6" borderId="15" xfId="0" applyFont="1" applyFill="1" applyBorder="1" applyAlignment="1">
      <alignment horizontal="center" vertical="center" wrapText="1"/>
    </xf>
    <xf numFmtId="0" fontId="9" fillId="6" borderId="16" xfId="0" applyFont="1" applyFill="1" applyBorder="1" applyAlignment="1">
      <alignment horizontal="center" vertical="center" wrapText="1"/>
    </xf>
    <xf numFmtId="0" fontId="9" fillId="6" borderId="17" xfId="0" applyFont="1" applyFill="1" applyBorder="1" applyAlignment="1">
      <alignment horizontal="center" vertical="center" wrapText="1"/>
    </xf>
    <xf numFmtId="0" fontId="8" fillId="32" borderId="14" xfId="0" applyFont="1" applyFill="1" applyBorder="1" applyAlignment="1">
      <alignment horizontal="center" vertical="center" wrapText="1"/>
    </xf>
    <xf numFmtId="0" fontId="9" fillId="32" borderId="15" xfId="0" applyFont="1" applyFill="1" applyBorder="1" applyAlignment="1">
      <alignment horizontal="center" vertical="center" wrapText="1"/>
    </xf>
    <xf numFmtId="0" fontId="9" fillId="32" borderId="16" xfId="0" applyFont="1" applyFill="1" applyBorder="1" applyAlignment="1">
      <alignment horizontal="center" vertical="center" wrapText="1"/>
    </xf>
    <xf numFmtId="0" fontId="9" fillId="32" borderId="17" xfId="0" applyFont="1" applyFill="1" applyBorder="1" applyAlignment="1">
      <alignment horizontal="center" vertical="center" wrapText="1"/>
    </xf>
    <xf numFmtId="0" fontId="2" fillId="2" borderId="0" xfId="0" applyFont="1" applyFill="1" applyAlignment="1">
      <alignment horizontal="left" wrapText="1" indent="1"/>
    </xf>
    <xf numFmtId="0" fontId="8" fillId="3" borderId="15" xfId="0" applyFont="1" applyFill="1" applyBorder="1" applyAlignment="1">
      <alignment horizontal="center" vertical="center" wrapText="1"/>
    </xf>
    <xf numFmtId="0" fontId="8" fillId="3" borderId="16" xfId="0" applyFont="1" applyFill="1" applyBorder="1" applyAlignment="1">
      <alignment horizontal="center" vertical="center" wrapText="1"/>
    </xf>
    <xf numFmtId="0" fontId="8" fillId="3" borderId="17" xfId="0" applyFont="1" applyFill="1" applyBorder="1" applyAlignment="1">
      <alignment horizontal="center" vertical="center" wrapText="1"/>
    </xf>
    <xf numFmtId="0" fontId="8" fillId="33" borderId="15" xfId="0" applyFont="1" applyFill="1" applyBorder="1" applyAlignment="1">
      <alignment horizontal="center" vertical="center"/>
    </xf>
    <xf numFmtId="0" fontId="8" fillId="33" borderId="16" xfId="0" applyFont="1" applyFill="1" applyBorder="1" applyAlignment="1">
      <alignment horizontal="center" vertical="center"/>
    </xf>
    <xf numFmtId="0" fontId="8" fillId="33" borderId="17" xfId="0" applyFont="1" applyFill="1" applyBorder="1" applyAlignment="1">
      <alignment horizontal="center" vertical="center"/>
    </xf>
    <xf numFmtId="0" fontId="8" fillId="8" borderId="16" xfId="0" applyFont="1" applyFill="1" applyBorder="1" applyAlignment="1">
      <alignment horizontal="center" vertical="center"/>
    </xf>
    <xf numFmtId="0" fontId="4" fillId="2" borderId="14" xfId="0" applyFont="1" applyFill="1" applyBorder="1" applyAlignment="1">
      <alignment horizontal="center" vertical="center"/>
    </xf>
    <xf numFmtId="0" fontId="8" fillId="2" borderId="14" xfId="0" applyFont="1" applyFill="1" applyBorder="1" applyAlignment="1">
      <alignment vertical="top" wrapText="1"/>
    </xf>
    <xf numFmtId="0" fontId="2" fillId="2" borderId="14" xfId="0" applyFont="1" applyFill="1" applyBorder="1" applyAlignment="1">
      <alignment horizontal="left" vertical="top" wrapText="1" indent="1"/>
    </xf>
    <xf numFmtId="0" fontId="4" fillId="2" borderId="38" xfId="0" applyFont="1" applyFill="1" applyBorder="1" applyAlignment="1">
      <alignment horizontal="center" vertical="center"/>
    </xf>
    <xf numFmtId="0" fontId="4" fillId="2" borderId="39" xfId="0" applyFont="1" applyFill="1" applyBorder="1" applyAlignment="1">
      <alignment horizontal="center" vertical="center"/>
    </xf>
    <xf numFmtId="0" fontId="4" fillId="2" borderId="40" xfId="0" applyFont="1" applyFill="1" applyBorder="1" applyAlignment="1">
      <alignment horizontal="center" vertical="center"/>
    </xf>
    <xf numFmtId="165" fontId="2" fillId="2" borderId="37" xfId="1" applyNumberFormat="1" applyFont="1" applyFill="1" applyBorder="1" applyAlignment="1">
      <alignment horizontal="center" vertical="center" wrapText="1"/>
    </xf>
    <xf numFmtId="0" fontId="4" fillId="2" borderId="37" xfId="0" applyFont="1" applyFill="1" applyBorder="1" applyAlignment="1">
      <alignment horizontal="center" vertical="center" wrapText="1"/>
    </xf>
    <xf numFmtId="0" fontId="2" fillId="2" borderId="37" xfId="0" applyFont="1" applyFill="1" applyBorder="1" applyAlignment="1">
      <alignment horizontal="center"/>
    </xf>
    <xf numFmtId="1" fontId="2" fillId="2" borderId="37" xfId="1" applyNumberFormat="1" applyFont="1" applyFill="1" applyBorder="1" applyAlignment="1">
      <alignment horizontal="center" vertical="center" wrapText="1"/>
    </xf>
    <xf numFmtId="0" fontId="2" fillId="2" borderId="37" xfId="0" applyFont="1" applyFill="1" applyBorder="1" applyAlignment="1">
      <alignment horizontal="center" vertical="center" wrapText="1"/>
    </xf>
    <xf numFmtId="0" fontId="8" fillId="7" borderId="70" xfId="0" applyFont="1" applyFill="1" applyBorder="1" applyAlignment="1">
      <alignment horizontal="center" vertical="center" wrapText="1"/>
    </xf>
    <xf numFmtId="0" fontId="8" fillId="7" borderId="0" xfId="0" applyFont="1" applyFill="1" applyBorder="1" applyAlignment="1">
      <alignment horizontal="center" vertical="center" wrapText="1"/>
    </xf>
    <xf numFmtId="0" fontId="8" fillId="7" borderId="10" xfId="0" applyFont="1" applyFill="1" applyBorder="1" applyAlignment="1">
      <alignment horizontal="center" vertical="center" wrapText="1"/>
    </xf>
    <xf numFmtId="0" fontId="8" fillId="6" borderId="9" xfId="0" applyFont="1" applyFill="1" applyBorder="1" applyAlignment="1">
      <alignment horizontal="center" vertical="center" wrapText="1"/>
    </xf>
    <xf numFmtId="0" fontId="8" fillId="6" borderId="0" xfId="0" applyFont="1" applyFill="1" applyBorder="1" applyAlignment="1">
      <alignment horizontal="center" vertical="center" wrapText="1"/>
    </xf>
    <xf numFmtId="0" fontId="2" fillId="2" borderId="37" xfId="0" applyFont="1" applyFill="1" applyBorder="1" applyAlignment="1"/>
    <xf numFmtId="0" fontId="2" fillId="2" borderId="46" xfId="0" applyFont="1" applyFill="1" applyBorder="1" applyAlignment="1">
      <alignment horizontal="center"/>
    </xf>
    <xf numFmtId="0" fontId="2" fillId="2" borderId="54" xfId="0" applyFont="1" applyFill="1" applyBorder="1" applyAlignment="1">
      <alignment horizontal="center"/>
    </xf>
    <xf numFmtId="0" fontId="2" fillId="2" borderId="47" xfId="0" applyFont="1" applyFill="1" applyBorder="1" applyAlignment="1">
      <alignment horizontal="center"/>
    </xf>
    <xf numFmtId="0" fontId="2" fillId="2" borderId="70" xfId="0" applyFont="1" applyFill="1" applyBorder="1" applyAlignment="1">
      <alignment horizontal="center"/>
    </xf>
    <xf numFmtId="0" fontId="2" fillId="2" borderId="71" xfId="0" applyFont="1" applyFill="1" applyBorder="1" applyAlignment="1">
      <alignment horizontal="center"/>
    </xf>
    <xf numFmtId="0" fontId="2" fillId="2" borderId="48" xfId="0" applyFont="1" applyFill="1" applyBorder="1" applyAlignment="1">
      <alignment horizontal="center"/>
    </xf>
    <xf numFmtId="0" fontId="2" fillId="2" borderId="52" xfId="0" applyFont="1" applyFill="1" applyBorder="1" applyAlignment="1">
      <alignment horizontal="center"/>
    </xf>
    <xf numFmtId="0" fontId="2" fillId="2" borderId="49" xfId="0" applyFont="1" applyFill="1" applyBorder="1" applyAlignment="1">
      <alignment horizontal="center"/>
    </xf>
    <xf numFmtId="0" fontId="4" fillId="2" borderId="38" xfId="0" applyFont="1" applyFill="1" applyBorder="1" applyAlignment="1">
      <alignment horizontal="center" vertical="center" wrapText="1"/>
    </xf>
    <xf numFmtId="0" fontId="4" fillId="2" borderId="39" xfId="0" applyFont="1" applyFill="1" applyBorder="1" applyAlignment="1">
      <alignment horizontal="center" vertical="center" wrapText="1"/>
    </xf>
    <xf numFmtId="0" fontId="4" fillId="2" borderId="40" xfId="0" applyFont="1" applyFill="1" applyBorder="1" applyAlignment="1">
      <alignment horizontal="center" vertical="center" wrapText="1"/>
    </xf>
    <xf numFmtId="0" fontId="2" fillId="2" borderId="46" xfId="0" applyFont="1" applyFill="1" applyBorder="1" applyAlignment="1">
      <alignment horizontal="center" vertical="center" wrapText="1"/>
    </xf>
    <xf numFmtId="0" fontId="2" fillId="2" borderId="54" xfId="0" applyFont="1" applyFill="1" applyBorder="1" applyAlignment="1">
      <alignment horizontal="center" vertical="center" wrapText="1"/>
    </xf>
    <xf numFmtId="0" fontId="2" fillId="2" borderId="47" xfId="0" applyFont="1" applyFill="1" applyBorder="1" applyAlignment="1">
      <alignment horizontal="center" vertical="center" wrapText="1"/>
    </xf>
    <xf numFmtId="0" fontId="2" fillId="2" borderId="70" xfId="0" applyFont="1" applyFill="1" applyBorder="1" applyAlignment="1">
      <alignment horizontal="center" vertical="center" wrapText="1"/>
    </xf>
    <xf numFmtId="0" fontId="2" fillId="2" borderId="0" xfId="0" applyFont="1" applyFill="1" applyBorder="1" applyAlignment="1">
      <alignment horizontal="center" vertical="center" wrapText="1"/>
    </xf>
    <xf numFmtId="0" fontId="2" fillId="2" borderId="71" xfId="0" applyFont="1" applyFill="1" applyBorder="1" applyAlignment="1">
      <alignment horizontal="center" vertical="center" wrapText="1"/>
    </xf>
    <xf numFmtId="0" fontId="2" fillId="2" borderId="48" xfId="0" applyFont="1" applyFill="1" applyBorder="1" applyAlignment="1">
      <alignment horizontal="center" vertical="center" wrapText="1"/>
    </xf>
    <xf numFmtId="0" fontId="2" fillId="2" borderId="52" xfId="0" applyFont="1" applyFill="1" applyBorder="1" applyAlignment="1">
      <alignment horizontal="center" vertical="center" wrapText="1"/>
    </xf>
    <xf numFmtId="0" fontId="2" fillId="2" borderId="49" xfId="0" applyFont="1" applyFill="1" applyBorder="1" applyAlignment="1">
      <alignment horizontal="center" vertical="center" wrapText="1"/>
    </xf>
    <xf numFmtId="0" fontId="2" fillId="2" borderId="54" xfId="0" applyFont="1" applyFill="1" applyBorder="1" applyAlignment="1"/>
    <xf numFmtId="0" fontId="2" fillId="2" borderId="55" xfId="0" applyFont="1" applyFill="1" applyBorder="1" applyAlignment="1"/>
    <xf numFmtId="0" fontId="2" fillId="2" borderId="7" xfId="0" applyFont="1" applyFill="1" applyBorder="1" applyAlignment="1"/>
    <xf numFmtId="0" fontId="2" fillId="2" borderId="8" xfId="0" applyFont="1" applyFill="1" applyBorder="1" applyAlignment="1"/>
    <xf numFmtId="0" fontId="2" fillId="2" borderId="0" xfId="0" applyFont="1" applyFill="1" applyBorder="1" applyAlignment="1"/>
    <xf numFmtId="0" fontId="2" fillId="2" borderId="10" xfId="0" applyFont="1" applyFill="1" applyBorder="1" applyAlignment="1"/>
    <xf numFmtId="0" fontId="8" fillId="7" borderId="37" xfId="0" applyFont="1" applyFill="1" applyBorder="1" applyAlignment="1">
      <alignment horizontal="center" vertical="center" wrapText="1"/>
    </xf>
    <xf numFmtId="0" fontId="2" fillId="2" borderId="38" xfId="0" applyFont="1" applyFill="1" applyBorder="1" applyAlignment="1">
      <alignment horizontal="center" vertical="center" wrapText="1"/>
    </xf>
    <xf numFmtId="0" fontId="2" fillId="2" borderId="39" xfId="0" applyFont="1" applyFill="1" applyBorder="1" applyAlignment="1">
      <alignment horizontal="center" vertical="center" wrapText="1"/>
    </xf>
    <xf numFmtId="1" fontId="2" fillId="2" borderId="37" xfId="1" applyNumberFormat="1" applyFont="1" applyFill="1" applyBorder="1" applyAlignment="1">
      <alignment horizontal="center"/>
    </xf>
    <xf numFmtId="165" fontId="2" fillId="2" borderId="41" xfId="1" applyNumberFormat="1" applyFont="1" applyFill="1" applyBorder="1" applyAlignment="1">
      <alignment horizontal="center"/>
    </xf>
    <xf numFmtId="0" fontId="4" fillId="2" borderId="37" xfId="0" applyFont="1" applyFill="1" applyBorder="1" applyAlignment="1"/>
    <xf numFmtId="1" fontId="2" fillId="2" borderId="41" xfId="1" applyNumberFormat="1" applyFont="1" applyFill="1" applyBorder="1" applyAlignment="1">
      <alignment horizontal="center"/>
    </xf>
    <xf numFmtId="0" fontId="4" fillId="2" borderId="18" xfId="0" applyFont="1" applyFill="1" applyBorder="1" applyAlignment="1">
      <alignment horizontal="center"/>
    </xf>
    <xf numFmtId="0" fontId="4" fillId="2" borderId="19" xfId="0" applyFont="1" applyFill="1" applyBorder="1" applyAlignment="1">
      <alignment horizontal="center"/>
    </xf>
    <xf numFmtId="0" fontId="4" fillId="2" borderId="90" xfId="0" applyFont="1" applyFill="1" applyBorder="1" applyAlignment="1">
      <alignment horizontal="center"/>
    </xf>
    <xf numFmtId="0" fontId="4" fillId="2" borderId="91" xfId="0" applyFont="1" applyFill="1" applyBorder="1" applyAlignment="1">
      <alignment horizontal="center"/>
    </xf>
    <xf numFmtId="1" fontId="2" fillId="2" borderId="75" xfId="1" applyNumberFormat="1" applyFont="1" applyFill="1" applyBorder="1" applyAlignment="1">
      <alignment horizontal="center"/>
    </xf>
    <xf numFmtId="1" fontId="2" fillId="2" borderId="88" xfId="1" applyNumberFormat="1" applyFont="1" applyFill="1" applyBorder="1" applyAlignment="1">
      <alignment horizontal="center"/>
    </xf>
    <xf numFmtId="1" fontId="2" fillId="2" borderId="89" xfId="1" applyNumberFormat="1" applyFont="1" applyFill="1" applyBorder="1" applyAlignment="1">
      <alignment horizontal="center"/>
    </xf>
    <xf numFmtId="165" fontId="2" fillId="2" borderId="18" xfId="1" applyNumberFormat="1" applyFont="1" applyFill="1" applyBorder="1" applyAlignment="1">
      <alignment horizontal="center"/>
    </xf>
    <xf numFmtId="165" fontId="2" fillId="2" borderId="19" xfId="1" applyNumberFormat="1" applyFont="1" applyFill="1" applyBorder="1" applyAlignment="1">
      <alignment horizontal="center"/>
    </xf>
    <xf numFmtId="165" fontId="2" fillId="2" borderId="20" xfId="1" applyNumberFormat="1" applyFont="1" applyFill="1" applyBorder="1" applyAlignment="1">
      <alignment horizontal="center"/>
    </xf>
    <xf numFmtId="0" fontId="4" fillId="2" borderId="20" xfId="0" applyFont="1" applyFill="1" applyBorder="1" applyAlignment="1">
      <alignment horizontal="center"/>
    </xf>
    <xf numFmtId="1" fontId="2" fillId="2" borderId="12" xfId="1" applyNumberFormat="1" applyFont="1" applyFill="1" applyBorder="1" applyAlignment="1">
      <alignment horizontal="center"/>
    </xf>
    <xf numFmtId="1" fontId="2" fillId="2" borderId="94" xfId="1" applyNumberFormat="1" applyFont="1" applyFill="1" applyBorder="1" applyAlignment="1">
      <alignment horizontal="center"/>
    </xf>
    <xf numFmtId="165" fontId="2" fillId="2" borderId="12" xfId="1" applyNumberFormat="1" applyFont="1" applyFill="1" applyBorder="1" applyAlignment="1">
      <alignment horizontal="center"/>
    </xf>
    <xf numFmtId="165" fontId="2" fillId="2" borderId="94" xfId="1" applyNumberFormat="1" applyFont="1" applyFill="1" applyBorder="1" applyAlignment="1">
      <alignment horizontal="center"/>
    </xf>
    <xf numFmtId="0" fontId="2" fillId="2" borderId="14" xfId="0" applyFont="1" applyFill="1" applyBorder="1" applyAlignment="1">
      <alignment horizontal="right"/>
    </xf>
    <xf numFmtId="166" fontId="2" fillId="2" borderId="18" xfId="2" applyNumberFormat="1" applyFont="1" applyFill="1" applyBorder="1" applyAlignment="1">
      <alignment horizontal="right" vertical="center"/>
    </xf>
    <xf numFmtId="166" fontId="2" fillId="2" borderId="20" xfId="2" applyNumberFormat="1" applyFont="1" applyFill="1" applyBorder="1" applyAlignment="1">
      <alignment horizontal="right" vertical="center"/>
    </xf>
    <xf numFmtId="0" fontId="2" fillId="2" borderId="18" xfId="0" applyFont="1" applyFill="1" applyBorder="1" applyAlignment="1">
      <alignment horizontal="left" indent="1"/>
    </xf>
    <xf numFmtId="0" fontId="2" fillId="2" borderId="19" xfId="0" applyFont="1" applyFill="1" applyBorder="1" applyAlignment="1">
      <alignment horizontal="left" indent="1"/>
    </xf>
    <xf numFmtId="0" fontId="2" fillId="2" borderId="20" xfId="0" applyFont="1" applyFill="1" applyBorder="1" applyAlignment="1">
      <alignment horizontal="left" indent="1"/>
    </xf>
    <xf numFmtId="0" fontId="2" fillId="2" borderId="18" xfId="0" applyFont="1" applyFill="1" applyBorder="1" applyAlignment="1">
      <alignment horizontal="left" indent="2"/>
    </xf>
    <xf numFmtId="0" fontId="2" fillId="2" borderId="19" xfId="0" applyFont="1" applyFill="1" applyBorder="1" applyAlignment="1">
      <alignment horizontal="left" indent="2"/>
    </xf>
    <xf numFmtId="0" fontId="2" fillId="2" borderId="20" xfId="0" applyFont="1" applyFill="1" applyBorder="1" applyAlignment="1">
      <alignment horizontal="left" indent="2"/>
    </xf>
    <xf numFmtId="165" fontId="2" fillId="2" borderId="14" xfId="1" applyNumberFormat="1" applyFont="1" applyFill="1" applyBorder="1" applyAlignment="1">
      <alignment horizontal="right"/>
    </xf>
    <xf numFmtId="0" fontId="37" fillId="2" borderId="14" xfId="0" applyFont="1" applyFill="1" applyBorder="1"/>
    <xf numFmtId="0" fontId="37" fillId="2" borderId="14" xfId="0" applyFont="1" applyFill="1" applyBorder="1" applyAlignment="1">
      <alignment horizontal="center"/>
    </xf>
    <xf numFmtId="0" fontId="2" fillId="2" borderId="0" xfId="0" applyFont="1" applyFill="1" applyAlignment="1">
      <alignment horizontal="left" vertical="center" wrapText="1" indent="1"/>
    </xf>
    <xf numFmtId="0" fontId="2" fillId="2" borderId="0" xfId="0" applyFont="1" applyFill="1" applyAlignment="1">
      <alignment horizontal="left" vertical="top" wrapText="1" indent="2"/>
    </xf>
    <xf numFmtId="166" fontId="2" fillId="8" borderId="14" xfId="2" applyNumberFormat="1" applyFont="1" applyFill="1" applyBorder="1"/>
    <xf numFmtId="165" fontId="2" fillId="8" borderId="14" xfId="1" applyNumberFormat="1" applyFont="1" applyFill="1" applyBorder="1"/>
    <xf numFmtId="0" fontId="36" fillId="2" borderId="18" xfId="0" applyFont="1" applyFill="1" applyBorder="1" applyAlignment="1">
      <alignment horizontal="center" vertical="center"/>
    </xf>
    <xf numFmtId="0" fontId="36" fillId="2" borderId="19" xfId="0" applyFont="1" applyFill="1" applyBorder="1" applyAlignment="1">
      <alignment horizontal="center" vertical="center"/>
    </xf>
    <xf numFmtId="0" fontId="36" fillId="2" borderId="20" xfId="0" applyFont="1" applyFill="1" applyBorder="1" applyAlignment="1">
      <alignment horizontal="center" vertical="center"/>
    </xf>
    <xf numFmtId="0" fontId="2" fillId="8" borderId="18" xfId="0" applyFont="1" applyFill="1" applyBorder="1" applyAlignment="1"/>
    <xf numFmtId="0" fontId="2" fillId="8" borderId="19" xfId="0" applyFont="1" applyFill="1" applyBorder="1" applyAlignment="1"/>
    <xf numFmtId="0" fontId="2" fillId="8" borderId="20" xfId="0" applyFont="1" applyFill="1" applyBorder="1" applyAlignment="1"/>
    <xf numFmtId="0" fontId="2" fillId="2" borderId="18" xfId="0" applyFont="1" applyFill="1" applyBorder="1" applyAlignment="1">
      <alignment horizontal="center" vertical="center"/>
    </xf>
    <xf numFmtId="0" fontId="2" fillId="2" borderId="19" xfId="0" applyFont="1" applyFill="1" applyBorder="1" applyAlignment="1">
      <alignment horizontal="center" vertical="center"/>
    </xf>
    <xf numFmtId="0" fontId="2" fillId="2" borderId="20" xfId="0" applyFont="1" applyFill="1" applyBorder="1" applyAlignment="1">
      <alignment horizontal="center" vertical="center"/>
    </xf>
    <xf numFmtId="0" fontId="2" fillId="2" borderId="18" xfId="0" applyFont="1" applyFill="1" applyBorder="1" applyAlignment="1"/>
    <xf numFmtId="0" fontId="2" fillId="2" borderId="19" xfId="0" applyFont="1" applyFill="1" applyBorder="1" applyAlignment="1"/>
    <xf numFmtId="0" fontId="2" fillId="2" borderId="20" xfId="0" applyFont="1" applyFill="1" applyBorder="1" applyAlignment="1"/>
    <xf numFmtId="166" fontId="2" fillId="0" borderId="14" xfId="2" applyNumberFormat="1" applyFont="1" applyBorder="1"/>
    <xf numFmtId="165" fontId="2" fillId="0" borderId="14" xfId="1" applyNumberFormat="1" applyFont="1" applyBorder="1"/>
    <xf numFmtId="166" fontId="2" fillId="33" borderId="14" xfId="2" applyNumberFormat="1" applyFont="1" applyFill="1" applyBorder="1"/>
    <xf numFmtId="165" fontId="2" fillId="33" borderId="14" xfId="1" applyNumberFormat="1" applyFont="1" applyFill="1" applyBorder="1"/>
    <xf numFmtId="10" fontId="2" fillId="40" borderId="38" xfId="0" applyNumberFormat="1" applyFont="1" applyFill="1" applyBorder="1" applyAlignment="1">
      <alignment horizontal="center" vertical="center" wrapText="1"/>
    </xf>
    <xf numFmtId="10" fontId="2" fillId="40" borderId="40" xfId="0" applyNumberFormat="1" applyFont="1" applyFill="1" applyBorder="1" applyAlignment="1">
      <alignment horizontal="center" vertical="center" wrapText="1"/>
    </xf>
    <xf numFmtId="10" fontId="2" fillId="8" borderId="38" xfId="0" applyNumberFormat="1" applyFont="1" applyFill="1" applyBorder="1" applyAlignment="1">
      <alignment horizontal="center" vertical="center" wrapText="1"/>
    </xf>
    <xf numFmtId="0" fontId="2" fillId="8" borderId="40" xfId="0" applyFont="1" applyFill="1" applyBorder="1" applyAlignment="1">
      <alignment horizontal="center" vertical="center" wrapText="1"/>
    </xf>
    <xf numFmtId="3" fontId="2" fillId="8" borderId="38" xfId="0" applyNumberFormat="1" applyFont="1" applyFill="1" applyBorder="1" applyAlignment="1">
      <alignment horizontal="center" vertical="center" wrapText="1"/>
    </xf>
    <xf numFmtId="0" fontId="2" fillId="8" borderId="46" xfId="0" applyFont="1" applyFill="1" applyBorder="1" applyAlignment="1">
      <alignment horizontal="center" vertical="center" wrapText="1"/>
    </xf>
    <xf numFmtId="0" fontId="2" fillId="8" borderId="54" xfId="0" applyFont="1" applyFill="1" applyBorder="1" applyAlignment="1">
      <alignment horizontal="center" vertical="center" wrapText="1"/>
    </xf>
    <xf numFmtId="0" fontId="2" fillId="8" borderId="47" xfId="0" applyFont="1" applyFill="1" applyBorder="1" applyAlignment="1">
      <alignment horizontal="center" vertical="center" wrapText="1"/>
    </xf>
    <xf numFmtId="0" fontId="2" fillId="8" borderId="48" xfId="0" applyFont="1" applyFill="1" applyBorder="1" applyAlignment="1">
      <alignment horizontal="center" vertical="center" wrapText="1"/>
    </xf>
    <xf numFmtId="0" fontId="2" fillId="8" borderId="52" xfId="0" applyFont="1" applyFill="1" applyBorder="1" applyAlignment="1">
      <alignment horizontal="center" vertical="center" wrapText="1"/>
    </xf>
    <xf numFmtId="0" fontId="2" fillId="8" borderId="49" xfId="0" applyFont="1" applyFill="1" applyBorder="1" applyAlignment="1">
      <alignment horizontal="center" vertical="center" wrapText="1"/>
    </xf>
    <xf numFmtId="0" fontId="2" fillId="8" borderId="38" xfId="0" applyFont="1" applyFill="1" applyBorder="1" applyAlignment="1">
      <alignment horizontal="center" vertical="center" wrapText="1"/>
    </xf>
    <xf numFmtId="10" fontId="2" fillId="2" borderId="38" xfId="0" applyNumberFormat="1" applyFont="1" applyFill="1" applyBorder="1" applyAlignment="1">
      <alignment horizontal="center" vertical="center" wrapText="1"/>
    </xf>
    <xf numFmtId="10" fontId="2" fillId="2" borderId="40" xfId="0" applyNumberFormat="1" applyFont="1" applyFill="1" applyBorder="1" applyAlignment="1">
      <alignment horizontal="center" vertical="center" wrapText="1"/>
    </xf>
    <xf numFmtId="0" fontId="2" fillId="2" borderId="40" xfId="0" applyFont="1" applyFill="1" applyBorder="1" applyAlignment="1">
      <alignment horizontal="center" vertical="center" wrapText="1"/>
    </xf>
    <xf numFmtId="0" fontId="2" fillId="2" borderId="38" xfId="0" quotePrefix="1" applyFont="1" applyFill="1" applyBorder="1" applyAlignment="1">
      <alignment horizontal="center" vertical="center" wrapText="1"/>
    </xf>
    <xf numFmtId="0" fontId="37" fillId="2" borderId="18" xfId="0" applyFont="1" applyFill="1" applyBorder="1" applyAlignment="1">
      <alignment horizontal="left" vertical="center"/>
    </xf>
    <xf numFmtId="0" fontId="37" fillId="2" borderId="20" xfId="0" applyFont="1" applyFill="1" applyBorder="1" applyAlignment="1">
      <alignment horizontal="left" vertical="center"/>
    </xf>
    <xf numFmtId="0" fontId="37" fillId="6" borderId="18" xfId="0" applyFont="1" applyFill="1" applyBorder="1" applyAlignment="1">
      <alignment horizontal="center" vertical="center"/>
    </xf>
    <xf numFmtId="0" fontId="37" fillId="6" borderId="19" xfId="0" applyFont="1" applyFill="1" applyBorder="1" applyAlignment="1">
      <alignment horizontal="center" vertical="center"/>
    </xf>
    <xf numFmtId="0" fontId="37" fillId="6" borderId="20" xfId="0" applyFont="1" applyFill="1" applyBorder="1" applyAlignment="1">
      <alignment horizontal="center" vertical="center"/>
    </xf>
    <xf numFmtId="0" fontId="8" fillId="35" borderId="6" xfId="0" applyFont="1" applyFill="1" applyBorder="1" applyAlignment="1">
      <alignment horizontal="center" vertical="center" wrapText="1"/>
    </xf>
    <xf numFmtId="0" fontId="8" fillId="35" borderId="8" xfId="0" applyFont="1" applyFill="1" applyBorder="1" applyAlignment="1">
      <alignment horizontal="center" vertical="center" wrapText="1"/>
    </xf>
    <xf numFmtId="0" fontId="8" fillId="35" borderId="9" xfId="0" applyFont="1" applyFill="1" applyBorder="1" applyAlignment="1">
      <alignment horizontal="center" vertical="center" wrapText="1"/>
    </xf>
    <xf numFmtId="0" fontId="8" fillId="35" borderId="10" xfId="0" applyFont="1" applyFill="1" applyBorder="1" applyAlignment="1">
      <alignment horizontal="center" vertical="center" wrapText="1"/>
    </xf>
    <xf numFmtId="0" fontId="8" fillId="35" borderId="11" xfId="0" applyFont="1" applyFill="1" applyBorder="1" applyAlignment="1">
      <alignment horizontal="center" vertical="center" wrapText="1"/>
    </xf>
    <xf numFmtId="0" fontId="8" fillId="35" borderId="13" xfId="0" applyFont="1" applyFill="1" applyBorder="1" applyAlignment="1">
      <alignment horizontal="center" vertical="center" wrapText="1"/>
    </xf>
    <xf numFmtId="0" fontId="8" fillId="35" borderId="7" xfId="0" applyFont="1" applyFill="1" applyBorder="1" applyAlignment="1">
      <alignment horizontal="center" vertical="center" wrapText="1"/>
    </xf>
    <xf numFmtId="0" fontId="8" fillId="35" borderId="0" xfId="0" applyFont="1" applyFill="1" applyBorder="1" applyAlignment="1">
      <alignment horizontal="center" vertical="center" wrapText="1"/>
    </xf>
    <xf numFmtId="0" fontId="8" fillId="35" borderId="12" xfId="0" applyFont="1" applyFill="1" applyBorder="1" applyAlignment="1">
      <alignment horizontal="center" vertical="center" wrapText="1"/>
    </xf>
    <xf numFmtId="0" fontId="4" fillId="35" borderId="6" xfId="0" applyFont="1" applyFill="1" applyBorder="1" applyAlignment="1">
      <alignment horizontal="center" vertical="center"/>
    </xf>
    <xf numFmtId="0" fontId="4" fillId="35" borderId="7" xfId="0" applyFont="1" applyFill="1" applyBorder="1" applyAlignment="1">
      <alignment horizontal="center" vertical="center"/>
    </xf>
    <xf numFmtId="0" fontId="4" fillId="35" borderId="8" xfId="0" applyFont="1" applyFill="1" applyBorder="1" applyAlignment="1">
      <alignment horizontal="center" vertical="center"/>
    </xf>
    <xf numFmtId="0" fontId="4" fillId="35" borderId="9" xfId="0" applyFont="1" applyFill="1" applyBorder="1" applyAlignment="1">
      <alignment horizontal="center" vertical="center"/>
    </xf>
    <xf numFmtId="0" fontId="4" fillId="35" borderId="0" xfId="0" applyFont="1" applyFill="1" applyBorder="1" applyAlignment="1">
      <alignment horizontal="center" vertical="center"/>
    </xf>
    <xf numFmtId="0" fontId="4" fillId="35" borderId="10" xfId="0" applyFont="1" applyFill="1" applyBorder="1" applyAlignment="1">
      <alignment horizontal="center" vertical="center"/>
    </xf>
    <xf numFmtId="0" fontId="4" fillId="35" borderId="11" xfId="0" applyFont="1" applyFill="1" applyBorder="1" applyAlignment="1">
      <alignment horizontal="center" vertical="center"/>
    </xf>
    <xf numFmtId="0" fontId="4" fillId="35" borderId="12" xfId="0" applyFont="1" applyFill="1" applyBorder="1" applyAlignment="1">
      <alignment horizontal="center" vertical="center"/>
    </xf>
    <xf numFmtId="0" fontId="4" fillId="35" borderId="13" xfId="0" applyFont="1" applyFill="1" applyBorder="1" applyAlignment="1">
      <alignment horizontal="center" vertical="center"/>
    </xf>
    <xf numFmtId="0" fontId="46" fillId="2" borderId="0" xfId="0" applyFont="1" applyFill="1" applyAlignment="1">
      <alignment horizontal="left" vertical="center" wrapText="1"/>
    </xf>
    <xf numFmtId="0" fontId="2" fillId="2" borderId="0" xfId="0" applyFont="1" applyFill="1" applyAlignment="1">
      <alignment horizontal="left" vertical="center" indent="1"/>
    </xf>
    <xf numFmtId="0" fontId="4" fillId="2" borderId="8" xfId="0" applyFont="1" applyFill="1" applyBorder="1" applyAlignment="1">
      <alignment horizontal="center" vertical="center" wrapText="1"/>
    </xf>
    <xf numFmtId="0" fontId="4" fillId="2" borderId="10" xfId="0" applyFont="1" applyFill="1" applyBorder="1" applyAlignment="1">
      <alignment horizontal="center" vertical="center" wrapText="1"/>
    </xf>
    <xf numFmtId="0" fontId="4" fillId="2" borderId="13" xfId="0" applyFont="1" applyFill="1" applyBorder="1" applyAlignment="1">
      <alignment horizontal="center" vertical="center" wrapText="1"/>
    </xf>
    <xf numFmtId="0" fontId="8" fillId="2" borderId="0" xfId="0" applyFont="1" applyFill="1" applyAlignment="1">
      <alignment horizontal="left" vertical="center" wrapText="1" indent="1"/>
    </xf>
    <xf numFmtId="165" fontId="46" fillId="2" borderId="14" xfId="1" applyNumberFormat="1" applyFont="1" applyFill="1" applyBorder="1" applyAlignment="1">
      <alignment horizontal="center" vertical="center"/>
    </xf>
    <xf numFmtId="0" fontId="8" fillId="5" borderId="14" xfId="0" applyFont="1" applyFill="1" applyBorder="1" applyAlignment="1">
      <alignment horizontal="center" vertical="center"/>
    </xf>
    <xf numFmtId="0" fontId="8" fillId="6" borderId="14" xfId="0" applyFont="1" applyFill="1" applyBorder="1" applyAlignment="1">
      <alignment horizontal="center" vertical="center"/>
    </xf>
    <xf numFmtId="0" fontId="2" fillId="40" borderId="38" xfId="0" applyFont="1" applyFill="1" applyBorder="1" applyAlignment="1">
      <alignment horizontal="center" vertical="center" wrapText="1"/>
    </xf>
    <xf numFmtId="0" fontId="2" fillId="40" borderId="40" xfId="0" applyFont="1" applyFill="1" applyBorder="1" applyAlignment="1">
      <alignment horizontal="center" vertical="center" wrapText="1"/>
    </xf>
    <xf numFmtId="0" fontId="2" fillId="2" borderId="6" xfId="0" applyFont="1" applyFill="1" applyBorder="1" applyAlignment="1">
      <alignment horizontal="center" vertical="center"/>
    </xf>
    <xf numFmtId="0" fontId="2" fillId="2" borderId="7" xfId="0" applyFont="1" applyFill="1" applyBorder="1" applyAlignment="1">
      <alignment horizontal="center" vertical="center"/>
    </xf>
    <xf numFmtId="0" fontId="2" fillId="2" borderId="8" xfId="0" applyFont="1" applyFill="1" applyBorder="1" applyAlignment="1">
      <alignment horizontal="center" vertical="center"/>
    </xf>
    <xf numFmtId="0" fontId="2" fillId="2" borderId="11" xfId="0" applyFont="1" applyFill="1" applyBorder="1" applyAlignment="1">
      <alignment horizontal="center" vertical="center"/>
    </xf>
    <xf numFmtId="0" fontId="2" fillId="2" borderId="12" xfId="0" applyFont="1" applyFill="1" applyBorder="1" applyAlignment="1">
      <alignment horizontal="center" vertical="center"/>
    </xf>
    <xf numFmtId="0" fontId="2" fillId="2" borderId="13" xfId="0" applyFont="1" applyFill="1" applyBorder="1" applyAlignment="1">
      <alignment horizontal="center" vertical="center"/>
    </xf>
    <xf numFmtId="0" fontId="8" fillId="33" borderId="14" xfId="0" applyFont="1" applyFill="1" applyBorder="1" applyAlignment="1">
      <alignment horizontal="center" vertical="center"/>
    </xf>
    <xf numFmtId="165" fontId="2" fillId="2" borderId="14" xfId="1" applyNumberFormat="1" applyFont="1" applyFill="1" applyBorder="1" applyAlignment="1">
      <alignment horizontal="center" vertical="center"/>
    </xf>
    <xf numFmtId="0" fontId="2" fillId="2" borderId="75" xfId="0" applyFont="1" applyFill="1" applyBorder="1" applyAlignment="1">
      <alignment horizontal="left"/>
    </xf>
    <xf numFmtId="0" fontId="2" fillId="2" borderId="76" xfId="0" applyFont="1" applyFill="1" applyBorder="1" applyAlignment="1">
      <alignment horizontal="left"/>
    </xf>
    <xf numFmtId="0" fontId="2" fillId="40" borderId="18" xfId="0" applyFont="1" applyFill="1" applyBorder="1" applyAlignment="1">
      <alignment horizontal="left"/>
    </xf>
    <xf numFmtId="0" fontId="2" fillId="40" borderId="77" xfId="0" applyFont="1" applyFill="1" applyBorder="1" applyAlignment="1">
      <alignment horizontal="left"/>
    </xf>
    <xf numFmtId="0" fontId="2" fillId="8" borderId="18" xfId="0" applyFont="1" applyFill="1" applyBorder="1" applyAlignment="1">
      <alignment horizontal="left"/>
    </xf>
    <xf numFmtId="0" fontId="2" fillId="8" borderId="77" xfId="0" applyFont="1" applyFill="1" applyBorder="1" applyAlignment="1">
      <alignment horizontal="left"/>
    </xf>
    <xf numFmtId="0" fontId="37" fillId="2" borderId="0" xfId="0" applyFont="1" applyFill="1" applyBorder="1"/>
    <xf numFmtId="0" fontId="37" fillId="2" borderId="0" xfId="0" applyFont="1" applyFill="1" applyBorder="1" applyAlignment="1">
      <alignment horizontal="center"/>
    </xf>
    <xf numFmtId="0" fontId="37" fillId="2" borderId="0" xfId="0" applyFont="1" applyFill="1" applyBorder="1" applyAlignment="1">
      <alignment horizontal="center" vertical="center"/>
    </xf>
    <xf numFmtId="0" fontId="2" fillId="35" borderId="37" xfId="0" applyFont="1" applyFill="1" applyBorder="1" applyAlignment="1">
      <alignment horizontal="center" vertical="center" wrapText="1"/>
    </xf>
    <xf numFmtId="0" fontId="2" fillId="8" borderId="6" xfId="0" applyFont="1" applyFill="1" applyBorder="1" applyAlignment="1">
      <alignment horizontal="center" vertical="center"/>
    </xf>
    <xf numFmtId="0" fontId="2" fillId="8" borderId="7" xfId="0" applyFont="1" applyFill="1" applyBorder="1" applyAlignment="1">
      <alignment horizontal="center" vertical="center"/>
    </xf>
    <xf numFmtId="0" fontId="2" fillId="8" borderId="8" xfId="0" applyFont="1" applyFill="1" applyBorder="1" applyAlignment="1">
      <alignment horizontal="center" vertical="center"/>
    </xf>
    <xf numFmtId="0" fontId="2" fillId="8" borderId="9" xfId="0" applyFont="1" applyFill="1" applyBorder="1" applyAlignment="1">
      <alignment horizontal="center" vertical="center"/>
    </xf>
    <xf numFmtId="0" fontId="2" fillId="8" borderId="0" xfId="0" applyFont="1" applyFill="1" applyBorder="1" applyAlignment="1">
      <alignment horizontal="center" vertical="center"/>
    </xf>
    <xf numFmtId="0" fontId="2" fillId="8" borderId="10" xfId="0" applyFont="1" applyFill="1" applyBorder="1" applyAlignment="1">
      <alignment horizontal="center" vertical="center"/>
    </xf>
    <xf numFmtId="0" fontId="2" fillId="8" borderId="11" xfId="0" applyFont="1" applyFill="1" applyBorder="1" applyAlignment="1">
      <alignment horizontal="center" vertical="center"/>
    </xf>
    <xf numFmtId="0" fontId="2" fillId="8" borderId="12" xfId="0" applyFont="1" applyFill="1" applyBorder="1" applyAlignment="1">
      <alignment horizontal="center" vertical="center"/>
    </xf>
    <xf numFmtId="0" fontId="2" fillId="8" borderId="13" xfId="0" applyFont="1" applyFill="1" applyBorder="1" applyAlignment="1">
      <alignment horizontal="center" vertical="center"/>
    </xf>
    <xf numFmtId="0" fontId="8" fillId="7" borderId="6" xfId="0" applyFont="1" applyFill="1" applyBorder="1" applyAlignment="1">
      <alignment horizontal="center" vertical="center" wrapText="1"/>
    </xf>
    <xf numFmtId="0" fontId="8" fillId="7" borderId="7" xfId="0" applyFont="1" applyFill="1" applyBorder="1" applyAlignment="1">
      <alignment horizontal="center" vertical="center" wrapText="1"/>
    </xf>
    <xf numFmtId="0" fontId="8" fillId="7" borderId="8" xfId="0" applyFont="1" applyFill="1" applyBorder="1" applyAlignment="1">
      <alignment horizontal="center" vertical="center" wrapText="1"/>
    </xf>
    <xf numFmtId="0" fontId="8" fillId="7" borderId="9" xfId="0" applyFont="1" applyFill="1" applyBorder="1" applyAlignment="1">
      <alignment horizontal="center" vertical="center" wrapText="1"/>
    </xf>
    <xf numFmtId="0" fontId="8" fillId="7" borderId="11" xfId="0" applyFont="1" applyFill="1" applyBorder="1" applyAlignment="1">
      <alignment horizontal="center" vertical="center" wrapText="1"/>
    </xf>
    <xf numFmtId="0" fontId="8" fillId="7" borderId="12" xfId="0" applyFont="1" applyFill="1" applyBorder="1" applyAlignment="1">
      <alignment horizontal="center" vertical="center" wrapText="1"/>
    </xf>
    <xf numFmtId="0" fontId="8" fillId="7" borderId="13" xfId="0" applyFont="1" applyFill="1" applyBorder="1" applyAlignment="1">
      <alignment horizontal="center" vertical="center" wrapText="1"/>
    </xf>
    <xf numFmtId="166" fontId="2" fillId="2" borderId="18" xfId="2" applyNumberFormat="1" applyFont="1" applyFill="1" applyBorder="1" applyAlignment="1">
      <alignment horizontal="center" vertical="center"/>
    </xf>
    <xf numFmtId="166" fontId="2" fillId="2" borderId="19" xfId="2" applyNumberFormat="1" applyFont="1" applyFill="1" applyBorder="1" applyAlignment="1">
      <alignment horizontal="center" vertical="center"/>
    </xf>
    <xf numFmtId="166" fontId="2" fillId="2" borderId="20" xfId="2" applyNumberFormat="1" applyFont="1" applyFill="1" applyBorder="1" applyAlignment="1">
      <alignment horizontal="center" vertical="center"/>
    </xf>
    <xf numFmtId="0" fontId="2" fillId="2" borderId="18" xfId="0" applyNumberFormat="1" applyFont="1" applyFill="1" applyBorder="1" applyAlignment="1">
      <alignment horizontal="center" vertical="center"/>
    </xf>
    <xf numFmtId="0" fontId="2" fillId="2" borderId="19" xfId="0" applyNumberFormat="1" applyFont="1" applyFill="1" applyBorder="1" applyAlignment="1">
      <alignment horizontal="center" vertical="center"/>
    </xf>
    <xf numFmtId="0" fontId="2" fillId="2" borderId="20" xfId="0" applyNumberFormat="1" applyFont="1" applyFill="1" applyBorder="1" applyAlignment="1">
      <alignment horizontal="center" vertical="center"/>
    </xf>
    <xf numFmtId="166" fontId="2" fillId="2" borderId="19" xfId="2" applyNumberFormat="1" applyFont="1" applyFill="1" applyBorder="1" applyAlignment="1">
      <alignment horizontal="right" vertical="center"/>
    </xf>
    <xf numFmtId="0" fontId="2" fillId="2" borderId="14" xfId="0" applyFont="1" applyFill="1" applyBorder="1" applyAlignment="1">
      <alignment vertical="center"/>
    </xf>
    <xf numFmtId="0" fontId="8" fillId="6" borderId="6" xfId="0" applyFont="1" applyFill="1" applyBorder="1" applyAlignment="1">
      <alignment horizontal="center" vertical="center" wrapText="1"/>
    </xf>
    <xf numFmtId="0" fontId="8" fillId="6" borderId="7" xfId="0" applyFont="1" applyFill="1" applyBorder="1" applyAlignment="1">
      <alignment horizontal="center" vertical="center" wrapText="1"/>
    </xf>
    <xf numFmtId="0" fontId="8" fillId="6" borderId="8" xfId="0" applyFont="1" applyFill="1" applyBorder="1" applyAlignment="1">
      <alignment horizontal="center" vertical="center" wrapText="1"/>
    </xf>
    <xf numFmtId="0" fontId="8" fillId="6" borderId="10" xfId="0" applyFont="1" applyFill="1" applyBorder="1" applyAlignment="1">
      <alignment horizontal="center" vertical="center" wrapText="1"/>
    </xf>
    <xf numFmtId="0" fontId="8" fillId="6" borderId="11" xfId="0" applyFont="1" applyFill="1" applyBorder="1" applyAlignment="1">
      <alignment horizontal="center" vertical="center" wrapText="1"/>
    </xf>
    <xf numFmtId="0" fontId="8" fillId="6" borderId="12" xfId="0" applyFont="1" applyFill="1" applyBorder="1" applyAlignment="1">
      <alignment horizontal="center" vertical="center" wrapText="1"/>
    </xf>
    <xf numFmtId="0" fontId="8" fillId="6" borderId="13" xfId="0" applyFont="1" applyFill="1" applyBorder="1" applyAlignment="1">
      <alignment horizontal="center" vertical="center" wrapText="1"/>
    </xf>
    <xf numFmtId="0" fontId="8" fillId="33" borderId="6" xfId="0" applyFont="1" applyFill="1" applyBorder="1" applyAlignment="1">
      <alignment horizontal="center" vertical="center" wrapText="1"/>
    </xf>
    <xf numFmtId="0" fontId="8" fillId="33" borderId="7" xfId="0" applyFont="1" applyFill="1" applyBorder="1" applyAlignment="1">
      <alignment horizontal="center" vertical="center" wrapText="1"/>
    </xf>
    <xf numFmtId="0" fontId="8" fillId="33" borderId="8" xfId="0" applyFont="1" applyFill="1" applyBorder="1" applyAlignment="1">
      <alignment horizontal="center" vertical="center" wrapText="1"/>
    </xf>
    <xf numFmtId="0" fontId="8" fillId="33" borderId="9" xfId="0" applyFont="1" applyFill="1" applyBorder="1" applyAlignment="1">
      <alignment horizontal="center" vertical="center" wrapText="1"/>
    </xf>
    <xf numFmtId="0" fontId="8" fillId="33" borderId="0" xfId="0" applyFont="1" applyFill="1" applyBorder="1" applyAlignment="1">
      <alignment horizontal="center" vertical="center" wrapText="1"/>
    </xf>
    <xf numFmtId="0" fontId="8" fillId="33" borderId="10" xfId="0" applyFont="1" applyFill="1" applyBorder="1" applyAlignment="1">
      <alignment horizontal="center" vertical="center" wrapText="1"/>
    </xf>
    <xf numFmtId="0" fontId="8" fillId="33" borderId="11" xfId="0" applyFont="1" applyFill="1" applyBorder="1" applyAlignment="1">
      <alignment horizontal="center" vertical="center" wrapText="1"/>
    </xf>
    <xf numFmtId="0" fontId="8" fillId="33" borderId="12" xfId="0" applyFont="1" applyFill="1" applyBorder="1" applyAlignment="1">
      <alignment horizontal="center" vertical="center" wrapText="1"/>
    </xf>
    <xf numFmtId="0" fontId="8" fillId="33" borderId="13" xfId="0" applyFont="1" applyFill="1" applyBorder="1" applyAlignment="1">
      <alignment horizontal="center" vertical="center" wrapText="1"/>
    </xf>
    <xf numFmtId="0" fontId="8" fillId="5" borderId="14" xfId="0" applyFont="1" applyFill="1" applyBorder="1" applyAlignment="1">
      <alignment horizontal="center"/>
    </xf>
    <xf numFmtId="0" fontId="8" fillId="6" borderId="14" xfId="0" applyFont="1" applyFill="1" applyBorder="1" applyAlignment="1">
      <alignment horizontal="center"/>
    </xf>
    <xf numFmtId="0" fontId="2" fillId="35" borderId="37" xfId="0" applyFont="1" applyFill="1" applyBorder="1" applyAlignment="1">
      <alignment horizontal="center"/>
    </xf>
    <xf numFmtId="0" fontId="9" fillId="2" borderId="0" xfId="0" applyFont="1" applyFill="1" applyAlignment="1">
      <alignment horizontal="left" vertical="center" wrapText="1" indent="1"/>
    </xf>
    <xf numFmtId="0" fontId="36" fillId="2" borderId="0" xfId="0" applyFont="1" applyFill="1" applyAlignment="1">
      <alignment horizontal="left" vertical="top" wrapText="1" indent="1"/>
    </xf>
    <xf numFmtId="0" fontId="8" fillId="8" borderId="6" xfId="0" applyFont="1" applyFill="1" applyBorder="1" applyAlignment="1">
      <alignment horizontal="center" vertical="center" wrapText="1"/>
    </xf>
    <xf numFmtId="0" fontId="8" fillId="8" borderId="7" xfId="0" applyFont="1" applyFill="1" applyBorder="1" applyAlignment="1">
      <alignment horizontal="center" vertical="center" wrapText="1"/>
    </xf>
    <xf numFmtId="0" fontId="8" fillId="8" borderId="8" xfId="0" applyFont="1" applyFill="1" applyBorder="1" applyAlignment="1">
      <alignment horizontal="center" vertical="center" wrapText="1"/>
    </xf>
    <xf numFmtId="0" fontId="8" fillId="8" borderId="9" xfId="0" applyFont="1" applyFill="1" applyBorder="1" applyAlignment="1">
      <alignment horizontal="center" vertical="center" wrapText="1"/>
    </xf>
    <xf numFmtId="0" fontId="8" fillId="8" borderId="0" xfId="0" applyFont="1" applyFill="1" applyBorder="1" applyAlignment="1">
      <alignment horizontal="center" vertical="center" wrapText="1"/>
    </xf>
    <xf numFmtId="0" fontId="8" fillId="8" borderId="10" xfId="0" applyFont="1" applyFill="1" applyBorder="1" applyAlignment="1">
      <alignment horizontal="center" vertical="center" wrapText="1"/>
    </xf>
    <xf numFmtId="0" fontId="8" fillId="8" borderId="11" xfId="0" applyFont="1" applyFill="1" applyBorder="1" applyAlignment="1">
      <alignment horizontal="center" vertical="center" wrapText="1"/>
    </xf>
    <xf numFmtId="0" fontId="8" fillId="8" borderId="12" xfId="0" applyFont="1" applyFill="1" applyBorder="1" applyAlignment="1">
      <alignment horizontal="center" vertical="center" wrapText="1"/>
    </xf>
    <xf numFmtId="0" fontId="8" fillId="8" borderId="13" xfId="0" applyFont="1" applyFill="1" applyBorder="1" applyAlignment="1">
      <alignment horizontal="center" vertical="center" wrapText="1"/>
    </xf>
    <xf numFmtId="0" fontId="2" fillId="2" borderId="14" xfId="0" applyFont="1" applyFill="1" applyBorder="1" applyAlignment="1">
      <alignment horizontal="left" vertical="center" indent="1"/>
    </xf>
    <xf numFmtId="166" fontId="2" fillId="2" borderId="18" xfId="2" applyNumberFormat="1" applyFont="1" applyFill="1" applyBorder="1" applyAlignment="1">
      <alignment vertical="center"/>
    </xf>
    <xf numFmtId="166" fontId="2" fillId="2" borderId="19" xfId="2" applyNumberFormat="1" applyFont="1" applyFill="1" applyBorder="1" applyAlignment="1">
      <alignment vertical="center"/>
    </xf>
    <xf numFmtId="166" fontId="2" fillId="2" borderId="20" xfId="2" applyNumberFormat="1" applyFont="1" applyFill="1" applyBorder="1" applyAlignment="1">
      <alignment vertical="center"/>
    </xf>
    <xf numFmtId="165" fontId="2" fillId="2" borderId="18" xfId="1" applyNumberFormat="1" applyFont="1" applyFill="1" applyBorder="1" applyAlignment="1">
      <alignment vertical="center"/>
    </xf>
    <xf numFmtId="165" fontId="2" fillId="2" borderId="19" xfId="1" applyNumberFormat="1" applyFont="1" applyFill="1" applyBorder="1" applyAlignment="1">
      <alignment vertical="center"/>
    </xf>
    <xf numFmtId="165" fontId="2" fillId="2" borderId="20" xfId="1" applyNumberFormat="1" applyFont="1" applyFill="1" applyBorder="1" applyAlignment="1">
      <alignment vertical="center"/>
    </xf>
    <xf numFmtId="165" fontId="2" fillId="2" borderId="18" xfId="1" applyNumberFormat="1" applyFont="1" applyFill="1" applyBorder="1" applyAlignment="1">
      <alignment horizontal="right" vertical="center"/>
    </xf>
    <xf numFmtId="165" fontId="2" fillId="2" borderId="19" xfId="1" applyNumberFormat="1" applyFont="1" applyFill="1" applyBorder="1" applyAlignment="1">
      <alignment horizontal="right" vertical="center"/>
    </xf>
    <xf numFmtId="165" fontId="2" fillId="2" borderId="20" xfId="1" applyNumberFormat="1" applyFont="1" applyFill="1" applyBorder="1" applyAlignment="1">
      <alignment horizontal="right" vertical="center"/>
    </xf>
    <xf numFmtId="2" fontId="2" fillId="8" borderId="18" xfId="0" applyNumberFormat="1" applyFont="1" applyFill="1" applyBorder="1" applyAlignment="1">
      <alignment vertical="center"/>
    </xf>
    <xf numFmtId="2" fontId="2" fillId="8" borderId="20" xfId="0" applyNumberFormat="1" applyFont="1" applyFill="1" applyBorder="1" applyAlignment="1">
      <alignment vertical="center"/>
    </xf>
    <xf numFmtId="166" fontId="2" fillId="2" borderId="14" xfId="2" applyNumberFormat="1" applyFont="1" applyFill="1" applyBorder="1" applyAlignment="1">
      <alignment horizontal="right"/>
    </xf>
    <xf numFmtId="166" fontId="2" fillId="2" borderId="15" xfId="2" applyNumberFormat="1" applyFont="1" applyFill="1" applyBorder="1" applyAlignment="1">
      <alignment horizontal="right"/>
    </xf>
    <xf numFmtId="165" fontId="2" fillId="2" borderId="17" xfId="1" applyNumberFormat="1" applyFont="1" applyFill="1" applyBorder="1" applyAlignment="1">
      <alignment horizontal="right"/>
    </xf>
    <xf numFmtId="0" fontId="8" fillId="8" borderId="44" xfId="0" applyFont="1" applyFill="1" applyBorder="1" applyAlignment="1">
      <alignment horizontal="center" vertical="center"/>
    </xf>
    <xf numFmtId="0" fontId="8" fillId="8" borderId="41" xfId="0" applyFont="1" applyFill="1" applyBorder="1" applyAlignment="1">
      <alignment horizontal="center" vertical="center"/>
    </xf>
    <xf numFmtId="0" fontId="46" fillId="2" borderId="0" xfId="0" applyFont="1" applyFill="1" applyBorder="1" applyAlignment="1">
      <alignment wrapText="1"/>
    </xf>
    <xf numFmtId="0" fontId="8" fillId="8" borderId="37" xfId="0" applyFont="1" applyFill="1" applyBorder="1" applyAlignment="1">
      <alignment horizontal="center" vertical="center"/>
    </xf>
    <xf numFmtId="0" fontId="8" fillId="33" borderId="6" xfId="0" applyFont="1" applyFill="1" applyBorder="1" applyAlignment="1">
      <alignment horizontal="center" vertical="center"/>
    </xf>
    <xf numFmtId="0" fontId="8" fillId="33" borderId="8" xfId="0" applyFont="1" applyFill="1" applyBorder="1" applyAlignment="1">
      <alignment horizontal="center" vertical="center"/>
    </xf>
    <xf numFmtId="0" fontId="8" fillId="33" borderId="9" xfId="0" applyFont="1" applyFill="1" applyBorder="1" applyAlignment="1">
      <alignment horizontal="center" vertical="center"/>
    </xf>
    <xf numFmtId="0" fontId="8" fillId="33" borderId="10" xfId="0" applyFont="1" applyFill="1" applyBorder="1" applyAlignment="1">
      <alignment horizontal="center" vertical="center"/>
    </xf>
    <xf numFmtId="0" fontId="8" fillId="33" borderId="11" xfId="0" applyFont="1" applyFill="1" applyBorder="1" applyAlignment="1">
      <alignment horizontal="center" vertical="center"/>
    </xf>
    <xf numFmtId="0" fontId="8" fillId="33" borderId="13" xfId="0" applyFont="1" applyFill="1" applyBorder="1" applyAlignment="1">
      <alignment horizontal="center" vertical="center"/>
    </xf>
    <xf numFmtId="0" fontId="2" fillId="5" borderId="14" xfId="0" applyFont="1" applyFill="1" applyBorder="1" applyAlignment="1">
      <alignment horizontal="center"/>
    </xf>
    <xf numFmtId="0" fontId="2" fillId="6" borderId="14" xfId="0" applyFont="1" applyFill="1" applyBorder="1" applyAlignment="1">
      <alignment horizontal="center"/>
    </xf>
    <xf numFmtId="0" fontId="4" fillId="2" borderId="6" xfId="0" applyFont="1" applyFill="1" applyBorder="1" applyAlignment="1">
      <alignment horizontal="center" vertical="center"/>
    </xf>
    <xf numFmtId="0" fontId="4" fillId="2" borderId="7" xfId="0" applyFont="1" applyFill="1" applyBorder="1" applyAlignment="1">
      <alignment horizontal="center" vertical="center"/>
    </xf>
    <xf numFmtId="0" fontId="4" fillId="2" borderId="8" xfId="0" applyFont="1" applyFill="1" applyBorder="1" applyAlignment="1">
      <alignment horizontal="center" vertical="center"/>
    </xf>
    <xf numFmtId="0" fontId="4" fillId="2" borderId="9" xfId="0" applyFont="1" applyFill="1" applyBorder="1" applyAlignment="1">
      <alignment horizontal="center" vertical="center"/>
    </xf>
    <xf numFmtId="0" fontId="4" fillId="2" borderId="0" xfId="0" applyFont="1" applyFill="1" applyBorder="1" applyAlignment="1">
      <alignment horizontal="center" vertical="center"/>
    </xf>
    <xf numFmtId="0" fontId="4" fillId="2" borderId="10" xfId="0" applyFont="1" applyFill="1" applyBorder="1" applyAlignment="1">
      <alignment horizontal="center" vertical="center"/>
    </xf>
    <xf numFmtId="0" fontId="4" fillId="2" borderId="11" xfId="0" applyFont="1" applyFill="1" applyBorder="1" applyAlignment="1">
      <alignment horizontal="center" vertical="center"/>
    </xf>
    <xf numFmtId="0" fontId="4" fillId="2" borderId="12" xfId="0" applyFont="1" applyFill="1" applyBorder="1" applyAlignment="1">
      <alignment horizontal="center" vertical="center"/>
    </xf>
    <xf numFmtId="0" fontId="4" fillId="2" borderId="13" xfId="0" applyFont="1" applyFill="1" applyBorder="1" applyAlignment="1">
      <alignment horizontal="center" vertical="center"/>
    </xf>
    <xf numFmtId="167" fontId="2" fillId="0" borderId="14" xfId="0" applyNumberFormat="1" applyFont="1" applyBorder="1"/>
    <xf numFmtId="0" fontId="6" fillId="37" borderId="18" xfId="0" applyFont="1" applyFill="1" applyBorder="1" applyAlignment="1">
      <alignment horizontal="center" vertical="center"/>
    </xf>
    <xf numFmtId="0" fontId="6" fillId="37" borderId="19" xfId="0" applyFont="1" applyFill="1" applyBorder="1" applyAlignment="1">
      <alignment horizontal="center" vertical="center"/>
    </xf>
    <xf numFmtId="0" fontId="6" fillId="37" borderId="20" xfId="0" applyFont="1" applyFill="1" applyBorder="1" applyAlignment="1">
      <alignment horizontal="center" vertical="center"/>
    </xf>
    <xf numFmtId="0" fontId="2" fillId="36" borderId="18" xfId="0" applyFont="1" applyFill="1" applyBorder="1" applyAlignment="1">
      <alignment horizontal="center" vertical="center"/>
    </xf>
    <xf numFmtId="0" fontId="2" fillId="36" borderId="19" xfId="0" applyFont="1" applyFill="1" applyBorder="1" applyAlignment="1">
      <alignment horizontal="center" vertical="center"/>
    </xf>
    <xf numFmtId="0" fontId="2" fillId="36" borderId="20" xfId="0" applyFont="1" applyFill="1" applyBorder="1" applyAlignment="1">
      <alignment horizontal="center" vertical="center"/>
    </xf>
    <xf numFmtId="167" fontId="2" fillId="33" borderId="14" xfId="0" applyNumberFormat="1" applyFont="1" applyFill="1" applyBorder="1"/>
    <xf numFmtId="167" fontId="2" fillId="8" borderId="14" xfId="0" applyNumberFormat="1" applyFont="1" applyFill="1" applyBorder="1"/>
    <xf numFmtId="0" fontId="2" fillId="2" borderId="18" xfId="0" applyFont="1" applyFill="1" applyBorder="1" applyAlignment="1">
      <alignment horizontal="center"/>
    </xf>
    <xf numFmtId="0" fontId="2" fillId="2" borderId="19" xfId="0" applyFont="1" applyFill="1" applyBorder="1" applyAlignment="1">
      <alignment horizontal="center"/>
    </xf>
    <xf numFmtId="0" fontId="2" fillId="2" borderId="20" xfId="0" applyFont="1" applyFill="1" applyBorder="1" applyAlignment="1">
      <alignment horizontal="center"/>
    </xf>
    <xf numFmtId="0" fontId="4" fillId="2" borderId="92" xfId="0" applyFont="1" applyFill="1" applyBorder="1" applyAlignment="1">
      <alignment horizontal="center"/>
    </xf>
    <xf numFmtId="0" fontId="46" fillId="2" borderId="0" xfId="0" applyFont="1" applyFill="1" applyAlignment="1">
      <alignment wrapText="1"/>
    </xf>
    <xf numFmtId="0" fontId="8" fillId="6" borderId="46" xfId="0" applyFont="1" applyFill="1" applyBorder="1" applyAlignment="1">
      <alignment horizontal="center" vertical="center" wrapText="1"/>
    </xf>
    <xf numFmtId="0" fontId="8" fillId="6" borderId="54" xfId="0" applyFont="1" applyFill="1" applyBorder="1" applyAlignment="1">
      <alignment horizontal="center" vertical="center" wrapText="1"/>
    </xf>
    <xf numFmtId="0" fontId="8" fillId="6" borderId="47" xfId="0" applyFont="1" applyFill="1" applyBorder="1" applyAlignment="1">
      <alignment horizontal="center" vertical="center" wrapText="1"/>
    </xf>
    <xf numFmtId="0" fontId="8" fillId="6" borderId="70" xfId="0" applyFont="1" applyFill="1" applyBorder="1" applyAlignment="1">
      <alignment horizontal="center" vertical="center" wrapText="1"/>
    </xf>
    <xf numFmtId="0" fontId="8" fillId="6" borderId="71" xfId="0" applyFont="1" applyFill="1" applyBorder="1" applyAlignment="1">
      <alignment horizontal="center" vertical="center" wrapText="1"/>
    </xf>
    <xf numFmtId="0" fontId="8" fillId="6" borderId="48" xfId="0" applyFont="1" applyFill="1" applyBorder="1" applyAlignment="1">
      <alignment horizontal="center" vertical="center" wrapText="1"/>
    </xf>
    <xf numFmtId="0" fontId="8" fillId="6" borderId="52" xfId="0" applyFont="1" applyFill="1" applyBorder="1" applyAlignment="1">
      <alignment horizontal="center" vertical="center" wrapText="1"/>
    </xf>
    <xf numFmtId="0" fontId="8" fillId="6" borderId="49" xfId="0" applyFont="1" applyFill="1" applyBorder="1" applyAlignment="1">
      <alignment horizontal="center" vertical="center" wrapText="1"/>
    </xf>
    <xf numFmtId="0" fontId="2" fillId="2" borderId="93" xfId="0" applyFont="1" applyFill="1" applyBorder="1" applyAlignment="1">
      <alignment horizontal="center" vertical="center" wrapText="1"/>
    </xf>
    <xf numFmtId="0" fontId="8" fillId="6" borderId="37" xfId="0" applyFont="1" applyFill="1" applyBorder="1" applyAlignment="1">
      <alignment horizontal="center" vertical="center" wrapText="1"/>
    </xf>
    <xf numFmtId="0" fontId="2" fillId="2" borderId="12" xfId="0" applyFont="1" applyFill="1" applyBorder="1" applyAlignment="1"/>
    <xf numFmtId="0" fontId="2" fillId="2" borderId="13" xfId="0" applyFont="1" applyFill="1" applyBorder="1" applyAlignment="1"/>
    <xf numFmtId="0" fontId="2" fillId="2" borderId="52" xfId="0" applyFont="1" applyFill="1" applyBorder="1" applyAlignment="1"/>
    <xf numFmtId="0" fontId="2" fillId="2" borderId="53" xfId="0" applyFont="1" applyFill="1" applyBorder="1" applyAlignment="1"/>
    <xf numFmtId="0" fontId="10" fillId="2" borderId="7" xfId="0" applyFont="1" applyFill="1" applyBorder="1" applyAlignment="1">
      <alignment horizontal="center" vertical="center" wrapText="1"/>
    </xf>
    <xf numFmtId="0" fontId="10" fillId="2" borderId="9" xfId="0" applyFont="1" applyFill="1" applyBorder="1" applyAlignment="1">
      <alignment horizontal="center" vertical="center" wrapText="1"/>
    </xf>
    <xf numFmtId="0" fontId="10" fillId="2" borderId="0" xfId="0" applyFont="1" applyFill="1" applyBorder="1" applyAlignment="1">
      <alignment horizontal="center" vertical="center" wrapText="1"/>
    </xf>
    <xf numFmtId="0" fontId="10" fillId="2" borderId="10" xfId="0" applyFont="1" applyFill="1" applyBorder="1" applyAlignment="1">
      <alignment horizontal="center" vertical="center" wrapText="1"/>
    </xf>
    <xf numFmtId="0" fontId="10" fillId="2" borderId="12" xfId="0" applyFont="1" applyFill="1" applyBorder="1" applyAlignment="1">
      <alignment horizontal="center" vertical="center" wrapText="1"/>
    </xf>
    <xf numFmtId="0" fontId="2" fillId="2" borderId="0" xfId="0" applyFont="1" applyFill="1" applyAlignment="1">
      <alignment horizontal="left" indent="1"/>
    </xf>
    <xf numFmtId="0" fontId="2" fillId="8" borderId="14" xfId="0" applyFont="1" applyFill="1" applyBorder="1" applyAlignment="1">
      <alignment horizontal="center"/>
    </xf>
    <xf numFmtId="0" fontId="2" fillId="40" borderId="14" xfId="0" applyFont="1" applyFill="1" applyBorder="1" applyAlignment="1">
      <alignment horizontal="center"/>
    </xf>
    <xf numFmtId="0" fontId="58" fillId="2" borderId="6" xfId="0" applyFont="1" applyFill="1" applyBorder="1" applyAlignment="1">
      <alignment horizontal="center" vertical="center" wrapText="1"/>
    </xf>
    <xf numFmtId="0" fontId="58" fillId="2" borderId="7" xfId="0" applyFont="1" applyFill="1" applyBorder="1" applyAlignment="1">
      <alignment horizontal="center" vertical="center" wrapText="1"/>
    </xf>
    <xf numFmtId="0" fontId="58" fillId="2" borderId="8" xfId="0" applyFont="1" applyFill="1" applyBorder="1" applyAlignment="1">
      <alignment horizontal="center" vertical="center" wrapText="1"/>
    </xf>
    <xf numFmtId="0" fontId="58" fillId="2" borderId="9" xfId="0" applyFont="1" applyFill="1" applyBorder="1" applyAlignment="1">
      <alignment horizontal="center" vertical="center" wrapText="1"/>
    </xf>
    <xf numFmtId="0" fontId="58" fillId="2" borderId="0" xfId="0" applyFont="1" applyFill="1" applyBorder="1" applyAlignment="1">
      <alignment horizontal="center" vertical="center" wrapText="1"/>
    </xf>
    <xf numFmtId="0" fontId="58" fillId="2" borderId="10" xfId="0" applyFont="1" applyFill="1" applyBorder="1" applyAlignment="1">
      <alignment horizontal="center" vertical="center" wrapText="1"/>
    </xf>
    <xf numFmtId="0" fontId="58" fillId="2" borderId="11" xfId="0" applyFont="1" applyFill="1" applyBorder="1" applyAlignment="1">
      <alignment horizontal="center" vertical="center" wrapText="1"/>
    </xf>
    <xf numFmtId="0" fontId="58" fillId="2" borderId="12" xfId="0" applyFont="1" applyFill="1" applyBorder="1" applyAlignment="1">
      <alignment horizontal="center" vertical="center" wrapText="1"/>
    </xf>
    <xf numFmtId="0" fontId="58" fillId="2" borderId="13" xfId="0" applyFont="1" applyFill="1" applyBorder="1" applyAlignment="1">
      <alignment horizontal="center" vertical="center" wrapText="1"/>
    </xf>
    <xf numFmtId="0" fontId="8" fillId="33" borderId="14" xfId="0" applyFont="1" applyFill="1" applyBorder="1" applyAlignment="1">
      <alignment horizontal="center"/>
    </xf>
    <xf numFmtId="0" fontId="8" fillId="8" borderId="14" xfId="0" applyFont="1" applyFill="1" applyBorder="1" applyAlignment="1">
      <alignment horizontal="center"/>
    </xf>
    <xf numFmtId="0" fontId="2" fillId="8" borderId="14" xfId="0" applyFont="1" applyFill="1" applyBorder="1" applyAlignment="1">
      <alignment horizontal="center" vertical="center"/>
    </xf>
    <xf numFmtId="165" fontId="2" fillId="2" borderId="46" xfId="1" quotePrefix="1" applyNumberFormat="1" applyFont="1" applyFill="1" applyBorder="1" applyAlignment="1">
      <alignment horizontal="center" vertical="center"/>
    </xf>
    <xf numFmtId="165" fontId="2" fillId="2" borderId="54" xfId="1" quotePrefix="1" applyNumberFormat="1" applyFont="1" applyFill="1" applyBorder="1" applyAlignment="1">
      <alignment horizontal="center" vertical="center"/>
    </xf>
    <xf numFmtId="165" fontId="2" fillId="2" borderId="47" xfId="1" quotePrefix="1" applyNumberFormat="1" applyFont="1" applyFill="1" applyBorder="1" applyAlignment="1">
      <alignment horizontal="center" vertical="center"/>
    </xf>
    <xf numFmtId="165" fontId="2" fillId="2" borderId="70" xfId="1" quotePrefix="1" applyNumberFormat="1" applyFont="1" applyFill="1" applyBorder="1" applyAlignment="1">
      <alignment horizontal="center" vertical="center"/>
    </xf>
    <xf numFmtId="165" fontId="2" fillId="2" borderId="0" xfId="1" quotePrefix="1" applyNumberFormat="1" applyFont="1" applyFill="1" applyBorder="1" applyAlignment="1">
      <alignment horizontal="center" vertical="center"/>
    </xf>
    <xf numFmtId="165" fontId="2" fillId="2" borderId="71" xfId="1" quotePrefix="1" applyNumberFormat="1" applyFont="1" applyFill="1" applyBorder="1" applyAlignment="1">
      <alignment horizontal="center" vertical="center"/>
    </xf>
    <xf numFmtId="165" fontId="2" fillId="2" borderId="48" xfId="1" quotePrefix="1" applyNumberFormat="1" applyFont="1" applyFill="1" applyBorder="1" applyAlignment="1">
      <alignment horizontal="center" vertical="center"/>
    </xf>
    <xf numFmtId="165" fontId="2" fillId="2" borderId="52" xfId="1" quotePrefix="1" applyNumberFormat="1" applyFont="1" applyFill="1" applyBorder="1" applyAlignment="1">
      <alignment horizontal="center" vertical="center"/>
    </xf>
    <xf numFmtId="165" fontId="2" fillId="2" borderId="49" xfId="1" quotePrefix="1" applyNumberFormat="1" applyFont="1" applyFill="1" applyBorder="1" applyAlignment="1">
      <alignment horizontal="center" vertical="center"/>
    </xf>
    <xf numFmtId="0" fontId="8" fillId="2" borderId="0" xfId="0" applyFont="1" applyFill="1" applyAlignment="1">
      <alignment horizontal="left" wrapText="1" indent="1"/>
    </xf>
    <xf numFmtId="49" fontId="2" fillId="2" borderId="0" xfId="0" applyNumberFormat="1" applyFont="1" applyFill="1" applyAlignment="1">
      <alignment horizontal="left" wrapText="1" indent="1"/>
    </xf>
    <xf numFmtId="49" fontId="2" fillId="2" borderId="0" xfId="0" applyNumberFormat="1" applyFont="1" applyFill="1" applyAlignment="1">
      <alignment horizontal="left" vertical="center" wrapText="1" indent="1"/>
    </xf>
    <xf numFmtId="49" fontId="2" fillId="2" borderId="0" xfId="0" applyNumberFormat="1" applyFont="1" applyFill="1"/>
    <xf numFmtId="0" fontId="46" fillId="2" borderId="0" xfId="0" applyFont="1" applyFill="1" applyBorder="1"/>
    <xf numFmtId="0" fontId="57" fillId="2" borderId="0" xfId="0" applyFont="1" applyFill="1" applyAlignment="1">
      <alignment horizontal="center"/>
    </xf>
    <xf numFmtId="0" fontId="2" fillId="2" borderId="15" xfId="0" applyFont="1" applyFill="1" applyBorder="1" applyAlignment="1">
      <alignment horizontal="right"/>
    </xf>
    <xf numFmtId="0" fontId="2" fillId="2" borderId="18" xfId="0" applyFont="1" applyFill="1" applyBorder="1"/>
    <xf numFmtId="0" fontId="2" fillId="2" borderId="19" xfId="0" applyFont="1" applyFill="1" applyBorder="1"/>
    <xf numFmtId="0" fontId="2" fillId="2" borderId="20" xfId="0" applyFont="1" applyFill="1" applyBorder="1"/>
    <xf numFmtId="0" fontId="47" fillId="2" borderId="0" xfId="0" applyFont="1" applyFill="1" applyAlignment="1">
      <alignment wrapText="1"/>
    </xf>
    <xf numFmtId="0" fontId="2" fillId="2" borderId="0" xfId="0" applyFont="1" applyFill="1" applyAlignment="1">
      <alignment horizontal="center" vertical="top" wrapText="1"/>
    </xf>
    <xf numFmtId="0" fontId="11" fillId="2" borderId="0" xfId="0" applyFont="1" applyFill="1" applyBorder="1" applyAlignment="1">
      <alignment horizontal="left" vertical="center"/>
    </xf>
    <xf numFmtId="0" fontId="55" fillId="2" borderId="0" xfId="0" applyFont="1" applyFill="1" applyBorder="1" applyAlignment="1">
      <alignment horizontal="left" vertical="center"/>
    </xf>
    <xf numFmtId="49" fontId="2" fillId="2" borderId="18" xfId="0" applyNumberFormat="1" applyFont="1" applyFill="1" applyBorder="1" applyAlignment="1">
      <alignment horizontal="center" vertical="center"/>
    </xf>
    <xf numFmtId="43" fontId="46" fillId="0" borderId="18" xfId="2" applyNumberFormat="1" applyFont="1" applyBorder="1"/>
    <xf numFmtId="43" fontId="46" fillId="0" borderId="19" xfId="2" applyNumberFormat="1" applyFont="1" applyBorder="1"/>
    <xf numFmtId="43" fontId="46" fillId="0" borderId="20" xfId="2" applyNumberFormat="1" applyFont="1" applyBorder="1"/>
    <xf numFmtId="43" fontId="2" fillId="8" borderId="18" xfId="2" applyNumberFormat="1" applyFont="1" applyFill="1" applyBorder="1"/>
    <xf numFmtId="43" fontId="2" fillId="8" borderId="19" xfId="2" applyNumberFormat="1" applyFont="1" applyFill="1" applyBorder="1"/>
    <xf numFmtId="43" fontId="2" fillId="8" borderId="20" xfId="2" applyNumberFormat="1" applyFont="1" applyFill="1" applyBorder="1"/>
    <xf numFmtId="43" fontId="52" fillId="0" borderId="18" xfId="2" applyNumberFormat="1" applyFont="1" applyBorder="1" applyAlignment="1">
      <alignment horizontal="center"/>
    </xf>
    <xf numFmtId="43" fontId="52" fillId="0" borderId="19" xfId="2" applyNumberFormat="1" applyFont="1" applyBorder="1" applyAlignment="1">
      <alignment horizontal="center"/>
    </xf>
    <xf numFmtId="43" fontId="52" fillId="0" borderId="20" xfId="2" applyNumberFormat="1" applyFont="1" applyBorder="1" applyAlignment="1">
      <alignment horizontal="center"/>
    </xf>
    <xf numFmtId="0" fontId="8" fillId="35" borderId="6" xfId="0" applyFont="1" applyFill="1" applyBorder="1" applyAlignment="1">
      <alignment horizontal="center" vertical="center"/>
    </xf>
    <xf numFmtId="0" fontId="8" fillId="35" borderId="8" xfId="0" applyFont="1" applyFill="1" applyBorder="1" applyAlignment="1">
      <alignment horizontal="center" vertical="center"/>
    </xf>
    <xf numFmtId="0" fontId="8" fillId="35" borderId="9" xfId="0" applyFont="1" applyFill="1" applyBorder="1" applyAlignment="1">
      <alignment horizontal="center" vertical="center"/>
    </xf>
    <xf numFmtId="0" fontId="8" fillId="35" borderId="10" xfId="0" applyFont="1" applyFill="1" applyBorder="1" applyAlignment="1">
      <alignment horizontal="center" vertical="center"/>
    </xf>
    <xf numFmtId="0" fontId="8" fillId="35" borderId="11" xfId="0" applyFont="1" applyFill="1" applyBorder="1" applyAlignment="1">
      <alignment horizontal="center" vertical="center"/>
    </xf>
    <xf numFmtId="0" fontId="8" fillId="35" borderId="13" xfId="0" applyFont="1" applyFill="1" applyBorder="1" applyAlignment="1">
      <alignment horizontal="center" vertical="center"/>
    </xf>
    <xf numFmtId="43" fontId="46" fillId="0" borderId="18" xfId="2" applyNumberFormat="1" applyFont="1" applyBorder="1" applyAlignment="1"/>
    <xf numFmtId="43" fontId="46" fillId="0" borderId="20" xfId="2" applyNumberFormat="1" applyFont="1" applyBorder="1" applyAlignment="1"/>
    <xf numFmtId="0" fontId="46" fillId="2" borderId="0" xfId="0" applyFont="1" applyFill="1" applyAlignment="1">
      <alignment vertical="top" wrapText="1"/>
    </xf>
    <xf numFmtId="0" fontId="46" fillId="2" borderId="0" xfId="0" applyFont="1" applyFill="1" applyAlignment="1">
      <alignment vertical="center" wrapText="1"/>
    </xf>
    <xf numFmtId="0" fontId="4" fillId="2" borderId="19" xfId="0" applyFont="1" applyFill="1" applyBorder="1" applyAlignment="1"/>
    <xf numFmtId="0" fontId="4" fillId="2" borderId="77" xfId="0" applyFont="1" applyFill="1" applyBorder="1" applyAlignment="1"/>
    <xf numFmtId="0" fontId="37" fillId="2" borderId="0" xfId="0" applyFont="1" applyFill="1" applyAlignment="1">
      <alignment horizontal="left" wrapText="1" indent="1"/>
    </xf>
    <xf numFmtId="0" fontId="2" fillId="2" borderId="0" xfId="0" applyFont="1" applyFill="1" applyAlignment="1">
      <alignment wrapText="1"/>
    </xf>
    <xf numFmtId="0" fontId="4" fillId="35" borderId="18" xfId="0" applyFont="1" applyFill="1" applyBorder="1" applyAlignment="1">
      <alignment horizontal="center" vertical="center" wrapText="1"/>
    </xf>
    <xf numFmtId="0" fontId="4" fillId="35" borderId="20" xfId="0" applyFont="1" applyFill="1" applyBorder="1" applyAlignment="1">
      <alignment horizontal="center" vertical="center" wrapText="1"/>
    </xf>
    <xf numFmtId="0" fontId="3" fillId="35" borderId="9" xfId="0" applyFont="1" applyFill="1" applyBorder="1" applyAlignment="1">
      <alignment horizontal="center" vertical="center" wrapText="1"/>
    </xf>
    <xf numFmtId="0" fontId="3" fillId="35" borderId="0" xfId="0" applyFont="1" applyFill="1" applyBorder="1" applyAlignment="1">
      <alignment horizontal="center" vertical="center" wrapText="1"/>
    </xf>
    <xf numFmtId="0" fontId="3" fillId="35" borderId="10" xfId="0" applyFont="1" applyFill="1" applyBorder="1" applyAlignment="1">
      <alignment horizontal="center" vertical="center" wrapText="1"/>
    </xf>
    <xf numFmtId="0" fontId="3" fillId="35" borderId="11" xfId="0" applyFont="1" applyFill="1" applyBorder="1" applyAlignment="1">
      <alignment horizontal="center" vertical="center" wrapText="1"/>
    </xf>
    <xf numFmtId="0" fontId="3" fillId="35" borderId="12" xfId="0" applyFont="1" applyFill="1" applyBorder="1" applyAlignment="1">
      <alignment horizontal="center" vertical="center" wrapText="1"/>
    </xf>
    <xf numFmtId="0" fontId="3" fillId="35" borderId="13" xfId="0" applyFont="1" applyFill="1" applyBorder="1" applyAlignment="1">
      <alignment horizontal="center" vertical="center" wrapText="1"/>
    </xf>
    <xf numFmtId="43" fontId="46" fillId="2" borderId="18" xfId="0" applyNumberFormat="1" applyFont="1" applyFill="1" applyBorder="1"/>
    <xf numFmtId="43" fontId="46" fillId="2" borderId="20" xfId="0" applyNumberFormat="1" applyFont="1" applyFill="1" applyBorder="1"/>
    <xf numFmtId="0" fontId="46" fillId="2" borderId="0" xfId="0" applyFont="1" applyFill="1" applyAlignment="1">
      <alignment horizontal="left" wrapText="1" indent="1"/>
    </xf>
    <xf numFmtId="0" fontId="46" fillId="2" borderId="0" xfId="0" applyFont="1" applyFill="1" applyAlignment="1">
      <alignment horizontal="left" vertical="top" wrapText="1" indent="1"/>
    </xf>
    <xf numFmtId="0" fontId="4" fillId="35" borderId="19" xfId="0" applyFont="1" applyFill="1" applyBorder="1" applyAlignment="1">
      <alignment horizontal="center" vertical="center"/>
    </xf>
    <xf numFmtId="0" fontId="4" fillId="35" borderId="20" xfId="0" applyFont="1" applyFill="1" applyBorder="1" applyAlignment="1">
      <alignment horizontal="center" vertical="center"/>
    </xf>
    <xf numFmtId="0" fontId="2" fillId="35" borderId="46" xfId="0" applyFont="1" applyFill="1" applyBorder="1" applyAlignment="1">
      <alignment horizontal="center"/>
    </xf>
    <xf numFmtId="0" fontId="2" fillId="35" borderId="47" xfId="0" applyFont="1" applyFill="1" applyBorder="1" applyAlignment="1">
      <alignment horizontal="center"/>
    </xf>
    <xf numFmtId="0" fontId="2" fillId="35" borderId="70" xfId="0" applyFont="1" applyFill="1" applyBorder="1" applyAlignment="1">
      <alignment horizontal="center"/>
    </xf>
    <xf numFmtId="0" fontId="2" fillId="35" borderId="71" xfId="0" applyFont="1" applyFill="1" applyBorder="1" applyAlignment="1">
      <alignment horizontal="center"/>
    </xf>
    <xf numFmtId="0" fontId="2" fillId="35" borderId="48" xfId="0" applyFont="1" applyFill="1" applyBorder="1" applyAlignment="1">
      <alignment horizontal="center"/>
    </xf>
    <xf numFmtId="0" fontId="2" fillId="35" borderId="49" xfId="0" applyFont="1" applyFill="1" applyBorder="1" applyAlignment="1">
      <alignment horizontal="center"/>
    </xf>
    <xf numFmtId="0" fontId="8" fillId="35" borderId="38" xfId="0" applyFont="1" applyFill="1" applyBorder="1" applyAlignment="1">
      <alignment horizontal="center"/>
    </xf>
    <xf numFmtId="0" fontId="8" fillId="35" borderId="39" xfId="0" applyFont="1" applyFill="1" applyBorder="1" applyAlignment="1">
      <alignment horizontal="center"/>
    </xf>
    <xf numFmtId="0" fontId="8" fillId="35" borderId="40" xfId="0" applyFont="1" applyFill="1" applyBorder="1" applyAlignment="1">
      <alignment horizontal="center"/>
    </xf>
    <xf numFmtId="165" fontId="2" fillId="8" borderId="18" xfId="0" applyNumberFormat="1" applyFont="1" applyFill="1" applyBorder="1" applyAlignment="1">
      <alignment vertical="center"/>
    </xf>
    <xf numFmtId="165" fontId="2" fillId="8" borderId="20" xfId="0" applyNumberFormat="1" applyFont="1" applyFill="1" applyBorder="1" applyAlignment="1">
      <alignment vertical="center"/>
    </xf>
    <xf numFmtId="43" fontId="2" fillId="8" borderId="18" xfId="2" applyNumberFormat="1" applyFont="1" applyFill="1" applyBorder="1" applyAlignment="1"/>
    <xf numFmtId="43" fontId="2" fillId="8" borderId="20" xfId="2" applyNumberFormat="1" applyFont="1" applyFill="1" applyBorder="1" applyAlignment="1"/>
    <xf numFmtId="43" fontId="2" fillId="8" borderId="18" xfId="0" applyNumberFormat="1" applyFont="1" applyFill="1" applyBorder="1"/>
    <xf numFmtId="43" fontId="2" fillId="8" borderId="20" xfId="0" applyNumberFormat="1" applyFont="1" applyFill="1" applyBorder="1"/>
    <xf numFmtId="43" fontId="52" fillId="8" borderId="18" xfId="2" applyNumberFormat="1" applyFont="1" applyFill="1" applyBorder="1" applyAlignment="1">
      <alignment horizontal="center"/>
    </xf>
    <xf numFmtId="43" fontId="52" fillId="8" borderId="19" xfId="2" applyNumberFormat="1" applyFont="1" applyFill="1" applyBorder="1" applyAlignment="1">
      <alignment horizontal="center"/>
    </xf>
    <xf numFmtId="43" fontId="52" fillId="8" borderId="20" xfId="2" applyNumberFormat="1" applyFont="1" applyFill="1" applyBorder="1" applyAlignment="1">
      <alignment horizontal="center"/>
    </xf>
    <xf numFmtId="2" fontId="2" fillId="4" borderId="18" xfId="0" applyNumberFormat="1" applyFont="1" applyFill="1" applyBorder="1" applyAlignment="1">
      <alignment vertical="center"/>
    </xf>
    <xf numFmtId="2" fontId="2" fillId="4" borderId="20" xfId="0" applyNumberFormat="1" applyFont="1" applyFill="1" applyBorder="1" applyAlignment="1">
      <alignment vertical="center"/>
    </xf>
    <xf numFmtId="2" fontId="2" fillId="2" borderId="18" xfId="0" applyNumberFormat="1" applyFont="1" applyFill="1" applyBorder="1" applyAlignment="1">
      <alignment vertical="center"/>
    </xf>
    <xf numFmtId="2" fontId="2" fillId="2" borderId="20" xfId="0" applyNumberFormat="1" applyFont="1" applyFill="1" applyBorder="1" applyAlignment="1">
      <alignment vertical="center"/>
    </xf>
    <xf numFmtId="165" fontId="2" fillId="40" borderId="18" xfId="0" applyNumberFormat="1" applyFont="1" applyFill="1" applyBorder="1" applyAlignment="1">
      <alignment vertical="center"/>
    </xf>
    <xf numFmtId="165" fontId="2" fillId="40" borderId="20" xfId="0" applyNumberFormat="1" applyFont="1" applyFill="1" applyBorder="1" applyAlignment="1">
      <alignment vertical="center"/>
    </xf>
    <xf numFmtId="2" fontId="2" fillId="40" borderId="18" xfId="0" applyNumberFormat="1" applyFont="1" applyFill="1" applyBorder="1" applyAlignment="1">
      <alignment vertical="center"/>
    </xf>
    <xf numFmtId="2" fontId="2" fillId="40" borderId="20" xfId="0" applyNumberFormat="1" applyFont="1" applyFill="1" applyBorder="1" applyAlignment="1">
      <alignment vertical="center"/>
    </xf>
    <xf numFmtId="0" fontId="4" fillId="4" borderId="18" xfId="0" applyFont="1" applyFill="1" applyBorder="1" applyAlignment="1">
      <alignment horizontal="center" vertical="center"/>
    </xf>
    <xf numFmtId="0" fontId="4" fillId="4" borderId="19" xfId="0" applyFont="1" applyFill="1" applyBorder="1" applyAlignment="1">
      <alignment horizontal="center" vertical="center"/>
    </xf>
    <xf numFmtId="0" fontId="4" fillId="4" borderId="20" xfId="0" applyFont="1" applyFill="1" applyBorder="1" applyAlignment="1">
      <alignment horizontal="center" vertical="center"/>
    </xf>
    <xf numFmtId="0" fontId="64" fillId="2" borderId="0" xfId="65" applyFont="1" applyFill="1" applyAlignment="1" applyProtection="1">
      <alignment horizontal="left" indent="1"/>
    </xf>
    <xf numFmtId="0" fontId="4" fillId="2" borderId="54" xfId="0" applyFont="1" applyFill="1" applyBorder="1" applyAlignment="1">
      <alignment horizontal="left" vertical="center" wrapText="1" indent="2"/>
    </xf>
    <xf numFmtId="0" fontId="2" fillId="2" borderId="0" xfId="0" applyFont="1" applyFill="1" applyAlignment="1">
      <alignment horizontal="center" vertical="center" wrapText="1"/>
    </xf>
    <xf numFmtId="0" fontId="77" fillId="2" borderId="0" xfId="0" applyFont="1" applyFill="1" applyAlignment="1">
      <alignment horizontal="center" vertical="center" wrapText="1"/>
    </xf>
    <xf numFmtId="165" fontId="4" fillId="4" borderId="18" xfId="1" applyNumberFormat="1" applyFont="1" applyFill="1" applyBorder="1" applyAlignment="1">
      <alignment horizontal="center" vertical="center"/>
    </xf>
    <xf numFmtId="165" fontId="4" fillId="4" borderId="19" xfId="1" applyNumberFormat="1" applyFont="1" applyFill="1" applyBorder="1" applyAlignment="1">
      <alignment horizontal="center" vertical="center"/>
    </xf>
    <xf numFmtId="165" fontId="4" fillId="4" borderId="20" xfId="1" applyNumberFormat="1" applyFont="1" applyFill="1" applyBorder="1" applyAlignment="1">
      <alignment horizontal="center" vertical="center"/>
    </xf>
    <xf numFmtId="0" fontId="8" fillId="2" borderId="0" xfId="0" applyFont="1" applyFill="1" applyAlignment="1">
      <alignment horizontal="left" vertical="top" wrapText="1" indent="1"/>
    </xf>
    <xf numFmtId="0" fontId="37" fillId="7" borderId="67" xfId="0" applyFont="1" applyFill="1" applyBorder="1" applyAlignment="1">
      <alignment horizontal="center" vertical="center"/>
    </xf>
    <xf numFmtId="0" fontId="37" fillId="7" borderId="59" xfId="0" applyFont="1" applyFill="1" applyBorder="1" applyAlignment="1">
      <alignment horizontal="center" vertical="center"/>
    </xf>
    <xf numFmtId="0" fontId="37" fillId="7" borderId="60" xfId="0" applyFont="1" applyFill="1" applyBorder="1" applyAlignment="1">
      <alignment horizontal="center" vertical="center"/>
    </xf>
    <xf numFmtId="0" fontId="37" fillId="33" borderId="67" xfId="0" applyFont="1" applyFill="1" applyBorder="1" applyAlignment="1">
      <alignment horizontal="center" vertical="center"/>
    </xf>
    <xf numFmtId="0" fontId="37" fillId="33" borderId="59" xfId="0" applyFont="1" applyFill="1" applyBorder="1" applyAlignment="1">
      <alignment horizontal="center" vertical="center"/>
    </xf>
    <xf numFmtId="0" fontId="37" fillId="33" borderId="60" xfId="0" applyFont="1" applyFill="1" applyBorder="1" applyAlignment="1">
      <alignment horizontal="center" vertical="center"/>
    </xf>
    <xf numFmtId="0" fontId="2" fillId="2" borderId="37" xfId="0" applyFont="1" applyFill="1" applyBorder="1" applyAlignment="1">
      <alignment horizontal="center" vertical="center"/>
    </xf>
    <xf numFmtId="165" fontId="2" fillId="2" borderId="37" xfId="1" applyNumberFormat="1" applyFont="1" applyFill="1" applyBorder="1" applyAlignment="1">
      <alignment horizontal="center" vertical="center"/>
    </xf>
    <xf numFmtId="0" fontId="37" fillId="6" borderId="18" xfId="0" applyFont="1" applyFill="1" applyBorder="1" applyAlignment="1">
      <alignment vertical="center"/>
    </xf>
    <xf numFmtId="0" fontId="37" fillId="6" borderId="19" xfId="0" applyFont="1" applyFill="1" applyBorder="1" applyAlignment="1">
      <alignment vertical="center"/>
    </xf>
    <xf numFmtId="0" fontId="37" fillId="8" borderId="67" xfId="0" applyFont="1" applyFill="1" applyBorder="1" applyAlignment="1">
      <alignment horizontal="center" vertical="center"/>
    </xf>
    <xf numFmtId="0" fontId="37" fillId="8" borderId="59" xfId="0" applyFont="1" applyFill="1" applyBorder="1" applyAlignment="1">
      <alignment horizontal="center" vertical="center"/>
    </xf>
    <xf numFmtId="0" fontId="37" fillId="8" borderId="60" xfId="0" applyFont="1" applyFill="1" applyBorder="1" applyAlignment="1">
      <alignment horizontal="center" vertical="center"/>
    </xf>
    <xf numFmtId="0" fontId="2" fillId="2" borderId="68" xfId="0" applyFont="1" applyFill="1" applyBorder="1" applyAlignment="1">
      <alignment horizontal="left"/>
    </xf>
    <xf numFmtId="0" fontId="2" fillId="2" borderId="64" xfId="0" applyFont="1" applyFill="1" applyBorder="1" applyAlignment="1">
      <alignment horizontal="left"/>
    </xf>
    <xf numFmtId="0" fontId="0" fillId="2" borderId="58" xfId="0" applyFill="1" applyBorder="1" applyAlignment="1">
      <alignment horizontal="center"/>
    </xf>
    <xf numFmtId="0" fontId="0" fillId="2" borderId="60" xfId="0" applyFill="1" applyBorder="1" applyAlignment="1">
      <alignment horizontal="center"/>
    </xf>
    <xf numFmtId="0" fontId="0" fillId="2" borderId="61" xfId="0" applyFill="1" applyBorder="1" applyAlignment="1">
      <alignment horizontal="center"/>
    </xf>
    <xf numFmtId="0" fontId="0" fillId="2" borderId="63" xfId="0" applyFill="1" applyBorder="1" applyAlignment="1">
      <alignment horizontal="center"/>
    </xf>
    <xf numFmtId="0" fontId="2" fillId="2" borderId="18" xfId="0" applyFont="1" applyFill="1" applyBorder="1" applyAlignment="1">
      <alignment vertical="center" wrapText="1"/>
    </xf>
    <xf numFmtId="0" fontId="2" fillId="2" borderId="19" xfId="0" applyFont="1" applyFill="1" applyBorder="1" applyAlignment="1">
      <alignment vertical="center" wrapText="1"/>
    </xf>
    <xf numFmtId="0" fontId="2" fillId="2" borderId="20" xfId="0" applyFont="1" applyFill="1" applyBorder="1" applyAlignment="1">
      <alignment vertical="center" wrapText="1"/>
    </xf>
    <xf numFmtId="3" fontId="2" fillId="2" borderId="18" xfId="0" applyNumberFormat="1" applyFont="1" applyFill="1" applyBorder="1" applyAlignment="1">
      <alignment horizontal="center" vertical="center"/>
    </xf>
    <xf numFmtId="0" fontId="2" fillId="2" borderId="37" xfId="0" applyFont="1" applyFill="1" applyBorder="1" applyAlignment="1">
      <alignment horizontal="left" vertical="center" indent="1"/>
    </xf>
    <xf numFmtId="0" fontId="2" fillId="2" borderId="7" xfId="0" applyFont="1" applyFill="1" applyBorder="1" applyAlignment="1">
      <alignment horizontal="left" vertical="center" indent="1"/>
    </xf>
    <xf numFmtId="0" fontId="2" fillId="2" borderId="18" xfId="0" applyFont="1" applyFill="1" applyBorder="1" applyAlignment="1">
      <alignment vertical="center"/>
    </xf>
    <xf numFmtId="0" fontId="2" fillId="2" borderId="19" xfId="0" applyFont="1" applyFill="1" applyBorder="1" applyAlignment="1">
      <alignment vertical="center"/>
    </xf>
    <xf numFmtId="0" fontId="2" fillId="2" borderId="20" xfId="0" applyFont="1" applyFill="1" applyBorder="1" applyAlignment="1">
      <alignment vertical="center"/>
    </xf>
    <xf numFmtId="165" fontId="2" fillId="2" borderId="18" xfId="1" applyNumberFormat="1" applyFont="1" applyFill="1" applyBorder="1" applyAlignment="1">
      <alignment horizontal="center" vertical="center"/>
    </xf>
    <xf numFmtId="165" fontId="2" fillId="2" borderId="20" xfId="1" applyNumberFormat="1" applyFont="1" applyFill="1" applyBorder="1" applyAlignment="1">
      <alignment horizontal="center" vertical="center"/>
    </xf>
    <xf numFmtId="0" fontId="2" fillId="8" borderId="6" xfId="0" applyFont="1" applyFill="1" applyBorder="1" applyAlignment="1">
      <alignment horizontal="center" vertical="center" wrapText="1"/>
    </xf>
    <xf numFmtId="0" fontId="2" fillId="8" borderId="7" xfId="0" applyFont="1" applyFill="1" applyBorder="1" applyAlignment="1">
      <alignment horizontal="center" vertical="center" wrapText="1"/>
    </xf>
    <xf numFmtId="0" fontId="2" fillId="8" borderId="9" xfId="0" applyFont="1" applyFill="1" applyBorder="1" applyAlignment="1">
      <alignment horizontal="center" vertical="center" wrapText="1"/>
    </xf>
    <xf numFmtId="0" fontId="2" fillId="8" borderId="0" xfId="0" applyFont="1" applyFill="1" applyBorder="1" applyAlignment="1">
      <alignment horizontal="center" vertical="center" wrapText="1"/>
    </xf>
    <xf numFmtId="0" fontId="2" fillId="8" borderId="11" xfId="0" applyFont="1" applyFill="1" applyBorder="1" applyAlignment="1">
      <alignment horizontal="center" vertical="center" wrapText="1"/>
    </xf>
    <xf numFmtId="0" fontId="2" fillId="8" borderId="12" xfId="0" applyFont="1" applyFill="1" applyBorder="1" applyAlignment="1">
      <alignment horizontal="center" vertical="center" wrapText="1"/>
    </xf>
    <xf numFmtId="0" fontId="2" fillId="2" borderId="69" xfId="0" applyFont="1" applyFill="1" applyBorder="1" applyAlignment="1">
      <alignment horizontal="left"/>
    </xf>
    <xf numFmtId="0" fontId="2" fillId="2" borderId="66" xfId="0" applyFont="1" applyFill="1" applyBorder="1" applyAlignment="1">
      <alignment horizontal="left"/>
    </xf>
    <xf numFmtId="0" fontId="2" fillId="2" borderId="61" xfId="0" applyFont="1" applyFill="1" applyBorder="1" applyAlignment="1">
      <alignment horizontal="left"/>
    </xf>
    <xf numFmtId="0" fontId="2" fillId="2" borderId="63" xfId="0" applyFont="1" applyFill="1" applyBorder="1" applyAlignment="1">
      <alignment horizontal="left"/>
    </xf>
    <xf numFmtId="0" fontId="2" fillId="2" borderId="0" xfId="0" applyFont="1" applyFill="1" applyAlignment="1">
      <alignment horizontal="left" vertical="top" wrapText="1" indent="1"/>
    </xf>
    <xf numFmtId="1" fontId="2" fillId="2" borderId="87" xfId="0" applyNumberFormat="1" applyFont="1" applyFill="1" applyBorder="1" applyAlignment="1">
      <alignment horizontal="left" vertical="center" indent="1"/>
    </xf>
    <xf numFmtId="1" fontId="2" fillId="2" borderId="19" xfId="0" applyNumberFormat="1" applyFont="1" applyFill="1" applyBorder="1" applyAlignment="1">
      <alignment horizontal="left" vertical="center" indent="1"/>
    </xf>
    <xf numFmtId="0" fontId="2" fillId="2" borderId="0" xfId="0" applyFont="1" applyFill="1" applyAlignment="1">
      <alignment vertical="center" wrapText="1"/>
    </xf>
    <xf numFmtId="0" fontId="8" fillId="33" borderId="37" xfId="0" applyFont="1" applyFill="1" applyBorder="1" applyAlignment="1">
      <alignment horizontal="center" vertical="center"/>
    </xf>
    <xf numFmtId="0" fontId="2" fillId="2" borderId="37" xfId="0" applyFont="1" applyFill="1" applyBorder="1" applyAlignment="1">
      <alignment vertical="center"/>
    </xf>
    <xf numFmtId="3" fontId="2" fillId="2" borderId="37" xfId="0" applyNumberFormat="1" applyFont="1" applyFill="1" applyBorder="1" applyAlignment="1">
      <alignment horizontal="center" vertical="center"/>
    </xf>
    <xf numFmtId="0" fontId="2" fillId="2" borderId="0" xfId="0" applyFont="1" applyFill="1"/>
    <xf numFmtId="0" fontId="2" fillId="2" borderId="0" xfId="0" applyFont="1" applyFill="1" applyAlignment="1">
      <alignment horizontal="center"/>
    </xf>
    <xf numFmtId="0" fontId="8" fillId="2" borderId="0" xfId="0" applyFont="1" applyFill="1" applyBorder="1" applyAlignment="1">
      <alignment horizontal="center" vertical="center"/>
    </xf>
    <xf numFmtId="3" fontId="2" fillId="2" borderId="0" xfId="0" applyNumberFormat="1" applyFont="1" applyFill="1" applyBorder="1" applyAlignment="1">
      <alignment horizontal="center" vertical="center"/>
    </xf>
    <xf numFmtId="0" fontId="2" fillId="2" borderId="0" xfId="0" applyFont="1" applyFill="1" applyBorder="1" applyAlignment="1">
      <alignment horizontal="center" vertical="center"/>
    </xf>
    <xf numFmtId="0" fontId="6" fillId="2" borderId="0" xfId="0" applyFont="1" applyFill="1" applyBorder="1" applyAlignment="1">
      <alignment horizontal="center" vertical="center"/>
    </xf>
    <xf numFmtId="166" fontId="2" fillId="2" borderId="0" xfId="2" applyNumberFormat="1" applyFont="1" applyFill="1" applyBorder="1" applyAlignment="1">
      <alignment horizontal="center" vertical="center"/>
    </xf>
    <xf numFmtId="0" fontId="2" fillId="2" borderId="37" xfId="0" applyFont="1" applyFill="1" applyBorder="1"/>
    <xf numFmtId="0" fontId="2" fillId="2" borderId="38" xfId="0" applyFont="1" applyFill="1" applyBorder="1"/>
    <xf numFmtId="0" fontId="8" fillId="33" borderId="37" xfId="0" applyFont="1" applyFill="1" applyBorder="1" applyAlignment="1">
      <alignment horizontal="center" vertical="center" wrapText="1"/>
    </xf>
    <xf numFmtId="0" fontId="8" fillId="8" borderId="37" xfId="0" applyFont="1" applyFill="1" applyBorder="1" applyAlignment="1">
      <alignment horizontal="center" vertical="center" wrapText="1"/>
    </xf>
    <xf numFmtId="0" fontId="10" fillId="2" borderId="37" xfId="0" applyFont="1" applyFill="1" applyBorder="1" applyAlignment="1">
      <alignment horizontal="center" vertical="center" wrapText="1"/>
    </xf>
    <xf numFmtId="0" fontId="10" fillId="2" borderId="44" xfId="0" applyFont="1" applyFill="1" applyBorder="1" applyAlignment="1">
      <alignment horizontal="center" vertical="center" wrapText="1"/>
    </xf>
    <xf numFmtId="0" fontId="2" fillId="2" borderId="37" xfId="0" applyFont="1" applyFill="1" applyBorder="1" applyAlignment="1">
      <alignment horizontal="left" vertical="center"/>
    </xf>
    <xf numFmtId="0" fontId="2" fillId="2" borderId="38" xfId="0" applyFont="1" applyFill="1" applyBorder="1" applyAlignment="1">
      <alignment horizontal="left" vertical="center"/>
    </xf>
    <xf numFmtId="0" fontId="8" fillId="2" borderId="0" xfId="0" applyFont="1" applyFill="1" applyBorder="1" applyAlignment="1">
      <alignment horizontal="left" vertical="top" wrapText="1" indent="1"/>
    </xf>
    <xf numFmtId="166" fontId="2" fillId="2" borderId="14" xfId="2" applyNumberFormat="1" applyFont="1" applyFill="1" applyBorder="1" applyAlignment="1">
      <alignment horizontal="center" vertical="center"/>
    </xf>
    <xf numFmtId="0" fontId="2" fillId="2" borderId="14" xfId="0" applyFont="1" applyFill="1" applyBorder="1" applyAlignment="1">
      <alignment wrapText="1"/>
    </xf>
    <xf numFmtId="0" fontId="2" fillId="2" borderId="9" xfId="0" applyFont="1" applyFill="1" applyBorder="1" applyAlignment="1">
      <alignment horizontal="center" vertical="center"/>
    </xf>
    <xf numFmtId="0" fontId="2" fillId="2" borderId="10" xfId="0" applyFont="1" applyFill="1" applyBorder="1" applyAlignment="1">
      <alignment horizontal="center" vertical="center"/>
    </xf>
    <xf numFmtId="0" fontId="2" fillId="2" borderId="14" xfId="0" applyFont="1" applyFill="1" applyBorder="1" applyAlignment="1">
      <alignment horizontal="center" vertical="center"/>
    </xf>
    <xf numFmtId="0" fontId="4" fillId="2" borderId="46" xfId="0" applyFont="1" applyFill="1" applyBorder="1" applyAlignment="1">
      <alignment horizontal="center" vertical="center"/>
    </xf>
    <xf numFmtId="0" fontId="4" fillId="2" borderId="54" xfId="0" applyFont="1" applyFill="1" applyBorder="1" applyAlignment="1">
      <alignment horizontal="center" vertical="center"/>
    </xf>
    <xf numFmtId="0" fontId="4" fillId="2" borderId="70" xfId="0" applyFont="1" applyFill="1" applyBorder="1" applyAlignment="1">
      <alignment horizontal="center" vertical="center"/>
    </xf>
    <xf numFmtId="0" fontId="4" fillId="2" borderId="80" xfId="0" applyFont="1" applyFill="1" applyBorder="1" applyAlignment="1">
      <alignment horizontal="center" vertical="center"/>
    </xf>
    <xf numFmtId="0" fontId="2" fillId="2" borderId="81" xfId="0" applyFont="1" applyFill="1" applyBorder="1" applyAlignment="1">
      <alignment horizontal="center" vertical="center"/>
    </xf>
    <xf numFmtId="0" fontId="2" fillId="2" borderId="70" xfId="0" applyFont="1" applyFill="1" applyBorder="1" applyAlignment="1">
      <alignment horizontal="center" vertical="center"/>
    </xf>
    <xf numFmtId="0" fontId="2" fillId="2" borderId="48" xfId="0" applyFont="1" applyFill="1" applyBorder="1" applyAlignment="1">
      <alignment horizontal="center" vertical="center"/>
    </xf>
    <xf numFmtId="0" fontId="2" fillId="2" borderId="52" xfId="0" applyFont="1" applyFill="1" applyBorder="1" applyAlignment="1">
      <alignment horizontal="center" vertical="center"/>
    </xf>
    <xf numFmtId="165" fontId="2" fillId="2" borderId="40" xfId="1" applyNumberFormat="1" applyFont="1" applyFill="1" applyBorder="1" applyAlignment="1">
      <alignment horizontal="center" vertical="center"/>
    </xf>
    <xf numFmtId="165" fontId="2" fillId="2" borderId="83" xfId="1" applyNumberFormat="1" applyFont="1" applyFill="1" applyBorder="1" applyAlignment="1">
      <alignment horizontal="center" vertical="center"/>
    </xf>
    <xf numFmtId="165" fontId="2" fillId="2" borderId="78" xfId="1" applyNumberFormat="1" applyFont="1" applyFill="1" applyBorder="1" applyAlignment="1">
      <alignment horizontal="center" vertical="center"/>
    </xf>
    <xf numFmtId="165" fontId="2" fillId="2" borderId="74" xfId="1" applyNumberFormat="1" applyFont="1" applyFill="1" applyBorder="1" applyAlignment="1">
      <alignment horizontal="center" vertical="center"/>
    </xf>
    <xf numFmtId="165" fontId="2" fillId="2" borderId="79" xfId="1" applyNumberFormat="1" applyFont="1" applyFill="1" applyBorder="1" applyAlignment="1">
      <alignment horizontal="center" vertical="center"/>
    </xf>
    <xf numFmtId="165" fontId="2" fillId="2" borderId="84" xfId="1" applyNumberFormat="1" applyFont="1" applyFill="1" applyBorder="1" applyAlignment="1">
      <alignment horizontal="center" vertical="center"/>
    </xf>
    <xf numFmtId="165" fontId="2" fillId="2" borderId="82" xfId="1" applyNumberFormat="1" applyFont="1" applyFill="1" applyBorder="1" applyAlignment="1">
      <alignment horizontal="center" vertical="center"/>
    </xf>
    <xf numFmtId="165" fontId="2" fillId="2" borderId="3" xfId="1" applyNumberFormat="1" applyFont="1" applyFill="1" applyBorder="1" applyAlignment="1">
      <alignment horizontal="center" vertical="center"/>
    </xf>
    <xf numFmtId="165" fontId="2" fillId="2" borderId="85" xfId="1" applyNumberFormat="1" applyFont="1" applyFill="1" applyBorder="1" applyAlignment="1">
      <alignment horizontal="center" vertical="center"/>
    </xf>
    <xf numFmtId="169" fontId="2" fillId="2" borderId="18" xfId="2" applyNumberFormat="1" applyFont="1" applyFill="1" applyBorder="1" applyAlignment="1">
      <alignment horizontal="center" vertical="center"/>
    </xf>
    <xf numFmtId="169" fontId="2" fillId="2" borderId="20" xfId="2" applyNumberFormat="1" applyFont="1" applyFill="1" applyBorder="1" applyAlignment="1">
      <alignment horizontal="center" vertical="center"/>
    </xf>
    <xf numFmtId="0" fontId="10" fillId="2" borderId="14" xfId="0" applyFont="1" applyFill="1" applyBorder="1" applyAlignment="1">
      <alignment horizontal="center" vertical="center" wrapText="1"/>
    </xf>
    <xf numFmtId="0" fontId="2" fillId="2" borderId="14" xfId="0" applyFont="1" applyFill="1" applyBorder="1" applyAlignment="1">
      <alignment horizontal="left" vertical="center" wrapText="1"/>
    </xf>
    <xf numFmtId="1" fontId="2" fillId="2" borderId="18" xfId="2" applyNumberFormat="1" applyFont="1" applyFill="1" applyBorder="1" applyAlignment="1">
      <alignment horizontal="center" vertical="center"/>
    </xf>
    <xf numFmtId="1" fontId="2" fillId="2" borderId="20" xfId="2" applyNumberFormat="1" applyFont="1" applyFill="1" applyBorder="1" applyAlignment="1">
      <alignment horizontal="center" vertical="center"/>
    </xf>
    <xf numFmtId="0" fontId="8" fillId="8" borderId="18" xfId="0" applyFont="1" applyFill="1" applyBorder="1" applyAlignment="1">
      <alignment horizontal="center" vertical="center" wrapText="1"/>
    </xf>
    <xf numFmtId="0" fontId="8" fillId="8" borderId="20" xfId="0" applyFont="1" applyFill="1" applyBorder="1" applyAlignment="1">
      <alignment horizontal="center" vertical="center" wrapText="1"/>
    </xf>
    <xf numFmtId="0" fontId="8" fillId="33" borderId="18" xfId="0" applyFont="1" applyFill="1" applyBorder="1" applyAlignment="1">
      <alignment horizontal="center" vertical="center" wrapText="1"/>
    </xf>
    <xf numFmtId="0" fontId="8" fillId="33" borderId="20" xfId="0" applyFont="1" applyFill="1" applyBorder="1" applyAlignment="1">
      <alignment horizontal="center" vertical="center" wrapText="1"/>
    </xf>
    <xf numFmtId="0" fontId="8" fillId="6" borderId="18" xfId="0" applyFont="1" applyFill="1" applyBorder="1" applyAlignment="1">
      <alignment horizontal="center" vertical="center" wrapText="1"/>
    </xf>
    <xf numFmtId="0" fontId="8" fillId="6" borderId="20" xfId="0" applyFont="1" applyFill="1" applyBorder="1" applyAlignment="1">
      <alignment horizontal="center" vertical="center" wrapText="1"/>
    </xf>
    <xf numFmtId="0" fontId="8" fillId="7" borderId="18" xfId="0" applyFont="1" applyFill="1" applyBorder="1" applyAlignment="1">
      <alignment horizontal="center" vertical="center" wrapText="1"/>
    </xf>
    <xf numFmtId="0" fontId="8" fillId="7" borderId="20" xfId="0" applyFont="1" applyFill="1" applyBorder="1" applyAlignment="1">
      <alignment horizontal="center" vertical="center" wrapText="1"/>
    </xf>
    <xf numFmtId="0" fontId="2" fillId="2" borderId="38" xfId="0" applyFont="1" applyFill="1" applyBorder="1" applyAlignment="1">
      <alignment horizontal="left"/>
    </xf>
    <xf numFmtId="0" fontId="2" fillId="2" borderId="39" xfId="0" applyFont="1" applyFill="1" applyBorder="1" applyAlignment="1">
      <alignment horizontal="left"/>
    </xf>
    <xf numFmtId="0" fontId="2" fillId="2" borderId="18" xfId="0" applyFont="1" applyFill="1" applyBorder="1" applyAlignment="1">
      <alignment wrapText="1"/>
    </xf>
    <xf numFmtId="0" fontId="2" fillId="2" borderId="19" xfId="0" applyFont="1" applyFill="1" applyBorder="1" applyAlignment="1">
      <alignment wrapText="1"/>
    </xf>
    <xf numFmtId="0" fontId="2" fillId="2" borderId="20" xfId="0" applyFont="1" applyFill="1" applyBorder="1" applyAlignment="1">
      <alignment wrapText="1"/>
    </xf>
    <xf numFmtId="0" fontId="2" fillId="2" borderId="15" xfId="0" applyFont="1" applyFill="1" applyBorder="1" applyAlignment="1">
      <alignment horizontal="center" vertical="center"/>
    </xf>
    <xf numFmtId="0" fontId="36" fillId="2" borderId="37" xfId="0" applyFont="1" applyFill="1" applyBorder="1" applyAlignment="1">
      <alignment horizontal="center" wrapText="1"/>
    </xf>
    <xf numFmtId="0" fontId="36" fillId="2" borderId="46" xfId="0" applyFont="1" applyFill="1" applyBorder="1" applyAlignment="1">
      <alignment horizontal="center" wrapText="1"/>
    </xf>
    <xf numFmtId="0" fontId="36" fillId="2" borderId="47" xfId="0" applyFont="1" applyFill="1" applyBorder="1" applyAlignment="1">
      <alignment horizontal="center" wrapText="1"/>
    </xf>
    <xf numFmtId="0" fontId="36" fillId="2" borderId="70" xfId="0" applyFont="1" applyFill="1" applyBorder="1" applyAlignment="1">
      <alignment horizontal="center" wrapText="1"/>
    </xf>
    <xf numFmtId="0" fontId="36" fillId="2" borderId="71" xfId="0" applyFont="1" applyFill="1" applyBorder="1" applyAlignment="1">
      <alignment horizontal="center" wrapText="1"/>
    </xf>
    <xf numFmtId="0" fontId="36" fillId="2" borderId="48" xfId="0" applyFont="1" applyFill="1" applyBorder="1" applyAlignment="1">
      <alignment horizontal="center" wrapText="1"/>
    </xf>
    <xf numFmtId="0" fontId="36" fillId="2" borderId="49" xfId="0" applyFont="1" applyFill="1" applyBorder="1" applyAlignment="1">
      <alignment horizontal="center" wrapText="1"/>
    </xf>
    <xf numFmtId="0" fontId="8" fillId="7" borderId="46" xfId="0" applyFont="1" applyFill="1" applyBorder="1" applyAlignment="1">
      <alignment horizontal="center" vertical="center" wrapText="1"/>
    </xf>
    <xf numFmtId="0" fontId="8" fillId="7" borderId="54" xfId="0" applyFont="1" applyFill="1" applyBorder="1" applyAlignment="1">
      <alignment horizontal="center" vertical="center" wrapText="1"/>
    </xf>
    <xf numFmtId="0" fontId="8" fillId="7" borderId="48" xfId="0" applyFont="1" applyFill="1" applyBorder="1" applyAlignment="1">
      <alignment horizontal="center" vertical="center" wrapText="1"/>
    </xf>
    <xf numFmtId="0" fontId="8" fillId="7" borderId="52" xfId="0" applyFont="1" applyFill="1" applyBorder="1" applyAlignment="1">
      <alignment horizontal="center" vertical="center" wrapText="1"/>
    </xf>
    <xf numFmtId="165" fontId="2" fillId="9" borderId="38" xfId="1" applyNumberFormat="1" applyFont="1" applyFill="1" applyBorder="1" applyAlignment="1">
      <alignment horizontal="center"/>
    </xf>
    <xf numFmtId="165" fontId="2" fillId="9" borderId="40" xfId="1" applyNumberFormat="1" applyFont="1" applyFill="1" applyBorder="1" applyAlignment="1">
      <alignment horizontal="center"/>
    </xf>
    <xf numFmtId="167" fontId="2" fillId="2" borderId="38" xfId="1" applyNumberFormat="1" applyFont="1" applyFill="1" applyBorder="1" applyAlignment="1">
      <alignment horizontal="center" vertical="center" wrapText="1"/>
    </xf>
    <xf numFmtId="167" fontId="2" fillId="2" borderId="40" xfId="1" applyNumberFormat="1" applyFont="1" applyFill="1" applyBorder="1" applyAlignment="1">
      <alignment horizontal="center" vertical="center" wrapText="1"/>
    </xf>
    <xf numFmtId="165" fontId="2" fillId="2" borderId="38" xfId="1" applyNumberFormat="1" applyFont="1" applyFill="1" applyBorder="1" applyAlignment="1">
      <alignment horizontal="center" vertical="center" wrapText="1"/>
    </xf>
    <xf numFmtId="165" fontId="2" fillId="2" borderId="40" xfId="1" applyNumberFormat="1" applyFont="1" applyFill="1" applyBorder="1" applyAlignment="1">
      <alignment horizontal="center" vertical="center" wrapText="1"/>
    </xf>
    <xf numFmtId="0" fontId="8" fillId="9" borderId="48" xfId="0" applyFont="1" applyFill="1" applyBorder="1" applyAlignment="1">
      <alignment horizontal="left" vertical="center" wrapText="1"/>
    </xf>
    <xf numFmtId="0" fontId="8" fillId="9" borderId="52" xfId="0" applyFont="1" applyFill="1" applyBorder="1" applyAlignment="1">
      <alignment horizontal="left" vertical="center" wrapText="1"/>
    </xf>
    <xf numFmtId="0" fontId="8" fillId="9" borderId="53" xfId="0" applyFont="1" applyFill="1" applyBorder="1" applyAlignment="1">
      <alignment horizontal="left" vertical="center" wrapText="1"/>
    </xf>
    <xf numFmtId="46" fontId="8" fillId="9" borderId="46" xfId="0" applyNumberFormat="1" applyFont="1" applyFill="1" applyBorder="1" applyAlignment="1">
      <alignment horizontal="left" vertical="center" wrapText="1"/>
    </xf>
    <xf numFmtId="46" fontId="8" fillId="9" borderId="54" xfId="0" applyNumberFormat="1" applyFont="1" applyFill="1" applyBorder="1" applyAlignment="1">
      <alignment horizontal="left" vertical="center" wrapText="1"/>
    </xf>
    <xf numFmtId="46" fontId="8" fillId="9" borderId="55" xfId="0" applyNumberFormat="1" applyFont="1" applyFill="1" applyBorder="1" applyAlignment="1">
      <alignment horizontal="left" vertical="center" wrapText="1"/>
    </xf>
    <xf numFmtId="0" fontId="8" fillId="9" borderId="38" xfId="0" applyFont="1" applyFill="1" applyBorder="1" applyAlignment="1">
      <alignment horizontal="left" vertical="center" wrapText="1"/>
    </xf>
    <xf numFmtId="0" fontId="8" fillId="9" borderId="39" xfId="0" applyFont="1" applyFill="1" applyBorder="1" applyAlignment="1">
      <alignment horizontal="left" vertical="center" wrapText="1"/>
    </xf>
    <xf numFmtId="0" fontId="8" fillId="9" borderId="40" xfId="0" applyFont="1" applyFill="1" applyBorder="1" applyAlignment="1">
      <alignment horizontal="left" vertical="center" wrapText="1"/>
    </xf>
    <xf numFmtId="1" fontId="2" fillId="2" borderId="38" xfId="1" applyNumberFormat="1" applyFont="1" applyFill="1" applyBorder="1" applyAlignment="1">
      <alignment horizontal="center" vertical="center" wrapText="1"/>
    </xf>
    <xf numFmtId="1" fontId="2" fillId="2" borderId="40" xfId="1" applyNumberFormat="1" applyFont="1" applyFill="1" applyBorder="1" applyAlignment="1">
      <alignment horizontal="center" vertical="center" wrapText="1"/>
    </xf>
    <xf numFmtId="1" fontId="2" fillId="9" borderId="38" xfId="1" applyNumberFormat="1" applyFont="1" applyFill="1" applyBorder="1" applyAlignment="1">
      <alignment horizontal="center"/>
    </xf>
    <xf numFmtId="1" fontId="2" fillId="9" borderId="40" xfId="1" applyNumberFormat="1" applyFont="1" applyFill="1" applyBorder="1" applyAlignment="1">
      <alignment horizontal="center"/>
    </xf>
    <xf numFmtId="0" fontId="2" fillId="2" borderId="37" xfId="0" applyFont="1" applyFill="1" applyBorder="1" applyAlignment="1">
      <alignment horizontal="left" vertical="center" wrapText="1" indent="1"/>
    </xf>
    <xf numFmtId="0" fontId="2" fillId="2" borderId="38" xfId="0" applyFont="1" applyFill="1" applyBorder="1" applyAlignment="1">
      <alignment horizontal="left" vertical="center" wrapText="1" indent="1"/>
    </xf>
    <xf numFmtId="0" fontId="2" fillId="2" borderId="39" xfId="0" applyFont="1" applyFill="1" applyBorder="1" applyAlignment="1">
      <alignment horizontal="left" vertical="center" wrapText="1" indent="1"/>
    </xf>
    <xf numFmtId="0" fontId="2" fillId="2" borderId="18" xfId="1" applyNumberFormat="1" applyFont="1" applyFill="1" applyBorder="1" applyAlignment="1">
      <alignment horizontal="center" vertical="center" wrapText="1"/>
    </xf>
    <xf numFmtId="0" fontId="2" fillId="2" borderId="20" xfId="1" applyNumberFormat="1" applyFont="1" applyFill="1" applyBorder="1" applyAlignment="1">
      <alignment horizontal="center" vertical="center" wrapText="1"/>
    </xf>
    <xf numFmtId="165" fontId="2" fillId="2" borderId="6" xfId="1" applyNumberFormat="1" applyFont="1" applyFill="1" applyBorder="1" applyAlignment="1">
      <alignment horizontal="center" vertical="center" wrapText="1"/>
    </xf>
    <xf numFmtId="165" fontId="2" fillId="2" borderId="8" xfId="1" applyNumberFormat="1" applyFont="1" applyFill="1" applyBorder="1" applyAlignment="1">
      <alignment horizontal="center" vertical="center" wrapText="1"/>
    </xf>
    <xf numFmtId="165" fontId="2" fillId="2" borderId="15" xfId="1" applyNumberFormat="1" applyFont="1" applyFill="1" applyBorder="1" applyAlignment="1">
      <alignment horizontal="center" vertical="center" wrapText="1"/>
    </xf>
    <xf numFmtId="0" fontId="8" fillId="9" borderId="37" xfId="0" applyFont="1" applyFill="1" applyBorder="1" applyAlignment="1">
      <alignment horizontal="left" vertical="center" wrapText="1"/>
    </xf>
    <xf numFmtId="0" fontId="2" fillId="2" borderId="44" xfId="0" applyFont="1" applyFill="1" applyBorder="1" applyAlignment="1">
      <alignment horizontal="left" vertical="center" wrapText="1" indent="1"/>
    </xf>
    <xf numFmtId="1" fontId="2" fillId="2" borderId="18" xfId="1" applyNumberFormat="1" applyFont="1" applyFill="1" applyBorder="1" applyAlignment="1">
      <alignment horizontal="center" vertical="center" wrapText="1"/>
    </xf>
    <xf numFmtId="1" fontId="2" fillId="2" borderId="20" xfId="1" applyNumberFormat="1" applyFont="1" applyFill="1" applyBorder="1" applyAlignment="1">
      <alignment horizontal="center" vertical="center" wrapText="1"/>
    </xf>
    <xf numFmtId="165" fontId="2" fillId="9" borderId="18" xfId="1" applyNumberFormat="1" applyFont="1" applyFill="1" applyBorder="1" applyAlignment="1">
      <alignment horizontal="center" vertical="center" wrapText="1"/>
    </xf>
    <xf numFmtId="165" fontId="2" fillId="9" borderId="20" xfId="1" applyNumberFormat="1" applyFont="1" applyFill="1" applyBorder="1" applyAlignment="1">
      <alignment horizontal="center" vertical="center" wrapText="1"/>
    </xf>
    <xf numFmtId="165" fontId="2" fillId="2" borderId="18" xfId="1" applyNumberFormat="1" applyFont="1" applyFill="1" applyBorder="1" applyAlignment="1">
      <alignment horizontal="center" vertical="center" wrapText="1"/>
    </xf>
    <xf numFmtId="165" fontId="2" fillId="2" borderId="20" xfId="1" applyNumberFormat="1" applyFont="1" applyFill="1" applyBorder="1" applyAlignment="1">
      <alignment horizontal="center" vertical="center" wrapText="1"/>
    </xf>
    <xf numFmtId="1" fontId="2" fillId="9" borderId="18" xfId="1" applyNumberFormat="1" applyFont="1" applyFill="1" applyBorder="1" applyAlignment="1">
      <alignment horizontal="center" vertical="center" wrapText="1"/>
    </xf>
    <xf numFmtId="1" fontId="2" fillId="9" borderId="20" xfId="1" applyNumberFormat="1" applyFont="1" applyFill="1" applyBorder="1" applyAlignment="1">
      <alignment horizontal="center" vertical="center" wrapText="1"/>
    </xf>
    <xf numFmtId="165" fontId="2" fillId="9" borderId="18" xfId="1" applyNumberFormat="1" applyFont="1" applyFill="1" applyBorder="1" applyAlignment="1">
      <alignment horizontal="left" vertical="center" wrapText="1" indent="1"/>
    </xf>
    <xf numFmtId="165" fontId="2" fillId="9" borderId="20" xfId="1" applyNumberFormat="1" applyFont="1" applyFill="1" applyBorder="1" applyAlignment="1">
      <alignment horizontal="left" vertical="center" wrapText="1" indent="1"/>
    </xf>
    <xf numFmtId="1" fontId="2" fillId="9" borderId="12" xfId="2" applyNumberFormat="1" applyFont="1" applyFill="1" applyBorder="1" applyAlignment="1">
      <alignment horizontal="center" vertical="center"/>
    </xf>
    <xf numFmtId="1" fontId="2" fillId="9" borderId="13" xfId="2" applyNumberFormat="1" applyFont="1" applyFill="1" applyBorder="1" applyAlignment="1">
      <alignment horizontal="center" vertical="center"/>
    </xf>
    <xf numFmtId="1" fontId="2" fillId="2" borderId="19" xfId="1" applyNumberFormat="1" applyFont="1" applyFill="1" applyBorder="1" applyAlignment="1">
      <alignment horizontal="center" vertical="center" wrapText="1"/>
    </xf>
    <xf numFmtId="46" fontId="8" fillId="9" borderId="41" xfId="0" applyNumberFormat="1" applyFont="1" applyFill="1" applyBorder="1" applyAlignment="1">
      <alignment horizontal="left" vertical="center" wrapText="1"/>
    </xf>
    <xf numFmtId="0" fontId="8" fillId="9" borderId="41" xfId="0" applyFont="1" applyFill="1" applyBorder="1" applyAlignment="1">
      <alignment horizontal="left" vertical="center" wrapText="1"/>
    </xf>
    <xf numFmtId="0" fontId="8" fillId="7" borderId="47" xfId="0" applyFont="1" applyFill="1" applyBorder="1" applyAlignment="1">
      <alignment horizontal="center" vertical="center" wrapText="1"/>
    </xf>
    <xf numFmtId="0" fontId="8" fillId="7" borderId="49" xfId="0" applyFont="1" applyFill="1" applyBorder="1" applyAlignment="1">
      <alignment horizontal="center" vertical="center" wrapText="1"/>
    </xf>
    <xf numFmtId="167" fontId="2" fillId="2" borderId="19" xfId="1" applyNumberFormat="1" applyFont="1" applyFill="1" applyBorder="1" applyAlignment="1">
      <alignment horizontal="center" vertical="center" wrapText="1"/>
    </xf>
    <xf numFmtId="167" fontId="2" fillId="2" borderId="20" xfId="1" applyNumberFormat="1" applyFont="1" applyFill="1" applyBorder="1" applyAlignment="1">
      <alignment horizontal="center" vertical="center" wrapText="1"/>
    </xf>
    <xf numFmtId="167" fontId="2" fillId="2" borderId="18" xfId="1" applyNumberFormat="1" applyFont="1" applyFill="1" applyBorder="1" applyAlignment="1">
      <alignment horizontal="center" vertical="center" wrapText="1"/>
    </xf>
    <xf numFmtId="0" fontId="10" fillId="9" borderId="37" xfId="0" applyFont="1" applyFill="1" applyBorder="1" applyAlignment="1">
      <alignment horizontal="center" vertical="center" wrapText="1"/>
    </xf>
    <xf numFmtId="165" fontId="2" fillId="2" borderId="7" xfId="1" applyNumberFormat="1" applyFont="1" applyFill="1" applyBorder="1" applyAlignment="1">
      <alignment horizontal="center" vertical="center" wrapText="1"/>
    </xf>
    <xf numFmtId="165" fontId="2" fillId="2" borderId="19" xfId="1" applyNumberFormat="1" applyFont="1" applyFill="1" applyBorder="1" applyAlignment="1">
      <alignment horizontal="center" vertical="center" wrapText="1"/>
    </xf>
    <xf numFmtId="165" fontId="2" fillId="9" borderId="19" xfId="1" applyNumberFormat="1" applyFont="1" applyFill="1" applyBorder="1" applyAlignment="1">
      <alignment horizontal="center" vertical="center"/>
    </xf>
    <xf numFmtId="165" fontId="2" fillId="9" borderId="20" xfId="1" applyNumberFormat="1" applyFont="1" applyFill="1" applyBorder="1" applyAlignment="1">
      <alignment horizontal="center" vertical="center"/>
    </xf>
    <xf numFmtId="1" fontId="2" fillId="9" borderId="37" xfId="1" applyNumberFormat="1" applyFont="1" applyFill="1" applyBorder="1" applyAlignment="1">
      <alignment horizontal="center" vertical="center" wrapText="1"/>
    </xf>
    <xf numFmtId="0" fontId="2" fillId="2" borderId="40" xfId="0" applyFont="1" applyFill="1" applyBorder="1" applyAlignment="1">
      <alignment horizontal="left" vertical="center" wrapText="1" indent="1"/>
    </xf>
    <xf numFmtId="167" fontId="2" fillId="2" borderId="37" xfId="1" applyNumberFormat="1" applyFont="1" applyFill="1" applyBorder="1" applyAlignment="1">
      <alignment horizontal="center" vertical="center" wrapText="1"/>
    </xf>
    <xf numFmtId="0" fontId="11" fillId="2" borderId="0" xfId="0" applyFont="1" applyFill="1" applyBorder="1" applyAlignment="1">
      <alignment horizontal="left" vertical="center" wrapText="1"/>
    </xf>
    <xf numFmtId="0" fontId="0" fillId="2" borderId="0" xfId="0" applyFill="1" applyBorder="1" applyAlignment="1">
      <alignment vertical="center" wrapText="1"/>
    </xf>
    <xf numFmtId="165" fontId="2" fillId="2" borderId="46" xfId="1" applyNumberFormat="1" applyFont="1" applyFill="1" applyBorder="1" applyAlignment="1">
      <alignment horizontal="center"/>
    </xf>
    <xf numFmtId="165" fontId="2" fillId="2" borderId="47" xfId="1" applyNumberFormat="1" applyFont="1" applyFill="1" applyBorder="1" applyAlignment="1">
      <alignment horizontal="center"/>
    </xf>
    <xf numFmtId="165" fontId="2" fillId="2" borderId="44" xfId="1" applyNumberFormat="1" applyFont="1" applyFill="1" applyBorder="1" applyAlignment="1">
      <alignment horizontal="center" vertical="center" wrapText="1"/>
    </xf>
    <xf numFmtId="165" fontId="2" fillId="9" borderId="38" xfId="1" applyNumberFormat="1" applyFont="1" applyFill="1" applyBorder="1" applyAlignment="1">
      <alignment horizontal="left" vertical="center" wrapText="1"/>
    </xf>
    <xf numFmtId="165" fontId="2" fillId="9" borderId="40" xfId="1" applyNumberFormat="1" applyFont="1" applyFill="1" applyBorder="1" applyAlignment="1">
      <alignment horizontal="left" vertical="center" wrapText="1"/>
    </xf>
    <xf numFmtId="165" fontId="2" fillId="9" borderId="38" xfId="1" applyNumberFormat="1" applyFont="1" applyFill="1" applyBorder="1" applyAlignment="1">
      <alignment horizontal="center" vertical="center" wrapText="1"/>
    </xf>
    <xf numFmtId="165" fontId="2" fillId="9" borderId="40" xfId="1" applyNumberFormat="1" applyFont="1" applyFill="1" applyBorder="1" applyAlignment="1">
      <alignment horizontal="center" vertical="center" wrapText="1"/>
    </xf>
    <xf numFmtId="0" fontId="2" fillId="2" borderId="0" xfId="0" applyFont="1" applyFill="1" applyAlignment="1">
      <alignment horizontal="left" vertical="center" indent="3"/>
    </xf>
    <xf numFmtId="0" fontId="64" fillId="2" borderId="0" xfId="65" applyFont="1" applyFill="1" applyAlignment="1" applyProtection="1">
      <alignment horizontal="left" vertical="center" indent="3"/>
    </xf>
    <xf numFmtId="0" fontId="8" fillId="2" borderId="0" xfId="0" applyFont="1" applyFill="1" applyAlignment="1">
      <alignment horizontal="left" vertical="center" indent="3"/>
    </xf>
    <xf numFmtId="0" fontId="8" fillId="2" borderId="0" xfId="0" applyFont="1" applyFill="1" applyAlignment="1">
      <alignment horizontal="left" vertical="center" indent="1"/>
    </xf>
    <xf numFmtId="0" fontId="2" fillId="2" borderId="0" xfId="0" applyFont="1" applyFill="1" applyAlignment="1">
      <alignment vertical="center"/>
    </xf>
    <xf numFmtId="0" fontId="2" fillId="32" borderId="0" xfId="0" applyFont="1" applyFill="1" applyAlignment="1">
      <alignment horizontal="left" vertical="center" indent="3"/>
    </xf>
    <xf numFmtId="0" fontId="8" fillId="32" borderId="0" xfId="0" applyFont="1" applyFill="1" applyAlignment="1">
      <alignment horizontal="left" vertical="center" indent="3"/>
    </xf>
    <xf numFmtId="0" fontId="61" fillId="2" borderId="0" xfId="0" applyFont="1" applyFill="1" applyAlignment="1">
      <alignment horizontal="left" vertical="center" indent="2"/>
    </xf>
    <xf numFmtId="0" fontId="61" fillId="2" borderId="0" xfId="0" applyFont="1" applyFill="1" applyAlignment="1">
      <alignment horizontal="left" vertical="center" indent="1"/>
    </xf>
    <xf numFmtId="0" fontId="62" fillId="2" borderId="0" xfId="0" applyFont="1" applyFill="1" applyAlignment="1">
      <alignment horizontal="left" vertical="center" indent="1"/>
    </xf>
    <xf numFmtId="0" fontId="62" fillId="2" borderId="0" xfId="0" applyFont="1" applyFill="1" applyAlignment="1">
      <alignment horizontal="left" vertical="center" indent="3"/>
    </xf>
    <xf numFmtId="0" fontId="64" fillId="2" borderId="0" xfId="65" applyFont="1" applyFill="1" applyAlignment="1" applyProtection="1">
      <alignment horizontal="left" vertical="center" indent="2"/>
    </xf>
    <xf numFmtId="0" fontId="2" fillId="2" borderId="0" xfId="0" applyFont="1" applyFill="1" applyAlignment="1">
      <alignment horizontal="left" vertical="top" wrapText="1" indent="3"/>
    </xf>
    <xf numFmtId="0" fontId="7" fillId="2" borderId="4" xfId="0" applyFont="1" applyFill="1" applyBorder="1" applyAlignment="1">
      <alignment horizontal="center"/>
    </xf>
    <xf numFmtId="0" fontId="7" fillId="2" borderId="0" xfId="0" applyFont="1" applyFill="1" applyAlignment="1">
      <alignment horizontal="center"/>
    </xf>
    <xf numFmtId="0" fontId="7" fillId="2" borderId="2" xfId="0" applyFont="1" applyFill="1" applyBorder="1" applyAlignment="1">
      <alignment horizontal="center"/>
    </xf>
    <xf numFmtId="0" fontId="7" fillId="2" borderId="0" xfId="0" applyFont="1" applyFill="1" applyBorder="1" applyAlignment="1">
      <alignment horizontal="center"/>
    </xf>
    <xf numFmtId="0" fontId="7" fillId="2" borderId="4" xfId="0" applyFont="1" applyFill="1" applyBorder="1" applyAlignment="1">
      <alignment horizontal="center" vertical="center"/>
    </xf>
    <xf numFmtId="0" fontId="7" fillId="2" borderId="0" xfId="0" applyFont="1" applyFill="1" applyBorder="1" applyAlignment="1">
      <alignment horizontal="center" vertical="center"/>
    </xf>
    <xf numFmtId="0" fontId="7" fillId="2" borderId="2" xfId="0" applyFont="1" applyFill="1" applyBorder="1" applyAlignment="1">
      <alignment horizontal="center" vertical="center"/>
    </xf>
    <xf numFmtId="0" fontId="7" fillId="2" borderId="4" xfId="0" applyFont="1" applyFill="1" applyBorder="1" applyAlignment="1">
      <alignment horizontal="center" vertical="center" wrapText="1"/>
    </xf>
    <xf numFmtId="0" fontId="7" fillId="2" borderId="0" xfId="0" applyFont="1" applyFill="1" applyBorder="1" applyAlignment="1">
      <alignment horizontal="center" vertical="center" wrapText="1"/>
    </xf>
    <xf numFmtId="0" fontId="7" fillId="2" borderId="2" xfId="0" applyFont="1" applyFill="1" applyBorder="1" applyAlignment="1">
      <alignment horizontal="center" vertical="center" wrapText="1"/>
    </xf>
    <xf numFmtId="1" fontId="7" fillId="42" borderId="4" xfId="0" applyNumberFormat="1" applyFont="1" applyFill="1" applyBorder="1" applyAlignment="1">
      <alignment horizontal="center" vertical="center"/>
    </xf>
    <xf numFmtId="1" fontId="7" fillId="42" borderId="0" xfId="0" applyNumberFormat="1" applyFont="1" applyFill="1" applyBorder="1" applyAlignment="1">
      <alignment horizontal="center" vertical="center"/>
    </xf>
    <xf numFmtId="1" fontId="7" fillId="42" borderId="2" xfId="0" applyNumberFormat="1" applyFont="1" applyFill="1" applyBorder="1" applyAlignment="1">
      <alignment horizontal="center" vertical="center"/>
    </xf>
    <xf numFmtId="165" fontId="7" fillId="2" borderId="4" xfId="1" applyNumberFormat="1" applyFont="1" applyFill="1" applyBorder="1" applyAlignment="1">
      <alignment horizontal="center" vertical="center"/>
    </xf>
    <xf numFmtId="165" fontId="7" fillId="2" borderId="0" xfId="1" applyNumberFormat="1" applyFont="1" applyFill="1" applyBorder="1" applyAlignment="1">
      <alignment horizontal="center" vertical="center"/>
    </xf>
    <xf numFmtId="165" fontId="7" fillId="2" borderId="2" xfId="1" applyNumberFormat="1" applyFont="1" applyFill="1" applyBorder="1" applyAlignment="1">
      <alignment horizontal="center" vertical="center"/>
    </xf>
    <xf numFmtId="2" fontId="7" fillId="2" borderId="4" xfId="0" applyNumberFormat="1" applyFont="1" applyFill="1" applyBorder="1" applyAlignment="1">
      <alignment horizontal="center" vertical="center"/>
    </xf>
    <xf numFmtId="2" fontId="7" fillId="2" borderId="0" xfId="0" applyNumberFormat="1" applyFont="1" applyFill="1" applyBorder="1" applyAlignment="1">
      <alignment horizontal="center" vertical="center"/>
    </xf>
    <xf numFmtId="2" fontId="7" fillId="2" borderId="2" xfId="0" applyNumberFormat="1" applyFont="1" applyFill="1" applyBorder="1" applyAlignment="1">
      <alignment horizontal="center" vertical="center"/>
    </xf>
    <xf numFmtId="0" fontId="7" fillId="2" borderId="0" xfId="0" applyFont="1" applyFill="1" applyAlignment="1">
      <alignment horizontal="center" vertical="center"/>
    </xf>
    <xf numFmtId="0" fontId="0" fillId="0" borderId="72" xfId="0" applyBorder="1" applyAlignment="1">
      <alignment horizontal="center"/>
    </xf>
    <xf numFmtId="0" fontId="0" fillId="0" borderId="73" xfId="0" applyBorder="1" applyAlignment="1">
      <alignment horizontal="center"/>
    </xf>
    <xf numFmtId="0" fontId="0" fillId="0" borderId="74" xfId="0" applyBorder="1" applyAlignment="1">
      <alignment horizontal="center"/>
    </xf>
    <xf numFmtId="0" fontId="0" fillId="0" borderId="0" xfId="0" applyAlignment="1">
      <alignment horizontal="center"/>
    </xf>
    <xf numFmtId="0" fontId="11" fillId="5" borderId="0" xfId="65" applyFont="1" applyFill="1" applyBorder="1" applyAlignment="1" applyProtection="1">
      <alignment vertical="center" wrapText="1"/>
    </xf>
    <xf numFmtId="0" fontId="11" fillId="5" borderId="0" xfId="65" applyFont="1" applyFill="1" applyBorder="1" applyAlignment="1" applyProtection="1">
      <alignment vertical="center"/>
    </xf>
    <xf numFmtId="0" fontId="11" fillId="5" borderId="2" xfId="65" applyFont="1" applyFill="1" applyBorder="1" applyAlignment="1" applyProtection="1">
      <alignment vertical="center"/>
    </xf>
    <xf numFmtId="0" fontId="11" fillId="5" borderId="0" xfId="42" applyFont="1" applyFill="1" applyBorder="1" applyAlignment="1">
      <alignment vertical="center"/>
    </xf>
    <xf numFmtId="0" fontId="51" fillId="5" borderId="0" xfId="42" applyFont="1" applyFill="1" applyBorder="1" applyAlignment="1">
      <alignment vertical="center"/>
    </xf>
    <xf numFmtId="0" fontId="51" fillId="5" borderId="2" xfId="42" applyFont="1" applyFill="1" applyBorder="1" applyAlignment="1">
      <alignment vertical="center"/>
    </xf>
    <xf numFmtId="0" fontId="51" fillId="5" borderId="0" xfId="42" applyFont="1" applyFill="1" applyBorder="1" applyAlignment="1">
      <alignment vertical="center" wrapText="1"/>
    </xf>
    <xf numFmtId="0" fontId="11" fillId="5" borderId="2" xfId="65" applyFont="1" applyFill="1" applyBorder="1" applyAlignment="1" applyProtection="1">
      <alignment vertical="center" wrapText="1"/>
    </xf>
    <xf numFmtId="0" fontId="11" fillId="5" borderId="0" xfId="42" applyFont="1" applyFill="1" applyBorder="1" applyAlignment="1">
      <alignment horizontal="center" vertical="center" wrapText="1"/>
    </xf>
    <xf numFmtId="0" fontId="11" fillId="5" borderId="0" xfId="42" applyFont="1" applyFill="1" applyBorder="1" applyAlignment="1">
      <alignment vertical="center" wrapText="1"/>
    </xf>
    <xf numFmtId="0" fontId="51" fillId="5" borderId="0" xfId="65" applyFont="1" applyFill="1" applyBorder="1" applyAlignment="1" applyProtection="1">
      <alignment vertical="center" wrapText="1"/>
    </xf>
    <xf numFmtId="0" fontId="11" fillId="39" borderId="0" xfId="65" applyFont="1" applyFill="1" applyBorder="1" applyAlignment="1" applyProtection="1">
      <alignment vertical="center" wrapText="1"/>
    </xf>
    <xf numFmtId="0" fontId="11" fillId="39" borderId="0" xfId="65" applyFont="1" applyFill="1" applyBorder="1" applyAlignment="1" applyProtection="1">
      <alignment vertical="center"/>
    </xf>
    <xf numFmtId="0" fontId="11" fillId="39" borderId="2" xfId="65" applyFont="1" applyFill="1" applyBorder="1" applyAlignment="1" applyProtection="1">
      <alignment vertical="center"/>
    </xf>
    <xf numFmtId="0" fontId="11" fillId="39" borderId="2" xfId="65" applyFont="1" applyFill="1" applyBorder="1" applyAlignment="1" applyProtection="1">
      <alignment vertical="center" wrapText="1"/>
    </xf>
    <xf numFmtId="0" fontId="51" fillId="5" borderId="2" xfId="65" applyFont="1" applyFill="1" applyBorder="1" applyAlignment="1" applyProtection="1">
      <alignment vertical="center" wrapText="1"/>
    </xf>
    <xf numFmtId="0" fontId="83" fillId="0" borderId="73" xfId="0" applyFont="1" applyBorder="1" applyAlignment="1">
      <alignment horizontal="center"/>
    </xf>
  </cellXfs>
  <cellStyles count="75">
    <cellStyle name="20% - Accent1 2" xfId="5"/>
    <cellStyle name="20% - Accent2 2" xfId="6"/>
    <cellStyle name="20% - Accent3 2" xfId="7"/>
    <cellStyle name="20% - Accent4 2" xfId="8"/>
    <cellStyle name="20% - Accent5 2" xfId="9"/>
    <cellStyle name="20% - Accent6 2" xfId="10"/>
    <cellStyle name="40% - Accent1 2" xfId="11"/>
    <cellStyle name="40% - Accent2 2" xfId="12"/>
    <cellStyle name="40% - Accent3 2" xfId="13"/>
    <cellStyle name="40% - Accent4 2" xfId="14"/>
    <cellStyle name="40% - Accent5 2" xfId="15"/>
    <cellStyle name="40% - Accent6 2" xfId="16"/>
    <cellStyle name="60% - Accent1 2" xfId="17"/>
    <cellStyle name="60% - Accent2 2" xfId="18"/>
    <cellStyle name="60% - Accent3 2" xfId="19"/>
    <cellStyle name="60% - Accent4 2" xfId="20"/>
    <cellStyle name="60% - Accent5 2" xfId="21"/>
    <cellStyle name="60% - Accent6 2" xfId="22"/>
    <cellStyle name="Accent1 2" xfId="23"/>
    <cellStyle name="Accent2 2" xfId="24"/>
    <cellStyle name="Accent3 2" xfId="25"/>
    <cellStyle name="Accent4 2" xfId="26"/>
    <cellStyle name="Accent5 2" xfId="27"/>
    <cellStyle name="Accent6 2" xfId="28"/>
    <cellStyle name="Bad 2" xfId="29"/>
    <cellStyle name="Calculation 2" xfId="30"/>
    <cellStyle name="Calculation 3" xfId="59"/>
    <cellStyle name="Calculation 4" xfId="63"/>
    <cellStyle name="Check Cell 2" xfId="31"/>
    <cellStyle name="Comma" xfId="2" builtinId="3"/>
    <cellStyle name="Comma 2" xfId="32"/>
    <cellStyle name="Explanatory Text 2" xfId="33"/>
    <cellStyle name="Good 2" xfId="34"/>
    <cellStyle name="Heading 1 2" xfId="35"/>
    <cellStyle name="Heading 2 2" xfId="36"/>
    <cellStyle name="Heading 3 2" xfId="37"/>
    <cellStyle name="Heading 4 2" xfId="38"/>
    <cellStyle name="Hyperlink" xfId="65" builtinId="8"/>
    <cellStyle name="Hyperlink 2" xfId="53"/>
    <cellStyle name="Hyperlink 2 2" xfId="72"/>
    <cellStyle name="Hyperlink 3" xfId="67"/>
    <cellStyle name="Hyperlink 3 2" xfId="73"/>
    <cellStyle name="Hyperlink 4" xfId="70"/>
    <cellStyle name="Input 2" xfId="39"/>
    <cellStyle name="Input 3" xfId="58"/>
    <cellStyle name="Input 4" xfId="64"/>
    <cellStyle name="Linked Cell 2" xfId="40"/>
    <cellStyle name="Neutral 2" xfId="41"/>
    <cellStyle name="Normal" xfId="0" builtinId="0"/>
    <cellStyle name="Normal 2" xfId="3"/>
    <cellStyle name="Normal 2 2" xfId="42"/>
    <cellStyle name="Normal 2 3" xfId="43"/>
    <cellStyle name="Normal 2 3 2" xfId="74"/>
    <cellStyle name="Normal 2 4" xfId="71"/>
    <cellStyle name="Normal 3" xfId="52"/>
    <cellStyle name="Normal 3 2" xfId="54"/>
    <cellStyle name="Normal 4" xfId="44"/>
    <cellStyle name="Normal 5" xfId="4"/>
    <cellStyle name="Normal 6" xfId="56"/>
    <cellStyle name="Normal 7" xfId="57"/>
    <cellStyle name="Normal 8" xfId="66"/>
    <cellStyle name="Normal 9" xfId="68"/>
    <cellStyle name="Note 2" xfId="45"/>
    <cellStyle name="Note 3" xfId="60"/>
    <cellStyle name="Output 2" xfId="46"/>
    <cellStyle name="Output 3" xfId="61"/>
    <cellStyle name="Percent" xfId="1" builtinId="5"/>
    <cellStyle name="Percent 2" xfId="48"/>
    <cellStyle name="Percent 2 3" xfId="55"/>
    <cellStyle name="Percent 3" xfId="47"/>
    <cellStyle name="Percent 4" xfId="69"/>
    <cellStyle name="Title 2" xfId="49"/>
    <cellStyle name="Total 2" xfId="50"/>
    <cellStyle name="Total 3" xfId="62"/>
    <cellStyle name="Warning Text 2" xfId="51"/>
  </cellStyles>
  <dxfs count="62">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0"/>
        </patternFill>
      </fill>
    </dxf>
    <dxf>
      <fill>
        <patternFill>
          <bgColor rgb="FF92D050"/>
        </patternFill>
      </fill>
    </dxf>
    <dxf>
      <font>
        <color theme="0"/>
      </font>
      <fill>
        <patternFill>
          <bgColor rgb="FFC00000"/>
        </patternFill>
      </fill>
    </dxf>
    <dxf>
      <fill>
        <patternFill>
          <bgColor theme="3" tint="0.59996337778862885"/>
        </patternFill>
      </fill>
    </dxf>
    <dxf>
      <fill>
        <patternFill>
          <bgColor theme="3" tint="0.59996337778862885"/>
        </patternFill>
      </fill>
    </dxf>
    <dxf>
      <fill>
        <patternFill>
          <bgColor theme="3" tint="0.59996337778862885"/>
        </patternFill>
      </fill>
    </dxf>
    <dxf>
      <fill>
        <patternFill>
          <bgColor theme="3" tint="0.59996337778862885"/>
        </patternFill>
      </fill>
    </dxf>
    <dxf>
      <fill>
        <patternFill>
          <bgColor theme="3" tint="0.59996337778862885"/>
        </patternFill>
      </fill>
    </dxf>
    <dxf>
      <fill>
        <patternFill>
          <bgColor theme="3" tint="0.59996337778862885"/>
        </patternFill>
      </fill>
    </dxf>
    <dxf>
      <fill>
        <patternFill>
          <bgColor theme="3" tint="0.59996337778862885"/>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6" tint="0.39994506668294322"/>
        </patternFill>
      </fill>
    </dxf>
    <dxf>
      <font>
        <b/>
        <i val="0"/>
        <color theme="0"/>
      </font>
      <fill>
        <patternFill>
          <bgColor rgb="FFFF0000"/>
        </patternFill>
      </fill>
    </dxf>
  </dxfs>
  <tableStyles count="0" defaultTableStyle="TableStyleMedium2" defaultPivotStyle="PivotStyleLight16"/>
  <colors>
    <mruColors>
      <color rgb="FF191EE1"/>
      <color rgb="FFFBFBFB"/>
      <color rgb="FFF5F5F5"/>
      <color rgb="FF9966FF"/>
      <color rgb="FFCC0000"/>
      <color rgb="FFFFFF99"/>
      <color rgb="FFF7EAE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harts/_rels/chart13.xml.rels><?xml version="1.0" encoding="UTF-8" standalone="yes"?>
<Relationships xmlns="http://schemas.openxmlformats.org/package/2006/relationships"><Relationship Id="rId1" Type="http://schemas.openxmlformats.org/officeDocument/2006/relationships/themeOverride" Target="../theme/themeOverride1.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Population!$F$77</c:f>
              <c:strCache>
                <c:ptCount val="1"/>
                <c:pt idx="0">
                  <c:v>Angmering</c:v>
                </c:pt>
              </c:strCache>
            </c:strRef>
          </c:tx>
          <c:marker>
            <c:symbol val="none"/>
          </c:marker>
          <c:cat>
            <c:strRef>
              <c:f>Population!$D$79:$D$89</c:f>
              <c:strCache>
                <c:ptCount val="11"/>
                <c:pt idx="0">
                  <c:v>under 5 (2005)</c:v>
                </c:pt>
                <c:pt idx="1">
                  <c:v>under 5 (2006)</c:v>
                </c:pt>
                <c:pt idx="2">
                  <c:v>under 5 (2007)</c:v>
                </c:pt>
                <c:pt idx="3">
                  <c:v>under 5 (2008)</c:v>
                </c:pt>
                <c:pt idx="4">
                  <c:v>under 5 (2009)</c:v>
                </c:pt>
                <c:pt idx="5">
                  <c:v>under 5 (2010)</c:v>
                </c:pt>
                <c:pt idx="6">
                  <c:v>under 5 (2011)</c:v>
                </c:pt>
                <c:pt idx="7">
                  <c:v>under 5 (2012)</c:v>
                </c:pt>
                <c:pt idx="8">
                  <c:v>under 5 (2013)</c:v>
                </c:pt>
                <c:pt idx="9">
                  <c:v>under 5 (2014)</c:v>
                </c:pt>
                <c:pt idx="10">
                  <c:v>under 5 (2015)</c:v>
                </c:pt>
              </c:strCache>
            </c:strRef>
          </c:cat>
          <c:val>
            <c:numRef>
              <c:f>Population!$F$79:$F$89</c:f>
              <c:numCache>
                <c:formatCode>_-* #,##0_-;\-* #,##0_-;_-* "-"??_-;_-@_-</c:formatCode>
                <c:ptCount val="11"/>
                <c:pt idx="0">
                  <c:v>1025</c:v>
                </c:pt>
                <c:pt idx="1">
                  <c:v>1040</c:v>
                </c:pt>
                <c:pt idx="2">
                  <c:v>1025</c:v>
                </c:pt>
                <c:pt idx="3">
                  <c:v>1030</c:v>
                </c:pt>
                <c:pt idx="4">
                  <c:v>1005</c:v>
                </c:pt>
                <c:pt idx="5">
                  <c:v>1010</c:v>
                </c:pt>
                <c:pt idx="6">
                  <c:v>990</c:v>
                </c:pt>
                <c:pt idx="7">
                  <c:v>1020</c:v>
                </c:pt>
                <c:pt idx="8">
                  <c:v>1020</c:v>
                </c:pt>
                <c:pt idx="9">
                  <c:v>1041</c:v>
                </c:pt>
                <c:pt idx="10">
                  <c:v>1001</c:v>
                </c:pt>
              </c:numCache>
            </c:numRef>
          </c:val>
          <c:smooth val="0"/>
        </c:ser>
        <c:ser>
          <c:idx val="1"/>
          <c:order val="1"/>
          <c:tx>
            <c:strRef>
              <c:f>Population!$G$77</c:f>
              <c:strCache>
                <c:ptCount val="1"/>
                <c:pt idx="0">
                  <c:v>Bewbush</c:v>
                </c:pt>
              </c:strCache>
            </c:strRef>
          </c:tx>
          <c:spPr>
            <a:ln>
              <a:solidFill>
                <a:schemeClr val="accent4"/>
              </a:solidFill>
            </a:ln>
          </c:spPr>
          <c:marker>
            <c:symbol val="none"/>
          </c:marker>
          <c:cat>
            <c:strRef>
              <c:f>Population!$D$79:$D$89</c:f>
              <c:strCache>
                <c:ptCount val="11"/>
                <c:pt idx="0">
                  <c:v>under 5 (2005)</c:v>
                </c:pt>
                <c:pt idx="1">
                  <c:v>under 5 (2006)</c:v>
                </c:pt>
                <c:pt idx="2">
                  <c:v>under 5 (2007)</c:v>
                </c:pt>
                <c:pt idx="3">
                  <c:v>under 5 (2008)</c:v>
                </c:pt>
                <c:pt idx="4">
                  <c:v>under 5 (2009)</c:v>
                </c:pt>
                <c:pt idx="5">
                  <c:v>under 5 (2010)</c:v>
                </c:pt>
                <c:pt idx="6">
                  <c:v>under 5 (2011)</c:v>
                </c:pt>
                <c:pt idx="7">
                  <c:v>under 5 (2012)</c:v>
                </c:pt>
                <c:pt idx="8">
                  <c:v>under 5 (2013)</c:v>
                </c:pt>
                <c:pt idx="9">
                  <c:v>under 5 (2014)</c:v>
                </c:pt>
                <c:pt idx="10">
                  <c:v>under 5 (2015)</c:v>
                </c:pt>
              </c:strCache>
            </c:strRef>
          </c:cat>
          <c:val>
            <c:numRef>
              <c:f>Population!$G$79:$G$89</c:f>
              <c:numCache>
                <c:formatCode>_-* #,##0_-;\-* #,##0_-;_-* "-"??_-;_-@_-</c:formatCode>
                <c:ptCount val="11"/>
                <c:pt idx="0">
                  <c:v>950</c:v>
                </c:pt>
                <c:pt idx="1">
                  <c:v>930</c:v>
                </c:pt>
                <c:pt idx="2">
                  <c:v>935</c:v>
                </c:pt>
                <c:pt idx="3">
                  <c:v>950</c:v>
                </c:pt>
                <c:pt idx="4">
                  <c:v>975</c:v>
                </c:pt>
                <c:pt idx="5">
                  <c:v>1040</c:v>
                </c:pt>
                <c:pt idx="6">
                  <c:v>1085</c:v>
                </c:pt>
                <c:pt idx="7">
                  <c:v>1120</c:v>
                </c:pt>
                <c:pt idx="8">
                  <c:v>1145</c:v>
                </c:pt>
                <c:pt idx="9">
                  <c:v>1159</c:v>
                </c:pt>
                <c:pt idx="10">
                  <c:v>1186</c:v>
                </c:pt>
              </c:numCache>
            </c:numRef>
          </c:val>
          <c:smooth val="0"/>
        </c:ser>
        <c:dLbls>
          <c:showLegendKey val="0"/>
          <c:showVal val="0"/>
          <c:showCatName val="0"/>
          <c:showSerName val="0"/>
          <c:showPercent val="0"/>
          <c:showBubbleSize val="0"/>
        </c:dLbls>
        <c:marker val="1"/>
        <c:smooth val="0"/>
        <c:axId val="33157888"/>
        <c:axId val="33159424"/>
      </c:lineChart>
      <c:catAx>
        <c:axId val="33157888"/>
        <c:scaling>
          <c:orientation val="minMax"/>
        </c:scaling>
        <c:delete val="0"/>
        <c:axPos val="b"/>
        <c:majorTickMark val="out"/>
        <c:minorTickMark val="none"/>
        <c:tickLblPos val="nextTo"/>
        <c:crossAx val="33159424"/>
        <c:crosses val="autoZero"/>
        <c:auto val="1"/>
        <c:lblAlgn val="ctr"/>
        <c:lblOffset val="100"/>
        <c:noMultiLvlLbl val="0"/>
      </c:catAx>
      <c:valAx>
        <c:axId val="33159424"/>
        <c:scaling>
          <c:orientation val="minMax"/>
        </c:scaling>
        <c:delete val="0"/>
        <c:axPos val="l"/>
        <c:majorGridlines>
          <c:spPr>
            <a:ln>
              <a:solidFill>
                <a:schemeClr val="bg1">
                  <a:lumMod val="85000"/>
                </a:schemeClr>
              </a:solidFill>
            </a:ln>
          </c:spPr>
        </c:majorGridlines>
        <c:numFmt formatCode="#,##0_);\(#,##0\)" sourceLinked="0"/>
        <c:majorTickMark val="out"/>
        <c:minorTickMark val="none"/>
        <c:tickLblPos val="nextTo"/>
        <c:crossAx val="33157888"/>
        <c:crosses val="autoZero"/>
        <c:crossBetween val="between"/>
      </c:valAx>
    </c:plotArea>
    <c:legend>
      <c:legendPos val="t"/>
      <c:overlay val="0"/>
    </c:legend>
    <c:plotVisOnly val="1"/>
    <c:dispBlanksAs val="gap"/>
    <c:showDLblsOverMax val="0"/>
  </c:chart>
  <c:spPr>
    <a:ln>
      <a:noFill/>
    </a:ln>
  </c:sp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38"/>
    </mc:Choice>
    <mc:Fallback>
      <c:style val="38"/>
    </mc:Fallback>
  </mc:AlternateContent>
  <c:chart>
    <c:autoTitleDeleted val="0"/>
    <c:plotArea>
      <c:layout/>
      <c:barChart>
        <c:barDir val="col"/>
        <c:grouping val="clustered"/>
        <c:varyColors val="0"/>
        <c:ser>
          <c:idx val="0"/>
          <c:order val="0"/>
          <c:tx>
            <c:strRef>
              <c:f>'Health Indicators'!$K$289</c:f>
              <c:strCache>
                <c:ptCount val="1"/>
                <c:pt idx="0">
                  <c:v>2009/10</c:v>
                </c:pt>
              </c:strCache>
            </c:strRef>
          </c:tx>
          <c:invertIfNegative val="0"/>
          <c:dPt>
            <c:idx val="0"/>
            <c:invertIfNegative val="0"/>
            <c:bubble3D val="0"/>
            <c:spPr>
              <a:solidFill>
                <a:schemeClr val="accent1">
                  <a:lumMod val="60000"/>
                  <a:lumOff val="40000"/>
                </a:schemeClr>
              </a:solidFill>
            </c:spPr>
          </c:dPt>
          <c:dPt>
            <c:idx val="1"/>
            <c:invertIfNegative val="0"/>
            <c:bubble3D val="0"/>
            <c:spPr>
              <a:solidFill>
                <a:schemeClr val="accent4">
                  <a:lumMod val="60000"/>
                  <a:lumOff val="40000"/>
                </a:schemeClr>
              </a:solidFill>
            </c:spPr>
          </c:dPt>
          <c:dPt>
            <c:idx val="2"/>
            <c:invertIfNegative val="0"/>
            <c:bubble3D val="0"/>
            <c:spPr>
              <a:solidFill>
                <a:schemeClr val="accent3">
                  <a:lumMod val="60000"/>
                  <a:lumOff val="40000"/>
                </a:schemeClr>
              </a:solidFill>
            </c:spPr>
          </c:dPt>
          <c:dPt>
            <c:idx val="3"/>
            <c:invertIfNegative val="0"/>
            <c:bubble3D val="0"/>
            <c:spPr>
              <a:solidFill>
                <a:schemeClr val="bg1">
                  <a:lumMod val="85000"/>
                </a:schemeClr>
              </a:solidFill>
            </c:spPr>
          </c:dPt>
          <c:dLbls>
            <c:txPr>
              <a:bodyPr rot="-5400000" vert="horz"/>
              <a:lstStyle/>
              <a:p>
                <a:pPr>
                  <a:defRPr/>
                </a:pPr>
                <a:endParaRPr lang="en-US"/>
              </a:p>
            </c:txPr>
            <c:dLblPos val="inBase"/>
            <c:showLegendKey val="0"/>
            <c:showVal val="0"/>
            <c:showCatName val="0"/>
            <c:showSerName val="1"/>
            <c:showPercent val="0"/>
            <c:showBubbleSize val="0"/>
            <c:showLeaderLines val="0"/>
          </c:dLbls>
          <c:errBars>
            <c:errBarType val="both"/>
            <c:errValType val="cust"/>
            <c:noEndCap val="0"/>
            <c:plus>
              <c:numRef>
                <c:f>'Health Indicators'!$L$290:$O$290</c:f>
                <c:numCache>
                  <c:formatCode>General</c:formatCode>
                  <c:ptCount val="4"/>
                  <c:pt idx="0">
                    <c:v>6.0513173855287705E-2</c:v>
                  </c:pt>
                  <c:pt idx="1">
                    <c:v>7.815378139605117E-2</c:v>
                  </c:pt>
                  <c:pt idx="2">
                    <c:v>9.000000000000008E-3</c:v>
                  </c:pt>
                  <c:pt idx="3">
                    <c:v>1.0000000000000009E-3</c:v>
                  </c:pt>
                </c:numCache>
              </c:numRef>
            </c:plus>
            <c:minus>
              <c:numRef>
                <c:f>'Health Indicators'!$L$291:$O$291</c:f>
                <c:numCache>
                  <c:formatCode>General</c:formatCode>
                  <c:ptCount val="4"/>
                  <c:pt idx="0">
                    <c:v>4.5368017814308825E-2</c:v>
                  </c:pt>
                  <c:pt idx="1">
                    <c:v>6.2745659492071948E-2</c:v>
                  </c:pt>
                  <c:pt idx="2">
                    <c:v>9.000000000000008E-3</c:v>
                  </c:pt>
                  <c:pt idx="3">
                    <c:v>1.0000000000000009E-3</c:v>
                  </c:pt>
                </c:numCache>
              </c:numRef>
            </c:minus>
          </c:errBars>
          <c:cat>
            <c:strRef>
              <c:f>'Health Indicators'!$L$288:$O$288</c:f>
              <c:strCache>
                <c:ptCount val="4"/>
                <c:pt idx="0">
                  <c:v>Angmering</c:v>
                </c:pt>
                <c:pt idx="1">
                  <c:v>Bewbush</c:v>
                </c:pt>
                <c:pt idx="2">
                  <c:v>West Sussex</c:v>
                </c:pt>
                <c:pt idx="3">
                  <c:v>England</c:v>
                </c:pt>
              </c:strCache>
            </c:strRef>
          </c:cat>
          <c:val>
            <c:numRef>
              <c:f>'Health Indicators'!$L$289:$O$289</c:f>
              <c:numCache>
                <c:formatCode>0.0%</c:formatCode>
                <c:ptCount val="4"/>
                <c:pt idx="0">
                  <c:v>0.14942528735632185</c:v>
                </c:pt>
                <c:pt idx="1">
                  <c:v>0.22556390977443608</c:v>
                </c:pt>
                <c:pt idx="2">
                  <c:v>0.157</c:v>
                </c:pt>
                <c:pt idx="3">
                  <c:v>0.187</c:v>
                </c:pt>
              </c:numCache>
            </c:numRef>
          </c:val>
        </c:ser>
        <c:ser>
          <c:idx val="1"/>
          <c:order val="1"/>
          <c:tx>
            <c:strRef>
              <c:f>'Health Indicators'!$K$292</c:f>
              <c:strCache>
                <c:ptCount val="1"/>
                <c:pt idx="0">
                  <c:v>2010/11</c:v>
                </c:pt>
              </c:strCache>
            </c:strRef>
          </c:tx>
          <c:invertIfNegative val="0"/>
          <c:dPt>
            <c:idx val="0"/>
            <c:invertIfNegative val="0"/>
            <c:bubble3D val="0"/>
            <c:spPr>
              <a:solidFill>
                <a:schemeClr val="tx2">
                  <a:lumMod val="40000"/>
                  <a:lumOff val="60000"/>
                </a:schemeClr>
              </a:solidFill>
            </c:spPr>
          </c:dPt>
          <c:dPt>
            <c:idx val="1"/>
            <c:invertIfNegative val="0"/>
            <c:bubble3D val="0"/>
            <c:spPr>
              <a:solidFill>
                <a:schemeClr val="accent4">
                  <a:lumMod val="60000"/>
                  <a:lumOff val="40000"/>
                </a:schemeClr>
              </a:solidFill>
            </c:spPr>
          </c:dPt>
          <c:dPt>
            <c:idx val="2"/>
            <c:invertIfNegative val="0"/>
            <c:bubble3D val="0"/>
            <c:spPr>
              <a:solidFill>
                <a:schemeClr val="accent3">
                  <a:lumMod val="60000"/>
                  <a:lumOff val="40000"/>
                </a:schemeClr>
              </a:solidFill>
            </c:spPr>
          </c:dPt>
          <c:dPt>
            <c:idx val="3"/>
            <c:invertIfNegative val="0"/>
            <c:bubble3D val="0"/>
            <c:spPr>
              <a:solidFill>
                <a:schemeClr val="bg1">
                  <a:lumMod val="85000"/>
                </a:schemeClr>
              </a:solidFill>
            </c:spPr>
          </c:dPt>
          <c:dLbls>
            <c:txPr>
              <a:bodyPr rot="-5400000" vert="horz"/>
              <a:lstStyle/>
              <a:p>
                <a:pPr>
                  <a:defRPr/>
                </a:pPr>
                <a:endParaRPr lang="en-US"/>
              </a:p>
            </c:txPr>
            <c:dLblPos val="inBase"/>
            <c:showLegendKey val="0"/>
            <c:showVal val="0"/>
            <c:showCatName val="0"/>
            <c:showSerName val="1"/>
            <c:showPercent val="0"/>
            <c:showBubbleSize val="0"/>
            <c:showLeaderLines val="0"/>
          </c:dLbls>
          <c:errBars>
            <c:errBarType val="both"/>
            <c:errValType val="cust"/>
            <c:noEndCap val="0"/>
            <c:plus>
              <c:numRef>
                <c:f>'Health Indicators'!$L$293:$O$293</c:f>
                <c:numCache>
                  <c:formatCode>General</c:formatCode>
                  <c:ptCount val="4"/>
                  <c:pt idx="0">
                    <c:v>6.3956910523117499E-2</c:v>
                  </c:pt>
                  <c:pt idx="1">
                    <c:v>6.9715288703934508E-2</c:v>
                  </c:pt>
                  <c:pt idx="2">
                    <c:v>9.000000000000008E-3</c:v>
                  </c:pt>
                  <c:pt idx="3">
                    <c:v>1.0000000000000009E-3</c:v>
                  </c:pt>
                </c:numCache>
              </c:numRef>
            </c:plus>
            <c:minus>
              <c:numRef>
                <c:f>'Health Indicators'!$L$294:$O$294</c:f>
                <c:numCache>
                  <c:formatCode>General</c:formatCode>
                  <c:ptCount val="4"/>
                  <c:pt idx="0">
                    <c:v>4.9694969736587408E-2</c:v>
                  </c:pt>
                  <c:pt idx="1">
                    <c:v>5.7731988307530624E-2</c:v>
                  </c:pt>
                  <c:pt idx="2">
                    <c:v>1.2000000000000011E-2</c:v>
                  </c:pt>
                  <c:pt idx="3">
                    <c:v>1.0000000000000009E-3</c:v>
                  </c:pt>
                </c:numCache>
              </c:numRef>
            </c:minus>
          </c:errBars>
          <c:cat>
            <c:strRef>
              <c:f>'Health Indicators'!$L$288:$O$288</c:f>
              <c:strCache>
                <c:ptCount val="4"/>
                <c:pt idx="0">
                  <c:v>Angmering</c:v>
                </c:pt>
                <c:pt idx="1">
                  <c:v>Bewbush</c:v>
                </c:pt>
                <c:pt idx="2">
                  <c:v>West Sussex</c:v>
                </c:pt>
                <c:pt idx="3">
                  <c:v>England</c:v>
                </c:pt>
              </c:strCache>
            </c:strRef>
          </c:cat>
          <c:val>
            <c:numRef>
              <c:f>'Health Indicators'!$L$292:$O$292</c:f>
              <c:numCache>
                <c:formatCode>0.0%</c:formatCode>
                <c:ptCount val="4"/>
                <c:pt idx="0">
                  <c:v>0.17543859649122806</c:v>
                </c:pt>
                <c:pt idx="1">
                  <c:v>0.23353293413173654</c:v>
                </c:pt>
                <c:pt idx="2">
                  <c:v>0.159</c:v>
                </c:pt>
                <c:pt idx="3">
                  <c:v>0.19</c:v>
                </c:pt>
              </c:numCache>
            </c:numRef>
          </c:val>
        </c:ser>
        <c:ser>
          <c:idx val="2"/>
          <c:order val="2"/>
          <c:tx>
            <c:strRef>
              <c:f>'Health Indicators'!$K$295</c:f>
              <c:strCache>
                <c:ptCount val="1"/>
                <c:pt idx="0">
                  <c:v>2011/12</c:v>
                </c:pt>
              </c:strCache>
            </c:strRef>
          </c:tx>
          <c:invertIfNegative val="0"/>
          <c:dPt>
            <c:idx val="0"/>
            <c:invertIfNegative val="0"/>
            <c:bubble3D val="0"/>
            <c:spPr>
              <a:solidFill>
                <a:schemeClr val="tx2">
                  <a:lumMod val="40000"/>
                  <a:lumOff val="60000"/>
                </a:schemeClr>
              </a:solidFill>
            </c:spPr>
          </c:dPt>
          <c:dPt>
            <c:idx val="1"/>
            <c:invertIfNegative val="0"/>
            <c:bubble3D val="0"/>
            <c:spPr>
              <a:solidFill>
                <a:schemeClr val="accent4">
                  <a:lumMod val="60000"/>
                  <a:lumOff val="40000"/>
                </a:schemeClr>
              </a:solidFill>
            </c:spPr>
          </c:dPt>
          <c:dPt>
            <c:idx val="2"/>
            <c:invertIfNegative val="0"/>
            <c:bubble3D val="0"/>
            <c:spPr>
              <a:solidFill>
                <a:schemeClr val="accent3">
                  <a:lumMod val="60000"/>
                  <a:lumOff val="40000"/>
                </a:schemeClr>
              </a:solidFill>
            </c:spPr>
          </c:dPt>
          <c:dPt>
            <c:idx val="3"/>
            <c:invertIfNegative val="0"/>
            <c:bubble3D val="0"/>
            <c:spPr>
              <a:solidFill>
                <a:schemeClr val="bg1">
                  <a:lumMod val="85000"/>
                </a:schemeClr>
              </a:solidFill>
            </c:spPr>
          </c:dPt>
          <c:dLbls>
            <c:txPr>
              <a:bodyPr rot="-5400000" vert="horz"/>
              <a:lstStyle/>
              <a:p>
                <a:pPr>
                  <a:defRPr/>
                </a:pPr>
                <a:endParaRPr lang="en-US"/>
              </a:p>
            </c:txPr>
            <c:dLblPos val="inBase"/>
            <c:showLegendKey val="0"/>
            <c:showVal val="0"/>
            <c:showCatName val="0"/>
            <c:showSerName val="1"/>
            <c:showPercent val="0"/>
            <c:showBubbleSize val="0"/>
            <c:showLeaderLines val="0"/>
          </c:dLbls>
          <c:errBars>
            <c:errBarType val="both"/>
            <c:errValType val="cust"/>
            <c:noEndCap val="0"/>
            <c:plus>
              <c:numRef>
                <c:f>'Health Indicators'!$L$296:$O$296</c:f>
                <c:numCache>
                  <c:formatCode>General</c:formatCode>
                  <c:ptCount val="4"/>
                  <c:pt idx="0">
                    <c:v>6.0924192529133919E-2</c:v>
                  </c:pt>
                  <c:pt idx="1">
                    <c:v>6.6640442088269664E-2</c:v>
                  </c:pt>
                  <c:pt idx="2">
                    <c:v>9.000000000000008E-3</c:v>
                  </c:pt>
                  <c:pt idx="3">
                    <c:v>1.0000000000000009E-3</c:v>
                  </c:pt>
                </c:numCache>
              </c:numRef>
            </c:plus>
            <c:minus>
              <c:numRef>
                <c:f>'Health Indicators'!$L$297:$O$297</c:f>
                <c:numCache>
                  <c:formatCode>General</c:formatCode>
                  <c:ptCount val="4"/>
                  <c:pt idx="0">
                    <c:v>4.8434066730629971E-2</c:v>
                  </c:pt>
                  <c:pt idx="1">
                    <c:v>5.4759247506348058E-2</c:v>
                  </c:pt>
                  <c:pt idx="2">
                    <c:v>9.000000000000008E-3</c:v>
                  </c:pt>
                  <c:pt idx="3">
                    <c:v>1.0000000000000009E-3</c:v>
                  </c:pt>
                </c:numCache>
              </c:numRef>
            </c:minus>
          </c:errBars>
          <c:cat>
            <c:strRef>
              <c:f>'Health Indicators'!$L$288:$O$288</c:f>
              <c:strCache>
                <c:ptCount val="4"/>
                <c:pt idx="0">
                  <c:v>Angmering</c:v>
                </c:pt>
                <c:pt idx="1">
                  <c:v>Bewbush</c:v>
                </c:pt>
                <c:pt idx="2">
                  <c:v>West Sussex</c:v>
                </c:pt>
                <c:pt idx="3">
                  <c:v>England</c:v>
                </c:pt>
              </c:strCache>
            </c:strRef>
          </c:cat>
          <c:val>
            <c:numRef>
              <c:f>'Health Indicators'!$L$295:$O$295</c:f>
              <c:numCache>
                <c:formatCode>0.0%</c:formatCode>
                <c:ptCount val="4"/>
                <c:pt idx="0">
                  <c:v>0.18324607329842932</c:v>
                </c:pt>
                <c:pt idx="1">
                  <c:v>0.22033898305084745</c:v>
                </c:pt>
                <c:pt idx="2">
                  <c:v>0.156</c:v>
                </c:pt>
                <c:pt idx="3">
                  <c:v>0.192</c:v>
                </c:pt>
              </c:numCache>
            </c:numRef>
          </c:val>
        </c:ser>
        <c:ser>
          <c:idx val="3"/>
          <c:order val="3"/>
          <c:tx>
            <c:strRef>
              <c:f>'Health Indicators'!$K$298</c:f>
              <c:strCache>
                <c:ptCount val="1"/>
                <c:pt idx="0">
                  <c:v>2012/13</c:v>
                </c:pt>
              </c:strCache>
            </c:strRef>
          </c:tx>
          <c:invertIfNegative val="0"/>
          <c:dPt>
            <c:idx val="0"/>
            <c:invertIfNegative val="0"/>
            <c:bubble3D val="0"/>
            <c:spPr>
              <a:solidFill>
                <a:schemeClr val="tx2">
                  <a:lumMod val="40000"/>
                  <a:lumOff val="60000"/>
                </a:schemeClr>
              </a:solidFill>
            </c:spPr>
          </c:dPt>
          <c:dPt>
            <c:idx val="1"/>
            <c:invertIfNegative val="0"/>
            <c:bubble3D val="0"/>
            <c:spPr>
              <a:solidFill>
                <a:schemeClr val="accent4">
                  <a:lumMod val="60000"/>
                  <a:lumOff val="40000"/>
                </a:schemeClr>
              </a:solidFill>
            </c:spPr>
          </c:dPt>
          <c:dPt>
            <c:idx val="2"/>
            <c:invertIfNegative val="0"/>
            <c:bubble3D val="0"/>
            <c:spPr>
              <a:solidFill>
                <a:schemeClr val="accent3">
                  <a:lumMod val="60000"/>
                  <a:lumOff val="40000"/>
                </a:schemeClr>
              </a:solidFill>
            </c:spPr>
          </c:dPt>
          <c:dPt>
            <c:idx val="3"/>
            <c:invertIfNegative val="0"/>
            <c:bubble3D val="0"/>
            <c:spPr>
              <a:solidFill>
                <a:schemeClr val="bg1">
                  <a:lumMod val="85000"/>
                </a:schemeClr>
              </a:solidFill>
            </c:spPr>
          </c:dPt>
          <c:dLbls>
            <c:txPr>
              <a:bodyPr rot="-5400000" vert="horz"/>
              <a:lstStyle/>
              <a:p>
                <a:pPr>
                  <a:defRPr/>
                </a:pPr>
                <a:endParaRPr lang="en-US"/>
              </a:p>
            </c:txPr>
            <c:dLblPos val="inBase"/>
            <c:showLegendKey val="0"/>
            <c:showVal val="0"/>
            <c:showCatName val="0"/>
            <c:showSerName val="1"/>
            <c:showPercent val="0"/>
            <c:showBubbleSize val="0"/>
            <c:showLeaderLines val="0"/>
          </c:dLbls>
          <c:errBars>
            <c:errBarType val="both"/>
            <c:errValType val="cust"/>
            <c:noEndCap val="0"/>
            <c:plus>
              <c:numRef>
                <c:f>'Health Indicators'!$L$299:$O$299</c:f>
                <c:numCache>
                  <c:formatCode>General</c:formatCode>
                  <c:ptCount val="4"/>
                  <c:pt idx="0">
                    <c:v>5.0999737335807621E-2</c:v>
                  </c:pt>
                  <c:pt idx="1">
                    <c:v>6.9223775993319248E-2</c:v>
                  </c:pt>
                  <c:pt idx="2">
                    <c:v>8.0000000000000071E-3</c:v>
                  </c:pt>
                  <c:pt idx="3">
                    <c:v>1.0000000000000009E-3</c:v>
                  </c:pt>
                </c:numCache>
              </c:numRef>
            </c:plus>
            <c:minus>
              <c:numRef>
                <c:f>'Health Indicators'!$L$300:$O$300</c:f>
                <c:numCache>
                  <c:formatCode>General</c:formatCode>
                  <c:ptCount val="4"/>
                  <c:pt idx="0">
                    <c:v>3.4681117150866241E-2</c:v>
                  </c:pt>
                  <c:pt idx="1">
                    <c:v>5.5449136330059878E-2</c:v>
                  </c:pt>
                  <c:pt idx="2">
                    <c:v>8.0000000000000071E-3</c:v>
                  </c:pt>
                  <c:pt idx="3">
                    <c:v>1.0000000000000009E-3</c:v>
                  </c:pt>
                </c:numCache>
              </c:numRef>
            </c:minus>
          </c:errBars>
          <c:cat>
            <c:strRef>
              <c:f>'Health Indicators'!$L$288:$O$288</c:f>
              <c:strCache>
                <c:ptCount val="4"/>
                <c:pt idx="0">
                  <c:v>Angmering</c:v>
                </c:pt>
                <c:pt idx="1">
                  <c:v>Bewbush</c:v>
                </c:pt>
                <c:pt idx="2">
                  <c:v>West Sussex</c:v>
                </c:pt>
                <c:pt idx="3">
                  <c:v>England</c:v>
                </c:pt>
              </c:strCache>
            </c:strRef>
          </c:cat>
          <c:val>
            <c:numRef>
              <c:f>'Health Indicators'!$L$298:$O$298</c:f>
              <c:numCache>
                <c:formatCode>0.0%</c:formatCode>
                <c:ptCount val="4"/>
                <c:pt idx="0">
                  <c:v>9.6774193548387094E-2</c:v>
                </c:pt>
                <c:pt idx="1">
                  <c:v>0.20624999999999999</c:v>
                </c:pt>
                <c:pt idx="2">
                  <c:v>0.14699999999999999</c:v>
                </c:pt>
                <c:pt idx="3">
                  <c:v>0.189</c:v>
                </c:pt>
              </c:numCache>
            </c:numRef>
          </c:val>
        </c:ser>
        <c:ser>
          <c:idx val="4"/>
          <c:order val="4"/>
          <c:tx>
            <c:strRef>
              <c:f>'Health Indicators'!$K$301</c:f>
              <c:strCache>
                <c:ptCount val="1"/>
                <c:pt idx="0">
                  <c:v>2013/14</c:v>
                </c:pt>
              </c:strCache>
            </c:strRef>
          </c:tx>
          <c:invertIfNegative val="0"/>
          <c:dPt>
            <c:idx val="0"/>
            <c:invertIfNegative val="0"/>
            <c:bubble3D val="0"/>
            <c:spPr>
              <a:solidFill>
                <a:schemeClr val="tx2">
                  <a:lumMod val="40000"/>
                  <a:lumOff val="60000"/>
                </a:schemeClr>
              </a:solidFill>
            </c:spPr>
          </c:dPt>
          <c:dPt>
            <c:idx val="1"/>
            <c:invertIfNegative val="0"/>
            <c:bubble3D val="0"/>
            <c:spPr>
              <a:solidFill>
                <a:schemeClr val="accent4">
                  <a:lumMod val="60000"/>
                  <a:lumOff val="40000"/>
                </a:schemeClr>
              </a:solidFill>
            </c:spPr>
          </c:dPt>
          <c:dPt>
            <c:idx val="2"/>
            <c:invertIfNegative val="0"/>
            <c:bubble3D val="0"/>
            <c:spPr>
              <a:solidFill>
                <a:schemeClr val="accent3">
                  <a:lumMod val="60000"/>
                  <a:lumOff val="40000"/>
                </a:schemeClr>
              </a:solidFill>
            </c:spPr>
          </c:dPt>
          <c:dPt>
            <c:idx val="3"/>
            <c:invertIfNegative val="0"/>
            <c:bubble3D val="0"/>
            <c:spPr>
              <a:solidFill>
                <a:schemeClr val="bg1">
                  <a:lumMod val="85000"/>
                </a:schemeClr>
              </a:solidFill>
            </c:spPr>
          </c:dPt>
          <c:dLbls>
            <c:txPr>
              <a:bodyPr rot="-5400000" vert="horz"/>
              <a:lstStyle/>
              <a:p>
                <a:pPr>
                  <a:defRPr/>
                </a:pPr>
                <a:endParaRPr lang="en-US"/>
              </a:p>
            </c:txPr>
            <c:dLblPos val="inBase"/>
            <c:showLegendKey val="0"/>
            <c:showVal val="0"/>
            <c:showCatName val="0"/>
            <c:showSerName val="1"/>
            <c:showPercent val="0"/>
            <c:showBubbleSize val="0"/>
            <c:showLeaderLines val="0"/>
          </c:dLbls>
          <c:errBars>
            <c:errBarType val="both"/>
            <c:errValType val="cust"/>
            <c:noEndCap val="0"/>
            <c:plus>
              <c:numRef>
                <c:f>'Health Indicators'!$L$302:$O$302</c:f>
                <c:numCache>
                  <c:formatCode>General</c:formatCode>
                  <c:ptCount val="4"/>
                  <c:pt idx="0">
                    <c:v>6.2198398977746205E-2</c:v>
                  </c:pt>
                  <c:pt idx="1">
                    <c:v>6.9079942869381294E-2</c:v>
                  </c:pt>
                  <c:pt idx="2">
                    <c:v>8.6070000000000035E-3</c:v>
                  </c:pt>
                  <c:pt idx="3">
                    <c:v>1.0759999999999936E-3</c:v>
                  </c:pt>
                </c:numCache>
              </c:numRef>
            </c:plus>
            <c:minus>
              <c:numRef>
                <c:f>'Health Indicators'!$L$303:$O$303</c:f>
                <c:numCache>
                  <c:formatCode>General</c:formatCode>
                  <c:ptCount val="4"/>
                  <c:pt idx="0">
                    <c:v>4.9843083082499323E-2</c:v>
                  </c:pt>
                  <c:pt idx="1">
                    <c:v>5.7112456360988412E-2</c:v>
                  </c:pt>
                  <c:pt idx="2">
                    <c:v>8.2470000000000043E-3</c:v>
                  </c:pt>
                  <c:pt idx="3">
                    <c:v>1.0719999999999896E-3</c:v>
                  </c:pt>
                </c:numCache>
              </c:numRef>
            </c:minus>
          </c:errBars>
          <c:cat>
            <c:strRef>
              <c:f>'Health Indicators'!$L$288:$O$288</c:f>
              <c:strCache>
                <c:ptCount val="4"/>
                <c:pt idx="0">
                  <c:v>Angmering</c:v>
                </c:pt>
                <c:pt idx="1">
                  <c:v>Bewbush</c:v>
                </c:pt>
                <c:pt idx="2">
                  <c:v>West Sussex</c:v>
                </c:pt>
                <c:pt idx="3">
                  <c:v>England</c:v>
                </c:pt>
              </c:strCache>
            </c:strRef>
          </c:cat>
          <c:val>
            <c:numRef>
              <c:f>'Health Indicators'!$L$301:$O$301</c:f>
              <c:numCache>
                <c:formatCode>0.0%</c:formatCode>
                <c:ptCount val="4"/>
                <c:pt idx="0">
                  <c:v>0.19148936170212766</c:v>
                </c:pt>
                <c:pt idx="1">
                  <c:v>0.23076923076923078</c:v>
                </c:pt>
                <c:pt idx="2">
                  <c:v>0.159994</c:v>
                </c:pt>
                <c:pt idx="3">
                  <c:v>0.19092900000000002</c:v>
                </c:pt>
              </c:numCache>
            </c:numRef>
          </c:val>
        </c:ser>
        <c:ser>
          <c:idx val="5"/>
          <c:order val="5"/>
          <c:tx>
            <c:strRef>
              <c:f>'Health Indicators'!$K$304</c:f>
              <c:strCache>
                <c:ptCount val="1"/>
                <c:pt idx="0">
                  <c:v>2014/15</c:v>
                </c:pt>
              </c:strCache>
            </c:strRef>
          </c:tx>
          <c:invertIfNegative val="0"/>
          <c:dPt>
            <c:idx val="0"/>
            <c:invertIfNegative val="0"/>
            <c:bubble3D val="0"/>
            <c:spPr>
              <a:solidFill>
                <a:schemeClr val="tx2">
                  <a:lumMod val="40000"/>
                  <a:lumOff val="60000"/>
                </a:schemeClr>
              </a:solidFill>
            </c:spPr>
          </c:dPt>
          <c:dPt>
            <c:idx val="1"/>
            <c:invertIfNegative val="0"/>
            <c:bubble3D val="0"/>
            <c:spPr>
              <a:solidFill>
                <a:schemeClr val="accent4">
                  <a:lumMod val="60000"/>
                  <a:lumOff val="40000"/>
                </a:schemeClr>
              </a:solidFill>
            </c:spPr>
          </c:dPt>
          <c:dPt>
            <c:idx val="2"/>
            <c:invertIfNegative val="0"/>
            <c:bubble3D val="0"/>
            <c:spPr>
              <a:solidFill>
                <a:schemeClr val="accent3">
                  <a:lumMod val="60000"/>
                  <a:lumOff val="40000"/>
                </a:schemeClr>
              </a:solidFill>
            </c:spPr>
          </c:dPt>
          <c:dPt>
            <c:idx val="3"/>
            <c:invertIfNegative val="0"/>
            <c:bubble3D val="0"/>
            <c:spPr>
              <a:solidFill>
                <a:schemeClr val="bg1">
                  <a:lumMod val="85000"/>
                </a:schemeClr>
              </a:solidFill>
            </c:spPr>
          </c:dPt>
          <c:dLbls>
            <c:txPr>
              <a:bodyPr rot="-5400000" vert="horz"/>
              <a:lstStyle/>
              <a:p>
                <a:pPr>
                  <a:defRPr/>
                </a:pPr>
                <a:endParaRPr lang="en-US"/>
              </a:p>
            </c:txPr>
            <c:dLblPos val="inBase"/>
            <c:showLegendKey val="0"/>
            <c:showVal val="0"/>
            <c:showCatName val="0"/>
            <c:showSerName val="1"/>
            <c:showPercent val="0"/>
            <c:showBubbleSize val="0"/>
            <c:showLeaderLines val="0"/>
          </c:dLbls>
          <c:errBars>
            <c:errBarType val="both"/>
            <c:errValType val="cust"/>
            <c:noEndCap val="0"/>
            <c:plus>
              <c:numRef>
                <c:f>'Health Indicators'!$L$306:$O$306</c:f>
                <c:numCache>
                  <c:formatCode>General</c:formatCode>
                  <c:ptCount val="4"/>
                  <c:pt idx="0">
                    <c:v>5.711859832166441E-2</c:v>
                  </c:pt>
                  <c:pt idx="1">
                    <c:v>6.8004425162144277E-2</c:v>
                  </c:pt>
                  <c:pt idx="2">
                    <c:v>8.4990355966950148E-3</c:v>
                  </c:pt>
                  <c:pt idx="3">
                    <c:v>1.0588724244570136E-3</c:v>
                  </c:pt>
                </c:numCache>
              </c:numRef>
            </c:plus>
            <c:minus>
              <c:numRef>
                <c:f>'Health Indicators'!$L$305:$O$305</c:f>
                <c:numCache>
                  <c:formatCode>General</c:formatCode>
                  <c:ptCount val="4"/>
                  <c:pt idx="0">
                    <c:v>4.3183334001019508E-2</c:v>
                  </c:pt>
                  <c:pt idx="1">
                    <c:v>5.3991973294214374E-2</c:v>
                  </c:pt>
                  <c:pt idx="2">
                    <c:v>8.1469507844079969E-3</c:v>
                  </c:pt>
                  <c:pt idx="3">
                    <c:v>1.0544005811919943E-3</c:v>
                  </c:pt>
                </c:numCache>
              </c:numRef>
            </c:minus>
          </c:errBars>
          <c:cat>
            <c:strRef>
              <c:f>'Health Indicators'!$L$288:$O$288</c:f>
              <c:strCache>
                <c:ptCount val="4"/>
                <c:pt idx="0">
                  <c:v>Angmering</c:v>
                </c:pt>
                <c:pt idx="1">
                  <c:v>Bewbush</c:v>
                </c:pt>
                <c:pt idx="2">
                  <c:v>West Sussex</c:v>
                </c:pt>
                <c:pt idx="3">
                  <c:v>England</c:v>
                </c:pt>
              </c:strCache>
            </c:strRef>
          </c:cat>
          <c:val>
            <c:numRef>
              <c:f>'Health Indicators'!$L$304:$O$304</c:f>
              <c:numCache>
                <c:formatCode>0.0%</c:formatCode>
                <c:ptCount val="4"/>
                <c:pt idx="0">
                  <c:v>0.14659685863874344</c:v>
                </c:pt>
                <c:pt idx="1">
                  <c:v>0.19753086419753085</c:v>
                </c:pt>
                <c:pt idx="2">
                  <c:v>0.159375420648809</c:v>
                </c:pt>
                <c:pt idx="3">
                  <c:v>0.19079934415490299</c:v>
                </c:pt>
              </c:numCache>
            </c:numRef>
          </c:val>
        </c:ser>
        <c:ser>
          <c:idx val="6"/>
          <c:order val="6"/>
          <c:tx>
            <c:strRef>
              <c:f>'Health Indicators'!$K$307</c:f>
              <c:strCache>
                <c:ptCount val="1"/>
                <c:pt idx="0">
                  <c:v>2015/16</c:v>
                </c:pt>
              </c:strCache>
            </c:strRef>
          </c:tx>
          <c:invertIfNegative val="0"/>
          <c:dPt>
            <c:idx val="0"/>
            <c:invertIfNegative val="0"/>
            <c:bubble3D val="0"/>
            <c:spPr>
              <a:solidFill>
                <a:schemeClr val="tx2">
                  <a:lumMod val="40000"/>
                  <a:lumOff val="60000"/>
                </a:schemeClr>
              </a:solidFill>
            </c:spPr>
          </c:dPt>
          <c:dPt>
            <c:idx val="1"/>
            <c:invertIfNegative val="0"/>
            <c:bubble3D val="0"/>
            <c:spPr>
              <a:solidFill>
                <a:schemeClr val="accent4">
                  <a:lumMod val="60000"/>
                  <a:lumOff val="40000"/>
                </a:schemeClr>
              </a:solidFill>
            </c:spPr>
          </c:dPt>
          <c:dPt>
            <c:idx val="2"/>
            <c:invertIfNegative val="0"/>
            <c:bubble3D val="0"/>
            <c:spPr>
              <a:solidFill>
                <a:schemeClr val="accent3">
                  <a:lumMod val="60000"/>
                  <a:lumOff val="40000"/>
                </a:schemeClr>
              </a:solidFill>
            </c:spPr>
          </c:dPt>
          <c:dPt>
            <c:idx val="3"/>
            <c:invertIfNegative val="0"/>
            <c:bubble3D val="0"/>
            <c:spPr>
              <a:solidFill>
                <a:schemeClr val="bg1">
                  <a:lumMod val="85000"/>
                </a:schemeClr>
              </a:solidFill>
            </c:spPr>
          </c:dPt>
          <c:dLbls>
            <c:txPr>
              <a:bodyPr rot="-5400000" vert="horz"/>
              <a:lstStyle/>
              <a:p>
                <a:pPr>
                  <a:defRPr/>
                </a:pPr>
                <a:endParaRPr lang="en-US"/>
              </a:p>
            </c:txPr>
            <c:dLblPos val="inBase"/>
            <c:showLegendKey val="0"/>
            <c:showVal val="0"/>
            <c:showCatName val="0"/>
            <c:showSerName val="1"/>
            <c:showPercent val="0"/>
            <c:showBubbleSize val="0"/>
            <c:showLeaderLines val="0"/>
          </c:dLbls>
          <c:errBars>
            <c:errBarType val="both"/>
            <c:errValType val="cust"/>
            <c:noEndCap val="0"/>
            <c:plus>
              <c:numRef>
                <c:f>'Health Indicators'!$L$309:$O$309</c:f>
                <c:numCache>
                  <c:formatCode>General</c:formatCode>
                  <c:ptCount val="4"/>
                  <c:pt idx="0">
                    <c:v>6.576587020704433E-2</c:v>
                  </c:pt>
                  <c:pt idx="1">
                    <c:v>7.2836688818253448E-2</c:v>
                  </c:pt>
                  <c:pt idx="2">
                    <c:v>8.4718830987550175E-3</c:v>
                  </c:pt>
                  <c:pt idx="3">
                    <c:v>1.0610640106659686E-3</c:v>
                  </c:pt>
                </c:numCache>
              </c:numRef>
            </c:plus>
            <c:minus>
              <c:numRef>
                <c:f>'Health Indicators'!$L$308:$O$308</c:f>
                <c:numCache>
                  <c:formatCode>General</c:formatCode>
                  <c:ptCount val="4"/>
                  <c:pt idx="0">
                    <c:v>5.3925088051463593E-2</c:v>
                  </c:pt>
                  <c:pt idx="1">
                    <c:v>6.1691316476077174E-2</c:v>
                  </c:pt>
                  <c:pt idx="2">
                    <c:v>8.129127304424999E-3</c:v>
                  </c:pt>
                  <c:pt idx="3">
                    <c:v>1.0568079360400162E-3</c:v>
                  </c:pt>
                </c:numCache>
              </c:numRef>
            </c:minus>
          </c:errBars>
          <c:cat>
            <c:strRef>
              <c:f>'Health Indicators'!$L$288:$O$288</c:f>
              <c:strCache>
                <c:ptCount val="4"/>
                <c:pt idx="0">
                  <c:v>Angmering</c:v>
                </c:pt>
                <c:pt idx="1">
                  <c:v>Bewbush</c:v>
                </c:pt>
                <c:pt idx="2">
                  <c:v>West Sussex</c:v>
                </c:pt>
                <c:pt idx="3">
                  <c:v>England</c:v>
                </c:pt>
              </c:strCache>
            </c:strRef>
          </c:cat>
          <c:val>
            <c:numRef>
              <c:f>'Health Indicators'!$L$307:$O$307</c:f>
              <c:numCache>
                <c:formatCode>0.0%</c:formatCode>
                <c:ptCount val="4"/>
                <c:pt idx="0">
                  <c:v>0.21666666666666667</c:v>
                </c:pt>
                <c:pt idx="1">
                  <c:v>0.2608695652173913</c:v>
                </c:pt>
                <c:pt idx="2">
                  <c:v>0.16206577730815</c:v>
                </c:pt>
                <c:pt idx="3">
                  <c:v>0.19829971631335902</c:v>
                </c:pt>
              </c:numCache>
            </c:numRef>
          </c:val>
        </c:ser>
        <c:dLbls>
          <c:showLegendKey val="0"/>
          <c:showVal val="0"/>
          <c:showCatName val="0"/>
          <c:showSerName val="0"/>
          <c:showPercent val="0"/>
          <c:showBubbleSize val="0"/>
        </c:dLbls>
        <c:gapWidth val="150"/>
        <c:axId val="83785600"/>
        <c:axId val="83787136"/>
      </c:barChart>
      <c:catAx>
        <c:axId val="83785600"/>
        <c:scaling>
          <c:orientation val="minMax"/>
        </c:scaling>
        <c:delete val="0"/>
        <c:axPos val="b"/>
        <c:majorTickMark val="out"/>
        <c:minorTickMark val="none"/>
        <c:tickLblPos val="nextTo"/>
        <c:crossAx val="83787136"/>
        <c:crosses val="autoZero"/>
        <c:auto val="1"/>
        <c:lblAlgn val="ctr"/>
        <c:lblOffset val="100"/>
        <c:noMultiLvlLbl val="0"/>
      </c:catAx>
      <c:valAx>
        <c:axId val="83787136"/>
        <c:scaling>
          <c:orientation val="minMax"/>
        </c:scaling>
        <c:delete val="0"/>
        <c:axPos val="l"/>
        <c:majorGridlines>
          <c:spPr>
            <a:ln>
              <a:solidFill>
                <a:schemeClr val="bg1">
                  <a:lumMod val="75000"/>
                </a:schemeClr>
              </a:solidFill>
            </a:ln>
          </c:spPr>
        </c:majorGridlines>
        <c:title>
          <c:tx>
            <c:rich>
              <a:bodyPr rot="-5400000" vert="horz"/>
              <a:lstStyle/>
              <a:p>
                <a:pPr>
                  <a:defRPr/>
                </a:pPr>
                <a:r>
                  <a:rPr lang="en-US"/>
                  <a:t>% of year</a:t>
                </a:r>
                <a:r>
                  <a:rPr lang="en-US" baseline="0"/>
                  <a:t> 6 </a:t>
                </a:r>
                <a:r>
                  <a:rPr lang="en-US"/>
                  <a:t>children measured as obese</a:t>
                </a:r>
              </a:p>
            </c:rich>
          </c:tx>
          <c:overlay val="0"/>
        </c:title>
        <c:numFmt formatCode="0.0%" sourceLinked="1"/>
        <c:majorTickMark val="out"/>
        <c:minorTickMark val="none"/>
        <c:tickLblPos val="nextTo"/>
        <c:crossAx val="83785600"/>
        <c:crosses val="autoZero"/>
        <c:crossBetween val="between"/>
      </c:valAx>
      <c:spPr>
        <a:solidFill>
          <a:schemeClr val="bg1"/>
        </a:solidFill>
      </c:spPr>
    </c:plotArea>
    <c:plotVisOnly val="1"/>
    <c:dispBlanksAs val="gap"/>
    <c:showDLblsOverMax val="0"/>
  </c:chart>
  <c:spPr>
    <a:ln>
      <a:noFill/>
    </a:ln>
  </c:sp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'Health Indicators'!$F$580</c:f>
              <c:strCache>
                <c:ptCount val="1"/>
                <c:pt idx="0">
                  <c:v>% smoking at time of booking</c:v>
                </c:pt>
              </c:strCache>
            </c:strRef>
          </c:tx>
          <c:spPr>
            <a:solidFill>
              <a:schemeClr val="tx2">
                <a:lumMod val="40000"/>
                <a:lumOff val="60000"/>
              </a:schemeClr>
            </a:solidFill>
            <a:ln>
              <a:solidFill>
                <a:sysClr val="windowText" lastClr="000000"/>
              </a:solidFill>
            </a:ln>
          </c:spPr>
          <c:invertIfNegative val="0"/>
          <c:errBars>
            <c:errBarType val="both"/>
            <c:errValType val="cust"/>
            <c:noEndCap val="0"/>
            <c:plus>
              <c:numRef>
                <c:f>'Health Indicators'!$J$582:$K$582</c:f>
                <c:numCache>
                  <c:formatCode>General</c:formatCode>
                  <c:ptCount val="2"/>
                  <c:pt idx="0">
                    <c:v>5.2268862796786164E-2</c:v>
                  </c:pt>
                  <c:pt idx="1">
                    <c:v>9.6083587232147744E-2</c:v>
                  </c:pt>
                </c:numCache>
              </c:numRef>
            </c:plus>
            <c:minus>
              <c:numRef>
                <c:f>'Health Indicators'!$J$581:$K$581</c:f>
                <c:numCache>
                  <c:formatCode>General</c:formatCode>
                  <c:ptCount val="2"/>
                  <c:pt idx="0">
                    <c:v>1.87730039288228E-2</c:v>
                  </c:pt>
                  <c:pt idx="1">
                    <c:v>4.6795792528693744E-2</c:v>
                  </c:pt>
                </c:numCache>
              </c:numRef>
            </c:minus>
          </c:errBars>
          <c:cat>
            <c:strRef>
              <c:f>'Health Indicators'!$G$579:$H$579</c:f>
              <c:strCache>
                <c:ptCount val="2"/>
                <c:pt idx="0">
                  <c:v>Angmering</c:v>
                </c:pt>
                <c:pt idx="1">
                  <c:v>Bewbush</c:v>
                </c:pt>
              </c:strCache>
            </c:strRef>
          </c:cat>
          <c:val>
            <c:numRef>
              <c:f>'Health Indicators'!$G$580:$H$580</c:f>
              <c:numCache>
                <c:formatCode>0.0%</c:formatCode>
                <c:ptCount val="2"/>
                <c:pt idx="0">
                  <c:v>3.8703703703703699E-2</c:v>
                </c:pt>
                <c:pt idx="1">
                  <c:v>0.1624135124135124</c:v>
                </c:pt>
              </c:numCache>
            </c:numRef>
          </c:val>
        </c:ser>
        <c:ser>
          <c:idx val="1"/>
          <c:order val="1"/>
          <c:tx>
            <c:strRef>
              <c:f>'Health Indicators'!$F$583</c:f>
              <c:strCache>
                <c:ptCount val="1"/>
                <c:pt idx="0">
                  <c:v>% smoking at time of delivery</c:v>
                </c:pt>
              </c:strCache>
            </c:strRef>
          </c:tx>
          <c:spPr>
            <a:solidFill>
              <a:schemeClr val="accent4">
                <a:lumMod val="40000"/>
                <a:lumOff val="60000"/>
              </a:schemeClr>
            </a:solidFill>
            <a:ln>
              <a:solidFill>
                <a:sysClr val="windowText" lastClr="000000"/>
              </a:solidFill>
            </a:ln>
          </c:spPr>
          <c:invertIfNegative val="0"/>
          <c:errBars>
            <c:errBarType val="both"/>
            <c:errValType val="cust"/>
            <c:noEndCap val="0"/>
            <c:plus>
              <c:numRef>
                <c:f>'Health Indicators'!$J$585:$K$585</c:f>
                <c:numCache>
                  <c:formatCode>General</c:formatCode>
                  <c:ptCount val="2"/>
                  <c:pt idx="0">
                    <c:v>4.2268862796786155E-2</c:v>
                  </c:pt>
                  <c:pt idx="1">
                    <c:v>8.5092939152509248E-2</c:v>
                  </c:pt>
                </c:numCache>
              </c:numRef>
            </c:plus>
            <c:minus>
              <c:numRef>
                <c:f>'Health Indicators'!$J$584:$K$584</c:f>
                <c:numCache>
                  <c:formatCode>General</c:formatCode>
                  <c:ptCount val="2"/>
                  <c:pt idx="0">
                    <c:v>2.8773003928822809E-2</c:v>
                  </c:pt>
                  <c:pt idx="1">
                    <c:v>4.1985729855975026E-2</c:v>
                  </c:pt>
                </c:numCache>
              </c:numRef>
            </c:minus>
          </c:errBars>
          <c:cat>
            <c:strRef>
              <c:f>'Health Indicators'!$G$579:$H$579</c:f>
              <c:strCache>
                <c:ptCount val="2"/>
                <c:pt idx="0">
                  <c:v>Angmering</c:v>
                </c:pt>
                <c:pt idx="1">
                  <c:v>Bewbush</c:v>
                </c:pt>
              </c:strCache>
            </c:strRef>
          </c:cat>
          <c:val>
            <c:numRef>
              <c:f>'Health Indicators'!$G$583:$H$583</c:f>
              <c:numCache>
                <c:formatCode>0.0%</c:formatCode>
                <c:ptCount val="2"/>
                <c:pt idx="0">
                  <c:v>4.8703703703703707E-2</c:v>
                </c:pt>
                <c:pt idx="1">
                  <c:v>0.12079772079772079</c:v>
                </c:pt>
              </c:numCache>
            </c:numRef>
          </c:val>
        </c:ser>
        <c:ser>
          <c:idx val="2"/>
          <c:order val="2"/>
          <c:tx>
            <c:strRef>
              <c:f>'Health Indicators'!$F$586</c:f>
              <c:strCache>
                <c:ptCount val="1"/>
                <c:pt idx="0">
                  <c:v>%current smoker</c:v>
                </c:pt>
              </c:strCache>
            </c:strRef>
          </c:tx>
          <c:spPr>
            <a:solidFill>
              <a:schemeClr val="accent3">
                <a:lumMod val="40000"/>
                <a:lumOff val="60000"/>
              </a:schemeClr>
            </a:solidFill>
            <a:ln>
              <a:solidFill>
                <a:sysClr val="windowText" lastClr="000000"/>
              </a:solidFill>
            </a:ln>
          </c:spPr>
          <c:invertIfNegative val="0"/>
          <c:errBars>
            <c:errBarType val="both"/>
            <c:errValType val="cust"/>
            <c:noEndCap val="0"/>
            <c:plus>
              <c:numRef>
                <c:f>'Health Indicators'!$J$588:$K$588</c:f>
                <c:numCache>
                  <c:formatCode>General</c:formatCode>
                  <c:ptCount val="2"/>
                  <c:pt idx="0">
                    <c:v>5.7892143351616895E-2</c:v>
                  </c:pt>
                  <c:pt idx="1">
                    <c:v>0.10249335162960005</c:v>
                  </c:pt>
                </c:numCache>
              </c:numRef>
            </c:plus>
            <c:minus>
              <c:numRef>
                <c:f>'Health Indicators'!$J$587:$K$587</c:f>
                <c:numCache>
                  <c:formatCode>General</c:formatCode>
                  <c:ptCount val="2"/>
                  <c:pt idx="0">
                    <c:v>1.780216852531875E-2</c:v>
                  </c:pt>
                  <c:pt idx="1">
                    <c:v>5.1729342845497711E-2</c:v>
                  </c:pt>
                </c:numCache>
              </c:numRef>
            </c:minus>
          </c:errBars>
          <c:cat>
            <c:strRef>
              <c:f>'Health Indicators'!$G$579:$H$579</c:f>
              <c:strCache>
                <c:ptCount val="2"/>
                <c:pt idx="0">
                  <c:v>Angmering</c:v>
                </c:pt>
                <c:pt idx="1">
                  <c:v>Bewbush</c:v>
                </c:pt>
              </c:strCache>
            </c:strRef>
          </c:cat>
          <c:val>
            <c:numRef>
              <c:f>'Health Indicators'!$G$586:$H$586</c:f>
              <c:numCache>
                <c:formatCode>0.0%</c:formatCode>
                <c:ptCount val="2"/>
                <c:pt idx="0">
                  <c:v>4.2407407407407408E-2</c:v>
                </c:pt>
                <c:pt idx="1">
                  <c:v>0.19945054945054946</c:v>
                </c:pt>
              </c:numCache>
            </c:numRef>
          </c:val>
        </c:ser>
        <c:ser>
          <c:idx val="3"/>
          <c:order val="3"/>
          <c:tx>
            <c:strRef>
              <c:f>'Health Indicators'!$E$589</c:f>
              <c:strCache>
                <c:ptCount val="1"/>
                <c:pt idx="0">
                  <c:v>%Smoker in household</c:v>
                </c:pt>
              </c:strCache>
            </c:strRef>
          </c:tx>
          <c:spPr>
            <a:solidFill>
              <a:schemeClr val="bg1">
                <a:lumMod val="85000"/>
              </a:schemeClr>
            </a:solidFill>
            <a:ln>
              <a:solidFill>
                <a:sysClr val="windowText" lastClr="000000"/>
              </a:solidFill>
            </a:ln>
          </c:spPr>
          <c:invertIfNegative val="0"/>
          <c:errBars>
            <c:errBarType val="both"/>
            <c:errValType val="cust"/>
            <c:noEndCap val="0"/>
            <c:plus>
              <c:numRef>
                <c:f>'Health Indicators'!$J$591:$K$591</c:f>
                <c:numCache>
                  <c:formatCode>General</c:formatCode>
                  <c:ptCount val="2"/>
                  <c:pt idx="0">
                    <c:v>6.9467956010786064E-2</c:v>
                  </c:pt>
                  <c:pt idx="1">
                    <c:v>9.7649949645962519E-2</c:v>
                  </c:pt>
                </c:numCache>
              </c:numRef>
            </c:plus>
            <c:minus>
              <c:numRef>
                <c:f>'Health Indicators'!$J$590:$K$590</c:f>
                <c:numCache>
                  <c:formatCode>General</c:formatCode>
                  <c:ptCount val="2"/>
                  <c:pt idx="0">
                    <c:v>4.6382112390384464E-2</c:v>
                  </c:pt>
                  <c:pt idx="1">
                    <c:v>8.1990160541746904E-2</c:v>
                  </c:pt>
                </c:numCache>
              </c:numRef>
            </c:minus>
          </c:errBars>
          <c:cat>
            <c:strRef>
              <c:f>'Health Indicators'!$G$579:$H$579</c:f>
              <c:strCache>
                <c:ptCount val="2"/>
                <c:pt idx="0">
                  <c:v>Angmering</c:v>
                </c:pt>
                <c:pt idx="1">
                  <c:v>Bewbush</c:v>
                </c:pt>
              </c:strCache>
            </c:strRef>
          </c:cat>
          <c:val>
            <c:numRef>
              <c:f>'Health Indicators'!$G$589:$H$589</c:f>
              <c:numCache>
                <c:formatCode>0.0%</c:formatCode>
                <c:ptCount val="2"/>
                <c:pt idx="0">
                  <c:v>0.13699841824841824</c:v>
                </c:pt>
                <c:pt idx="1">
                  <c:v>0.35560982227648902</c:v>
                </c:pt>
              </c:numCache>
            </c:numRef>
          </c:val>
        </c:ser>
        <c:dLbls>
          <c:showLegendKey val="0"/>
          <c:showVal val="0"/>
          <c:showCatName val="0"/>
          <c:showSerName val="0"/>
          <c:showPercent val="0"/>
          <c:showBubbleSize val="0"/>
        </c:dLbls>
        <c:gapWidth val="150"/>
        <c:axId val="83815808"/>
        <c:axId val="83899520"/>
      </c:barChart>
      <c:catAx>
        <c:axId val="83815808"/>
        <c:scaling>
          <c:orientation val="minMax"/>
        </c:scaling>
        <c:delete val="0"/>
        <c:axPos val="b"/>
        <c:majorTickMark val="out"/>
        <c:minorTickMark val="none"/>
        <c:tickLblPos val="nextTo"/>
        <c:crossAx val="83899520"/>
        <c:crosses val="autoZero"/>
        <c:auto val="1"/>
        <c:lblAlgn val="ctr"/>
        <c:lblOffset val="100"/>
        <c:noMultiLvlLbl val="0"/>
      </c:catAx>
      <c:valAx>
        <c:axId val="83899520"/>
        <c:scaling>
          <c:orientation val="minMax"/>
        </c:scaling>
        <c:delete val="0"/>
        <c:axPos val="l"/>
        <c:majorGridlines>
          <c:spPr>
            <a:ln>
              <a:solidFill>
                <a:schemeClr val="bg1">
                  <a:lumMod val="75000"/>
                </a:schemeClr>
              </a:solidFill>
              <a:prstDash val="dash"/>
            </a:ln>
          </c:spPr>
        </c:majorGridlines>
        <c:numFmt formatCode="0.0%" sourceLinked="1"/>
        <c:majorTickMark val="out"/>
        <c:minorTickMark val="none"/>
        <c:tickLblPos val="nextTo"/>
        <c:crossAx val="83815808"/>
        <c:crosses val="autoZero"/>
        <c:crossBetween val="between"/>
      </c:valAx>
    </c:plotArea>
    <c:legend>
      <c:legendPos val="r"/>
      <c:overlay val="0"/>
    </c:legend>
    <c:plotVisOnly val="1"/>
    <c:dispBlanksAs val="gap"/>
    <c:showDLblsOverMax val="0"/>
  </c:chart>
  <c:spPr>
    <a:ln>
      <a:noFill/>
    </a:ln>
  </c:spPr>
  <c:printSettings>
    <c:headerFooter/>
    <c:pageMargins b="0.75" l="0.7" r="0.7" t="0.75" header="0.3" footer="0.3"/>
    <c:pageSetup orientation="portrait"/>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'Health Indicators'!$H$620</c:f>
              <c:strCache>
                <c:ptCount val="1"/>
                <c:pt idx="0">
                  <c:v>Q1 - booking</c:v>
                </c:pt>
              </c:strCache>
            </c:strRef>
          </c:tx>
          <c:spPr>
            <a:solidFill>
              <a:schemeClr val="accent1">
                <a:lumMod val="40000"/>
                <a:lumOff val="60000"/>
              </a:schemeClr>
            </a:solidFill>
            <a:ln>
              <a:solidFill>
                <a:schemeClr val="tx1"/>
              </a:solidFill>
            </a:ln>
          </c:spPr>
          <c:invertIfNegative val="0"/>
          <c:errBars>
            <c:errBarType val="both"/>
            <c:errValType val="cust"/>
            <c:noEndCap val="0"/>
            <c:plus>
              <c:numRef>
                <c:f>'Health Indicators'!$R$621:$R$623</c:f>
                <c:numCache>
                  <c:formatCode>General</c:formatCode>
                  <c:ptCount val="3"/>
                  <c:pt idx="0">
                    <c:v>7.6816577371651942E-2</c:v>
                  </c:pt>
                  <c:pt idx="1">
                    <c:v>8.337490088695193E-2</c:v>
                  </c:pt>
                  <c:pt idx="2">
                    <c:v>9.6464570743878264E-3</c:v>
                  </c:pt>
                </c:numCache>
              </c:numRef>
            </c:plus>
            <c:minus>
              <c:numRef>
                <c:f>'Health Indicators'!$M$621:$M$623</c:f>
                <c:numCache>
                  <c:formatCode>General</c:formatCode>
                  <c:ptCount val="3"/>
                  <c:pt idx="0">
                    <c:v>4.3158396352094411E-2</c:v>
                  </c:pt>
                  <c:pt idx="1">
                    <c:v>6.2515013611723208E-2</c:v>
                  </c:pt>
                  <c:pt idx="2">
                    <c:v>8.9568461686624079E-3</c:v>
                  </c:pt>
                </c:numCache>
              </c:numRef>
            </c:minus>
          </c:errBars>
          <c:cat>
            <c:strRef>
              <c:f>'Health Indicators'!$G$621:$G$623</c:f>
              <c:strCache>
                <c:ptCount val="3"/>
                <c:pt idx="0">
                  <c:v>Angmering</c:v>
                </c:pt>
                <c:pt idx="1">
                  <c:v>Bewbush</c:v>
                </c:pt>
                <c:pt idx="2">
                  <c:v>West Sussex</c:v>
                </c:pt>
              </c:strCache>
            </c:strRef>
          </c:cat>
          <c:val>
            <c:numRef>
              <c:f>'Health Indicators'!$H$621:$H$623</c:f>
              <c:numCache>
                <c:formatCode>0.0%</c:formatCode>
                <c:ptCount val="3"/>
                <c:pt idx="0">
                  <c:v>8.8888888888888892E-2</c:v>
                </c:pt>
                <c:pt idx="1">
                  <c:v>0.19090909090909092</c:v>
                </c:pt>
                <c:pt idx="2">
                  <c:v>0.10983191342390053</c:v>
                </c:pt>
              </c:numCache>
            </c:numRef>
          </c:val>
        </c:ser>
        <c:ser>
          <c:idx val="1"/>
          <c:order val="1"/>
          <c:tx>
            <c:strRef>
              <c:f>'Health Indicators'!$I$620</c:f>
              <c:strCache>
                <c:ptCount val="1"/>
                <c:pt idx="0">
                  <c:v>Q2 - delivery</c:v>
                </c:pt>
              </c:strCache>
            </c:strRef>
          </c:tx>
          <c:spPr>
            <a:solidFill>
              <a:schemeClr val="accent4">
                <a:lumMod val="40000"/>
                <a:lumOff val="60000"/>
              </a:schemeClr>
            </a:solidFill>
            <a:ln>
              <a:solidFill>
                <a:schemeClr val="tx1"/>
              </a:solidFill>
            </a:ln>
          </c:spPr>
          <c:invertIfNegative val="0"/>
          <c:errBars>
            <c:errBarType val="both"/>
            <c:errValType val="cust"/>
            <c:noEndCap val="0"/>
            <c:plus>
              <c:numRef>
                <c:f>'Health Indicators'!$S$621:$S$623</c:f>
                <c:numCache>
                  <c:formatCode>General</c:formatCode>
                  <c:ptCount val="3"/>
                  <c:pt idx="0">
                    <c:v>7.6816577371651942E-2</c:v>
                  </c:pt>
                  <c:pt idx="1">
                    <c:v>7.5077483333797851E-2</c:v>
                  </c:pt>
                  <c:pt idx="2">
                    <c:v>8.6338423055132424E-3</c:v>
                  </c:pt>
                </c:numCache>
              </c:numRef>
            </c:plus>
            <c:minus>
              <c:numRef>
                <c:f>'Health Indicators'!$N$621:$N$623</c:f>
                <c:numCache>
                  <c:formatCode>General</c:formatCode>
                  <c:ptCount val="3"/>
                  <c:pt idx="0">
                    <c:v>4.3158396352094411E-2</c:v>
                  </c:pt>
                  <c:pt idx="1">
                    <c:v>4.9922913384257292E-2</c:v>
                  </c:pt>
                  <c:pt idx="2">
                    <c:v>7.8990577140188173E-3</c:v>
                  </c:pt>
                </c:numCache>
              </c:numRef>
            </c:minus>
          </c:errBars>
          <c:cat>
            <c:strRef>
              <c:f>'Health Indicators'!$G$621:$G$623</c:f>
              <c:strCache>
                <c:ptCount val="3"/>
                <c:pt idx="0">
                  <c:v>Angmering</c:v>
                </c:pt>
                <c:pt idx="1">
                  <c:v>Bewbush</c:v>
                </c:pt>
                <c:pt idx="2">
                  <c:v>West Sussex</c:v>
                </c:pt>
              </c:strCache>
            </c:strRef>
          </c:cat>
          <c:val>
            <c:numRef>
              <c:f>'Health Indicators'!$I$621:$I$623</c:f>
              <c:numCache>
                <c:formatCode>0.0%</c:formatCode>
                <c:ptCount val="3"/>
                <c:pt idx="0">
                  <c:v>8.8888888888888892E-2</c:v>
                </c:pt>
                <c:pt idx="1">
                  <c:v>0.12727272727272726</c:v>
                </c:pt>
                <c:pt idx="2">
                  <c:v>8.4273543633433104E-2</c:v>
                </c:pt>
              </c:numCache>
            </c:numRef>
          </c:val>
        </c:ser>
        <c:ser>
          <c:idx val="2"/>
          <c:order val="2"/>
          <c:tx>
            <c:strRef>
              <c:f>'Health Indicators'!$J$620</c:f>
              <c:strCache>
                <c:ptCount val="1"/>
                <c:pt idx="0">
                  <c:v>Q3 - HV check</c:v>
                </c:pt>
              </c:strCache>
            </c:strRef>
          </c:tx>
          <c:spPr>
            <a:solidFill>
              <a:schemeClr val="accent3">
                <a:lumMod val="60000"/>
                <a:lumOff val="40000"/>
              </a:schemeClr>
            </a:solidFill>
            <a:ln>
              <a:solidFill>
                <a:schemeClr val="tx1"/>
              </a:solidFill>
            </a:ln>
          </c:spPr>
          <c:invertIfNegative val="0"/>
          <c:errBars>
            <c:errBarType val="both"/>
            <c:errValType val="cust"/>
            <c:noEndCap val="0"/>
            <c:plus>
              <c:numRef>
                <c:f>'Health Indicators'!$T$621:$T$623</c:f>
                <c:numCache>
                  <c:formatCode>General</c:formatCode>
                  <c:ptCount val="3"/>
                  <c:pt idx="0">
                    <c:v>7.9241748754336455E-2</c:v>
                  </c:pt>
                  <c:pt idx="1">
                    <c:v>7.6493115766945896E-2</c:v>
                  </c:pt>
                  <c:pt idx="2">
                    <c:v>9.2543066424752712E-3</c:v>
                  </c:pt>
                </c:numCache>
              </c:numRef>
            </c:plus>
            <c:minus>
              <c:numRef>
                <c:f>'Health Indicators'!$O$621:$O$623</c:f>
                <c:numCache>
                  <c:formatCode>General</c:formatCode>
                  <c:ptCount val="3"/>
                  <c:pt idx="0">
                    <c:v>4.6493248302875094E-2</c:v>
                  </c:pt>
                  <c:pt idx="1">
                    <c:v>5.1952071913735617E-2</c:v>
                  </c:pt>
                  <c:pt idx="2">
                    <c:v>8.5408406599911529E-3</c:v>
                  </c:pt>
                </c:numCache>
              </c:numRef>
            </c:minus>
          </c:errBars>
          <c:cat>
            <c:strRef>
              <c:f>'Health Indicators'!$G$621:$G$623</c:f>
              <c:strCache>
                <c:ptCount val="3"/>
                <c:pt idx="0">
                  <c:v>Angmering</c:v>
                </c:pt>
                <c:pt idx="1">
                  <c:v>Bewbush</c:v>
                </c:pt>
                <c:pt idx="2">
                  <c:v>West Sussex</c:v>
                </c:pt>
              </c:strCache>
            </c:strRef>
          </c:cat>
          <c:val>
            <c:numRef>
              <c:f>'Health Indicators'!$J$621:$J$623</c:f>
              <c:numCache>
                <c:formatCode>0.0%</c:formatCode>
                <c:ptCount val="3"/>
                <c:pt idx="0">
                  <c:v>0.1</c:v>
                </c:pt>
                <c:pt idx="1">
                  <c:v>0.13636363636363635</c:v>
                </c:pt>
                <c:pt idx="2">
                  <c:v>9.8656785548865214E-2</c:v>
                </c:pt>
              </c:numCache>
            </c:numRef>
          </c:val>
        </c:ser>
        <c:ser>
          <c:idx val="3"/>
          <c:order val="3"/>
          <c:tx>
            <c:strRef>
              <c:f>'Health Indicators'!$K$620</c:f>
              <c:strCache>
                <c:ptCount val="1"/>
                <c:pt idx="0">
                  <c:v>Q4 - in the home</c:v>
                </c:pt>
              </c:strCache>
            </c:strRef>
          </c:tx>
          <c:spPr>
            <a:solidFill>
              <a:schemeClr val="bg1">
                <a:lumMod val="85000"/>
              </a:schemeClr>
            </a:solidFill>
            <a:ln>
              <a:solidFill>
                <a:schemeClr val="tx1"/>
              </a:solidFill>
            </a:ln>
          </c:spPr>
          <c:invertIfNegative val="0"/>
          <c:errBars>
            <c:errBarType val="both"/>
            <c:errValType val="cust"/>
            <c:noEndCap val="0"/>
            <c:plus>
              <c:numRef>
                <c:f>'Health Indicators'!$U$621:$U$623</c:f>
                <c:numCache>
                  <c:formatCode>General</c:formatCode>
                  <c:ptCount val="3"/>
                  <c:pt idx="0">
                    <c:v>8.8772897217428037E-2</c:v>
                  </c:pt>
                  <c:pt idx="1">
                    <c:v>8.9313942608143571E-2</c:v>
                  </c:pt>
                  <c:pt idx="2">
                    <c:v>1.210339734339258E-2</c:v>
                  </c:pt>
                </c:numCache>
              </c:numRef>
            </c:plus>
            <c:minus>
              <c:numRef>
                <c:f>'Health Indicators'!$P$621:$P$623</c:f>
                <c:numCache>
                  <c:formatCode>General</c:formatCode>
                  <c:ptCount val="3"/>
                  <c:pt idx="0">
                    <c:v>6.0572799606447417E-2</c:v>
                  </c:pt>
                  <c:pt idx="1">
                    <c:v>7.2760937022636946E-2</c:v>
                  </c:pt>
                  <c:pt idx="2">
                    <c:v>1.1544739047971875E-2</c:v>
                  </c:pt>
                </c:numCache>
              </c:numRef>
            </c:minus>
          </c:errBars>
          <c:cat>
            <c:strRef>
              <c:f>'Health Indicators'!$G$621:$G$623</c:f>
              <c:strCache>
                <c:ptCount val="3"/>
                <c:pt idx="0">
                  <c:v>Angmering</c:v>
                </c:pt>
                <c:pt idx="1">
                  <c:v>Bewbush</c:v>
                </c:pt>
                <c:pt idx="2">
                  <c:v>West Sussex</c:v>
                </c:pt>
              </c:strCache>
            </c:strRef>
          </c:cat>
          <c:val>
            <c:numRef>
              <c:f>'Health Indicators'!$K$621:$K$623</c:f>
              <c:numCache>
                <c:formatCode>0.0%</c:formatCode>
                <c:ptCount val="3"/>
                <c:pt idx="0">
                  <c:v>0.15555555555555556</c:v>
                </c:pt>
                <c:pt idx="1">
                  <c:v>0.25688073394495414</c:v>
                </c:pt>
                <c:pt idx="2">
                  <c:v>0.19104829210836277</c:v>
                </c:pt>
              </c:numCache>
            </c:numRef>
          </c:val>
        </c:ser>
        <c:dLbls>
          <c:showLegendKey val="0"/>
          <c:showVal val="0"/>
          <c:showCatName val="0"/>
          <c:showSerName val="0"/>
          <c:showPercent val="0"/>
          <c:showBubbleSize val="0"/>
        </c:dLbls>
        <c:gapWidth val="150"/>
        <c:axId val="84706432"/>
        <c:axId val="84707968"/>
      </c:barChart>
      <c:catAx>
        <c:axId val="84706432"/>
        <c:scaling>
          <c:orientation val="minMax"/>
        </c:scaling>
        <c:delete val="0"/>
        <c:axPos val="b"/>
        <c:majorTickMark val="out"/>
        <c:minorTickMark val="none"/>
        <c:tickLblPos val="nextTo"/>
        <c:crossAx val="84707968"/>
        <c:crosses val="autoZero"/>
        <c:auto val="1"/>
        <c:lblAlgn val="ctr"/>
        <c:lblOffset val="100"/>
        <c:noMultiLvlLbl val="0"/>
      </c:catAx>
      <c:valAx>
        <c:axId val="84707968"/>
        <c:scaling>
          <c:orientation val="minMax"/>
        </c:scaling>
        <c:delete val="0"/>
        <c:axPos val="l"/>
        <c:majorGridlines>
          <c:spPr>
            <a:ln>
              <a:prstDash val="dash"/>
            </a:ln>
          </c:spPr>
        </c:majorGridlines>
        <c:numFmt formatCode="0.0%" sourceLinked="1"/>
        <c:majorTickMark val="out"/>
        <c:minorTickMark val="none"/>
        <c:tickLblPos val="nextTo"/>
        <c:crossAx val="84706432"/>
        <c:crosses val="autoZero"/>
        <c:crossBetween val="between"/>
      </c:valAx>
    </c:plotArea>
    <c:legend>
      <c:legendPos val="r"/>
      <c:overlay val="0"/>
    </c:legend>
    <c:plotVisOnly val="1"/>
    <c:dispBlanksAs val="gap"/>
    <c:showDLblsOverMax val="0"/>
  </c:chart>
  <c:spPr>
    <a:ln>
      <a:noFill/>
    </a:ln>
  </c:sp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39"/>
    </mc:Choice>
    <mc:Fallback>
      <c:style val="39"/>
    </mc:Fallback>
  </mc:AlternateContent>
  <c:clrMapOvr bg1="lt1" tx1="dk1" bg2="lt2" tx2="dk2" accent1="accent1" accent2="accent2" accent3="accent3" accent4="accent4" accent5="accent5" accent6="accent6" hlink="hlink" folHlink="folHlink"/>
  <c:chart>
    <c:autoTitleDeleted val="0"/>
    <c:plotArea>
      <c:layout/>
      <c:barChart>
        <c:barDir val="col"/>
        <c:grouping val="clustered"/>
        <c:varyColors val="0"/>
        <c:ser>
          <c:idx val="0"/>
          <c:order val="0"/>
          <c:tx>
            <c:strRef>
              <c:f>Sheet1!$C$18</c:f>
              <c:strCache>
                <c:ptCount val="1"/>
                <c:pt idx="0">
                  <c:v>2013/14</c:v>
                </c:pt>
              </c:strCache>
            </c:strRef>
          </c:tx>
          <c:spPr>
            <a:solidFill>
              <a:schemeClr val="accent1">
                <a:lumMod val="60000"/>
                <a:lumOff val="40000"/>
              </a:schemeClr>
            </a:solidFill>
          </c:spPr>
          <c:invertIfNegative val="0"/>
          <c:dPt>
            <c:idx val="7"/>
            <c:invertIfNegative val="0"/>
            <c:bubble3D val="0"/>
            <c:spPr>
              <a:solidFill>
                <a:schemeClr val="accent3">
                  <a:lumMod val="60000"/>
                  <a:lumOff val="40000"/>
                </a:schemeClr>
              </a:solidFill>
            </c:spPr>
          </c:dPt>
          <c:dPt>
            <c:idx val="8"/>
            <c:invertIfNegative val="0"/>
            <c:bubble3D val="0"/>
            <c:spPr>
              <a:solidFill>
                <a:schemeClr val="bg1">
                  <a:lumMod val="75000"/>
                </a:schemeClr>
              </a:solidFill>
            </c:spPr>
          </c:dPt>
          <c:dPt>
            <c:idx val="9"/>
            <c:invertIfNegative val="0"/>
            <c:bubble3D val="0"/>
            <c:spPr>
              <a:solidFill>
                <a:schemeClr val="bg1">
                  <a:lumMod val="75000"/>
                </a:schemeClr>
              </a:solidFill>
            </c:spPr>
          </c:dPt>
          <c:dLbls>
            <c:txPr>
              <a:bodyPr rot="-5400000" vert="horz"/>
              <a:lstStyle/>
              <a:p>
                <a:pPr>
                  <a:defRPr/>
                </a:pPr>
                <a:endParaRPr lang="en-US"/>
              </a:p>
            </c:txPr>
            <c:dLblPos val="inBase"/>
            <c:showLegendKey val="0"/>
            <c:showVal val="0"/>
            <c:showCatName val="0"/>
            <c:showSerName val="1"/>
            <c:showPercent val="0"/>
            <c:showBubbleSize val="0"/>
            <c:showLeaderLines val="0"/>
          </c:dLbls>
          <c:errBars>
            <c:errBarType val="both"/>
            <c:errValType val="cust"/>
            <c:noEndCap val="0"/>
            <c:plus>
              <c:numRef>
                <c:f>Sheet1!$F$32:$F$41</c:f>
                <c:numCache>
                  <c:formatCode>General</c:formatCode>
                  <c:ptCount val="10"/>
                  <c:pt idx="0">
                    <c:v>2.5401373041373992E-2</c:v>
                  </c:pt>
                  <c:pt idx="1">
                    <c:v>1.765981017257201E-2</c:v>
                  </c:pt>
                  <c:pt idx="2">
                    <c:v>2.1111682619777999E-2</c:v>
                  </c:pt>
                  <c:pt idx="3">
                    <c:v>1.312725464068161E-2</c:v>
                  </c:pt>
                  <c:pt idx="4">
                    <c:v>1.6239722931394696E-2</c:v>
                  </c:pt>
                  <c:pt idx="5">
                    <c:v>1.2698394153814296E-2</c:v>
                  </c:pt>
                  <c:pt idx="6">
                    <c:v>2.0603614865454006E-2</c:v>
                  </c:pt>
                  <c:pt idx="7">
                    <c:v>6.2258948327865993E-3</c:v>
                  </c:pt>
                  <c:pt idx="8">
                    <c:v>2.04553557050699E-3</c:v>
                  </c:pt>
                  <c:pt idx="9">
                    <c:v>8.026765086609905E-4</c:v>
                  </c:pt>
                </c:numCache>
              </c:numRef>
            </c:plus>
            <c:minus>
              <c:numRef>
                <c:f>Sheet1!$B$32:$B$41</c:f>
                <c:numCache>
                  <c:formatCode>General</c:formatCode>
                  <c:ptCount val="10"/>
                  <c:pt idx="0">
                    <c:v>2.1191013820552301E-2</c:v>
                  </c:pt>
                  <c:pt idx="1">
                    <c:v>1.5516478340786288E-2</c:v>
                  </c:pt>
                  <c:pt idx="2">
                    <c:v>1.8046008981532288E-2</c:v>
                  </c:pt>
                  <c:pt idx="3">
                    <c:v>1.1221225816167996E-2</c:v>
                  </c:pt>
                  <c:pt idx="4">
                    <c:v>1.3436620477185302E-2</c:v>
                  </c:pt>
                  <c:pt idx="5">
                    <c:v>1.0237624104844294E-2</c:v>
                  </c:pt>
                  <c:pt idx="6">
                    <c:v>1.7744013442735601E-2</c:v>
                  </c:pt>
                  <c:pt idx="7">
                    <c:v>5.84870530603121E-3</c:v>
                  </c:pt>
                  <c:pt idx="8">
                    <c:v>2.0120428477160002E-3</c:v>
                  </c:pt>
                  <c:pt idx="9">
                    <c:v>7.9806323793500666E-4</c:v>
                  </c:pt>
                </c:numCache>
              </c:numRef>
            </c:minus>
          </c:errBars>
          <c:cat>
            <c:strRef>
              <c:f>Sheet1!$B$19:$B$28</c:f>
              <c:strCache>
                <c:ptCount val="10"/>
                <c:pt idx="0">
                  <c:v>Adur</c:v>
                </c:pt>
                <c:pt idx="1">
                  <c:v>Arun</c:v>
                </c:pt>
                <c:pt idx="2">
                  <c:v>Chichester</c:v>
                </c:pt>
                <c:pt idx="3">
                  <c:v>Crawley</c:v>
                </c:pt>
                <c:pt idx="4">
                  <c:v>Horsham</c:v>
                </c:pt>
                <c:pt idx="5">
                  <c:v>Mid Sussex</c:v>
                </c:pt>
                <c:pt idx="6">
                  <c:v>Worthing</c:v>
                </c:pt>
                <c:pt idx="7">
                  <c:v>West Sussex</c:v>
                </c:pt>
                <c:pt idx="8">
                  <c:v>South East region</c:v>
                </c:pt>
                <c:pt idx="9">
                  <c:v>England</c:v>
                </c:pt>
              </c:strCache>
            </c:strRef>
          </c:cat>
          <c:val>
            <c:numRef>
              <c:f>Sheet1!$C$19:$C$28</c:f>
              <c:numCache>
                <c:formatCode>0.00%</c:formatCode>
                <c:ptCount val="10"/>
                <c:pt idx="0">
                  <c:v>0.111760737575894</c:v>
                </c:pt>
                <c:pt idx="1">
                  <c:v>0.111760737575894</c:v>
                </c:pt>
                <c:pt idx="2">
                  <c:v>0.10906092310606499</c:v>
                </c:pt>
                <c:pt idx="3">
                  <c:v>7.1345707656612495E-2</c:v>
                </c:pt>
                <c:pt idx="4">
                  <c:v>7.1821283234896199E-2</c:v>
                </c:pt>
                <c:pt idx="5">
                  <c:v>5.0046339202965695E-2</c:v>
                </c:pt>
                <c:pt idx="6">
                  <c:v>0.111760737575894</c:v>
                </c:pt>
                <c:pt idx="7">
                  <c:v>8.7304335124871207E-2</c:v>
                </c:pt>
                <c:pt idx="8">
                  <c:v>0.10800457950746001</c:v>
                </c:pt>
                <c:pt idx="9">
                  <c:v>0.11993408704554501</c:v>
                </c:pt>
              </c:numCache>
            </c:numRef>
          </c:val>
        </c:ser>
        <c:ser>
          <c:idx val="1"/>
          <c:order val="1"/>
          <c:tx>
            <c:strRef>
              <c:f>Sheet1!$D$18</c:f>
              <c:strCache>
                <c:ptCount val="1"/>
                <c:pt idx="0">
                  <c:v>2014/15</c:v>
                </c:pt>
              </c:strCache>
            </c:strRef>
          </c:tx>
          <c:spPr>
            <a:solidFill>
              <a:schemeClr val="accent1">
                <a:lumMod val="60000"/>
                <a:lumOff val="40000"/>
              </a:schemeClr>
            </a:solidFill>
          </c:spPr>
          <c:invertIfNegative val="0"/>
          <c:dPt>
            <c:idx val="7"/>
            <c:invertIfNegative val="0"/>
            <c:bubble3D val="0"/>
            <c:spPr>
              <a:solidFill>
                <a:schemeClr val="accent3">
                  <a:lumMod val="60000"/>
                  <a:lumOff val="40000"/>
                </a:schemeClr>
              </a:solidFill>
            </c:spPr>
          </c:dPt>
          <c:dPt>
            <c:idx val="8"/>
            <c:invertIfNegative val="0"/>
            <c:bubble3D val="0"/>
            <c:spPr>
              <a:solidFill>
                <a:schemeClr val="bg1">
                  <a:lumMod val="75000"/>
                </a:schemeClr>
              </a:solidFill>
            </c:spPr>
          </c:dPt>
          <c:dPt>
            <c:idx val="9"/>
            <c:invertIfNegative val="0"/>
            <c:bubble3D val="0"/>
            <c:spPr>
              <a:solidFill>
                <a:schemeClr val="bg1">
                  <a:lumMod val="75000"/>
                </a:schemeClr>
              </a:solidFill>
            </c:spPr>
          </c:dPt>
          <c:dLbls>
            <c:txPr>
              <a:bodyPr rot="-5400000" vert="horz"/>
              <a:lstStyle/>
              <a:p>
                <a:pPr>
                  <a:defRPr/>
                </a:pPr>
                <a:endParaRPr lang="en-US"/>
              </a:p>
            </c:txPr>
            <c:dLblPos val="inBase"/>
            <c:showLegendKey val="0"/>
            <c:showVal val="0"/>
            <c:showCatName val="0"/>
            <c:showSerName val="1"/>
            <c:showPercent val="0"/>
            <c:showBubbleSize val="0"/>
            <c:showLeaderLines val="0"/>
          </c:dLbls>
          <c:errBars>
            <c:errBarType val="both"/>
            <c:errValType val="cust"/>
            <c:noEndCap val="0"/>
            <c:plus>
              <c:numRef>
                <c:f>Sheet1!$G$32:$G$41</c:f>
                <c:numCache>
                  <c:formatCode>General</c:formatCode>
                  <c:ptCount val="10"/>
                  <c:pt idx="0">
                    <c:v>2.7373188720039993E-2</c:v>
                  </c:pt>
                  <c:pt idx="1">
                    <c:v>1.8361708766025997E-2</c:v>
                  </c:pt>
                  <c:pt idx="2">
                    <c:v>2.1634300429555983E-2</c:v>
                  </c:pt>
                  <c:pt idx="3">
                    <c:v>1.3189632685212394E-2</c:v>
                  </c:pt>
                  <c:pt idx="4">
                    <c:v>1.682763636439151E-2</c:v>
                  </c:pt>
                  <c:pt idx="5">
                    <c:v>1.2721732725944901E-2</c:v>
                  </c:pt>
                  <c:pt idx="6">
                    <c:v>2.0994188752531007E-2</c:v>
                  </c:pt>
                  <c:pt idx="7">
                    <c:v>6.4396520833308046E-3</c:v>
                  </c:pt>
                  <c:pt idx="8">
                    <c:v>1.9185585972329999E-3</c:v>
                  </c:pt>
                  <c:pt idx="9">
                    <c:v>7.9128897220499816E-4</c:v>
                  </c:pt>
                </c:numCache>
              </c:numRef>
            </c:plus>
            <c:minus>
              <c:numRef>
                <c:f>Sheet1!$C$32:$C$41</c:f>
                <c:numCache>
                  <c:formatCode>General</c:formatCode>
                  <c:ptCount val="10"/>
                  <c:pt idx="0">
                    <c:v>2.308408131184099E-2</c:v>
                  </c:pt>
                  <c:pt idx="1">
                    <c:v>1.6326807666298987E-2</c:v>
                  </c:pt>
                  <c:pt idx="2">
                    <c:v>1.8802286743491006E-2</c:v>
                  </c:pt>
                  <c:pt idx="3">
                    <c:v>1.1242080472528101E-2</c:v>
                  </c:pt>
                  <c:pt idx="4">
                    <c:v>1.4068162435844897E-2</c:v>
                  </c:pt>
                  <c:pt idx="5">
                    <c:v>1.0334714798923991E-2</c:v>
                  </c:pt>
                  <c:pt idx="6">
                    <c:v>1.8375588057427991E-2</c:v>
                  </c:pt>
                  <c:pt idx="7">
                    <c:v>6.0735355414909958E-3</c:v>
                  </c:pt>
                  <c:pt idx="8">
                    <c:v>1.8872859223320049E-3</c:v>
                  </c:pt>
                  <c:pt idx="9">
                    <c:v>7.8652404233400808E-4</c:v>
                  </c:pt>
                </c:numCache>
              </c:numRef>
            </c:minus>
          </c:errBars>
          <c:cat>
            <c:strRef>
              <c:f>Sheet1!$B$19:$B$28</c:f>
              <c:strCache>
                <c:ptCount val="10"/>
                <c:pt idx="0">
                  <c:v>Adur</c:v>
                </c:pt>
                <c:pt idx="1">
                  <c:v>Arun</c:v>
                </c:pt>
                <c:pt idx="2">
                  <c:v>Chichester</c:v>
                </c:pt>
                <c:pt idx="3">
                  <c:v>Crawley</c:v>
                </c:pt>
                <c:pt idx="4">
                  <c:v>Horsham</c:v>
                </c:pt>
                <c:pt idx="5">
                  <c:v>Mid Sussex</c:v>
                </c:pt>
                <c:pt idx="6">
                  <c:v>Worthing</c:v>
                </c:pt>
                <c:pt idx="7">
                  <c:v>West Sussex</c:v>
                </c:pt>
                <c:pt idx="8">
                  <c:v>South East region</c:v>
                </c:pt>
                <c:pt idx="9">
                  <c:v>England</c:v>
                </c:pt>
              </c:strCache>
            </c:strRef>
          </c:cat>
          <c:val>
            <c:numRef>
              <c:f>Sheet1!$D$19:$D$28</c:f>
              <c:numCache>
                <c:formatCode>0.00%</c:formatCode>
                <c:ptCount val="10"/>
                <c:pt idx="0">
                  <c:v>0.12607072260048299</c:v>
                </c:pt>
                <c:pt idx="1">
                  <c:v>0.12607072260048299</c:v>
                </c:pt>
                <c:pt idx="2">
                  <c:v>0.12341241688367501</c:v>
                </c:pt>
                <c:pt idx="3">
                  <c:v>7.0372560615020702E-2</c:v>
                </c:pt>
                <c:pt idx="4">
                  <c:v>7.8483055954832098E-2</c:v>
                </c:pt>
                <c:pt idx="5">
                  <c:v>5.2054794520547898E-2</c:v>
                </c:pt>
                <c:pt idx="6">
                  <c:v>0.12607072260048299</c:v>
                </c:pt>
                <c:pt idx="7">
                  <c:v>9.5543035753028194E-2</c:v>
                </c:pt>
                <c:pt idx="8">
                  <c:v>0.102552954117617</c:v>
                </c:pt>
                <c:pt idx="9">
                  <c:v>0.11383569718121</c:v>
                </c:pt>
              </c:numCache>
            </c:numRef>
          </c:val>
        </c:ser>
        <c:ser>
          <c:idx val="2"/>
          <c:order val="2"/>
          <c:tx>
            <c:strRef>
              <c:f>Sheet1!$E$18</c:f>
              <c:strCache>
                <c:ptCount val="1"/>
                <c:pt idx="0">
                  <c:v>2015/16</c:v>
                </c:pt>
              </c:strCache>
            </c:strRef>
          </c:tx>
          <c:spPr>
            <a:solidFill>
              <a:schemeClr val="accent1">
                <a:lumMod val="60000"/>
                <a:lumOff val="40000"/>
              </a:schemeClr>
            </a:solidFill>
          </c:spPr>
          <c:invertIfNegative val="0"/>
          <c:dPt>
            <c:idx val="7"/>
            <c:invertIfNegative val="0"/>
            <c:bubble3D val="0"/>
            <c:spPr>
              <a:solidFill>
                <a:schemeClr val="accent3">
                  <a:lumMod val="60000"/>
                  <a:lumOff val="40000"/>
                </a:schemeClr>
              </a:solidFill>
            </c:spPr>
          </c:dPt>
          <c:dPt>
            <c:idx val="8"/>
            <c:invertIfNegative val="0"/>
            <c:bubble3D val="0"/>
            <c:spPr>
              <a:solidFill>
                <a:schemeClr val="bg1">
                  <a:lumMod val="75000"/>
                </a:schemeClr>
              </a:solidFill>
            </c:spPr>
          </c:dPt>
          <c:dPt>
            <c:idx val="9"/>
            <c:invertIfNegative val="0"/>
            <c:bubble3D val="0"/>
            <c:spPr>
              <a:solidFill>
                <a:schemeClr val="bg1">
                  <a:lumMod val="75000"/>
                </a:schemeClr>
              </a:solidFill>
            </c:spPr>
          </c:dPt>
          <c:dLbls>
            <c:txPr>
              <a:bodyPr rot="-5400000" vert="horz"/>
              <a:lstStyle/>
              <a:p>
                <a:pPr>
                  <a:defRPr/>
                </a:pPr>
                <a:endParaRPr lang="en-US"/>
              </a:p>
            </c:txPr>
            <c:dLblPos val="inBase"/>
            <c:showLegendKey val="0"/>
            <c:showVal val="0"/>
            <c:showCatName val="0"/>
            <c:showSerName val="1"/>
            <c:showPercent val="0"/>
            <c:showBubbleSize val="0"/>
            <c:showLeaderLines val="0"/>
          </c:dLbls>
          <c:errBars>
            <c:errBarType val="both"/>
            <c:errValType val="cust"/>
            <c:noEndCap val="0"/>
            <c:plus>
              <c:numRef>
                <c:f>Sheet1!$H$32:$H$41</c:f>
                <c:numCache>
                  <c:formatCode>General</c:formatCode>
                  <c:ptCount val="10"/>
                  <c:pt idx="0">
                    <c:v>2.6275356734871233E-2</c:v>
                  </c:pt>
                  <c:pt idx="1">
                    <c:v>1.7733735920851257E-2</c:v>
                  </c:pt>
                  <c:pt idx="2">
                    <c:v>2.1547344852462416E-2</c:v>
                  </c:pt>
                  <c:pt idx="3">
                    <c:v>1.2774125019319404E-2</c:v>
                  </c:pt>
                  <c:pt idx="4">
                    <c:v>1.595862649483562E-2</c:v>
                  </c:pt>
                  <c:pt idx="5">
                    <c:v>1.1773872373661176E-2</c:v>
                  </c:pt>
                  <c:pt idx="6">
                    <c:v>2.0195457247132523E-2</c:v>
                  </c:pt>
                  <c:pt idx="7">
                    <c:v>6.1959453515698093E-3</c:v>
                  </c:pt>
                  <c:pt idx="8">
                    <c:v>1.8738290814813152E-3</c:v>
                  </c:pt>
                  <c:pt idx="9">
                    <c:v>7.6323304628775346E-4</c:v>
                  </c:pt>
                </c:numCache>
              </c:numRef>
            </c:plus>
            <c:minus>
              <c:numRef>
                <c:f>Sheet1!$D$32:$D$41</c:f>
                <c:numCache>
                  <c:formatCode>General</c:formatCode>
                  <c:ptCount val="10"/>
                  <c:pt idx="0">
                    <c:v>2.2048764805603555E-2</c:v>
                  </c:pt>
                  <c:pt idx="1">
                    <c:v>1.5702226220743729E-2</c:v>
                  </c:pt>
                  <c:pt idx="2">
                    <c:v>1.8620250538834968E-2</c:v>
                  </c:pt>
                  <c:pt idx="3">
                    <c:v>1.0828929197148403E-2</c:v>
                  </c:pt>
                  <c:pt idx="4">
                    <c:v>1.3148578409462354E-2</c:v>
                  </c:pt>
                  <c:pt idx="5">
                    <c:v>9.3857748156545087E-3</c:v>
                  </c:pt>
                  <c:pt idx="6">
                    <c:v>1.760203098099633E-2</c:v>
                  </c:pt>
                  <c:pt idx="7">
                    <c:v>5.8286211362846008E-3</c:v>
                  </c:pt>
                  <c:pt idx="8">
                    <c:v>1.8420563593425365E-3</c:v>
                  </c:pt>
                  <c:pt idx="9">
                    <c:v>7.5844302614642978E-4</c:v>
                  </c:pt>
                </c:numCache>
              </c:numRef>
            </c:minus>
          </c:errBars>
          <c:cat>
            <c:strRef>
              <c:f>Sheet1!$B$19:$B$28</c:f>
              <c:strCache>
                <c:ptCount val="10"/>
                <c:pt idx="0">
                  <c:v>Adur</c:v>
                </c:pt>
                <c:pt idx="1">
                  <c:v>Arun</c:v>
                </c:pt>
                <c:pt idx="2">
                  <c:v>Chichester</c:v>
                </c:pt>
                <c:pt idx="3">
                  <c:v>Crawley</c:v>
                </c:pt>
                <c:pt idx="4">
                  <c:v>Horsham</c:v>
                </c:pt>
                <c:pt idx="5">
                  <c:v>Mid Sussex</c:v>
                </c:pt>
                <c:pt idx="6">
                  <c:v>Worthing</c:v>
                </c:pt>
                <c:pt idx="7">
                  <c:v>West Sussex</c:v>
                </c:pt>
                <c:pt idx="8">
                  <c:v>South East region</c:v>
                </c:pt>
                <c:pt idx="9">
                  <c:v>England</c:v>
                </c:pt>
              </c:strCache>
            </c:strRef>
          </c:cat>
          <c:val>
            <c:numRef>
              <c:f>Sheet1!$E$19:$E$28</c:f>
              <c:numCache>
                <c:formatCode>0.00%</c:formatCode>
                <c:ptCount val="10"/>
                <c:pt idx="0">
                  <c:v>0.11862217438105489</c:v>
                </c:pt>
                <c:pt idx="1">
                  <c:v>0.11862217438105491</c:v>
                </c:pt>
                <c:pt idx="2">
                  <c:v>0.11862217438105489</c:v>
                </c:pt>
                <c:pt idx="3">
                  <c:v>6.6081871345029242E-2</c:v>
                </c:pt>
                <c:pt idx="4">
                  <c:v>6.9127247973863229E-2</c:v>
                </c:pt>
                <c:pt idx="5">
                  <c:v>4.4137316094516273E-2</c:v>
                </c:pt>
                <c:pt idx="6">
                  <c:v>0.11862217438105489</c:v>
                </c:pt>
                <c:pt idx="7">
                  <c:v>8.8741567806466637E-2</c:v>
                </c:pt>
                <c:pt idx="8">
                  <c:v>9.6971233417427249E-2</c:v>
                </c:pt>
                <c:pt idx="9">
                  <c:v>0.10645174066299655</c:v>
                </c:pt>
              </c:numCache>
            </c:numRef>
          </c:val>
        </c:ser>
        <c:dLbls>
          <c:showLegendKey val="0"/>
          <c:showVal val="0"/>
          <c:showCatName val="0"/>
          <c:showSerName val="0"/>
          <c:showPercent val="0"/>
          <c:showBubbleSize val="0"/>
        </c:dLbls>
        <c:gapWidth val="150"/>
        <c:axId val="84526976"/>
        <c:axId val="84528512"/>
      </c:barChart>
      <c:catAx>
        <c:axId val="84526976"/>
        <c:scaling>
          <c:orientation val="minMax"/>
        </c:scaling>
        <c:delete val="0"/>
        <c:axPos val="b"/>
        <c:majorTickMark val="out"/>
        <c:minorTickMark val="none"/>
        <c:tickLblPos val="nextTo"/>
        <c:crossAx val="84528512"/>
        <c:crosses val="autoZero"/>
        <c:auto val="1"/>
        <c:lblAlgn val="ctr"/>
        <c:lblOffset val="100"/>
        <c:noMultiLvlLbl val="0"/>
      </c:catAx>
      <c:valAx>
        <c:axId val="84528512"/>
        <c:scaling>
          <c:orientation val="minMax"/>
        </c:scaling>
        <c:delete val="0"/>
        <c:axPos val="l"/>
        <c:majorGridlines>
          <c:spPr>
            <a:ln>
              <a:solidFill>
                <a:sysClr val="window" lastClr="FFFFFF">
                  <a:lumMod val="65000"/>
                </a:sysClr>
              </a:solidFill>
              <a:prstDash val="dash"/>
            </a:ln>
          </c:spPr>
        </c:majorGridlines>
        <c:title>
          <c:tx>
            <c:rich>
              <a:bodyPr rot="-5400000" vert="horz"/>
              <a:lstStyle/>
              <a:p>
                <a:pPr>
                  <a:defRPr/>
                </a:pPr>
                <a:r>
                  <a:rPr lang="en-GB"/>
                  <a:t>% smoking at time of delivery</a:t>
                </a:r>
              </a:p>
            </c:rich>
          </c:tx>
          <c:layout/>
          <c:overlay val="0"/>
        </c:title>
        <c:numFmt formatCode="0.00%" sourceLinked="1"/>
        <c:majorTickMark val="out"/>
        <c:minorTickMark val="none"/>
        <c:tickLblPos val="nextTo"/>
        <c:crossAx val="84526976"/>
        <c:crosses val="autoZero"/>
        <c:crossBetween val="between"/>
      </c:valAx>
      <c:spPr>
        <a:solidFill>
          <a:schemeClr val="bg1"/>
        </a:solidFill>
      </c:spPr>
    </c:plotArea>
    <c:plotVisOnly val="1"/>
    <c:dispBlanksAs val="gap"/>
    <c:showDLblsOverMax val="0"/>
  </c:chart>
  <c:spPr>
    <a:ln>
      <a:noFill/>
    </a:ln>
  </c:sp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'Births and Early Years'!$D$129:$E$129</c:f>
              <c:strCache>
                <c:ptCount val="1"/>
                <c:pt idx="0">
                  <c:v>2009</c:v>
                </c:pt>
              </c:strCache>
            </c:strRef>
          </c:tx>
          <c:spPr>
            <a:ln>
              <a:solidFill>
                <a:schemeClr val="bg1">
                  <a:lumMod val="50000"/>
                </a:schemeClr>
              </a:solidFill>
            </a:ln>
          </c:spPr>
          <c:invertIfNegative val="0"/>
          <c:dPt>
            <c:idx val="0"/>
            <c:invertIfNegative val="0"/>
            <c:bubble3D val="0"/>
            <c:spPr>
              <a:solidFill>
                <a:schemeClr val="accent1">
                  <a:lumMod val="60000"/>
                  <a:lumOff val="40000"/>
                </a:schemeClr>
              </a:solidFill>
              <a:ln>
                <a:solidFill>
                  <a:schemeClr val="bg1">
                    <a:lumMod val="50000"/>
                  </a:schemeClr>
                </a:solidFill>
              </a:ln>
            </c:spPr>
          </c:dPt>
          <c:dPt>
            <c:idx val="1"/>
            <c:invertIfNegative val="0"/>
            <c:bubble3D val="0"/>
            <c:spPr>
              <a:solidFill>
                <a:schemeClr val="accent3">
                  <a:lumMod val="60000"/>
                  <a:lumOff val="40000"/>
                </a:schemeClr>
              </a:solidFill>
              <a:ln>
                <a:solidFill>
                  <a:schemeClr val="bg1">
                    <a:lumMod val="50000"/>
                  </a:schemeClr>
                </a:solidFill>
              </a:ln>
            </c:spPr>
          </c:dPt>
          <c:dPt>
            <c:idx val="2"/>
            <c:invertIfNegative val="0"/>
            <c:bubble3D val="0"/>
            <c:spPr>
              <a:solidFill>
                <a:schemeClr val="bg1">
                  <a:lumMod val="75000"/>
                </a:schemeClr>
              </a:solidFill>
              <a:ln>
                <a:solidFill>
                  <a:schemeClr val="bg1">
                    <a:lumMod val="50000"/>
                  </a:schemeClr>
                </a:solidFill>
              </a:ln>
            </c:spPr>
          </c:dPt>
          <c:dLbls>
            <c:txPr>
              <a:bodyPr rot="-5400000" vert="horz"/>
              <a:lstStyle/>
              <a:p>
                <a:pPr>
                  <a:defRPr/>
                </a:pPr>
                <a:endParaRPr lang="en-US"/>
              </a:p>
            </c:txPr>
            <c:dLblPos val="inBase"/>
            <c:showLegendKey val="0"/>
            <c:showVal val="0"/>
            <c:showCatName val="0"/>
            <c:showSerName val="1"/>
            <c:showPercent val="0"/>
            <c:showBubbleSize val="0"/>
            <c:showLeaderLines val="0"/>
          </c:dLbls>
          <c:errBars>
            <c:errBarType val="both"/>
            <c:errValType val="cust"/>
            <c:noEndCap val="0"/>
            <c:plus>
              <c:numRef>
                <c:f>('Births and Early Years'!$I$140,'Births and Early Years'!$M$140,'Births and Early Years'!$Q$140)</c:f>
                <c:numCache>
                  <c:formatCode>General</c:formatCode>
                  <c:ptCount val="3"/>
                  <c:pt idx="0">
                    <c:v>7.9681196598222002</c:v>
                  </c:pt>
                  <c:pt idx="1">
                    <c:v>2.9842370233306035</c:v>
                  </c:pt>
                  <c:pt idx="2">
                    <c:v>0.38557563010890306</c:v>
                  </c:pt>
                </c:numCache>
              </c:numRef>
            </c:plus>
            <c:minus>
              <c:numRef>
                <c:f>('Births and Early Years'!$H$140,'Births and Early Years'!$L$140,'Births and Early Years'!$P$140)</c:f>
                <c:numCache>
                  <c:formatCode>General</c:formatCode>
                  <c:ptCount val="3"/>
                  <c:pt idx="0">
                    <c:v>6.6413745703961986</c:v>
                  </c:pt>
                  <c:pt idx="1">
                    <c:v>2.7740451293187007</c:v>
                  </c:pt>
                  <c:pt idx="2">
                    <c:v>0.38258364452750016</c:v>
                  </c:pt>
                </c:numCache>
              </c:numRef>
            </c:minus>
          </c:errBars>
          <c:cat>
            <c:strRef>
              <c:f>'Births and Early Years'!$F$135:$H$135</c:f>
              <c:strCache>
                <c:ptCount val="3"/>
                <c:pt idx="0">
                  <c:v>Arun</c:v>
                </c:pt>
                <c:pt idx="1">
                  <c:v>West Sussex</c:v>
                </c:pt>
                <c:pt idx="2">
                  <c:v>England</c:v>
                </c:pt>
              </c:strCache>
            </c:strRef>
          </c:cat>
          <c:val>
            <c:numRef>
              <c:f>('Births and Early Years'!$G$129,'Births and Early Years'!$K$129,'Births and Early Years'!$O$129)</c:f>
              <c:numCache>
                <c:formatCode>0.0</c:formatCode>
                <c:ptCount val="3"/>
                <c:pt idx="0">
                  <c:v>29.5154185022026</c:v>
                </c:pt>
                <c:pt idx="1">
                  <c:v>29.434878902622</c:v>
                </c:pt>
                <c:pt idx="2">
                  <c:v>37.113627592412598</c:v>
                </c:pt>
              </c:numCache>
            </c:numRef>
          </c:val>
        </c:ser>
        <c:ser>
          <c:idx val="1"/>
          <c:order val="1"/>
          <c:tx>
            <c:strRef>
              <c:f>'Births and Early Years'!$D$130:$E$130</c:f>
              <c:strCache>
                <c:ptCount val="1"/>
                <c:pt idx="0">
                  <c:v>2010</c:v>
                </c:pt>
              </c:strCache>
            </c:strRef>
          </c:tx>
          <c:spPr>
            <a:solidFill>
              <a:schemeClr val="accent1">
                <a:lumMod val="60000"/>
                <a:lumOff val="40000"/>
              </a:schemeClr>
            </a:solidFill>
            <a:ln>
              <a:solidFill>
                <a:schemeClr val="bg1">
                  <a:lumMod val="50000"/>
                </a:schemeClr>
              </a:solidFill>
            </a:ln>
          </c:spPr>
          <c:invertIfNegative val="0"/>
          <c:dPt>
            <c:idx val="1"/>
            <c:invertIfNegative val="0"/>
            <c:bubble3D val="0"/>
            <c:spPr>
              <a:solidFill>
                <a:schemeClr val="accent3">
                  <a:lumMod val="60000"/>
                  <a:lumOff val="40000"/>
                </a:schemeClr>
              </a:solidFill>
              <a:ln>
                <a:solidFill>
                  <a:schemeClr val="bg1">
                    <a:lumMod val="50000"/>
                  </a:schemeClr>
                </a:solidFill>
              </a:ln>
            </c:spPr>
          </c:dPt>
          <c:dPt>
            <c:idx val="2"/>
            <c:invertIfNegative val="0"/>
            <c:bubble3D val="0"/>
            <c:spPr>
              <a:solidFill>
                <a:schemeClr val="bg1">
                  <a:lumMod val="75000"/>
                </a:schemeClr>
              </a:solidFill>
              <a:ln>
                <a:solidFill>
                  <a:schemeClr val="bg1">
                    <a:lumMod val="50000"/>
                  </a:schemeClr>
                </a:solidFill>
              </a:ln>
            </c:spPr>
          </c:dPt>
          <c:dLbls>
            <c:txPr>
              <a:bodyPr rot="-5400000" vert="horz"/>
              <a:lstStyle/>
              <a:p>
                <a:pPr>
                  <a:defRPr/>
                </a:pPr>
                <a:endParaRPr lang="en-US"/>
              </a:p>
            </c:txPr>
            <c:dLblPos val="inBase"/>
            <c:showLegendKey val="0"/>
            <c:showVal val="0"/>
            <c:showCatName val="0"/>
            <c:showSerName val="1"/>
            <c:showPercent val="0"/>
            <c:showBubbleSize val="0"/>
            <c:showLeaderLines val="0"/>
          </c:dLbls>
          <c:errBars>
            <c:errBarType val="both"/>
            <c:errValType val="cust"/>
            <c:noEndCap val="0"/>
            <c:plus>
              <c:numRef>
                <c:f>('Births and Early Years'!$I$141,'Births and Early Years'!$M$141,'Births and Early Years'!$Q$141)</c:f>
                <c:numCache>
                  <c:formatCode>General</c:formatCode>
                  <c:ptCount val="3"/>
                  <c:pt idx="0">
                    <c:v>9.1181608266605991</c:v>
                  </c:pt>
                  <c:pt idx="1">
                    <c:v>2.8758509287077025</c:v>
                  </c:pt>
                  <c:pt idx="2">
                    <c:v>0.37326963531290147</c:v>
                  </c:pt>
                </c:numCache>
              </c:numRef>
            </c:plus>
            <c:minus>
              <c:numRef>
                <c:f>('Births and Early Years'!$H$141,'Births and Early Years'!$L$141,'Births and Early Years'!$P$141)</c:f>
                <c:numCache>
                  <c:formatCode>General</c:formatCode>
                  <c:ptCount val="3"/>
                  <c:pt idx="0">
                    <c:v>7.7937099331981017</c:v>
                  </c:pt>
                  <c:pt idx="1">
                    <c:v>2.6624705640250994</c:v>
                  </c:pt>
                  <c:pt idx="2">
                    <c:v>0.37022557634010411</c:v>
                  </c:pt>
                </c:numCache>
              </c:numRef>
            </c:minus>
          </c:errBars>
          <c:cat>
            <c:strRef>
              <c:f>'Births and Early Years'!$F$135:$H$135</c:f>
              <c:strCache>
                <c:ptCount val="3"/>
                <c:pt idx="0">
                  <c:v>Arun</c:v>
                </c:pt>
                <c:pt idx="1">
                  <c:v>West Sussex</c:v>
                </c:pt>
                <c:pt idx="2">
                  <c:v>England</c:v>
                </c:pt>
              </c:strCache>
            </c:strRef>
          </c:cat>
          <c:val>
            <c:numRef>
              <c:f>('Births and Early Years'!$G$130,'Births and Early Years'!$K$130,'Births and Early Years'!$O$130)</c:f>
              <c:numCache>
                <c:formatCode>0.0</c:formatCode>
                <c:ptCount val="3"/>
                <c:pt idx="0">
                  <c:v>39.787798408488101</c:v>
                </c:pt>
                <c:pt idx="1">
                  <c:v>26.809651474530799</c:v>
                </c:pt>
                <c:pt idx="2">
                  <c:v>34.172206843049501</c:v>
                </c:pt>
              </c:numCache>
            </c:numRef>
          </c:val>
        </c:ser>
        <c:ser>
          <c:idx val="2"/>
          <c:order val="2"/>
          <c:tx>
            <c:strRef>
              <c:f>'Births and Early Years'!$D$131:$E$131</c:f>
              <c:strCache>
                <c:ptCount val="1"/>
                <c:pt idx="0">
                  <c:v>2011</c:v>
                </c:pt>
              </c:strCache>
            </c:strRef>
          </c:tx>
          <c:spPr>
            <a:ln>
              <a:solidFill>
                <a:schemeClr val="bg1">
                  <a:lumMod val="50000"/>
                </a:schemeClr>
              </a:solidFill>
            </a:ln>
          </c:spPr>
          <c:invertIfNegative val="0"/>
          <c:dPt>
            <c:idx val="0"/>
            <c:invertIfNegative val="0"/>
            <c:bubble3D val="0"/>
            <c:spPr>
              <a:solidFill>
                <a:schemeClr val="accent1">
                  <a:lumMod val="60000"/>
                  <a:lumOff val="40000"/>
                </a:schemeClr>
              </a:solidFill>
              <a:ln>
                <a:solidFill>
                  <a:schemeClr val="bg1">
                    <a:lumMod val="50000"/>
                  </a:schemeClr>
                </a:solidFill>
              </a:ln>
            </c:spPr>
          </c:dPt>
          <c:dPt>
            <c:idx val="1"/>
            <c:invertIfNegative val="0"/>
            <c:bubble3D val="0"/>
            <c:spPr>
              <a:solidFill>
                <a:schemeClr val="accent3">
                  <a:lumMod val="60000"/>
                  <a:lumOff val="40000"/>
                </a:schemeClr>
              </a:solidFill>
              <a:ln>
                <a:solidFill>
                  <a:schemeClr val="bg1">
                    <a:lumMod val="50000"/>
                  </a:schemeClr>
                </a:solidFill>
              </a:ln>
            </c:spPr>
          </c:dPt>
          <c:dPt>
            <c:idx val="2"/>
            <c:invertIfNegative val="0"/>
            <c:bubble3D val="0"/>
            <c:spPr>
              <a:solidFill>
                <a:schemeClr val="bg1">
                  <a:lumMod val="75000"/>
                </a:schemeClr>
              </a:solidFill>
              <a:ln>
                <a:solidFill>
                  <a:schemeClr val="bg1">
                    <a:lumMod val="50000"/>
                  </a:schemeClr>
                </a:solidFill>
              </a:ln>
            </c:spPr>
          </c:dPt>
          <c:dLbls>
            <c:txPr>
              <a:bodyPr rot="-5400000" vert="horz"/>
              <a:lstStyle/>
              <a:p>
                <a:pPr>
                  <a:defRPr/>
                </a:pPr>
                <a:endParaRPr lang="en-US"/>
              </a:p>
            </c:txPr>
            <c:dLblPos val="inBase"/>
            <c:showLegendKey val="0"/>
            <c:showVal val="0"/>
            <c:showCatName val="0"/>
            <c:showSerName val="1"/>
            <c:showPercent val="0"/>
            <c:showBubbleSize val="0"/>
            <c:showLeaderLines val="0"/>
          </c:dLbls>
          <c:errBars>
            <c:errBarType val="both"/>
            <c:errValType val="cust"/>
            <c:noEndCap val="0"/>
            <c:plus>
              <c:numRef>
                <c:f>('Births and Early Years'!$I$142,'Births and Early Years'!$M$142,'Births and Early Years'!$Q$142)</c:f>
                <c:numCache>
                  <c:formatCode>General</c:formatCode>
                  <c:ptCount val="3"/>
                  <c:pt idx="0">
                    <c:v>8.2486548584956978</c:v>
                  </c:pt>
                  <c:pt idx="1">
                    <c:v>2.7633998358822005</c:v>
                  </c:pt>
                  <c:pt idx="2">
                    <c:v>0.35442720536729766</c:v>
                  </c:pt>
                </c:numCache>
              </c:numRef>
            </c:plus>
            <c:minus>
              <c:numRef>
                <c:f>('Births and Early Years'!$H$142,'Births and Early Years'!$L$142,'Births and Early Years'!$P$142)</c:f>
                <c:numCache>
                  <c:formatCode>General</c:formatCode>
                  <c:ptCount val="3"/>
                  <c:pt idx="0">
                    <c:v>6.9447905850536031</c:v>
                  </c:pt>
                  <c:pt idx="1">
                    <c:v>2.5492151338675981</c:v>
                  </c:pt>
                  <c:pt idx="2">
                    <c:v>0.35137426180580178</c:v>
                  </c:pt>
                </c:numCache>
              </c:numRef>
            </c:minus>
          </c:errBars>
          <c:cat>
            <c:strRef>
              <c:f>'Births and Early Years'!$F$135:$H$135</c:f>
              <c:strCache>
                <c:ptCount val="3"/>
                <c:pt idx="0">
                  <c:v>Arun</c:v>
                </c:pt>
                <c:pt idx="1">
                  <c:v>West Sussex</c:v>
                </c:pt>
                <c:pt idx="2">
                  <c:v>England</c:v>
                </c:pt>
              </c:strCache>
            </c:strRef>
          </c:cat>
          <c:val>
            <c:numRef>
              <c:f>('Births and Early Years'!$G$131,'Births and Early Years'!$K$131,'Births and Early Years'!$O$131)</c:f>
              <c:numCache>
                <c:formatCode>0.0</c:formatCode>
                <c:ptCount val="3"/>
                <c:pt idx="0">
                  <c:v>32.537960954446902</c:v>
                </c:pt>
                <c:pt idx="1">
                  <c:v>24.5639534883721</c:v>
                </c:pt>
                <c:pt idx="2">
                  <c:v>30.703799813667501</c:v>
                </c:pt>
              </c:numCache>
            </c:numRef>
          </c:val>
        </c:ser>
        <c:ser>
          <c:idx val="3"/>
          <c:order val="3"/>
          <c:tx>
            <c:strRef>
              <c:f>'Births and Early Years'!$D$132:$E$132</c:f>
              <c:strCache>
                <c:ptCount val="1"/>
                <c:pt idx="0">
                  <c:v>2012</c:v>
                </c:pt>
              </c:strCache>
            </c:strRef>
          </c:tx>
          <c:spPr>
            <a:solidFill>
              <a:schemeClr val="accent1">
                <a:lumMod val="60000"/>
                <a:lumOff val="40000"/>
              </a:schemeClr>
            </a:solidFill>
            <a:ln>
              <a:solidFill>
                <a:schemeClr val="bg1">
                  <a:lumMod val="50000"/>
                </a:schemeClr>
              </a:solidFill>
            </a:ln>
          </c:spPr>
          <c:invertIfNegative val="0"/>
          <c:dPt>
            <c:idx val="1"/>
            <c:invertIfNegative val="0"/>
            <c:bubble3D val="0"/>
            <c:spPr>
              <a:solidFill>
                <a:schemeClr val="accent3">
                  <a:lumMod val="60000"/>
                  <a:lumOff val="40000"/>
                </a:schemeClr>
              </a:solidFill>
              <a:ln>
                <a:solidFill>
                  <a:schemeClr val="bg1">
                    <a:lumMod val="50000"/>
                  </a:schemeClr>
                </a:solidFill>
              </a:ln>
            </c:spPr>
          </c:dPt>
          <c:dPt>
            <c:idx val="2"/>
            <c:invertIfNegative val="0"/>
            <c:bubble3D val="0"/>
            <c:spPr>
              <a:solidFill>
                <a:schemeClr val="bg1">
                  <a:lumMod val="75000"/>
                </a:schemeClr>
              </a:solidFill>
              <a:ln>
                <a:solidFill>
                  <a:schemeClr val="bg1">
                    <a:lumMod val="50000"/>
                  </a:schemeClr>
                </a:solidFill>
              </a:ln>
            </c:spPr>
          </c:dPt>
          <c:dLbls>
            <c:txPr>
              <a:bodyPr rot="-5400000" vert="horz"/>
              <a:lstStyle/>
              <a:p>
                <a:pPr>
                  <a:defRPr/>
                </a:pPr>
                <a:endParaRPr lang="en-US"/>
              </a:p>
            </c:txPr>
            <c:dLblPos val="inBase"/>
            <c:showLegendKey val="0"/>
            <c:showVal val="0"/>
            <c:showCatName val="0"/>
            <c:showSerName val="1"/>
            <c:showPercent val="0"/>
            <c:showBubbleSize val="0"/>
            <c:showLeaderLines val="0"/>
          </c:dLbls>
          <c:errBars>
            <c:errBarType val="both"/>
            <c:errValType val="cust"/>
            <c:noEndCap val="0"/>
            <c:plus>
              <c:numRef>
                <c:f>('Births and Early Years'!$I$143,'Births and Early Years'!$M$143,'Births and Early Years'!$Q$143)</c:f>
                <c:numCache>
                  <c:formatCode>General</c:formatCode>
                  <c:ptCount val="3"/>
                  <c:pt idx="0">
                    <c:v>7.2891300421613998</c:v>
                  </c:pt>
                  <c:pt idx="1">
                    <c:v>2.6641905567294977</c:v>
                  </c:pt>
                  <c:pt idx="2">
                    <c:v>0.33831964560899763</c:v>
                  </c:pt>
                </c:numCache>
              </c:numRef>
            </c:plus>
            <c:minus>
              <c:numRef>
                <c:f>('Births and Early Years'!$H$143,'Births and Early Years'!$L$143,'Births and Early Years'!$P$143)</c:f>
                <c:numCache>
                  <c:formatCode>General</c:formatCode>
                  <c:ptCount val="3"/>
                  <c:pt idx="0">
                    <c:v>5.9606647752907023</c:v>
                  </c:pt>
                  <c:pt idx="1">
                    <c:v>2.4482395998017026</c:v>
                  </c:pt>
                  <c:pt idx="2">
                    <c:v>0.33524305197810023</c:v>
                  </c:pt>
                </c:numCache>
              </c:numRef>
            </c:minus>
          </c:errBars>
          <c:cat>
            <c:strRef>
              <c:f>'Births and Early Years'!$F$135:$H$135</c:f>
              <c:strCache>
                <c:ptCount val="3"/>
                <c:pt idx="0">
                  <c:v>Arun</c:v>
                </c:pt>
                <c:pt idx="1">
                  <c:v>West Sussex</c:v>
                </c:pt>
                <c:pt idx="2">
                  <c:v>England</c:v>
                </c:pt>
              </c:strCache>
            </c:strRef>
          </c:cat>
          <c:val>
            <c:numRef>
              <c:f>('Births and Early Years'!$G$132,'Births and Early Years'!$K$132,'Births and Early Years'!$O$132)</c:f>
              <c:numCache>
                <c:formatCode>0.0</c:formatCode>
                <c:ptCount val="3"/>
                <c:pt idx="0">
                  <c:v>24.165202108963101</c:v>
                </c:pt>
                <c:pt idx="1">
                  <c:v>22.549234936671802</c:v>
                </c:pt>
                <c:pt idx="2">
                  <c:v>27.746396850804601</c:v>
                </c:pt>
              </c:numCache>
            </c:numRef>
          </c:val>
        </c:ser>
        <c:ser>
          <c:idx val="4"/>
          <c:order val="4"/>
          <c:tx>
            <c:strRef>
              <c:f>'Births and Early Years'!$D$133:$E$133</c:f>
              <c:strCache>
                <c:ptCount val="1"/>
                <c:pt idx="0">
                  <c:v>2013</c:v>
                </c:pt>
              </c:strCache>
            </c:strRef>
          </c:tx>
          <c:spPr>
            <a:ln>
              <a:solidFill>
                <a:schemeClr val="bg1">
                  <a:lumMod val="50000"/>
                </a:schemeClr>
              </a:solidFill>
            </a:ln>
          </c:spPr>
          <c:invertIfNegative val="0"/>
          <c:dPt>
            <c:idx val="0"/>
            <c:invertIfNegative val="0"/>
            <c:bubble3D val="0"/>
            <c:spPr>
              <a:solidFill>
                <a:schemeClr val="accent1">
                  <a:lumMod val="60000"/>
                  <a:lumOff val="40000"/>
                </a:schemeClr>
              </a:solidFill>
              <a:ln>
                <a:solidFill>
                  <a:schemeClr val="bg1">
                    <a:lumMod val="50000"/>
                  </a:schemeClr>
                </a:solidFill>
              </a:ln>
            </c:spPr>
          </c:dPt>
          <c:dPt>
            <c:idx val="1"/>
            <c:invertIfNegative val="0"/>
            <c:bubble3D val="0"/>
            <c:spPr>
              <a:solidFill>
                <a:schemeClr val="accent3">
                  <a:lumMod val="60000"/>
                  <a:lumOff val="40000"/>
                </a:schemeClr>
              </a:solidFill>
              <a:ln>
                <a:solidFill>
                  <a:schemeClr val="bg1">
                    <a:lumMod val="50000"/>
                  </a:schemeClr>
                </a:solidFill>
              </a:ln>
            </c:spPr>
          </c:dPt>
          <c:dPt>
            <c:idx val="2"/>
            <c:invertIfNegative val="0"/>
            <c:bubble3D val="0"/>
            <c:spPr>
              <a:solidFill>
                <a:schemeClr val="bg1">
                  <a:lumMod val="75000"/>
                </a:schemeClr>
              </a:solidFill>
              <a:ln>
                <a:solidFill>
                  <a:schemeClr val="bg1">
                    <a:lumMod val="50000"/>
                  </a:schemeClr>
                </a:solidFill>
              </a:ln>
            </c:spPr>
          </c:dPt>
          <c:dLbls>
            <c:txPr>
              <a:bodyPr rot="-5400000" vert="horz"/>
              <a:lstStyle/>
              <a:p>
                <a:pPr>
                  <a:defRPr/>
                </a:pPr>
                <a:endParaRPr lang="en-US"/>
              </a:p>
            </c:txPr>
            <c:dLblPos val="inBase"/>
            <c:showLegendKey val="0"/>
            <c:showVal val="0"/>
            <c:showCatName val="0"/>
            <c:showSerName val="1"/>
            <c:showPercent val="0"/>
            <c:showBubbleSize val="0"/>
            <c:showLeaderLines val="0"/>
          </c:dLbls>
          <c:errBars>
            <c:errBarType val="both"/>
            <c:errValType val="cust"/>
            <c:noEndCap val="0"/>
            <c:plus>
              <c:numRef>
                <c:f>('Births and Early Years'!$I$144,'Births and Early Years'!$M$144,'Births and Early Years'!$Q$144)</c:f>
                <c:numCache>
                  <c:formatCode>General</c:formatCode>
                  <c:ptCount val="3"/>
                  <c:pt idx="0">
                    <c:v>7.4327796219509992</c:v>
                  </c:pt>
                  <c:pt idx="1">
                    <c:v>2.4411830058437012</c:v>
                  </c:pt>
                  <c:pt idx="2">
                    <c:v>0.31789135580349992</c:v>
                  </c:pt>
                </c:numCache>
              </c:numRef>
            </c:plus>
            <c:minus>
              <c:numRef>
                <c:f>('Births and Early Years'!$H$144,'Births and Early Years'!$L$144,'Births and Early Years'!$P$144)</c:f>
                <c:numCache>
                  <c:formatCode>General</c:formatCode>
                  <c:ptCount val="3"/>
                  <c:pt idx="0">
                    <c:v>6.1000249832708988</c:v>
                  </c:pt>
                  <c:pt idx="1">
                    <c:v>2.2265273605708984</c:v>
                  </c:pt>
                  <c:pt idx="2">
                    <c:v>0.31479793689080182</c:v>
                  </c:pt>
                </c:numCache>
              </c:numRef>
            </c:minus>
          </c:errBars>
          <c:cat>
            <c:strRef>
              <c:f>'Births and Early Years'!$F$135:$H$135</c:f>
              <c:strCache>
                <c:ptCount val="3"/>
                <c:pt idx="0">
                  <c:v>Arun</c:v>
                </c:pt>
                <c:pt idx="1">
                  <c:v>West Sussex</c:v>
                </c:pt>
                <c:pt idx="2">
                  <c:v>England</c:v>
                </c:pt>
              </c:strCache>
            </c:strRef>
          </c:cat>
          <c:val>
            <c:numRef>
              <c:f>('Births and Early Years'!$G$133,'Births and Early Years'!$K$133,'Births and Early Years'!$O$133)</c:f>
              <c:numCache>
                <c:formatCode>0.0</c:formatCode>
                <c:ptCount val="3"/>
                <c:pt idx="0">
                  <c:v>25.1433612704014</c:v>
                </c:pt>
                <c:pt idx="1">
                  <c:v>18.889857599534999</c:v>
                </c:pt>
                <c:pt idx="2">
                  <c:v>24.346104996443501</c:v>
                </c:pt>
              </c:numCache>
            </c:numRef>
          </c:val>
        </c:ser>
        <c:ser>
          <c:idx val="5"/>
          <c:order val="5"/>
          <c:tx>
            <c:strRef>
              <c:f>'Births and Early Years'!$D$134:$E$134</c:f>
              <c:strCache>
                <c:ptCount val="1"/>
                <c:pt idx="0">
                  <c:v>2014</c:v>
                </c:pt>
              </c:strCache>
            </c:strRef>
          </c:tx>
          <c:spPr>
            <a:ln>
              <a:solidFill>
                <a:schemeClr val="bg1">
                  <a:lumMod val="50000"/>
                </a:schemeClr>
              </a:solidFill>
            </a:ln>
          </c:spPr>
          <c:invertIfNegative val="0"/>
          <c:dPt>
            <c:idx val="0"/>
            <c:invertIfNegative val="0"/>
            <c:bubble3D val="0"/>
            <c:spPr>
              <a:solidFill>
                <a:schemeClr val="accent1">
                  <a:lumMod val="60000"/>
                  <a:lumOff val="40000"/>
                </a:schemeClr>
              </a:solidFill>
              <a:ln>
                <a:solidFill>
                  <a:schemeClr val="bg1">
                    <a:lumMod val="50000"/>
                  </a:schemeClr>
                </a:solidFill>
              </a:ln>
            </c:spPr>
          </c:dPt>
          <c:dPt>
            <c:idx val="1"/>
            <c:invertIfNegative val="0"/>
            <c:bubble3D val="0"/>
            <c:spPr>
              <a:solidFill>
                <a:schemeClr val="accent3">
                  <a:lumMod val="60000"/>
                  <a:lumOff val="40000"/>
                </a:schemeClr>
              </a:solidFill>
              <a:ln>
                <a:solidFill>
                  <a:schemeClr val="bg1">
                    <a:lumMod val="50000"/>
                  </a:schemeClr>
                </a:solidFill>
              </a:ln>
            </c:spPr>
          </c:dPt>
          <c:dPt>
            <c:idx val="2"/>
            <c:invertIfNegative val="0"/>
            <c:bubble3D val="0"/>
            <c:spPr>
              <a:solidFill>
                <a:schemeClr val="bg1">
                  <a:lumMod val="75000"/>
                </a:schemeClr>
              </a:solidFill>
              <a:ln>
                <a:solidFill>
                  <a:schemeClr val="bg1">
                    <a:lumMod val="50000"/>
                  </a:schemeClr>
                </a:solidFill>
              </a:ln>
            </c:spPr>
          </c:dPt>
          <c:dLbls>
            <c:txPr>
              <a:bodyPr rot="-5400000" vert="horz"/>
              <a:lstStyle/>
              <a:p>
                <a:pPr>
                  <a:defRPr/>
                </a:pPr>
                <a:endParaRPr lang="en-US"/>
              </a:p>
            </c:txPr>
            <c:dLblPos val="inBase"/>
            <c:showLegendKey val="0"/>
            <c:showVal val="0"/>
            <c:showCatName val="0"/>
            <c:showSerName val="1"/>
            <c:showPercent val="0"/>
            <c:showBubbleSize val="0"/>
            <c:showLeaderLines val="0"/>
          </c:dLbls>
          <c:errBars>
            <c:errBarType val="both"/>
            <c:errValType val="cust"/>
            <c:noEndCap val="0"/>
            <c:plus>
              <c:numRef>
                <c:f>('Births and Early Years'!$I$145,'Births and Early Years'!$M$145,'Births and Early Years'!$Q$145)</c:f>
                <c:numCache>
                  <c:formatCode>General</c:formatCode>
                  <c:ptCount val="3"/>
                  <c:pt idx="0">
                    <c:v>7.5123100325291148</c:v>
                  </c:pt>
                  <c:pt idx="1">
                    <c:v>2.4102016449851824</c:v>
                  </c:pt>
                  <c:pt idx="2">
                    <c:v>0.30847353741749828</c:v>
                  </c:pt>
                </c:numCache>
              </c:numRef>
            </c:plus>
            <c:minus>
              <c:numRef>
                <c:f>('Births and Early Years'!$H$145,'Births and Early Years'!$L$145,'Births and Early Years'!$P$145)</c:f>
                <c:numCache>
                  <c:formatCode>General</c:formatCode>
                  <c:ptCount val="3"/>
                  <c:pt idx="0">
                    <c:v>6.1652949786336393</c:v>
                  </c:pt>
                  <c:pt idx="1">
                    <c:v>2.1938322300524788</c:v>
                  </c:pt>
                  <c:pt idx="2">
                    <c:v>0.30536499114953486</c:v>
                  </c:pt>
                </c:numCache>
              </c:numRef>
            </c:minus>
          </c:errBars>
          <c:val>
            <c:numRef>
              <c:f>('Births and Early Years'!$G$134,'Births and Early Years'!$K$134,'Births and Early Years'!$O$134)</c:f>
              <c:numCache>
                <c:formatCode>0.0</c:formatCode>
                <c:ptCount val="3"/>
                <c:pt idx="0">
                  <c:v>25.412394115024519</c:v>
                </c:pt>
                <c:pt idx="1">
                  <c:v>18.227069760632457</c:v>
                </c:pt>
                <c:pt idx="2">
                  <c:v>22.804472171086047</c:v>
                </c:pt>
              </c:numCache>
            </c:numRef>
          </c:val>
        </c:ser>
        <c:dLbls>
          <c:showLegendKey val="0"/>
          <c:showVal val="1"/>
          <c:showCatName val="0"/>
          <c:showSerName val="0"/>
          <c:showPercent val="0"/>
          <c:showBubbleSize val="0"/>
        </c:dLbls>
        <c:gapWidth val="150"/>
        <c:axId val="83475840"/>
        <c:axId val="83489920"/>
      </c:barChart>
      <c:catAx>
        <c:axId val="83475840"/>
        <c:scaling>
          <c:orientation val="minMax"/>
        </c:scaling>
        <c:delete val="0"/>
        <c:axPos val="b"/>
        <c:majorTickMark val="out"/>
        <c:minorTickMark val="none"/>
        <c:tickLblPos val="nextTo"/>
        <c:spPr>
          <a:ln>
            <a:solidFill>
              <a:schemeClr val="bg1">
                <a:lumMod val="50000"/>
              </a:schemeClr>
            </a:solidFill>
          </a:ln>
        </c:spPr>
        <c:crossAx val="83489920"/>
        <c:crosses val="autoZero"/>
        <c:auto val="1"/>
        <c:lblAlgn val="ctr"/>
        <c:lblOffset val="100"/>
        <c:noMultiLvlLbl val="0"/>
      </c:catAx>
      <c:valAx>
        <c:axId val="83489920"/>
        <c:scaling>
          <c:orientation val="minMax"/>
        </c:scaling>
        <c:delete val="0"/>
        <c:axPos val="l"/>
        <c:majorGridlines>
          <c:spPr>
            <a:ln>
              <a:solidFill>
                <a:schemeClr val="bg1">
                  <a:lumMod val="75000"/>
                </a:schemeClr>
              </a:solidFill>
            </a:ln>
          </c:spPr>
        </c:majorGridlines>
        <c:title>
          <c:tx>
            <c:rich>
              <a:bodyPr rot="-5400000" vert="horz"/>
              <a:lstStyle/>
              <a:p>
                <a:pPr>
                  <a:defRPr sz="1050"/>
                </a:pPr>
                <a:r>
                  <a:rPr lang="en-US" sz="1050"/>
                  <a:t>Rate of under 18 conceptions per 1,000 women aged 15-17</a:t>
                </a:r>
              </a:p>
            </c:rich>
          </c:tx>
          <c:overlay val="0"/>
        </c:title>
        <c:numFmt formatCode="0.0" sourceLinked="1"/>
        <c:majorTickMark val="out"/>
        <c:minorTickMark val="none"/>
        <c:tickLblPos val="nextTo"/>
        <c:spPr>
          <a:noFill/>
          <a:ln>
            <a:solidFill>
              <a:schemeClr val="bg1">
                <a:lumMod val="50000"/>
              </a:schemeClr>
            </a:solidFill>
          </a:ln>
        </c:spPr>
        <c:crossAx val="83475840"/>
        <c:crosses val="autoZero"/>
        <c:crossBetween val="between"/>
      </c:valAx>
    </c:plotArea>
    <c:plotVisOnly val="1"/>
    <c:dispBlanksAs val="gap"/>
    <c:showDLblsOverMax val="0"/>
  </c:chart>
  <c:spPr>
    <a:ln>
      <a:noFill/>
    </a:ln>
  </c:sp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38"/>
    </mc:Choice>
    <mc:Fallback>
      <c:style val="38"/>
    </mc:Fallback>
  </mc:AlternateContent>
  <c:chart>
    <c:title>
      <c:tx>
        <c:strRef>
          <c:f>'Births and Early Years'!$G$62:$H$62</c:f>
          <c:strCache>
            <c:ptCount val="1"/>
            <c:pt idx="0">
              <c:v>Angmering</c:v>
            </c:pt>
          </c:strCache>
        </c:strRef>
      </c:tx>
      <c:layout>
        <c:manualLayout>
          <c:xMode val="edge"/>
          <c:yMode val="edge"/>
          <c:x val="0.22789555196655975"/>
          <c:y val="0"/>
        </c:manualLayout>
      </c:layout>
      <c:overlay val="0"/>
    </c:title>
    <c:autoTitleDeleted val="0"/>
    <c:plotArea>
      <c:layout>
        <c:manualLayout>
          <c:layoutTarget val="inner"/>
          <c:xMode val="edge"/>
          <c:yMode val="edge"/>
          <c:x val="0.14952956349206351"/>
          <c:y val="0.14889802631578947"/>
          <c:w val="0.81765623680267197"/>
          <c:h val="0.62302850877192972"/>
        </c:manualLayout>
      </c:layout>
      <c:barChart>
        <c:barDir val="col"/>
        <c:grouping val="percentStacked"/>
        <c:varyColors val="0"/>
        <c:ser>
          <c:idx val="0"/>
          <c:order val="0"/>
          <c:tx>
            <c:strRef>
              <c:f>'Births and Early Years'!$G$63</c:f>
              <c:strCache>
                <c:ptCount val="1"/>
                <c:pt idx="0">
                  <c:v>Live births to women under 20 years</c:v>
                </c:pt>
              </c:strCache>
            </c:strRef>
          </c:tx>
          <c:spPr>
            <a:solidFill>
              <a:schemeClr val="accent1">
                <a:lumMod val="75000"/>
              </a:schemeClr>
            </a:solidFill>
          </c:spPr>
          <c:invertIfNegative val="0"/>
          <c:dLbls>
            <c:delete val="1"/>
          </c:dLbls>
          <c:cat>
            <c:numRef>
              <c:f>'Births and Early Years'!$F$64:$F$70</c:f>
              <c:numCache>
                <c:formatCode>General</c:formatCode>
                <c:ptCount val="7"/>
                <c:pt idx="0">
                  <c:v>2009</c:v>
                </c:pt>
                <c:pt idx="1">
                  <c:v>2010</c:v>
                </c:pt>
                <c:pt idx="2">
                  <c:v>2011</c:v>
                </c:pt>
                <c:pt idx="3">
                  <c:v>2012</c:v>
                </c:pt>
                <c:pt idx="4">
                  <c:v>2013</c:v>
                </c:pt>
                <c:pt idx="5">
                  <c:v>2014</c:v>
                </c:pt>
                <c:pt idx="6">
                  <c:v>2015</c:v>
                </c:pt>
              </c:numCache>
            </c:numRef>
          </c:cat>
          <c:val>
            <c:numRef>
              <c:f>'Births and Early Years'!$G$64:$G$70</c:f>
              <c:numCache>
                <c:formatCode>0.0%</c:formatCode>
                <c:ptCount val="7"/>
                <c:pt idx="0">
                  <c:v>3.825136612021858E-2</c:v>
                </c:pt>
                <c:pt idx="1">
                  <c:v>2.23463687150838E-2</c:v>
                </c:pt>
                <c:pt idx="2">
                  <c:v>5.9113300492610835E-2</c:v>
                </c:pt>
                <c:pt idx="3">
                  <c:v>4.1025641025641026E-2</c:v>
                </c:pt>
                <c:pt idx="4">
                  <c:v>3.6809815950920248E-2</c:v>
                </c:pt>
                <c:pt idx="6">
                  <c:v>2.185792349726776E-2</c:v>
                </c:pt>
              </c:numCache>
            </c:numRef>
          </c:val>
        </c:ser>
        <c:ser>
          <c:idx val="1"/>
          <c:order val="1"/>
          <c:tx>
            <c:strRef>
              <c:f>'Births and Early Years'!$H$63</c:f>
              <c:strCache>
                <c:ptCount val="1"/>
                <c:pt idx="0">
                  <c:v>All other live births</c:v>
                </c:pt>
              </c:strCache>
            </c:strRef>
          </c:tx>
          <c:spPr>
            <a:solidFill>
              <a:schemeClr val="accent1">
                <a:lumMod val="60000"/>
                <a:lumOff val="40000"/>
              </a:schemeClr>
            </a:solidFill>
          </c:spPr>
          <c:invertIfNegative val="0"/>
          <c:dLbls>
            <c:delete val="1"/>
          </c:dLbls>
          <c:cat>
            <c:numRef>
              <c:f>'Births and Early Years'!$F$64:$F$70</c:f>
              <c:numCache>
                <c:formatCode>General</c:formatCode>
                <c:ptCount val="7"/>
                <c:pt idx="0">
                  <c:v>2009</c:v>
                </c:pt>
                <c:pt idx="1">
                  <c:v>2010</c:v>
                </c:pt>
                <c:pt idx="2">
                  <c:v>2011</c:v>
                </c:pt>
                <c:pt idx="3">
                  <c:v>2012</c:v>
                </c:pt>
                <c:pt idx="4">
                  <c:v>2013</c:v>
                </c:pt>
                <c:pt idx="5">
                  <c:v>2014</c:v>
                </c:pt>
                <c:pt idx="6">
                  <c:v>2015</c:v>
                </c:pt>
              </c:numCache>
            </c:numRef>
          </c:cat>
          <c:val>
            <c:numRef>
              <c:f>'Births and Early Years'!$H$64:$H$70</c:f>
              <c:numCache>
                <c:formatCode>0.0%</c:formatCode>
                <c:ptCount val="7"/>
                <c:pt idx="0">
                  <c:v>0.96174863387978138</c:v>
                </c:pt>
                <c:pt idx="1">
                  <c:v>0.97765363128491622</c:v>
                </c:pt>
                <c:pt idx="2">
                  <c:v>0.94088669950738912</c:v>
                </c:pt>
                <c:pt idx="3">
                  <c:v>0.95897435897435901</c:v>
                </c:pt>
                <c:pt idx="4">
                  <c:v>0.96319018404907975</c:v>
                </c:pt>
                <c:pt idx="6">
                  <c:v>0.97814207650273222</c:v>
                </c:pt>
              </c:numCache>
            </c:numRef>
          </c:val>
        </c:ser>
        <c:dLbls>
          <c:showLegendKey val="0"/>
          <c:showVal val="1"/>
          <c:showCatName val="0"/>
          <c:showSerName val="0"/>
          <c:showPercent val="0"/>
          <c:showBubbleSize val="0"/>
        </c:dLbls>
        <c:gapWidth val="150"/>
        <c:overlap val="100"/>
        <c:axId val="85555072"/>
        <c:axId val="85556608"/>
      </c:barChart>
      <c:catAx>
        <c:axId val="85555072"/>
        <c:scaling>
          <c:orientation val="minMax"/>
        </c:scaling>
        <c:delete val="0"/>
        <c:axPos val="b"/>
        <c:numFmt formatCode="General" sourceLinked="1"/>
        <c:majorTickMark val="out"/>
        <c:minorTickMark val="none"/>
        <c:tickLblPos val="nextTo"/>
        <c:crossAx val="85556608"/>
        <c:crosses val="autoZero"/>
        <c:auto val="1"/>
        <c:lblAlgn val="ctr"/>
        <c:lblOffset val="100"/>
        <c:noMultiLvlLbl val="0"/>
      </c:catAx>
      <c:valAx>
        <c:axId val="85556608"/>
        <c:scaling>
          <c:orientation val="minMax"/>
        </c:scaling>
        <c:delete val="0"/>
        <c:axPos val="l"/>
        <c:majorGridlines>
          <c:spPr>
            <a:ln>
              <a:solidFill>
                <a:schemeClr val="bg1">
                  <a:lumMod val="75000"/>
                </a:schemeClr>
              </a:solidFill>
            </a:ln>
          </c:spPr>
        </c:majorGridlines>
        <c:title>
          <c:tx>
            <c:rich>
              <a:bodyPr rot="-5400000" vert="horz"/>
              <a:lstStyle/>
              <a:p>
                <a:pPr>
                  <a:defRPr/>
                </a:pPr>
                <a:r>
                  <a:rPr lang="en-GB"/>
                  <a:t>Percentage of live births</a:t>
                </a:r>
              </a:p>
            </c:rich>
          </c:tx>
          <c:overlay val="0"/>
        </c:title>
        <c:numFmt formatCode="0%" sourceLinked="1"/>
        <c:majorTickMark val="out"/>
        <c:minorTickMark val="none"/>
        <c:tickLblPos val="nextTo"/>
        <c:crossAx val="85555072"/>
        <c:crosses val="autoZero"/>
        <c:crossBetween val="between"/>
      </c:valAx>
      <c:spPr>
        <a:noFill/>
      </c:spPr>
    </c:plotArea>
    <c:legend>
      <c:legendPos val="b"/>
      <c:overlay val="0"/>
    </c:legend>
    <c:plotVisOnly val="1"/>
    <c:dispBlanksAs val="gap"/>
    <c:showDLblsOverMax val="0"/>
  </c:chart>
  <c:spPr>
    <a:ln>
      <a:noFill/>
    </a:ln>
  </c:sp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38"/>
    </mc:Choice>
    <mc:Fallback>
      <c:style val="38"/>
    </mc:Fallback>
  </mc:AlternateContent>
  <c:chart>
    <c:title>
      <c:tx>
        <c:strRef>
          <c:f>'Births and Early Years'!$I$62:$J$62</c:f>
          <c:strCache>
            <c:ptCount val="1"/>
            <c:pt idx="0">
              <c:v>Bewbush</c:v>
            </c:pt>
          </c:strCache>
        </c:strRef>
      </c:tx>
      <c:layout>
        <c:manualLayout>
          <c:xMode val="edge"/>
          <c:yMode val="edge"/>
          <c:x val="0.25608648713488874"/>
          <c:y val="0"/>
        </c:manualLayout>
      </c:layout>
      <c:overlay val="0"/>
    </c:title>
    <c:autoTitleDeleted val="0"/>
    <c:plotArea>
      <c:layout>
        <c:manualLayout>
          <c:layoutTarget val="inner"/>
          <c:xMode val="edge"/>
          <c:yMode val="edge"/>
          <c:x val="0.16709851337712259"/>
          <c:y val="0.14850721784776902"/>
          <c:w val="0.80192648125712851"/>
          <c:h val="0.62401793525809279"/>
        </c:manualLayout>
      </c:layout>
      <c:barChart>
        <c:barDir val="col"/>
        <c:grouping val="percentStacked"/>
        <c:varyColors val="0"/>
        <c:ser>
          <c:idx val="0"/>
          <c:order val="0"/>
          <c:tx>
            <c:strRef>
              <c:f>'Births and Early Years'!$I$63</c:f>
              <c:strCache>
                <c:ptCount val="1"/>
                <c:pt idx="0">
                  <c:v>Live births to women under 20 years</c:v>
                </c:pt>
              </c:strCache>
            </c:strRef>
          </c:tx>
          <c:invertIfNegative val="0"/>
          <c:cat>
            <c:numRef>
              <c:f>'Births and Early Years'!$F$64:$F$70</c:f>
              <c:numCache>
                <c:formatCode>General</c:formatCode>
                <c:ptCount val="7"/>
                <c:pt idx="0">
                  <c:v>2009</c:v>
                </c:pt>
                <c:pt idx="1">
                  <c:v>2010</c:v>
                </c:pt>
                <c:pt idx="2">
                  <c:v>2011</c:v>
                </c:pt>
                <c:pt idx="3">
                  <c:v>2012</c:v>
                </c:pt>
                <c:pt idx="4">
                  <c:v>2013</c:v>
                </c:pt>
                <c:pt idx="5">
                  <c:v>2014</c:v>
                </c:pt>
                <c:pt idx="6">
                  <c:v>2015</c:v>
                </c:pt>
              </c:numCache>
            </c:numRef>
          </c:cat>
          <c:val>
            <c:numRef>
              <c:f>'Births and Early Years'!$I$64:$I$70</c:f>
              <c:numCache>
                <c:formatCode>0.0%</c:formatCode>
                <c:ptCount val="7"/>
                <c:pt idx="0">
                  <c:v>6.6079295154185022E-2</c:v>
                </c:pt>
                <c:pt idx="1">
                  <c:v>5.6074766355140186E-2</c:v>
                </c:pt>
                <c:pt idx="2">
                  <c:v>4.0201005025125629E-2</c:v>
                </c:pt>
                <c:pt idx="3">
                  <c:v>7.1428571428571425E-2</c:v>
                </c:pt>
                <c:pt idx="4">
                  <c:v>6.3559322033898302E-2</c:v>
                </c:pt>
                <c:pt idx="6">
                  <c:v>1.6949152542372881E-2</c:v>
                </c:pt>
              </c:numCache>
            </c:numRef>
          </c:val>
        </c:ser>
        <c:ser>
          <c:idx val="1"/>
          <c:order val="1"/>
          <c:tx>
            <c:strRef>
              <c:f>'Births and Early Years'!$J$63</c:f>
              <c:strCache>
                <c:ptCount val="1"/>
                <c:pt idx="0">
                  <c:v>All other live births</c:v>
                </c:pt>
              </c:strCache>
            </c:strRef>
          </c:tx>
          <c:invertIfNegative val="0"/>
          <c:cat>
            <c:numRef>
              <c:f>'Births and Early Years'!$F$64:$F$70</c:f>
              <c:numCache>
                <c:formatCode>General</c:formatCode>
                <c:ptCount val="7"/>
                <c:pt idx="0">
                  <c:v>2009</c:v>
                </c:pt>
                <c:pt idx="1">
                  <c:v>2010</c:v>
                </c:pt>
                <c:pt idx="2">
                  <c:v>2011</c:v>
                </c:pt>
                <c:pt idx="3">
                  <c:v>2012</c:v>
                </c:pt>
                <c:pt idx="4">
                  <c:v>2013</c:v>
                </c:pt>
                <c:pt idx="5">
                  <c:v>2014</c:v>
                </c:pt>
                <c:pt idx="6">
                  <c:v>2015</c:v>
                </c:pt>
              </c:numCache>
            </c:numRef>
          </c:cat>
          <c:val>
            <c:numRef>
              <c:f>'Births and Early Years'!$J$64:$J$70</c:f>
              <c:numCache>
                <c:formatCode>0.0%</c:formatCode>
                <c:ptCount val="7"/>
                <c:pt idx="0">
                  <c:v>0.93392070484581502</c:v>
                </c:pt>
                <c:pt idx="1">
                  <c:v>0.94392523364485981</c:v>
                </c:pt>
                <c:pt idx="2">
                  <c:v>0.95979899497487442</c:v>
                </c:pt>
                <c:pt idx="3">
                  <c:v>0.9285714285714286</c:v>
                </c:pt>
                <c:pt idx="4">
                  <c:v>0.93644067796610164</c:v>
                </c:pt>
                <c:pt idx="6">
                  <c:v>0.98305084745762716</c:v>
                </c:pt>
              </c:numCache>
            </c:numRef>
          </c:val>
        </c:ser>
        <c:dLbls>
          <c:showLegendKey val="0"/>
          <c:showVal val="0"/>
          <c:showCatName val="0"/>
          <c:showSerName val="0"/>
          <c:showPercent val="0"/>
          <c:showBubbleSize val="0"/>
        </c:dLbls>
        <c:gapWidth val="150"/>
        <c:overlap val="100"/>
        <c:axId val="85398272"/>
        <c:axId val="85399808"/>
      </c:barChart>
      <c:catAx>
        <c:axId val="85398272"/>
        <c:scaling>
          <c:orientation val="minMax"/>
        </c:scaling>
        <c:delete val="0"/>
        <c:axPos val="b"/>
        <c:numFmt formatCode="General" sourceLinked="1"/>
        <c:majorTickMark val="out"/>
        <c:minorTickMark val="none"/>
        <c:tickLblPos val="nextTo"/>
        <c:crossAx val="85399808"/>
        <c:crosses val="autoZero"/>
        <c:auto val="1"/>
        <c:lblAlgn val="ctr"/>
        <c:lblOffset val="100"/>
        <c:noMultiLvlLbl val="0"/>
      </c:catAx>
      <c:valAx>
        <c:axId val="85399808"/>
        <c:scaling>
          <c:orientation val="minMax"/>
        </c:scaling>
        <c:delete val="0"/>
        <c:axPos val="l"/>
        <c:majorGridlines>
          <c:spPr>
            <a:ln>
              <a:solidFill>
                <a:schemeClr val="bg1">
                  <a:lumMod val="75000"/>
                </a:schemeClr>
              </a:solidFill>
            </a:ln>
          </c:spPr>
        </c:majorGridlines>
        <c:title>
          <c:tx>
            <c:rich>
              <a:bodyPr rot="-5400000" vert="horz"/>
              <a:lstStyle/>
              <a:p>
                <a:pPr>
                  <a:defRPr/>
                </a:pPr>
                <a:r>
                  <a:rPr lang="en-GB"/>
                  <a:t>Percentage of live births</a:t>
                </a:r>
              </a:p>
            </c:rich>
          </c:tx>
          <c:overlay val="0"/>
        </c:title>
        <c:numFmt formatCode="0%" sourceLinked="1"/>
        <c:majorTickMark val="out"/>
        <c:minorTickMark val="none"/>
        <c:tickLblPos val="nextTo"/>
        <c:crossAx val="85398272"/>
        <c:crosses val="autoZero"/>
        <c:crossBetween val="between"/>
      </c:valAx>
      <c:spPr>
        <a:noFill/>
      </c:spPr>
    </c:plotArea>
    <c:legend>
      <c:legendPos val="b"/>
      <c:overlay val="0"/>
    </c:legend>
    <c:plotVisOnly val="1"/>
    <c:dispBlanksAs val="gap"/>
    <c:showDLblsOverMax val="0"/>
  </c:chart>
  <c:spPr>
    <a:ln>
      <a:noFill/>
    </a:ln>
  </c:sp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798254754308508E-2"/>
          <c:y val="5.596732189843226E-2"/>
          <c:w val="0.88200835741371342"/>
          <c:h val="0.81774837528375233"/>
        </c:manualLayout>
      </c:layout>
      <c:barChart>
        <c:barDir val="col"/>
        <c:grouping val="clustered"/>
        <c:varyColors val="0"/>
        <c:ser>
          <c:idx val="0"/>
          <c:order val="0"/>
          <c:tx>
            <c:strRef>
              <c:f>'Births and Early Years'!$H$178</c:f>
              <c:strCache>
                <c:ptCount val="1"/>
                <c:pt idx="0">
                  <c:v>2013</c:v>
                </c:pt>
              </c:strCache>
            </c:strRef>
          </c:tx>
          <c:spPr>
            <a:ln>
              <a:solidFill>
                <a:schemeClr val="tx1"/>
              </a:solidFill>
            </a:ln>
          </c:spPr>
          <c:invertIfNegative val="0"/>
          <c:dPt>
            <c:idx val="0"/>
            <c:invertIfNegative val="0"/>
            <c:bubble3D val="0"/>
            <c:spPr>
              <a:solidFill>
                <a:schemeClr val="accent1">
                  <a:lumMod val="60000"/>
                  <a:lumOff val="40000"/>
                </a:schemeClr>
              </a:solidFill>
              <a:ln>
                <a:solidFill>
                  <a:schemeClr val="tx1"/>
                </a:solidFill>
              </a:ln>
            </c:spPr>
          </c:dPt>
          <c:dPt>
            <c:idx val="1"/>
            <c:invertIfNegative val="0"/>
            <c:bubble3D val="0"/>
            <c:spPr>
              <a:solidFill>
                <a:schemeClr val="accent4">
                  <a:lumMod val="60000"/>
                  <a:lumOff val="40000"/>
                </a:schemeClr>
              </a:solidFill>
              <a:ln>
                <a:solidFill>
                  <a:schemeClr val="tx1"/>
                </a:solidFill>
              </a:ln>
            </c:spPr>
          </c:dPt>
          <c:dLbls>
            <c:dLblPos val="inBase"/>
            <c:showLegendKey val="0"/>
            <c:showVal val="0"/>
            <c:showCatName val="0"/>
            <c:showSerName val="1"/>
            <c:showPercent val="0"/>
            <c:showBubbleSize val="0"/>
            <c:showLeaderLines val="0"/>
          </c:dLbls>
          <c:errBars>
            <c:errBarType val="both"/>
            <c:errValType val="cust"/>
            <c:noEndCap val="0"/>
            <c:plus>
              <c:numRef>
                <c:f>'Births and Early Years'!$I$179:$J$179</c:f>
                <c:numCache>
                  <c:formatCode>General</c:formatCode>
                  <c:ptCount val="2"/>
                  <c:pt idx="0">
                    <c:v>4.9304666334846287E-2</c:v>
                  </c:pt>
                  <c:pt idx="1">
                    <c:v>4.3882905392841898E-2</c:v>
                  </c:pt>
                </c:numCache>
              </c:numRef>
            </c:plus>
            <c:minus>
              <c:numRef>
                <c:f>'Births and Early Years'!$I$180:$J$180</c:f>
                <c:numCache>
                  <c:formatCode>General</c:formatCode>
                  <c:ptCount val="2"/>
                  <c:pt idx="0">
                    <c:v>2.9387676040294901E-2</c:v>
                  </c:pt>
                  <c:pt idx="1">
                    <c:v>3.0852403288860394E-2</c:v>
                  </c:pt>
                </c:numCache>
              </c:numRef>
            </c:minus>
          </c:errBars>
          <c:cat>
            <c:strRef>
              <c:f>'Births and Early Years'!$I$177:$J$177</c:f>
              <c:strCache>
                <c:ptCount val="2"/>
                <c:pt idx="0">
                  <c:v>Angmering</c:v>
                </c:pt>
                <c:pt idx="1">
                  <c:v>Bewbush</c:v>
                </c:pt>
              </c:strCache>
            </c:strRef>
          </c:cat>
          <c:val>
            <c:numRef>
              <c:f>'Births and Early Years'!$I$178:$J$178</c:f>
              <c:numCache>
                <c:formatCode>0.0%</c:formatCode>
                <c:ptCount val="2"/>
                <c:pt idx="0">
                  <c:v>6.7484662576687116E-2</c:v>
                </c:pt>
                <c:pt idx="1">
                  <c:v>9.3220338983050849E-2</c:v>
                </c:pt>
              </c:numCache>
            </c:numRef>
          </c:val>
        </c:ser>
        <c:ser>
          <c:idx val="2"/>
          <c:order val="1"/>
          <c:tx>
            <c:strRef>
              <c:f>'Births and Early Years'!$H$181</c:f>
              <c:strCache>
                <c:ptCount val="1"/>
                <c:pt idx="0">
                  <c:v>2015</c:v>
                </c:pt>
              </c:strCache>
            </c:strRef>
          </c:tx>
          <c:invertIfNegative val="0"/>
          <c:dPt>
            <c:idx val="0"/>
            <c:invertIfNegative val="0"/>
            <c:bubble3D val="0"/>
            <c:spPr>
              <a:solidFill>
                <a:schemeClr val="accent1">
                  <a:lumMod val="60000"/>
                  <a:lumOff val="40000"/>
                </a:schemeClr>
              </a:solidFill>
              <a:ln>
                <a:solidFill>
                  <a:sysClr val="windowText" lastClr="000000"/>
                </a:solidFill>
              </a:ln>
            </c:spPr>
          </c:dPt>
          <c:dPt>
            <c:idx val="1"/>
            <c:invertIfNegative val="0"/>
            <c:bubble3D val="0"/>
            <c:spPr>
              <a:solidFill>
                <a:schemeClr val="accent4">
                  <a:lumMod val="60000"/>
                  <a:lumOff val="40000"/>
                </a:schemeClr>
              </a:solidFill>
              <a:ln>
                <a:solidFill>
                  <a:sysClr val="windowText" lastClr="000000"/>
                </a:solidFill>
              </a:ln>
            </c:spPr>
          </c:dPt>
          <c:dLbls>
            <c:dLblPos val="inBase"/>
            <c:showLegendKey val="0"/>
            <c:showVal val="0"/>
            <c:showCatName val="0"/>
            <c:showSerName val="1"/>
            <c:showPercent val="0"/>
            <c:showBubbleSize val="0"/>
            <c:showLeaderLines val="0"/>
          </c:dLbls>
          <c:errBars>
            <c:errBarType val="both"/>
            <c:errValType val="cust"/>
            <c:noEndCap val="0"/>
            <c:plus>
              <c:numRef>
                <c:f>'Births and Early Years'!$I$182:$J$182</c:f>
                <c:numCache>
                  <c:formatCode>General</c:formatCode>
                  <c:ptCount val="2"/>
                  <c:pt idx="0">
                    <c:v>4.7801579669203786E-2</c:v>
                  </c:pt>
                  <c:pt idx="1">
                    <c:v>4.6953892403726522E-2</c:v>
                  </c:pt>
                </c:numCache>
              </c:numRef>
            </c:plus>
            <c:minus>
              <c:numRef>
                <c:f>'Births and Early Years'!$I$183:$J$183</c:f>
                <c:numCache>
                  <c:formatCode>General</c:formatCode>
                  <c:ptCount val="2"/>
                  <c:pt idx="0">
                    <c:v>3.0387379148150623E-2</c:v>
                  </c:pt>
                  <c:pt idx="1">
                    <c:v>2.8592046231665953E-2</c:v>
                  </c:pt>
                </c:numCache>
              </c:numRef>
            </c:minus>
          </c:errBars>
          <c:cat>
            <c:strRef>
              <c:f>'Births and Early Years'!$I$177:$J$177</c:f>
              <c:strCache>
                <c:ptCount val="2"/>
                <c:pt idx="0">
                  <c:v>Angmering</c:v>
                </c:pt>
                <c:pt idx="1">
                  <c:v>Bewbush</c:v>
                </c:pt>
              </c:strCache>
            </c:strRef>
          </c:cat>
          <c:val>
            <c:numRef>
              <c:f>'Births and Early Years'!$I$181:$J$181</c:f>
              <c:numCache>
                <c:formatCode>0.0%</c:formatCode>
                <c:ptCount val="2"/>
                <c:pt idx="0">
                  <c:v>7.650273224043716E-2</c:v>
                </c:pt>
                <c:pt idx="1">
                  <c:v>6.7796610169491525E-2</c:v>
                </c:pt>
              </c:numCache>
            </c:numRef>
          </c:val>
        </c:ser>
        <c:dLbls>
          <c:showLegendKey val="0"/>
          <c:showVal val="0"/>
          <c:showCatName val="0"/>
          <c:showSerName val="0"/>
          <c:showPercent val="0"/>
          <c:showBubbleSize val="0"/>
        </c:dLbls>
        <c:gapWidth val="150"/>
        <c:axId val="85425152"/>
        <c:axId val="85435136"/>
      </c:barChart>
      <c:catAx>
        <c:axId val="85425152"/>
        <c:scaling>
          <c:orientation val="minMax"/>
        </c:scaling>
        <c:delete val="0"/>
        <c:axPos val="b"/>
        <c:majorTickMark val="out"/>
        <c:minorTickMark val="none"/>
        <c:tickLblPos val="nextTo"/>
        <c:crossAx val="85435136"/>
        <c:crosses val="autoZero"/>
        <c:auto val="1"/>
        <c:lblAlgn val="ctr"/>
        <c:lblOffset val="100"/>
        <c:noMultiLvlLbl val="0"/>
      </c:catAx>
      <c:valAx>
        <c:axId val="85435136"/>
        <c:scaling>
          <c:orientation val="minMax"/>
        </c:scaling>
        <c:delete val="0"/>
        <c:axPos val="l"/>
        <c:majorGridlines>
          <c:spPr>
            <a:ln>
              <a:solidFill>
                <a:schemeClr val="bg1">
                  <a:lumMod val="75000"/>
                </a:schemeClr>
              </a:solidFill>
            </a:ln>
          </c:spPr>
        </c:majorGridlines>
        <c:title>
          <c:tx>
            <c:rich>
              <a:bodyPr rot="-5400000" vert="horz"/>
              <a:lstStyle/>
              <a:p>
                <a:pPr>
                  <a:defRPr/>
                </a:pPr>
                <a:r>
                  <a:rPr lang="en-GB"/>
                  <a:t>% of low</a:t>
                </a:r>
                <a:r>
                  <a:rPr lang="en-GB" baseline="0"/>
                  <a:t> birth weight births</a:t>
                </a:r>
              </a:p>
            </c:rich>
          </c:tx>
          <c:overlay val="0"/>
        </c:title>
        <c:numFmt formatCode="0.0%" sourceLinked="1"/>
        <c:majorTickMark val="out"/>
        <c:minorTickMark val="none"/>
        <c:tickLblPos val="nextTo"/>
        <c:crossAx val="85425152"/>
        <c:crosses val="autoZero"/>
        <c:crossBetween val="between"/>
      </c:valAx>
    </c:plotArea>
    <c:plotVisOnly val="1"/>
    <c:dispBlanksAs val="gap"/>
    <c:showDLblsOverMax val="0"/>
  </c:chart>
  <c:spPr>
    <a:ln>
      <a:noFill/>
    </a:ln>
  </c:sp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5223840769903763"/>
          <c:y val="3.3971488858010393E-2"/>
          <c:w val="0.81720603674540682"/>
          <c:h val="0.74577462130959116"/>
        </c:manualLayout>
      </c:layout>
      <c:lineChart>
        <c:grouping val="standard"/>
        <c:varyColors val="0"/>
        <c:ser>
          <c:idx val="0"/>
          <c:order val="0"/>
          <c:tx>
            <c:strRef>
              <c:f>Deprivation!$M$94</c:f>
              <c:strCache>
                <c:ptCount val="1"/>
                <c:pt idx="0">
                  <c:v>Angmering</c:v>
                </c:pt>
              </c:strCache>
            </c:strRef>
          </c:tx>
          <c:spPr>
            <a:ln>
              <a:solidFill>
                <a:schemeClr val="accent1">
                  <a:lumMod val="60000"/>
                  <a:lumOff val="40000"/>
                </a:schemeClr>
              </a:solidFill>
            </a:ln>
          </c:spPr>
          <c:marker>
            <c:symbol val="none"/>
          </c:marker>
          <c:dLbls>
            <c:spPr>
              <a:solidFill>
                <a:schemeClr val="accent1">
                  <a:lumMod val="40000"/>
                  <a:lumOff val="60000"/>
                </a:schemeClr>
              </a:solidFill>
            </c:spPr>
            <c:dLblPos val="ctr"/>
            <c:showLegendKey val="0"/>
            <c:showVal val="1"/>
            <c:showCatName val="0"/>
            <c:showSerName val="0"/>
            <c:showPercent val="0"/>
            <c:showBubbleSize val="0"/>
            <c:showLeaderLines val="0"/>
          </c:dLbls>
          <c:cat>
            <c:numRef>
              <c:f>Deprivation!$L$95:$L$100</c:f>
              <c:numCache>
                <c:formatCode>General</c:formatCode>
                <c:ptCount val="6"/>
                <c:pt idx="0">
                  <c:v>2010</c:v>
                </c:pt>
                <c:pt idx="1">
                  <c:v>2011</c:v>
                </c:pt>
                <c:pt idx="2">
                  <c:v>2012</c:v>
                </c:pt>
                <c:pt idx="3">
                  <c:v>2013</c:v>
                </c:pt>
                <c:pt idx="4">
                  <c:v>2014</c:v>
                </c:pt>
                <c:pt idx="5">
                  <c:v>2015</c:v>
                </c:pt>
              </c:numCache>
            </c:numRef>
          </c:cat>
          <c:val>
            <c:numRef>
              <c:f>Deprivation!$M$95:$M$100</c:f>
              <c:numCache>
                <c:formatCode>General</c:formatCode>
                <c:ptCount val="6"/>
                <c:pt idx="0">
                  <c:v>140</c:v>
                </c:pt>
                <c:pt idx="1">
                  <c:v>115</c:v>
                </c:pt>
                <c:pt idx="2">
                  <c:v>130</c:v>
                </c:pt>
                <c:pt idx="3">
                  <c:v>145</c:v>
                </c:pt>
                <c:pt idx="4">
                  <c:v>110</c:v>
                </c:pt>
                <c:pt idx="5" formatCode="_-* #,##0_-;\-* #,##0_-;_-* &quot;-&quot;??_-;_-@_-">
                  <c:v>110</c:v>
                </c:pt>
              </c:numCache>
            </c:numRef>
          </c:val>
          <c:smooth val="0"/>
        </c:ser>
        <c:ser>
          <c:idx val="1"/>
          <c:order val="1"/>
          <c:tx>
            <c:strRef>
              <c:f>Deprivation!$N$94</c:f>
              <c:strCache>
                <c:ptCount val="1"/>
                <c:pt idx="0">
                  <c:v>Bewbush</c:v>
                </c:pt>
              </c:strCache>
            </c:strRef>
          </c:tx>
          <c:spPr>
            <a:ln>
              <a:solidFill>
                <a:schemeClr val="accent4">
                  <a:lumMod val="60000"/>
                  <a:lumOff val="40000"/>
                </a:schemeClr>
              </a:solidFill>
            </a:ln>
          </c:spPr>
          <c:marker>
            <c:symbol val="none"/>
          </c:marker>
          <c:dLbls>
            <c:spPr>
              <a:solidFill>
                <a:schemeClr val="accent4">
                  <a:lumMod val="40000"/>
                  <a:lumOff val="60000"/>
                </a:schemeClr>
              </a:solidFill>
            </c:spPr>
            <c:dLblPos val="ctr"/>
            <c:showLegendKey val="0"/>
            <c:showVal val="1"/>
            <c:showCatName val="0"/>
            <c:showSerName val="0"/>
            <c:showPercent val="0"/>
            <c:showBubbleSize val="0"/>
            <c:showLeaderLines val="0"/>
          </c:dLbls>
          <c:cat>
            <c:numRef>
              <c:f>Deprivation!$L$95:$L$100</c:f>
              <c:numCache>
                <c:formatCode>General</c:formatCode>
                <c:ptCount val="6"/>
                <c:pt idx="0">
                  <c:v>2010</c:v>
                </c:pt>
                <c:pt idx="1">
                  <c:v>2011</c:v>
                </c:pt>
                <c:pt idx="2">
                  <c:v>2012</c:v>
                </c:pt>
                <c:pt idx="3">
                  <c:v>2013</c:v>
                </c:pt>
                <c:pt idx="4">
                  <c:v>2014</c:v>
                </c:pt>
                <c:pt idx="5">
                  <c:v>2015</c:v>
                </c:pt>
              </c:numCache>
            </c:numRef>
          </c:cat>
          <c:val>
            <c:numRef>
              <c:f>Deprivation!$N$95:$N$100</c:f>
              <c:numCache>
                <c:formatCode>General</c:formatCode>
                <c:ptCount val="6"/>
                <c:pt idx="0">
                  <c:v>260</c:v>
                </c:pt>
                <c:pt idx="1">
                  <c:v>265</c:v>
                </c:pt>
                <c:pt idx="2">
                  <c:v>285</c:v>
                </c:pt>
                <c:pt idx="3">
                  <c:v>265</c:v>
                </c:pt>
                <c:pt idx="4">
                  <c:v>245</c:v>
                </c:pt>
                <c:pt idx="5" formatCode="_-* #,##0_-;\-* #,##0_-;_-* &quot;-&quot;??_-;_-@_-">
                  <c:v>220</c:v>
                </c:pt>
              </c:numCache>
            </c:numRef>
          </c:val>
          <c:smooth val="0"/>
        </c:ser>
        <c:dLbls>
          <c:showLegendKey val="0"/>
          <c:showVal val="0"/>
          <c:showCatName val="0"/>
          <c:showSerName val="0"/>
          <c:showPercent val="0"/>
          <c:showBubbleSize val="0"/>
        </c:dLbls>
        <c:marker val="1"/>
        <c:smooth val="0"/>
        <c:axId val="85718528"/>
        <c:axId val="85720448"/>
      </c:lineChart>
      <c:catAx>
        <c:axId val="85718528"/>
        <c:scaling>
          <c:orientation val="minMax"/>
        </c:scaling>
        <c:delete val="0"/>
        <c:axPos val="b"/>
        <c:title>
          <c:tx>
            <c:rich>
              <a:bodyPr/>
              <a:lstStyle/>
              <a:p>
                <a:pPr>
                  <a:defRPr/>
                </a:pPr>
                <a:r>
                  <a:rPr lang="en-GB"/>
                  <a:t>Year</a:t>
                </a:r>
              </a:p>
            </c:rich>
          </c:tx>
          <c:overlay val="0"/>
        </c:title>
        <c:numFmt formatCode="General" sourceLinked="1"/>
        <c:majorTickMark val="out"/>
        <c:minorTickMark val="none"/>
        <c:tickLblPos val="nextTo"/>
        <c:crossAx val="85720448"/>
        <c:crosses val="autoZero"/>
        <c:auto val="1"/>
        <c:lblAlgn val="ctr"/>
        <c:lblOffset val="100"/>
        <c:noMultiLvlLbl val="0"/>
      </c:catAx>
      <c:valAx>
        <c:axId val="85720448"/>
        <c:scaling>
          <c:orientation val="minMax"/>
        </c:scaling>
        <c:delete val="0"/>
        <c:axPos val="l"/>
        <c:majorGridlines>
          <c:spPr>
            <a:ln>
              <a:solidFill>
                <a:schemeClr val="bg1">
                  <a:lumMod val="75000"/>
                </a:schemeClr>
              </a:solidFill>
            </a:ln>
          </c:spPr>
        </c:majorGridlines>
        <c:title>
          <c:tx>
            <c:rich>
              <a:bodyPr rot="-5400000" vert="horz"/>
              <a:lstStyle/>
              <a:p>
                <a:pPr>
                  <a:defRPr/>
                </a:pPr>
                <a:r>
                  <a:rPr lang="en-GB"/>
                  <a:t>Number of 0-4year</a:t>
                </a:r>
                <a:r>
                  <a:rPr lang="en-GB" baseline="0"/>
                  <a:t> old children </a:t>
                </a:r>
              </a:p>
              <a:p>
                <a:pPr>
                  <a:defRPr/>
                </a:pPr>
                <a:r>
                  <a:rPr lang="en-GB" baseline="0"/>
                  <a:t>in all Out-of-Work benefits for households</a:t>
                </a:r>
              </a:p>
              <a:p>
                <a:pPr>
                  <a:defRPr/>
                </a:pPr>
                <a:endParaRPr lang="en-GB"/>
              </a:p>
            </c:rich>
          </c:tx>
          <c:overlay val="0"/>
        </c:title>
        <c:numFmt formatCode="General" sourceLinked="1"/>
        <c:majorTickMark val="out"/>
        <c:minorTickMark val="none"/>
        <c:tickLblPos val="nextTo"/>
        <c:crossAx val="85718528"/>
        <c:crosses val="autoZero"/>
        <c:crossBetween val="between"/>
      </c:valAx>
    </c:plotArea>
    <c:legend>
      <c:legendPos val="b"/>
      <c:layout>
        <c:manualLayout>
          <c:xMode val="edge"/>
          <c:yMode val="edge"/>
          <c:x val="5.1268591426073659E-4"/>
          <c:y val="0.92120734908136481"/>
          <c:w val="0.98786351706036746"/>
          <c:h val="7.8792650918635174E-2"/>
        </c:manualLayout>
      </c:layout>
      <c:overlay val="0"/>
    </c:legend>
    <c:plotVisOnly val="1"/>
    <c:dispBlanksAs val="gap"/>
    <c:showDLblsOverMax val="0"/>
  </c:chart>
  <c:spPr>
    <a:ln>
      <a:noFill/>
    </a:ln>
  </c:sp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Deprivation!$H$121</c:f>
              <c:strCache>
                <c:ptCount val="1"/>
                <c:pt idx="0">
                  <c:v>Angmering</c:v>
                </c:pt>
              </c:strCache>
            </c:strRef>
          </c:tx>
          <c:spPr>
            <a:solidFill>
              <a:schemeClr val="accent1">
                <a:lumMod val="60000"/>
                <a:lumOff val="40000"/>
              </a:schemeClr>
            </a:solidFill>
            <a:ln>
              <a:solidFill>
                <a:sysClr val="windowText" lastClr="000000"/>
              </a:solidFill>
            </a:ln>
          </c:spPr>
          <c:invertIfNegative val="0"/>
          <c:dLbls>
            <c:txPr>
              <a:bodyPr rot="-5400000" vert="horz"/>
              <a:lstStyle/>
              <a:p>
                <a:pPr>
                  <a:defRPr/>
                </a:pPr>
                <a:endParaRPr lang="en-US"/>
              </a:p>
            </c:txPr>
            <c:dLblPos val="inBase"/>
            <c:showLegendKey val="0"/>
            <c:showVal val="1"/>
            <c:showCatName val="0"/>
            <c:showSerName val="0"/>
            <c:showPercent val="0"/>
            <c:showBubbleSize val="0"/>
            <c:showLeaderLines val="0"/>
          </c:dLbls>
          <c:errBars>
            <c:errBarType val="both"/>
            <c:errValType val="cust"/>
            <c:noEndCap val="0"/>
            <c:plus>
              <c:numRef>
                <c:f>(Deprivation!$I$134,Deprivation!$I$136,Deprivation!$I$138,Deprivation!$I$140,Deprivation!$I$142,Deprivation!$I$144)</c:f>
                <c:numCache>
                  <c:formatCode>General</c:formatCode>
                  <c:ptCount val="6"/>
                  <c:pt idx="0">
                    <c:v>2.1746316157345263E-2</c:v>
                  </c:pt>
                  <c:pt idx="1">
                    <c:v>2.1908706843510983E-2</c:v>
                  </c:pt>
                  <c:pt idx="2">
                    <c:v>2.2678150971458588E-2</c:v>
                  </c:pt>
                  <c:pt idx="3">
                    <c:v>2.2558239940448199E-2</c:v>
                  </c:pt>
                  <c:pt idx="4">
                    <c:v>2.2996287886316719E-2</c:v>
                  </c:pt>
                  <c:pt idx="5">
                    <c:v>2.2783018679618017E-2</c:v>
                  </c:pt>
                </c:numCache>
              </c:numRef>
            </c:plus>
            <c:minus>
              <c:numRef>
                <c:f>(Deprivation!$I$133,Deprivation!$I$135,Deprivation!$I$137,Deprivation!$I$139,Deprivation!$I$141,Deprivation!$I$143)</c:f>
                <c:numCache>
                  <c:formatCode>General</c:formatCode>
                  <c:ptCount val="6"/>
                  <c:pt idx="0">
                    <c:v>1.8895177400087976E-2</c:v>
                  </c:pt>
                  <c:pt idx="1">
                    <c:v>1.897045134429709E-2</c:v>
                  </c:pt>
                  <c:pt idx="2">
                    <c:v>1.9809501504489235E-2</c:v>
                  </c:pt>
                  <c:pt idx="3">
                    <c:v>1.9630256038650998E-2</c:v>
                  </c:pt>
                  <c:pt idx="4">
                    <c:v>2.0167480773055246E-2</c:v>
                  </c:pt>
                  <c:pt idx="5">
                    <c:v>1.9905055372632263E-2</c:v>
                  </c:pt>
                </c:numCache>
              </c:numRef>
            </c:minus>
          </c:errBars>
          <c:cat>
            <c:strRef>
              <c:f>Deprivation!$D$124:$F$129</c:f>
              <c:strCache>
                <c:ptCount val="6"/>
                <c:pt idx="0">
                  <c:v>% of children in poverty (2008)</c:v>
                </c:pt>
                <c:pt idx="1">
                  <c:v>% of children in poverty (2009)</c:v>
                </c:pt>
                <c:pt idx="2">
                  <c:v>% of children in poverty (2010)</c:v>
                </c:pt>
                <c:pt idx="3">
                  <c:v>% of children in poverty (2011)</c:v>
                </c:pt>
                <c:pt idx="4">
                  <c:v>% of children in poverty (2012)</c:v>
                </c:pt>
                <c:pt idx="5">
                  <c:v>% of children in poverty (2013)</c:v>
                </c:pt>
              </c:strCache>
            </c:strRef>
          </c:cat>
          <c:val>
            <c:numRef>
              <c:f>Deprivation!$H$124:$H$129</c:f>
              <c:numCache>
                <c:formatCode>0.0%</c:formatCode>
                <c:ptCount val="6"/>
                <c:pt idx="0">
                  <c:v>0.12376237623762376</c:v>
                </c:pt>
                <c:pt idx="1">
                  <c:v>0.12182741116751269</c:v>
                </c:pt>
                <c:pt idx="2">
                  <c:v>0.1326530612244898</c:v>
                </c:pt>
                <c:pt idx="3">
                  <c:v>0.12886597938144329</c:v>
                </c:pt>
                <c:pt idx="4">
                  <c:v>0.13775510204081631</c:v>
                </c:pt>
                <c:pt idx="5">
                  <c:v>0.13333333333333333</c:v>
                </c:pt>
              </c:numCache>
            </c:numRef>
          </c:val>
        </c:ser>
        <c:ser>
          <c:idx val="1"/>
          <c:order val="1"/>
          <c:tx>
            <c:strRef>
              <c:f>Deprivation!$J$121</c:f>
              <c:strCache>
                <c:ptCount val="1"/>
                <c:pt idx="0">
                  <c:v>Bewbush</c:v>
                </c:pt>
              </c:strCache>
            </c:strRef>
          </c:tx>
          <c:spPr>
            <a:solidFill>
              <a:schemeClr val="accent4">
                <a:lumMod val="40000"/>
                <a:lumOff val="60000"/>
              </a:schemeClr>
            </a:solidFill>
            <a:ln>
              <a:solidFill>
                <a:sysClr val="windowText" lastClr="000000"/>
              </a:solidFill>
            </a:ln>
          </c:spPr>
          <c:invertIfNegative val="0"/>
          <c:dLbls>
            <c:txPr>
              <a:bodyPr rot="-5400000" vert="horz"/>
              <a:lstStyle/>
              <a:p>
                <a:pPr>
                  <a:defRPr/>
                </a:pPr>
                <a:endParaRPr lang="en-US"/>
              </a:p>
            </c:txPr>
            <c:dLblPos val="inBase"/>
            <c:showLegendKey val="0"/>
            <c:showVal val="1"/>
            <c:showCatName val="0"/>
            <c:showSerName val="0"/>
            <c:showPercent val="0"/>
            <c:showBubbleSize val="0"/>
            <c:showLeaderLines val="0"/>
          </c:dLbls>
          <c:errBars>
            <c:errBarType val="both"/>
            <c:errValType val="cust"/>
            <c:noEndCap val="0"/>
            <c:plus>
              <c:numRef>
                <c:f>(Deprivation!$K$134,Deprivation!$K$136,Deprivation!$K$138,Deprivation!$K$140,Deprivation!$K$142,Deprivation!$K$144)</c:f>
                <c:numCache>
                  <c:formatCode>General</c:formatCode>
                  <c:ptCount val="6"/>
                  <c:pt idx="0">
                    <c:v>2.7330531702611405E-2</c:v>
                  </c:pt>
                  <c:pt idx="1">
                    <c:v>2.7126061283889669E-2</c:v>
                  </c:pt>
                  <c:pt idx="2">
                    <c:v>2.7488370733446565E-2</c:v>
                  </c:pt>
                  <c:pt idx="3">
                    <c:v>2.7040904136355792E-2</c:v>
                  </c:pt>
                  <c:pt idx="4">
                    <c:v>2.6279540694002151E-2</c:v>
                  </c:pt>
                  <c:pt idx="5">
                    <c:v>2.6687387680027597E-2</c:v>
                  </c:pt>
                </c:numCache>
              </c:numRef>
            </c:plus>
            <c:minus>
              <c:numRef>
                <c:f>(Deprivation!$K$133,Deprivation!$K$135,Deprivation!$K$137,Deprivation!$K$139,Deprivation!$K$141,Deprivation!$K$143)</c:f>
                <c:numCache>
                  <c:formatCode>General</c:formatCode>
                  <c:ptCount val="6"/>
                  <c:pt idx="0">
                    <c:v>2.4941984422488628E-2</c:v>
                  </c:pt>
                  <c:pt idx="1">
                    <c:v>2.4886759345463222E-2</c:v>
                  </c:pt>
                  <c:pt idx="2">
                    <c:v>2.5537113941111661E-2</c:v>
                  </c:pt>
                  <c:pt idx="3">
                    <c:v>2.5235509748522872E-2</c:v>
                  </c:pt>
                  <c:pt idx="4">
                    <c:v>2.4373873345617303E-2</c:v>
                  </c:pt>
                  <c:pt idx="5">
                    <c:v>2.4777999224335684E-2</c:v>
                  </c:pt>
                </c:numCache>
              </c:numRef>
            </c:minus>
          </c:errBars>
          <c:cat>
            <c:strRef>
              <c:f>Deprivation!$D$124:$F$129</c:f>
              <c:strCache>
                <c:ptCount val="6"/>
                <c:pt idx="0">
                  <c:v>% of children in poverty (2008)</c:v>
                </c:pt>
                <c:pt idx="1">
                  <c:v>% of children in poverty (2009)</c:v>
                </c:pt>
                <c:pt idx="2">
                  <c:v>% of children in poverty (2010)</c:v>
                </c:pt>
                <c:pt idx="3">
                  <c:v>% of children in poverty (2011)</c:v>
                </c:pt>
                <c:pt idx="4">
                  <c:v>% of children in poverty (2012)</c:v>
                </c:pt>
                <c:pt idx="5">
                  <c:v>% of children in poverty (2013)</c:v>
                </c:pt>
              </c:strCache>
            </c:strRef>
          </c:cat>
          <c:val>
            <c:numRef>
              <c:f>Deprivation!$J$124:$J$129</c:f>
              <c:numCache>
                <c:formatCode>0.0%</c:formatCode>
                <c:ptCount val="6"/>
                <c:pt idx="0">
                  <c:v>0.20967741935483872</c:v>
                </c:pt>
                <c:pt idx="1">
                  <c:v>0.21761658031088082</c:v>
                </c:pt>
                <c:pt idx="2">
                  <c:v>0.24378109452736318</c:v>
                </c:pt>
                <c:pt idx="3">
                  <c:v>0.25118483412322273</c:v>
                </c:pt>
                <c:pt idx="4">
                  <c:v>0.23364485981308411</c:v>
                </c:pt>
                <c:pt idx="5">
                  <c:v>0.23809523809523808</c:v>
                </c:pt>
              </c:numCache>
            </c:numRef>
          </c:val>
        </c:ser>
        <c:ser>
          <c:idx val="2"/>
          <c:order val="2"/>
          <c:tx>
            <c:strRef>
              <c:f>Deprivation!$L$121</c:f>
              <c:strCache>
                <c:ptCount val="1"/>
                <c:pt idx="0">
                  <c:v>West Sussex</c:v>
                </c:pt>
              </c:strCache>
            </c:strRef>
          </c:tx>
          <c:spPr>
            <a:solidFill>
              <a:schemeClr val="accent3">
                <a:lumMod val="60000"/>
                <a:lumOff val="40000"/>
              </a:schemeClr>
            </a:solidFill>
            <a:ln>
              <a:solidFill>
                <a:sysClr val="windowText" lastClr="000000"/>
              </a:solidFill>
            </a:ln>
          </c:spPr>
          <c:invertIfNegative val="0"/>
          <c:dLbls>
            <c:txPr>
              <a:bodyPr rot="-5400000" vert="horz"/>
              <a:lstStyle/>
              <a:p>
                <a:pPr>
                  <a:defRPr/>
                </a:pPr>
                <a:endParaRPr lang="en-US"/>
              </a:p>
            </c:txPr>
            <c:dLblPos val="inBase"/>
            <c:showLegendKey val="0"/>
            <c:showVal val="1"/>
            <c:showCatName val="0"/>
            <c:showSerName val="0"/>
            <c:showPercent val="0"/>
            <c:showBubbleSize val="0"/>
            <c:showLeaderLines val="0"/>
          </c:dLbls>
          <c:errBars>
            <c:errBarType val="both"/>
            <c:errValType val="cust"/>
            <c:noEndCap val="0"/>
            <c:plus>
              <c:numRef>
                <c:f>(Deprivation!$M$134,Deprivation!$M$136,Deprivation!$M$138,Deprivation!$M$140,Deprivation!$M$142,Deprivation!$M$144)</c:f>
                <c:numCache>
                  <c:formatCode>General</c:formatCode>
                  <c:ptCount val="6"/>
                  <c:pt idx="0">
                    <c:v>3.3947971654167963E-3</c:v>
                  </c:pt>
                  <c:pt idx="1">
                    <c:v>3.4915960794604795E-3</c:v>
                  </c:pt>
                  <c:pt idx="2">
                    <c:v>3.4249121914063929E-3</c:v>
                  </c:pt>
                  <c:pt idx="3">
                    <c:v>3.3903944655434837E-3</c:v>
                  </c:pt>
                  <c:pt idx="4">
                    <c:v>3.2749483902100029E-3</c:v>
                  </c:pt>
                  <c:pt idx="5">
                    <c:v>3.4722734748213746E-3</c:v>
                  </c:pt>
                </c:numCache>
              </c:numRef>
            </c:plus>
            <c:minus>
              <c:numRef>
                <c:f>(Deprivation!$M$133,Deprivation!$M$135,Deprivation!$M$137,Deprivation!$M$139,Deprivation!$M$141,Deprivation!$M$144,Deprivation!$M$143,Deprivation!$M$144)</c:f>
                <c:numCache>
                  <c:formatCode>General</c:formatCode>
                  <c:ptCount val="8"/>
                  <c:pt idx="0">
                    <c:v>3.330069479742126E-3</c:v>
                  </c:pt>
                  <c:pt idx="1">
                    <c:v>3.4310776288488942E-3</c:v>
                  </c:pt>
                  <c:pt idx="2">
                    <c:v>3.365292998683822E-3</c:v>
                  </c:pt>
                  <c:pt idx="3">
                    <c:v>3.3317533270487976E-3</c:v>
                  </c:pt>
                  <c:pt idx="4">
                    <c:v>3.2154859898209653E-3</c:v>
                  </c:pt>
                  <c:pt idx="5">
                    <c:v>3.4722734748213746E-3</c:v>
                  </c:pt>
                  <c:pt idx="6">
                    <c:v>3.409527920994776E-3</c:v>
                  </c:pt>
                  <c:pt idx="7">
                    <c:v>3.4722734748213746E-3</c:v>
                  </c:pt>
                </c:numCache>
              </c:numRef>
            </c:minus>
          </c:errBars>
          <c:cat>
            <c:strRef>
              <c:f>Deprivation!$D$124:$F$129</c:f>
              <c:strCache>
                <c:ptCount val="6"/>
                <c:pt idx="0">
                  <c:v>% of children in poverty (2008)</c:v>
                </c:pt>
                <c:pt idx="1">
                  <c:v>% of children in poverty (2009)</c:v>
                </c:pt>
                <c:pt idx="2">
                  <c:v>% of children in poverty (2010)</c:v>
                </c:pt>
                <c:pt idx="3">
                  <c:v>% of children in poverty (2011)</c:v>
                </c:pt>
                <c:pt idx="4">
                  <c:v>% of children in poverty (2012)</c:v>
                </c:pt>
                <c:pt idx="5">
                  <c:v>% of children in poverty (2013)</c:v>
                </c:pt>
              </c:strCache>
            </c:strRef>
          </c:cat>
          <c:val>
            <c:numRef>
              <c:f>Deprivation!$L$124:$L$129</c:f>
              <c:numCache>
                <c:formatCode>0.0%</c:formatCode>
                <c:ptCount val="6"/>
                <c:pt idx="0">
                  <c:v>0.14502729646332779</c:v>
                </c:pt>
                <c:pt idx="1">
                  <c:v>0.16019473745218499</c:v>
                </c:pt>
                <c:pt idx="2">
                  <c:v>0.15725121702705763</c:v>
                </c:pt>
                <c:pt idx="3">
                  <c:v>0.15680604982206406</c:v>
                </c:pt>
                <c:pt idx="4">
                  <c:v>0.14665936473165389</c:v>
                </c:pt>
                <c:pt idx="5">
                  <c:v>0.15426411528466807</c:v>
                </c:pt>
              </c:numCache>
            </c:numRef>
          </c:val>
        </c:ser>
        <c:ser>
          <c:idx val="3"/>
          <c:order val="3"/>
          <c:tx>
            <c:strRef>
              <c:f>Deprivation!$N$121</c:f>
              <c:strCache>
                <c:ptCount val="1"/>
                <c:pt idx="0">
                  <c:v>South East</c:v>
                </c:pt>
              </c:strCache>
            </c:strRef>
          </c:tx>
          <c:spPr>
            <a:solidFill>
              <a:schemeClr val="bg1">
                <a:lumMod val="85000"/>
              </a:schemeClr>
            </a:solidFill>
            <a:ln>
              <a:solidFill>
                <a:sysClr val="windowText" lastClr="000000"/>
              </a:solidFill>
            </a:ln>
          </c:spPr>
          <c:invertIfNegative val="0"/>
          <c:dLbls>
            <c:txPr>
              <a:bodyPr rot="-5400000" vert="horz"/>
              <a:lstStyle/>
              <a:p>
                <a:pPr>
                  <a:defRPr/>
                </a:pPr>
                <a:endParaRPr lang="en-US"/>
              </a:p>
            </c:txPr>
            <c:dLblPos val="inBase"/>
            <c:showLegendKey val="0"/>
            <c:showVal val="1"/>
            <c:showCatName val="0"/>
            <c:showSerName val="0"/>
            <c:showPercent val="0"/>
            <c:showBubbleSize val="0"/>
            <c:showLeaderLines val="0"/>
          </c:dLbls>
          <c:errBars>
            <c:errBarType val="both"/>
            <c:errValType val="cust"/>
            <c:noEndCap val="0"/>
            <c:plus>
              <c:numRef>
                <c:f>(Deprivation!$O$134,Deprivation!$O$136,Deprivation!$O$138,Deprivation!$O$140,Deprivation!$O$142,Deprivation!$O$144)</c:f>
                <c:numCache>
                  <c:formatCode>General</c:formatCode>
                  <c:ptCount val="6"/>
                  <c:pt idx="0">
                    <c:v>1.0576219760747574E-3</c:v>
                  </c:pt>
                  <c:pt idx="1">
                    <c:v>1.0739535907736408E-3</c:v>
                  </c:pt>
                  <c:pt idx="2">
                    <c:v>1.0478104233173635E-3</c:v>
                  </c:pt>
                  <c:pt idx="3">
                    <c:v>1.0347068796447145E-3</c:v>
                  </c:pt>
                  <c:pt idx="4">
                    <c:v>1.0094138030084521E-3</c:v>
                  </c:pt>
                  <c:pt idx="5">
                    <c:v>1.0845595704758737E-3</c:v>
                  </c:pt>
                </c:numCache>
              </c:numRef>
            </c:plus>
            <c:minus>
              <c:numRef>
                <c:f>(Deprivation!$O$133,Deprivation!$O$135,Deprivation!$O$137,Deprivation!$O$139,Deprivation!$O$141,Deprivation!$O$143)</c:f>
                <c:numCache>
                  <c:formatCode>General</c:formatCode>
                  <c:ptCount val="6"/>
                  <c:pt idx="0">
                    <c:v>1.0522999201197647E-3</c:v>
                  </c:pt>
                  <c:pt idx="1">
                    <c:v>1.0689780306663565E-3</c:v>
                  </c:pt>
                  <c:pt idx="2">
                    <c:v>1.0428529249768559E-3</c:v>
                  </c:pt>
                  <c:pt idx="3">
                    <c:v>1.0298129917891696E-3</c:v>
                  </c:pt>
                  <c:pt idx="4">
                    <c:v>1.0044579889134098E-3</c:v>
                  </c:pt>
                  <c:pt idx="5">
                    <c:v>1.0793050573909835E-3</c:v>
                  </c:pt>
                </c:numCache>
              </c:numRef>
            </c:minus>
          </c:errBars>
          <c:cat>
            <c:strRef>
              <c:f>Deprivation!$D$124:$F$129</c:f>
              <c:strCache>
                <c:ptCount val="6"/>
                <c:pt idx="0">
                  <c:v>% of children in poverty (2008)</c:v>
                </c:pt>
                <c:pt idx="1">
                  <c:v>% of children in poverty (2009)</c:v>
                </c:pt>
                <c:pt idx="2">
                  <c:v>% of children in poverty (2010)</c:v>
                </c:pt>
                <c:pt idx="3">
                  <c:v>% of children in poverty (2011)</c:v>
                </c:pt>
                <c:pt idx="4">
                  <c:v>% of children in poverty (2012)</c:v>
                </c:pt>
                <c:pt idx="5">
                  <c:v>% of children in poverty (2013)</c:v>
                </c:pt>
              </c:strCache>
            </c:strRef>
          </c:cat>
          <c:val>
            <c:numRef>
              <c:f>Deprivation!$N$124:$N$129</c:f>
              <c:numCache>
                <c:formatCode>0.0%</c:formatCode>
                <c:ptCount val="6"/>
                <c:pt idx="0">
                  <c:v>0.16714880332986473</c:v>
                </c:pt>
                <c:pt idx="1">
                  <c:v>0.18006356017974981</c:v>
                </c:pt>
                <c:pt idx="2">
                  <c:v>0.17398834205864597</c:v>
                </c:pt>
                <c:pt idx="3">
                  <c:v>0.17238127643027268</c:v>
                </c:pt>
                <c:pt idx="4">
                  <c:v>0.16435249690109446</c:v>
                </c:pt>
                <c:pt idx="5">
                  <c:v>0.17539109823544904</c:v>
                </c:pt>
              </c:numCache>
            </c:numRef>
          </c:val>
        </c:ser>
        <c:ser>
          <c:idx val="4"/>
          <c:order val="4"/>
          <c:tx>
            <c:strRef>
              <c:f>Deprivation!$P$121</c:f>
              <c:strCache>
                <c:ptCount val="1"/>
                <c:pt idx="0">
                  <c:v>England</c:v>
                </c:pt>
              </c:strCache>
            </c:strRef>
          </c:tx>
          <c:spPr>
            <a:solidFill>
              <a:schemeClr val="bg1">
                <a:lumMod val="75000"/>
              </a:schemeClr>
            </a:solidFill>
            <a:ln>
              <a:solidFill>
                <a:sysClr val="windowText" lastClr="000000"/>
              </a:solidFill>
            </a:ln>
          </c:spPr>
          <c:invertIfNegative val="0"/>
          <c:dLbls>
            <c:txPr>
              <a:bodyPr rot="-5400000" vert="horz"/>
              <a:lstStyle/>
              <a:p>
                <a:pPr>
                  <a:defRPr/>
                </a:pPr>
                <a:endParaRPr lang="en-US"/>
              </a:p>
            </c:txPr>
            <c:dLblPos val="inBase"/>
            <c:showLegendKey val="0"/>
            <c:showVal val="1"/>
            <c:showCatName val="0"/>
            <c:showSerName val="0"/>
            <c:showPercent val="0"/>
            <c:showBubbleSize val="0"/>
            <c:showLeaderLines val="0"/>
          </c:dLbls>
          <c:errBars>
            <c:errBarType val="both"/>
            <c:errValType val="cust"/>
            <c:noEndCap val="0"/>
            <c:plus>
              <c:numRef>
                <c:f>(Deprivation!$Q$134,Deprivation!$Q$136,Deprivation!$Q$138,Deprivation!$Q$140,Deprivation!$Q$142,Deprivation!$Q$144)</c:f>
                <c:numCache>
                  <c:formatCode>General</c:formatCode>
                  <c:ptCount val="6"/>
                  <c:pt idx="0">
                    <c:v>4.7483869309314364E-4</c:v>
                  </c:pt>
                  <c:pt idx="1">
                    <c:v>4.7276253301611892E-4</c:v>
                  </c:pt>
                  <c:pt idx="2">
                    <c:v>4.613551545768757E-4</c:v>
                  </c:pt>
                  <c:pt idx="3">
                    <c:v>4.5561396252635777E-4</c:v>
                  </c:pt>
                  <c:pt idx="4">
                    <c:v>4.4493461631553433E-4</c:v>
                  </c:pt>
                  <c:pt idx="5">
                    <c:v>4.6157297163793021E-4</c:v>
                  </c:pt>
                </c:numCache>
              </c:numRef>
            </c:plus>
            <c:minus>
              <c:numRef>
                <c:f>(Deprivation!$Q$133,Deprivation!$Q$135,Deprivation!$Q$137,Deprivation!$Q$139,Deprivation!$Q$141,Deprivation!$Q$143)</c:f>
                <c:numCache>
                  <c:formatCode>General</c:formatCode>
                  <c:ptCount val="6"/>
                  <c:pt idx="0">
                    <c:v>4.7416203346517527E-4</c:v>
                  </c:pt>
                  <c:pt idx="1">
                    <c:v>4.7212313941391582E-4</c:v>
                  </c:pt>
                  <c:pt idx="2">
                    <c:v>4.6070538473355627E-4</c:v>
                  </c:pt>
                  <c:pt idx="3">
                    <c:v>4.5496679741219292E-4</c:v>
                  </c:pt>
                  <c:pt idx="4">
                    <c:v>4.4426916171758091E-4</c:v>
                  </c:pt>
                  <c:pt idx="5">
                    <c:v>4.6088560104157184E-4</c:v>
                  </c:pt>
                </c:numCache>
              </c:numRef>
            </c:minus>
          </c:errBars>
          <c:cat>
            <c:strRef>
              <c:f>Deprivation!$D$124:$F$129</c:f>
              <c:strCache>
                <c:ptCount val="6"/>
                <c:pt idx="0">
                  <c:v>% of children in poverty (2008)</c:v>
                </c:pt>
                <c:pt idx="1">
                  <c:v>% of children in poverty (2009)</c:v>
                </c:pt>
                <c:pt idx="2">
                  <c:v>% of children in poverty (2010)</c:v>
                </c:pt>
                <c:pt idx="3">
                  <c:v>% of children in poverty (2011)</c:v>
                </c:pt>
                <c:pt idx="4">
                  <c:v>% of children in poverty (2012)</c:v>
                </c:pt>
                <c:pt idx="5">
                  <c:v>% of children in poverty (2013)</c:v>
                </c:pt>
              </c:strCache>
            </c:strRef>
          </c:cat>
          <c:val>
            <c:numRef>
              <c:f>Deprivation!$P$124:$P$129</c:f>
              <c:numCache>
                <c:formatCode>0.0%</c:formatCode>
                <c:ptCount val="6"/>
                <c:pt idx="0">
                  <c:v>0.23214288650065187</c:v>
                </c:pt>
                <c:pt idx="1">
                  <c:v>0.23928108580877047</c:v>
                </c:pt>
                <c:pt idx="2">
                  <c:v>0.22961623757049512</c:v>
                </c:pt>
                <c:pt idx="3">
                  <c:v>0.2265069406586773</c:v>
                </c:pt>
                <c:pt idx="4">
                  <c:v>0.21546519008053139</c:v>
                </c:pt>
                <c:pt idx="5">
                  <c:v>0.22145456531025867</c:v>
                </c:pt>
              </c:numCache>
            </c:numRef>
          </c:val>
        </c:ser>
        <c:dLbls>
          <c:showLegendKey val="0"/>
          <c:showVal val="1"/>
          <c:showCatName val="0"/>
          <c:showSerName val="0"/>
          <c:showPercent val="0"/>
          <c:showBubbleSize val="0"/>
        </c:dLbls>
        <c:gapWidth val="140"/>
        <c:axId val="85785216"/>
        <c:axId val="85795200"/>
      </c:barChart>
      <c:catAx>
        <c:axId val="85785216"/>
        <c:scaling>
          <c:orientation val="minMax"/>
        </c:scaling>
        <c:delete val="0"/>
        <c:axPos val="b"/>
        <c:majorTickMark val="out"/>
        <c:minorTickMark val="none"/>
        <c:tickLblPos val="nextTo"/>
        <c:crossAx val="85795200"/>
        <c:crosses val="autoZero"/>
        <c:auto val="1"/>
        <c:lblAlgn val="ctr"/>
        <c:lblOffset val="100"/>
        <c:noMultiLvlLbl val="0"/>
      </c:catAx>
      <c:valAx>
        <c:axId val="85795200"/>
        <c:scaling>
          <c:orientation val="minMax"/>
        </c:scaling>
        <c:delete val="0"/>
        <c:axPos val="l"/>
        <c:majorGridlines>
          <c:spPr>
            <a:ln>
              <a:solidFill>
                <a:schemeClr val="bg1">
                  <a:lumMod val="75000"/>
                </a:schemeClr>
              </a:solidFill>
            </a:ln>
          </c:spPr>
        </c:majorGridlines>
        <c:numFmt formatCode="0.0%" sourceLinked="1"/>
        <c:majorTickMark val="out"/>
        <c:minorTickMark val="none"/>
        <c:tickLblPos val="nextTo"/>
        <c:crossAx val="85785216"/>
        <c:crosses val="autoZero"/>
        <c:crossBetween val="between"/>
      </c:valAx>
    </c:plotArea>
    <c:legend>
      <c:legendPos val="t"/>
      <c:overlay val="0"/>
    </c:legend>
    <c:plotVisOnly val="1"/>
    <c:dispBlanksAs val="gap"/>
    <c:showDLblsOverMax val="0"/>
  </c:chart>
  <c:spPr>
    <a:ln>
      <a:noFill/>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7853018372703411"/>
          <c:y val="5.1400554097404488E-2"/>
          <c:w val="0.79091426071741044"/>
          <c:h val="0.74833697871099447"/>
        </c:manualLayout>
      </c:layout>
      <c:barChart>
        <c:barDir val="col"/>
        <c:grouping val="clustered"/>
        <c:varyColors val="0"/>
        <c:ser>
          <c:idx val="0"/>
          <c:order val="0"/>
          <c:invertIfNegative val="0"/>
          <c:cat>
            <c:strRef>
              <c:f>Population!$F$97:$H$97</c:f>
              <c:strCache>
                <c:ptCount val="3"/>
                <c:pt idx="0">
                  <c:v>Angmering</c:v>
                </c:pt>
                <c:pt idx="1">
                  <c:v>Bewbush</c:v>
                </c:pt>
                <c:pt idx="2">
                  <c:v>West Sussex</c:v>
                </c:pt>
              </c:strCache>
            </c:strRef>
          </c:cat>
          <c:val>
            <c:numRef>
              <c:f>Population!$F$98:$H$98</c:f>
              <c:numCache>
                <c:formatCode>General</c:formatCode>
                <c:ptCount val="3"/>
              </c:numCache>
            </c:numRef>
          </c:val>
        </c:ser>
        <c:ser>
          <c:idx val="1"/>
          <c:order val="1"/>
          <c:invertIfNegative val="0"/>
          <c:cat>
            <c:strRef>
              <c:f>Population!$F$97:$H$97</c:f>
              <c:strCache>
                <c:ptCount val="3"/>
                <c:pt idx="0">
                  <c:v>Angmering</c:v>
                </c:pt>
                <c:pt idx="1">
                  <c:v>Bewbush</c:v>
                </c:pt>
                <c:pt idx="2">
                  <c:v>West Sussex</c:v>
                </c:pt>
              </c:strCache>
            </c:strRef>
          </c:cat>
          <c:val>
            <c:numRef>
              <c:f>Population!$F$99:$H$99</c:f>
              <c:numCache>
                <c:formatCode>General</c:formatCode>
                <c:ptCount val="3"/>
              </c:numCache>
            </c:numRef>
          </c:val>
        </c:ser>
        <c:ser>
          <c:idx val="2"/>
          <c:order val="2"/>
          <c:invertIfNegative val="0"/>
          <c:dPt>
            <c:idx val="0"/>
            <c:invertIfNegative val="0"/>
            <c:bubble3D val="0"/>
            <c:spPr>
              <a:solidFill>
                <a:schemeClr val="accent1">
                  <a:lumMod val="40000"/>
                  <a:lumOff val="60000"/>
                </a:schemeClr>
              </a:solidFill>
            </c:spPr>
          </c:dPt>
          <c:dPt>
            <c:idx val="1"/>
            <c:invertIfNegative val="0"/>
            <c:bubble3D val="0"/>
            <c:spPr>
              <a:solidFill>
                <a:schemeClr val="accent4">
                  <a:lumMod val="40000"/>
                  <a:lumOff val="60000"/>
                </a:schemeClr>
              </a:solidFill>
            </c:spPr>
          </c:dPt>
          <c:dLbls>
            <c:dLblPos val="outEnd"/>
            <c:showLegendKey val="0"/>
            <c:showVal val="1"/>
            <c:showCatName val="0"/>
            <c:showSerName val="0"/>
            <c:showPercent val="0"/>
            <c:showBubbleSize val="0"/>
            <c:showLeaderLines val="0"/>
          </c:dLbls>
          <c:cat>
            <c:strRef>
              <c:f>Population!$F$97:$H$97</c:f>
              <c:strCache>
                <c:ptCount val="3"/>
                <c:pt idx="0">
                  <c:v>Angmering</c:v>
                </c:pt>
                <c:pt idx="1">
                  <c:v>Bewbush</c:v>
                </c:pt>
                <c:pt idx="2">
                  <c:v>West Sussex</c:v>
                </c:pt>
              </c:strCache>
            </c:strRef>
          </c:cat>
          <c:val>
            <c:numRef>
              <c:f>Population!$F$106:$H$106</c:f>
              <c:numCache>
                <c:formatCode>0.0%</c:formatCode>
                <c:ptCount val="3"/>
                <c:pt idx="0">
                  <c:v>7.1283095723014278E-2</c:v>
                </c:pt>
                <c:pt idx="1">
                  <c:v>0.3841911764705882</c:v>
                </c:pt>
                <c:pt idx="2">
                  <c:v>0.16441509271608656</c:v>
                </c:pt>
              </c:numCache>
            </c:numRef>
          </c:val>
        </c:ser>
        <c:dLbls>
          <c:showLegendKey val="0"/>
          <c:showVal val="0"/>
          <c:showCatName val="0"/>
          <c:showSerName val="0"/>
          <c:showPercent val="0"/>
          <c:showBubbleSize val="0"/>
        </c:dLbls>
        <c:gapWidth val="170"/>
        <c:overlap val="100"/>
        <c:axId val="35296000"/>
        <c:axId val="35297920"/>
      </c:barChart>
      <c:catAx>
        <c:axId val="35296000"/>
        <c:scaling>
          <c:orientation val="minMax"/>
        </c:scaling>
        <c:delete val="0"/>
        <c:axPos val="b"/>
        <c:title>
          <c:tx>
            <c:rich>
              <a:bodyPr/>
              <a:lstStyle/>
              <a:p>
                <a:pPr>
                  <a:defRPr/>
                </a:pPr>
                <a:r>
                  <a:rPr lang="en-GB"/>
                  <a:t>Area</a:t>
                </a:r>
              </a:p>
            </c:rich>
          </c:tx>
          <c:layout>
            <c:manualLayout>
              <c:xMode val="edge"/>
              <c:yMode val="edge"/>
              <c:x val="0.54511220472440947"/>
              <c:y val="0.93230432288679144"/>
            </c:manualLayout>
          </c:layout>
          <c:overlay val="0"/>
        </c:title>
        <c:majorTickMark val="out"/>
        <c:minorTickMark val="none"/>
        <c:tickLblPos val="nextTo"/>
        <c:crossAx val="35297920"/>
        <c:crosses val="autoZero"/>
        <c:auto val="1"/>
        <c:lblAlgn val="ctr"/>
        <c:lblOffset val="100"/>
        <c:noMultiLvlLbl val="0"/>
      </c:catAx>
      <c:valAx>
        <c:axId val="35297920"/>
        <c:scaling>
          <c:orientation val="minMax"/>
        </c:scaling>
        <c:delete val="0"/>
        <c:axPos val="l"/>
        <c:majorGridlines>
          <c:spPr>
            <a:ln>
              <a:solidFill>
                <a:schemeClr val="bg1">
                  <a:lumMod val="85000"/>
                </a:schemeClr>
              </a:solidFill>
            </a:ln>
          </c:spPr>
        </c:majorGridlines>
        <c:title>
          <c:tx>
            <c:rich>
              <a:bodyPr rot="-5400000" vert="horz"/>
              <a:lstStyle/>
              <a:p>
                <a:pPr>
                  <a:defRPr/>
                </a:pPr>
                <a:r>
                  <a:rPr lang="en-GB"/>
                  <a:t>Percentage of 0-4 year</a:t>
                </a:r>
                <a:r>
                  <a:rPr lang="en-GB" baseline="0"/>
                  <a:t> Olds BAME</a:t>
                </a:r>
                <a:endParaRPr lang="en-GB"/>
              </a:p>
            </c:rich>
          </c:tx>
          <c:layout>
            <c:manualLayout>
              <c:xMode val="edge"/>
              <c:yMode val="edge"/>
              <c:x val="3.6111111111111108E-2"/>
              <c:y val="7.6425342665500162E-2"/>
            </c:manualLayout>
          </c:layout>
          <c:overlay val="0"/>
        </c:title>
        <c:numFmt formatCode="0%" sourceLinked="0"/>
        <c:majorTickMark val="out"/>
        <c:minorTickMark val="none"/>
        <c:tickLblPos val="nextTo"/>
        <c:crossAx val="35296000"/>
        <c:crosses val="autoZero"/>
        <c:crossBetween val="between"/>
      </c:valAx>
    </c:plotArea>
    <c:plotVisOnly val="1"/>
    <c:dispBlanksAs val="gap"/>
    <c:showDLblsOverMax val="0"/>
  </c:chart>
  <c:spPr>
    <a:solidFill>
      <a:schemeClr val="bg1"/>
    </a:solidFill>
    <a:ln>
      <a:noFill/>
    </a:ln>
  </c:sp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694985740550763E-2"/>
          <c:y val="4.699477665465928E-2"/>
          <c:w val="0.89770485991794646"/>
          <c:h val="0.84696651353030417"/>
        </c:manualLayout>
      </c:layout>
      <c:barChart>
        <c:barDir val="col"/>
        <c:grouping val="clustered"/>
        <c:varyColors val="0"/>
        <c:ser>
          <c:idx val="0"/>
          <c:order val="0"/>
          <c:tx>
            <c:strRef>
              <c:f>EYFS!$E$52</c:f>
              <c:strCache>
                <c:ptCount val="1"/>
                <c:pt idx="0">
                  <c:v>2013</c:v>
                </c:pt>
              </c:strCache>
            </c:strRef>
          </c:tx>
          <c:spPr>
            <a:ln>
              <a:solidFill>
                <a:sysClr val="windowText" lastClr="000000"/>
              </a:solidFill>
            </a:ln>
          </c:spPr>
          <c:invertIfNegative val="0"/>
          <c:dPt>
            <c:idx val="0"/>
            <c:invertIfNegative val="0"/>
            <c:bubble3D val="0"/>
            <c:spPr>
              <a:solidFill>
                <a:schemeClr val="accent1">
                  <a:lumMod val="60000"/>
                  <a:lumOff val="40000"/>
                </a:schemeClr>
              </a:solidFill>
              <a:ln>
                <a:solidFill>
                  <a:sysClr val="windowText" lastClr="000000"/>
                </a:solidFill>
              </a:ln>
            </c:spPr>
          </c:dPt>
          <c:dPt>
            <c:idx val="1"/>
            <c:invertIfNegative val="0"/>
            <c:bubble3D val="0"/>
            <c:spPr>
              <a:solidFill>
                <a:schemeClr val="accent4">
                  <a:lumMod val="60000"/>
                  <a:lumOff val="40000"/>
                </a:schemeClr>
              </a:solidFill>
              <a:ln>
                <a:solidFill>
                  <a:sysClr val="windowText" lastClr="000000"/>
                </a:solidFill>
              </a:ln>
            </c:spPr>
          </c:dPt>
          <c:dPt>
            <c:idx val="2"/>
            <c:invertIfNegative val="0"/>
            <c:bubble3D val="0"/>
            <c:spPr>
              <a:solidFill>
                <a:schemeClr val="accent3">
                  <a:lumMod val="60000"/>
                  <a:lumOff val="40000"/>
                </a:schemeClr>
              </a:solidFill>
              <a:ln>
                <a:solidFill>
                  <a:sysClr val="windowText" lastClr="000000"/>
                </a:solidFill>
              </a:ln>
            </c:spPr>
          </c:dPt>
          <c:dPt>
            <c:idx val="3"/>
            <c:invertIfNegative val="0"/>
            <c:bubble3D val="0"/>
            <c:spPr>
              <a:solidFill>
                <a:schemeClr val="bg1">
                  <a:lumMod val="75000"/>
                </a:schemeClr>
              </a:solidFill>
              <a:ln>
                <a:solidFill>
                  <a:sysClr val="windowText" lastClr="000000"/>
                </a:solidFill>
              </a:ln>
            </c:spPr>
          </c:dPt>
          <c:dLbls>
            <c:txPr>
              <a:bodyPr rot="-5400000" vert="horz"/>
              <a:lstStyle/>
              <a:p>
                <a:pPr>
                  <a:defRPr/>
                </a:pPr>
                <a:endParaRPr lang="en-US"/>
              </a:p>
            </c:txPr>
            <c:dLblPos val="inBase"/>
            <c:showLegendKey val="0"/>
            <c:showVal val="0"/>
            <c:showCatName val="0"/>
            <c:showSerName val="1"/>
            <c:showPercent val="0"/>
            <c:showBubbleSize val="0"/>
            <c:showLeaderLines val="0"/>
          </c:dLbls>
          <c:errBars>
            <c:errBarType val="both"/>
            <c:errValType val="cust"/>
            <c:noEndCap val="0"/>
            <c:plus>
              <c:numRef>
                <c:f>EYFS!$F$60:$F$61</c:f>
                <c:numCache>
                  <c:formatCode>General</c:formatCode>
                  <c:ptCount val="2"/>
                  <c:pt idx="0">
                    <c:v>7.0876899793700487E-2</c:v>
                  </c:pt>
                  <c:pt idx="1">
                    <c:v>6.6784848571779742E-2</c:v>
                  </c:pt>
                </c:numCache>
              </c:numRef>
            </c:plus>
            <c:minus>
              <c:numRef>
                <c:f>EYFS!$E$60:$E$61</c:f>
                <c:numCache>
                  <c:formatCode>General</c:formatCode>
                  <c:ptCount val="2"/>
                  <c:pt idx="0">
                    <c:v>7.2966449585861848E-2</c:v>
                  </c:pt>
                  <c:pt idx="1">
                    <c:v>6.6616946734237847E-2</c:v>
                  </c:pt>
                </c:numCache>
              </c:numRef>
            </c:minus>
          </c:errBars>
          <c:cat>
            <c:strRef>
              <c:f>EYFS!$D$53:$D$56</c:f>
              <c:strCache>
                <c:ptCount val="4"/>
                <c:pt idx="0">
                  <c:v>Angmering</c:v>
                </c:pt>
                <c:pt idx="1">
                  <c:v>Bewbush</c:v>
                </c:pt>
                <c:pt idx="2">
                  <c:v>West Sussex</c:v>
                </c:pt>
                <c:pt idx="3">
                  <c:v>England</c:v>
                </c:pt>
              </c:strCache>
            </c:strRef>
          </c:cat>
          <c:val>
            <c:numRef>
              <c:f>EYFS!$E$53:$E$56</c:f>
              <c:numCache>
                <c:formatCode>0.0%</c:formatCode>
                <c:ptCount val="4"/>
                <c:pt idx="0">
                  <c:v>0.55000000000000004</c:v>
                </c:pt>
                <c:pt idx="1">
                  <c:v>0.49528301886792453</c:v>
                </c:pt>
                <c:pt idx="2">
                  <c:v>0.52</c:v>
                </c:pt>
                <c:pt idx="3">
                  <c:v>0.52</c:v>
                </c:pt>
              </c:numCache>
            </c:numRef>
          </c:val>
        </c:ser>
        <c:ser>
          <c:idx val="1"/>
          <c:order val="1"/>
          <c:tx>
            <c:strRef>
              <c:f>EYFS!$H$52</c:f>
              <c:strCache>
                <c:ptCount val="1"/>
                <c:pt idx="0">
                  <c:v>2014</c:v>
                </c:pt>
              </c:strCache>
            </c:strRef>
          </c:tx>
          <c:spPr>
            <a:ln>
              <a:solidFill>
                <a:sysClr val="windowText" lastClr="000000"/>
              </a:solidFill>
            </a:ln>
          </c:spPr>
          <c:invertIfNegative val="0"/>
          <c:dPt>
            <c:idx val="0"/>
            <c:invertIfNegative val="0"/>
            <c:bubble3D val="0"/>
            <c:spPr>
              <a:solidFill>
                <a:schemeClr val="accent1">
                  <a:lumMod val="60000"/>
                  <a:lumOff val="40000"/>
                </a:schemeClr>
              </a:solidFill>
              <a:ln>
                <a:solidFill>
                  <a:sysClr val="windowText" lastClr="000000"/>
                </a:solidFill>
              </a:ln>
            </c:spPr>
          </c:dPt>
          <c:dPt>
            <c:idx val="1"/>
            <c:invertIfNegative val="0"/>
            <c:bubble3D val="0"/>
            <c:spPr>
              <a:solidFill>
                <a:schemeClr val="accent4">
                  <a:lumMod val="60000"/>
                  <a:lumOff val="40000"/>
                </a:schemeClr>
              </a:solidFill>
              <a:ln>
                <a:solidFill>
                  <a:sysClr val="windowText" lastClr="000000"/>
                </a:solidFill>
              </a:ln>
            </c:spPr>
          </c:dPt>
          <c:dPt>
            <c:idx val="2"/>
            <c:invertIfNegative val="0"/>
            <c:bubble3D val="0"/>
            <c:spPr>
              <a:solidFill>
                <a:schemeClr val="accent3">
                  <a:lumMod val="60000"/>
                  <a:lumOff val="40000"/>
                </a:schemeClr>
              </a:solidFill>
              <a:ln>
                <a:solidFill>
                  <a:sysClr val="windowText" lastClr="000000"/>
                </a:solidFill>
              </a:ln>
            </c:spPr>
          </c:dPt>
          <c:dPt>
            <c:idx val="3"/>
            <c:invertIfNegative val="0"/>
            <c:bubble3D val="0"/>
            <c:spPr>
              <a:solidFill>
                <a:schemeClr val="bg1">
                  <a:lumMod val="75000"/>
                </a:schemeClr>
              </a:solidFill>
              <a:ln>
                <a:solidFill>
                  <a:sysClr val="windowText" lastClr="000000"/>
                </a:solidFill>
              </a:ln>
            </c:spPr>
          </c:dPt>
          <c:dLbls>
            <c:txPr>
              <a:bodyPr rot="-5400000" vert="horz"/>
              <a:lstStyle/>
              <a:p>
                <a:pPr>
                  <a:defRPr/>
                </a:pPr>
                <a:endParaRPr lang="en-US"/>
              </a:p>
            </c:txPr>
            <c:dLblPos val="inBase"/>
            <c:showLegendKey val="0"/>
            <c:showVal val="0"/>
            <c:showCatName val="0"/>
            <c:showSerName val="1"/>
            <c:showPercent val="0"/>
            <c:showBubbleSize val="0"/>
            <c:showLeaderLines val="0"/>
          </c:dLbls>
          <c:errBars>
            <c:errBarType val="both"/>
            <c:errValType val="cust"/>
            <c:noEndCap val="0"/>
            <c:plus>
              <c:numRef>
                <c:f>EYFS!$I$60:$I$61</c:f>
                <c:numCache>
                  <c:formatCode>General</c:formatCode>
                  <c:ptCount val="2"/>
                  <c:pt idx="0">
                    <c:v>6.2500283536590984E-2</c:v>
                  </c:pt>
                  <c:pt idx="1">
                    <c:v>6.8008037564505464E-2</c:v>
                  </c:pt>
                </c:numCache>
              </c:numRef>
            </c:plus>
            <c:minus>
              <c:numRef>
                <c:f>EYFS!$H$60:$H$61</c:f>
                <c:numCache>
                  <c:formatCode>General</c:formatCode>
                  <c:ptCount val="2"/>
                  <c:pt idx="0">
                    <c:v>6.6042446910249297E-2</c:v>
                  </c:pt>
                  <c:pt idx="1">
                    <c:v>7.0535951632086646E-2</c:v>
                  </c:pt>
                </c:numCache>
              </c:numRef>
            </c:minus>
          </c:errBars>
          <c:cat>
            <c:strRef>
              <c:f>EYFS!$D$53:$D$56</c:f>
              <c:strCache>
                <c:ptCount val="4"/>
                <c:pt idx="0">
                  <c:v>Angmering</c:v>
                </c:pt>
                <c:pt idx="1">
                  <c:v>Bewbush</c:v>
                </c:pt>
                <c:pt idx="2">
                  <c:v>West Sussex</c:v>
                </c:pt>
                <c:pt idx="3">
                  <c:v>England</c:v>
                </c:pt>
              </c:strCache>
            </c:strRef>
          </c:cat>
          <c:val>
            <c:numRef>
              <c:f>EYFS!$H$53:$H$56</c:f>
              <c:numCache>
                <c:formatCode>0.0%</c:formatCode>
                <c:ptCount val="4"/>
                <c:pt idx="0">
                  <c:v>0.60273972602739723</c:v>
                </c:pt>
                <c:pt idx="1">
                  <c:v>0.56476683937823835</c:v>
                </c:pt>
                <c:pt idx="2">
                  <c:v>0.59</c:v>
                </c:pt>
                <c:pt idx="3">
                  <c:v>0.6</c:v>
                </c:pt>
              </c:numCache>
            </c:numRef>
          </c:val>
        </c:ser>
        <c:ser>
          <c:idx val="2"/>
          <c:order val="2"/>
          <c:tx>
            <c:strRef>
              <c:f>EYFS!$K$52</c:f>
              <c:strCache>
                <c:ptCount val="1"/>
                <c:pt idx="0">
                  <c:v>2015</c:v>
                </c:pt>
              </c:strCache>
            </c:strRef>
          </c:tx>
          <c:spPr>
            <a:ln>
              <a:solidFill>
                <a:sysClr val="windowText" lastClr="000000"/>
              </a:solidFill>
            </a:ln>
          </c:spPr>
          <c:invertIfNegative val="0"/>
          <c:dPt>
            <c:idx val="0"/>
            <c:invertIfNegative val="0"/>
            <c:bubble3D val="0"/>
            <c:spPr>
              <a:solidFill>
                <a:schemeClr val="accent1">
                  <a:lumMod val="60000"/>
                  <a:lumOff val="40000"/>
                </a:schemeClr>
              </a:solidFill>
              <a:ln>
                <a:solidFill>
                  <a:sysClr val="windowText" lastClr="000000"/>
                </a:solidFill>
              </a:ln>
            </c:spPr>
          </c:dPt>
          <c:dPt>
            <c:idx val="1"/>
            <c:invertIfNegative val="0"/>
            <c:bubble3D val="0"/>
            <c:spPr>
              <a:solidFill>
                <a:schemeClr val="accent4">
                  <a:lumMod val="60000"/>
                  <a:lumOff val="40000"/>
                </a:schemeClr>
              </a:solidFill>
              <a:ln>
                <a:solidFill>
                  <a:sysClr val="windowText" lastClr="000000"/>
                </a:solidFill>
              </a:ln>
            </c:spPr>
          </c:dPt>
          <c:dPt>
            <c:idx val="2"/>
            <c:invertIfNegative val="0"/>
            <c:bubble3D val="0"/>
            <c:spPr>
              <a:solidFill>
                <a:schemeClr val="accent3">
                  <a:lumMod val="60000"/>
                  <a:lumOff val="40000"/>
                </a:schemeClr>
              </a:solidFill>
              <a:ln>
                <a:solidFill>
                  <a:sysClr val="windowText" lastClr="000000"/>
                </a:solidFill>
              </a:ln>
            </c:spPr>
          </c:dPt>
          <c:dPt>
            <c:idx val="3"/>
            <c:invertIfNegative val="0"/>
            <c:bubble3D val="0"/>
            <c:spPr>
              <a:solidFill>
                <a:schemeClr val="bg1">
                  <a:lumMod val="75000"/>
                </a:schemeClr>
              </a:solidFill>
              <a:ln>
                <a:solidFill>
                  <a:sysClr val="windowText" lastClr="000000"/>
                </a:solidFill>
              </a:ln>
            </c:spPr>
          </c:dPt>
          <c:dLbls>
            <c:txPr>
              <a:bodyPr rot="-5400000" vert="horz"/>
              <a:lstStyle/>
              <a:p>
                <a:pPr>
                  <a:defRPr/>
                </a:pPr>
                <a:endParaRPr lang="en-US"/>
              </a:p>
            </c:txPr>
            <c:dLblPos val="inBase"/>
            <c:showLegendKey val="0"/>
            <c:showVal val="0"/>
            <c:showCatName val="0"/>
            <c:showSerName val="1"/>
            <c:showPercent val="0"/>
            <c:showBubbleSize val="0"/>
            <c:showLeaderLines val="0"/>
          </c:dLbls>
          <c:errBars>
            <c:errBarType val="both"/>
            <c:errValType val="cust"/>
            <c:noEndCap val="0"/>
            <c:plus>
              <c:numRef>
                <c:f>EYFS!$L$60:$L$61</c:f>
                <c:numCache>
                  <c:formatCode>General</c:formatCode>
                  <c:ptCount val="2"/>
                  <c:pt idx="0">
                    <c:v>6.3264241131335774E-2</c:v>
                  </c:pt>
                  <c:pt idx="1">
                    <c:v>5.8231553718334883E-2</c:v>
                  </c:pt>
                </c:numCache>
              </c:numRef>
            </c:plus>
            <c:minus>
              <c:numRef>
                <c:f>EYFS!$K$60:$K$61</c:f>
                <c:numCache>
                  <c:formatCode>General</c:formatCode>
                  <c:ptCount val="2"/>
                  <c:pt idx="0">
                    <c:v>6.6176686571899346E-2</c:v>
                  </c:pt>
                  <c:pt idx="1">
                    <c:v>6.1281646562540759E-2</c:v>
                  </c:pt>
                </c:numCache>
              </c:numRef>
            </c:minus>
          </c:errBars>
          <c:cat>
            <c:strRef>
              <c:f>EYFS!$D$53:$D$56</c:f>
              <c:strCache>
                <c:ptCount val="4"/>
                <c:pt idx="0">
                  <c:v>Angmering</c:v>
                </c:pt>
                <c:pt idx="1">
                  <c:v>Bewbush</c:v>
                </c:pt>
                <c:pt idx="2">
                  <c:v>West Sussex</c:v>
                </c:pt>
                <c:pt idx="3">
                  <c:v>England</c:v>
                </c:pt>
              </c:strCache>
            </c:strRef>
          </c:cat>
          <c:val>
            <c:numRef>
              <c:f>EYFS!$K$53:$K$56</c:f>
              <c:numCache>
                <c:formatCode>0.0%</c:formatCode>
                <c:ptCount val="4"/>
                <c:pt idx="0">
                  <c:v>0.58447488584474883</c:v>
                </c:pt>
                <c:pt idx="1">
                  <c:v>0.60236220472440949</c:v>
                </c:pt>
                <c:pt idx="2">
                  <c:v>0.63500000000000001</c:v>
                </c:pt>
                <c:pt idx="3">
                  <c:v>0.66300000000000003</c:v>
                </c:pt>
              </c:numCache>
            </c:numRef>
          </c:val>
        </c:ser>
        <c:ser>
          <c:idx val="3"/>
          <c:order val="3"/>
          <c:tx>
            <c:v>2016</c:v>
          </c:tx>
          <c:invertIfNegative val="0"/>
          <c:dPt>
            <c:idx val="0"/>
            <c:invertIfNegative val="0"/>
            <c:bubble3D val="0"/>
            <c:spPr>
              <a:solidFill>
                <a:schemeClr val="accent1">
                  <a:lumMod val="60000"/>
                  <a:lumOff val="40000"/>
                </a:schemeClr>
              </a:solidFill>
              <a:ln>
                <a:solidFill>
                  <a:sysClr val="windowText" lastClr="000000"/>
                </a:solidFill>
              </a:ln>
            </c:spPr>
          </c:dPt>
          <c:dPt>
            <c:idx val="1"/>
            <c:invertIfNegative val="0"/>
            <c:bubble3D val="0"/>
            <c:spPr>
              <a:solidFill>
                <a:schemeClr val="accent4">
                  <a:lumMod val="60000"/>
                  <a:lumOff val="40000"/>
                </a:schemeClr>
              </a:solidFill>
              <a:ln>
                <a:solidFill>
                  <a:sysClr val="windowText" lastClr="000000"/>
                </a:solidFill>
              </a:ln>
            </c:spPr>
          </c:dPt>
          <c:dPt>
            <c:idx val="2"/>
            <c:invertIfNegative val="0"/>
            <c:bubble3D val="0"/>
            <c:spPr>
              <a:solidFill>
                <a:schemeClr val="accent3">
                  <a:lumMod val="60000"/>
                  <a:lumOff val="40000"/>
                </a:schemeClr>
              </a:solidFill>
              <a:ln>
                <a:solidFill>
                  <a:sysClr val="windowText" lastClr="000000"/>
                </a:solidFill>
              </a:ln>
            </c:spPr>
          </c:dPt>
          <c:dPt>
            <c:idx val="3"/>
            <c:invertIfNegative val="0"/>
            <c:bubble3D val="0"/>
            <c:spPr>
              <a:solidFill>
                <a:schemeClr val="bg1">
                  <a:lumMod val="75000"/>
                </a:schemeClr>
              </a:solidFill>
              <a:ln>
                <a:solidFill>
                  <a:sysClr val="windowText" lastClr="000000"/>
                </a:solidFill>
              </a:ln>
            </c:spPr>
          </c:dPt>
          <c:dLbls>
            <c:txPr>
              <a:bodyPr rot="-5400000" vert="horz"/>
              <a:lstStyle/>
              <a:p>
                <a:pPr>
                  <a:defRPr/>
                </a:pPr>
                <a:endParaRPr lang="en-US"/>
              </a:p>
            </c:txPr>
            <c:dLblPos val="inBase"/>
            <c:showLegendKey val="0"/>
            <c:showVal val="0"/>
            <c:showCatName val="0"/>
            <c:showSerName val="1"/>
            <c:showPercent val="0"/>
            <c:showBubbleSize val="0"/>
            <c:showLeaderLines val="0"/>
          </c:dLbls>
          <c:errBars>
            <c:errBarType val="both"/>
            <c:errValType val="cust"/>
            <c:noEndCap val="0"/>
            <c:plus>
              <c:numRef>
                <c:f>EYFS!$P$60:$P$61</c:f>
                <c:numCache>
                  <c:formatCode>General</c:formatCode>
                  <c:ptCount val="2"/>
                  <c:pt idx="0">
                    <c:v>5.6059093649188485E-2</c:v>
                  </c:pt>
                  <c:pt idx="1">
                    <c:v>5.8947458715457479E-2</c:v>
                  </c:pt>
                </c:numCache>
              </c:numRef>
            </c:plus>
            <c:minus>
              <c:numRef>
                <c:f>EYFS!$O$60:$O$61</c:f>
                <c:numCache>
                  <c:formatCode>General</c:formatCode>
                  <c:ptCount val="2"/>
                  <c:pt idx="0">
                    <c:v>6.271491846846422E-2</c:v>
                  </c:pt>
                  <c:pt idx="1">
                    <c:v>6.495943286144823E-2</c:v>
                  </c:pt>
                </c:numCache>
              </c:numRef>
            </c:minus>
          </c:errBars>
          <c:cat>
            <c:strRef>
              <c:f>EYFS!$D$53:$D$56</c:f>
              <c:strCache>
                <c:ptCount val="4"/>
                <c:pt idx="0">
                  <c:v>Angmering</c:v>
                </c:pt>
                <c:pt idx="1">
                  <c:v>Bewbush</c:v>
                </c:pt>
                <c:pt idx="2">
                  <c:v>West Sussex</c:v>
                </c:pt>
                <c:pt idx="3">
                  <c:v>England</c:v>
                </c:pt>
              </c:strCache>
            </c:strRef>
          </c:cat>
          <c:val>
            <c:numRef>
              <c:f>EYFS!$O$53:$O$56</c:f>
              <c:numCache>
                <c:formatCode>0.0%</c:formatCode>
                <c:ptCount val="4"/>
                <c:pt idx="0">
                  <c:v>0.69911504424778803</c:v>
                </c:pt>
                <c:pt idx="1">
                  <c:v>0.67281105990783407</c:v>
                </c:pt>
                <c:pt idx="2">
                  <c:v>0.68300000000000005</c:v>
                </c:pt>
                <c:pt idx="3">
                  <c:v>0.69299999999999995</c:v>
                </c:pt>
              </c:numCache>
            </c:numRef>
          </c:val>
        </c:ser>
        <c:dLbls>
          <c:showLegendKey val="0"/>
          <c:showVal val="0"/>
          <c:showCatName val="0"/>
          <c:showSerName val="0"/>
          <c:showPercent val="0"/>
          <c:showBubbleSize val="0"/>
        </c:dLbls>
        <c:gapWidth val="150"/>
        <c:axId val="86247296"/>
        <c:axId val="86248832"/>
      </c:barChart>
      <c:catAx>
        <c:axId val="86247296"/>
        <c:scaling>
          <c:orientation val="minMax"/>
        </c:scaling>
        <c:delete val="0"/>
        <c:axPos val="b"/>
        <c:majorTickMark val="out"/>
        <c:minorTickMark val="none"/>
        <c:tickLblPos val="nextTo"/>
        <c:crossAx val="86248832"/>
        <c:crosses val="autoZero"/>
        <c:auto val="1"/>
        <c:lblAlgn val="ctr"/>
        <c:lblOffset val="100"/>
        <c:noMultiLvlLbl val="0"/>
      </c:catAx>
      <c:valAx>
        <c:axId val="86248832"/>
        <c:scaling>
          <c:orientation val="minMax"/>
        </c:scaling>
        <c:delete val="0"/>
        <c:axPos val="l"/>
        <c:majorGridlines>
          <c:spPr>
            <a:ln>
              <a:solidFill>
                <a:schemeClr val="bg1">
                  <a:lumMod val="75000"/>
                </a:schemeClr>
              </a:solidFill>
            </a:ln>
          </c:spPr>
        </c:majorGridlines>
        <c:title>
          <c:tx>
            <c:rich>
              <a:bodyPr rot="-5400000" vert="horz"/>
              <a:lstStyle/>
              <a:p>
                <a:pPr>
                  <a:defRPr/>
                </a:pPr>
                <a:r>
                  <a:rPr lang="en-GB"/>
                  <a:t>% assessed</a:t>
                </a:r>
                <a:r>
                  <a:rPr lang="en-GB" baseline="0"/>
                  <a:t> as having a good level of developement</a:t>
                </a:r>
              </a:p>
            </c:rich>
          </c:tx>
          <c:layout>
            <c:manualLayout>
              <c:xMode val="edge"/>
              <c:yMode val="edge"/>
              <c:x val="0"/>
              <c:y val="0.14032974533858422"/>
            </c:manualLayout>
          </c:layout>
          <c:overlay val="0"/>
        </c:title>
        <c:numFmt formatCode="0.0%" sourceLinked="1"/>
        <c:majorTickMark val="out"/>
        <c:minorTickMark val="none"/>
        <c:tickLblPos val="nextTo"/>
        <c:crossAx val="86247296"/>
        <c:crosses val="autoZero"/>
        <c:crossBetween val="between"/>
      </c:valAx>
    </c:plotArea>
    <c:plotVisOnly val="1"/>
    <c:dispBlanksAs val="gap"/>
    <c:showDLblsOverMax val="0"/>
  </c:chart>
  <c:spPr>
    <a:ln>
      <a:noFill/>
    </a:ln>
  </c:sp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38"/>
    </mc:Choice>
    <mc:Fallback>
      <c:style val="38"/>
    </mc:Fallback>
  </mc:AlternateContent>
  <c:chart>
    <c:autoTitleDeleted val="0"/>
    <c:plotArea>
      <c:layout/>
      <c:barChart>
        <c:barDir val="col"/>
        <c:grouping val="clustered"/>
        <c:varyColors val="0"/>
        <c:ser>
          <c:idx val="0"/>
          <c:order val="0"/>
          <c:tx>
            <c:strRef>
              <c:f>EYFS!$F$94</c:f>
              <c:strCache>
                <c:ptCount val="1"/>
                <c:pt idx="0">
                  <c:v>2013</c:v>
                </c:pt>
              </c:strCache>
            </c:strRef>
          </c:tx>
          <c:invertIfNegative val="0"/>
          <c:dPt>
            <c:idx val="0"/>
            <c:invertIfNegative val="0"/>
            <c:bubble3D val="0"/>
            <c:spPr>
              <a:solidFill>
                <a:schemeClr val="accent1">
                  <a:lumMod val="60000"/>
                  <a:lumOff val="40000"/>
                </a:schemeClr>
              </a:solidFill>
            </c:spPr>
          </c:dPt>
          <c:dPt>
            <c:idx val="1"/>
            <c:invertIfNegative val="0"/>
            <c:bubble3D val="0"/>
            <c:spPr>
              <a:solidFill>
                <a:schemeClr val="accent4">
                  <a:lumMod val="60000"/>
                  <a:lumOff val="40000"/>
                </a:schemeClr>
              </a:solidFill>
            </c:spPr>
          </c:dPt>
          <c:dPt>
            <c:idx val="2"/>
            <c:invertIfNegative val="0"/>
            <c:bubble3D val="0"/>
            <c:spPr>
              <a:solidFill>
                <a:schemeClr val="accent3">
                  <a:lumMod val="60000"/>
                  <a:lumOff val="40000"/>
                </a:schemeClr>
              </a:solidFill>
            </c:spPr>
          </c:dPt>
          <c:dPt>
            <c:idx val="3"/>
            <c:invertIfNegative val="0"/>
            <c:bubble3D val="0"/>
            <c:spPr>
              <a:solidFill>
                <a:schemeClr val="bg1">
                  <a:lumMod val="75000"/>
                </a:schemeClr>
              </a:solidFill>
            </c:spPr>
          </c:dPt>
          <c:dLbls>
            <c:dLblPos val="inBase"/>
            <c:showLegendKey val="0"/>
            <c:showVal val="0"/>
            <c:showCatName val="0"/>
            <c:showSerName val="1"/>
            <c:showPercent val="0"/>
            <c:showBubbleSize val="0"/>
            <c:showLeaderLines val="0"/>
          </c:dLbls>
          <c:cat>
            <c:strRef>
              <c:f>EYFS!$E$95:$E$98</c:f>
              <c:strCache>
                <c:ptCount val="4"/>
                <c:pt idx="0">
                  <c:v>Angmering</c:v>
                </c:pt>
                <c:pt idx="1">
                  <c:v>Bewbush</c:v>
                </c:pt>
                <c:pt idx="2">
                  <c:v>West Sussex</c:v>
                </c:pt>
                <c:pt idx="3">
                  <c:v>England</c:v>
                </c:pt>
              </c:strCache>
            </c:strRef>
          </c:cat>
          <c:val>
            <c:numRef>
              <c:f>EYFS!$F$95:$F$98</c:f>
              <c:numCache>
                <c:formatCode>0.0%</c:formatCode>
                <c:ptCount val="4"/>
                <c:pt idx="0">
                  <c:v>0.25408496732026142</c:v>
                </c:pt>
                <c:pt idx="1">
                  <c:v>0.35364145658263318</c:v>
                </c:pt>
                <c:pt idx="2">
                  <c:v>0.30399999999999999</c:v>
                </c:pt>
                <c:pt idx="3">
                  <c:v>0.36599999999999999</c:v>
                </c:pt>
              </c:numCache>
            </c:numRef>
          </c:val>
        </c:ser>
        <c:ser>
          <c:idx val="1"/>
          <c:order val="1"/>
          <c:tx>
            <c:strRef>
              <c:f>EYFS!$G$94</c:f>
              <c:strCache>
                <c:ptCount val="1"/>
                <c:pt idx="0">
                  <c:v>2014</c:v>
                </c:pt>
              </c:strCache>
            </c:strRef>
          </c:tx>
          <c:invertIfNegative val="0"/>
          <c:dPt>
            <c:idx val="0"/>
            <c:invertIfNegative val="0"/>
            <c:bubble3D val="0"/>
            <c:spPr>
              <a:solidFill>
                <a:schemeClr val="accent1">
                  <a:lumMod val="60000"/>
                  <a:lumOff val="40000"/>
                </a:schemeClr>
              </a:solidFill>
            </c:spPr>
          </c:dPt>
          <c:dPt>
            <c:idx val="1"/>
            <c:invertIfNegative val="0"/>
            <c:bubble3D val="0"/>
            <c:spPr>
              <a:solidFill>
                <a:schemeClr val="accent4">
                  <a:lumMod val="60000"/>
                  <a:lumOff val="40000"/>
                </a:schemeClr>
              </a:solidFill>
            </c:spPr>
          </c:dPt>
          <c:dPt>
            <c:idx val="2"/>
            <c:invertIfNegative val="0"/>
            <c:bubble3D val="0"/>
            <c:spPr>
              <a:solidFill>
                <a:schemeClr val="accent3">
                  <a:lumMod val="60000"/>
                  <a:lumOff val="40000"/>
                </a:schemeClr>
              </a:solidFill>
            </c:spPr>
          </c:dPt>
          <c:dPt>
            <c:idx val="3"/>
            <c:invertIfNegative val="0"/>
            <c:bubble3D val="0"/>
            <c:spPr>
              <a:solidFill>
                <a:schemeClr val="bg1">
                  <a:lumMod val="75000"/>
                </a:schemeClr>
              </a:solidFill>
            </c:spPr>
          </c:dPt>
          <c:dLbls>
            <c:dLblPos val="inBase"/>
            <c:showLegendKey val="0"/>
            <c:showVal val="0"/>
            <c:showCatName val="0"/>
            <c:showSerName val="1"/>
            <c:showPercent val="0"/>
            <c:showBubbleSize val="0"/>
            <c:showLeaderLines val="0"/>
          </c:dLbls>
          <c:cat>
            <c:strRef>
              <c:f>EYFS!$E$95:$E$98</c:f>
              <c:strCache>
                <c:ptCount val="4"/>
                <c:pt idx="0">
                  <c:v>Angmering</c:v>
                </c:pt>
                <c:pt idx="1">
                  <c:v>Bewbush</c:v>
                </c:pt>
                <c:pt idx="2">
                  <c:v>West Sussex</c:v>
                </c:pt>
                <c:pt idx="3">
                  <c:v>England</c:v>
                </c:pt>
              </c:strCache>
            </c:strRef>
          </c:cat>
          <c:val>
            <c:numRef>
              <c:f>EYFS!$G$95:$G$98</c:f>
              <c:numCache>
                <c:formatCode>0.0%</c:formatCode>
                <c:ptCount val="4"/>
                <c:pt idx="0">
                  <c:v>0.26812585499316022</c:v>
                </c:pt>
                <c:pt idx="1">
                  <c:v>0.36609907120743018</c:v>
                </c:pt>
                <c:pt idx="2">
                  <c:v>0.27900000000000003</c:v>
                </c:pt>
                <c:pt idx="3">
                  <c:v>0.33900000000000002</c:v>
                </c:pt>
              </c:numCache>
            </c:numRef>
          </c:val>
        </c:ser>
        <c:ser>
          <c:idx val="2"/>
          <c:order val="2"/>
          <c:tx>
            <c:strRef>
              <c:f>EYFS!$H$94</c:f>
              <c:strCache>
                <c:ptCount val="1"/>
                <c:pt idx="0">
                  <c:v>2015</c:v>
                </c:pt>
              </c:strCache>
            </c:strRef>
          </c:tx>
          <c:spPr>
            <a:solidFill>
              <a:schemeClr val="accent1">
                <a:lumMod val="60000"/>
                <a:lumOff val="40000"/>
              </a:schemeClr>
            </a:solidFill>
          </c:spPr>
          <c:invertIfNegative val="0"/>
          <c:dPt>
            <c:idx val="1"/>
            <c:invertIfNegative val="0"/>
            <c:bubble3D val="0"/>
            <c:spPr>
              <a:solidFill>
                <a:schemeClr val="accent4">
                  <a:lumMod val="60000"/>
                  <a:lumOff val="40000"/>
                </a:schemeClr>
              </a:solidFill>
            </c:spPr>
          </c:dPt>
          <c:dPt>
            <c:idx val="2"/>
            <c:invertIfNegative val="0"/>
            <c:bubble3D val="0"/>
            <c:spPr>
              <a:solidFill>
                <a:schemeClr val="accent3">
                  <a:lumMod val="60000"/>
                  <a:lumOff val="40000"/>
                </a:schemeClr>
              </a:solidFill>
            </c:spPr>
          </c:dPt>
          <c:dPt>
            <c:idx val="3"/>
            <c:invertIfNegative val="0"/>
            <c:bubble3D val="0"/>
            <c:spPr>
              <a:solidFill>
                <a:schemeClr val="bg1">
                  <a:lumMod val="75000"/>
                </a:schemeClr>
              </a:solidFill>
            </c:spPr>
          </c:dPt>
          <c:dLbls>
            <c:dLblPos val="inBase"/>
            <c:showLegendKey val="0"/>
            <c:showVal val="0"/>
            <c:showCatName val="0"/>
            <c:showSerName val="1"/>
            <c:showPercent val="0"/>
            <c:showBubbleSize val="0"/>
            <c:showLeaderLines val="0"/>
          </c:dLbls>
          <c:cat>
            <c:strRef>
              <c:f>EYFS!$E$95:$E$98</c:f>
              <c:strCache>
                <c:ptCount val="4"/>
                <c:pt idx="0">
                  <c:v>Angmering</c:v>
                </c:pt>
                <c:pt idx="1">
                  <c:v>Bewbush</c:v>
                </c:pt>
                <c:pt idx="2">
                  <c:v>West Sussex</c:v>
                </c:pt>
                <c:pt idx="3">
                  <c:v>England</c:v>
                </c:pt>
              </c:strCache>
            </c:strRef>
          </c:cat>
          <c:val>
            <c:numRef>
              <c:f>EYFS!$H$95:$H$98</c:f>
              <c:numCache>
                <c:formatCode>0.0%</c:formatCode>
                <c:ptCount val="4"/>
                <c:pt idx="0">
                  <c:v>0.36699999999999999</c:v>
                </c:pt>
                <c:pt idx="1">
                  <c:v>0.32100000000000001</c:v>
                </c:pt>
                <c:pt idx="2">
                  <c:v>0.27900000000000003</c:v>
                </c:pt>
                <c:pt idx="3">
                  <c:v>0.32100000000000001</c:v>
                </c:pt>
              </c:numCache>
            </c:numRef>
          </c:val>
        </c:ser>
        <c:ser>
          <c:idx val="3"/>
          <c:order val="3"/>
          <c:tx>
            <c:v>2016</c:v>
          </c:tx>
          <c:spPr>
            <a:solidFill>
              <a:schemeClr val="accent3">
                <a:lumMod val="60000"/>
                <a:lumOff val="40000"/>
              </a:schemeClr>
            </a:solidFill>
          </c:spPr>
          <c:invertIfNegative val="0"/>
          <c:dPt>
            <c:idx val="0"/>
            <c:invertIfNegative val="0"/>
            <c:bubble3D val="0"/>
            <c:spPr>
              <a:solidFill>
                <a:schemeClr val="accent1">
                  <a:lumMod val="60000"/>
                  <a:lumOff val="40000"/>
                </a:schemeClr>
              </a:solidFill>
            </c:spPr>
          </c:dPt>
          <c:dPt>
            <c:idx val="1"/>
            <c:invertIfNegative val="0"/>
            <c:bubble3D val="0"/>
            <c:spPr>
              <a:solidFill>
                <a:schemeClr val="accent4">
                  <a:lumMod val="60000"/>
                  <a:lumOff val="40000"/>
                </a:schemeClr>
              </a:solidFill>
            </c:spPr>
          </c:dPt>
          <c:dPt>
            <c:idx val="3"/>
            <c:invertIfNegative val="0"/>
            <c:bubble3D val="0"/>
            <c:spPr>
              <a:solidFill>
                <a:schemeClr val="bg1">
                  <a:lumMod val="75000"/>
                </a:schemeClr>
              </a:solidFill>
            </c:spPr>
          </c:dPt>
          <c:dLbls>
            <c:dLblPos val="inBase"/>
            <c:showLegendKey val="0"/>
            <c:showVal val="0"/>
            <c:showCatName val="0"/>
            <c:showSerName val="1"/>
            <c:showPercent val="0"/>
            <c:showBubbleSize val="0"/>
            <c:showLeaderLines val="0"/>
          </c:dLbls>
          <c:cat>
            <c:strRef>
              <c:f>EYFS!$E$95:$E$98</c:f>
              <c:strCache>
                <c:ptCount val="4"/>
                <c:pt idx="0">
                  <c:v>Angmering</c:v>
                </c:pt>
                <c:pt idx="1">
                  <c:v>Bewbush</c:v>
                </c:pt>
                <c:pt idx="2">
                  <c:v>West Sussex</c:v>
                </c:pt>
                <c:pt idx="3">
                  <c:v>England</c:v>
                </c:pt>
              </c:strCache>
            </c:strRef>
          </c:cat>
          <c:val>
            <c:numRef>
              <c:f>EYFS!$I$95:$I$98</c:f>
              <c:numCache>
                <c:formatCode>0.0%</c:formatCode>
                <c:ptCount val="4"/>
                <c:pt idx="0">
                  <c:v>0.22875816993464054</c:v>
                </c:pt>
                <c:pt idx="1">
                  <c:v>0.31874145006839949</c:v>
                </c:pt>
                <c:pt idx="2">
                  <c:v>0.27100000000000002</c:v>
                </c:pt>
                <c:pt idx="3">
                  <c:v>0.314</c:v>
                </c:pt>
              </c:numCache>
            </c:numRef>
          </c:val>
        </c:ser>
        <c:dLbls>
          <c:showLegendKey val="0"/>
          <c:showVal val="0"/>
          <c:showCatName val="0"/>
          <c:showSerName val="0"/>
          <c:showPercent val="0"/>
          <c:showBubbleSize val="0"/>
        </c:dLbls>
        <c:gapWidth val="150"/>
        <c:axId val="86123264"/>
        <c:axId val="86124800"/>
      </c:barChart>
      <c:catAx>
        <c:axId val="86123264"/>
        <c:scaling>
          <c:orientation val="minMax"/>
        </c:scaling>
        <c:delete val="0"/>
        <c:axPos val="b"/>
        <c:majorTickMark val="out"/>
        <c:minorTickMark val="none"/>
        <c:tickLblPos val="nextTo"/>
        <c:crossAx val="86124800"/>
        <c:crosses val="autoZero"/>
        <c:auto val="1"/>
        <c:lblAlgn val="ctr"/>
        <c:lblOffset val="100"/>
        <c:noMultiLvlLbl val="0"/>
      </c:catAx>
      <c:valAx>
        <c:axId val="86124800"/>
        <c:scaling>
          <c:orientation val="minMax"/>
        </c:scaling>
        <c:delete val="0"/>
        <c:axPos val="l"/>
        <c:majorGridlines/>
        <c:numFmt formatCode="0.0%" sourceLinked="1"/>
        <c:majorTickMark val="out"/>
        <c:minorTickMark val="none"/>
        <c:tickLblPos val="nextTo"/>
        <c:crossAx val="86123264"/>
        <c:crosses val="autoZero"/>
        <c:crossBetween val="between"/>
      </c:valAx>
      <c:spPr>
        <a:solidFill>
          <a:schemeClr val="bg1"/>
        </a:solidFill>
      </c:spPr>
    </c:plotArea>
    <c:plotVisOnly val="1"/>
    <c:dispBlanksAs val="gap"/>
    <c:showDLblsOverMax val="0"/>
  </c:chart>
  <c:spPr>
    <a:ln>
      <a:noFill/>
    </a:ln>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7"/>
    </mc:Choice>
    <mc:Fallback>
      <c:style val="7"/>
    </mc:Fallback>
  </mc:AlternateContent>
  <c:chart>
    <c:autoTitleDeleted val="0"/>
    <c:plotArea>
      <c:layout>
        <c:manualLayout>
          <c:layoutTarget val="inner"/>
          <c:xMode val="edge"/>
          <c:yMode val="edge"/>
          <c:x val="6.3164930470647696E-2"/>
          <c:y val="5.0351563197457462E-2"/>
          <c:w val="0.68673154986061524"/>
          <c:h val="0.7770785794632814"/>
        </c:manualLayout>
      </c:layout>
      <c:barChart>
        <c:barDir val="col"/>
        <c:grouping val="percentStacked"/>
        <c:varyColors val="0"/>
        <c:ser>
          <c:idx val="1"/>
          <c:order val="0"/>
          <c:tx>
            <c:strRef>
              <c:f>Population!$D$133</c:f>
              <c:strCache>
                <c:ptCount val="1"/>
                <c:pt idx="0">
                  <c:v>% Owned</c:v>
                </c:pt>
              </c:strCache>
            </c:strRef>
          </c:tx>
          <c:spPr>
            <a:ln>
              <a:solidFill>
                <a:sysClr val="windowText" lastClr="000000"/>
              </a:solidFill>
            </a:ln>
          </c:spPr>
          <c:invertIfNegative val="0"/>
          <c:dPt>
            <c:idx val="0"/>
            <c:invertIfNegative val="0"/>
            <c:bubble3D val="0"/>
            <c:spPr>
              <a:solidFill>
                <a:schemeClr val="accent1">
                  <a:lumMod val="60000"/>
                  <a:lumOff val="40000"/>
                </a:schemeClr>
              </a:solidFill>
              <a:ln>
                <a:solidFill>
                  <a:sysClr val="windowText" lastClr="000000"/>
                </a:solidFill>
              </a:ln>
            </c:spPr>
          </c:dPt>
          <c:dPt>
            <c:idx val="1"/>
            <c:invertIfNegative val="0"/>
            <c:bubble3D val="0"/>
            <c:spPr>
              <a:solidFill>
                <a:schemeClr val="accent4">
                  <a:lumMod val="60000"/>
                  <a:lumOff val="40000"/>
                </a:schemeClr>
              </a:solidFill>
              <a:ln>
                <a:solidFill>
                  <a:sysClr val="windowText" lastClr="000000"/>
                </a:solidFill>
              </a:ln>
            </c:spPr>
          </c:dPt>
          <c:dPt>
            <c:idx val="2"/>
            <c:invertIfNegative val="0"/>
            <c:bubble3D val="0"/>
            <c:spPr>
              <a:solidFill>
                <a:schemeClr val="accent3">
                  <a:lumMod val="60000"/>
                  <a:lumOff val="40000"/>
                </a:schemeClr>
              </a:solidFill>
              <a:ln>
                <a:solidFill>
                  <a:sysClr val="windowText" lastClr="000000"/>
                </a:solidFill>
              </a:ln>
            </c:spPr>
          </c:dPt>
          <c:dPt>
            <c:idx val="3"/>
            <c:invertIfNegative val="0"/>
            <c:bubble3D val="0"/>
            <c:spPr>
              <a:solidFill>
                <a:schemeClr val="bg1">
                  <a:lumMod val="75000"/>
                </a:schemeClr>
              </a:solidFill>
              <a:ln>
                <a:solidFill>
                  <a:sysClr val="windowText" lastClr="000000"/>
                </a:solidFill>
              </a:ln>
            </c:spPr>
          </c:dPt>
          <c:dPt>
            <c:idx val="4"/>
            <c:invertIfNegative val="0"/>
            <c:bubble3D val="0"/>
            <c:spPr>
              <a:solidFill>
                <a:schemeClr val="bg1">
                  <a:lumMod val="75000"/>
                </a:schemeClr>
              </a:solidFill>
              <a:ln>
                <a:solidFill>
                  <a:sysClr val="windowText" lastClr="000000"/>
                </a:solidFill>
              </a:ln>
            </c:spPr>
          </c:dPt>
          <c:dLbls>
            <c:dLblPos val="inBase"/>
            <c:showLegendKey val="0"/>
            <c:showVal val="1"/>
            <c:showCatName val="0"/>
            <c:showSerName val="0"/>
            <c:showPercent val="0"/>
            <c:showBubbleSize val="0"/>
            <c:showLeaderLines val="0"/>
          </c:dLbls>
          <c:cat>
            <c:strRef>
              <c:f>Population!$G$131:$K$131</c:f>
              <c:strCache>
                <c:ptCount val="5"/>
                <c:pt idx="0">
                  <c:v>Angmering</c:v>
                </c:pt>
                <c:pt idx="1">
                  <c:v>Bewbush</c:v>
                </c:pt>
                <c:pt idx="2">
                  <c:v>West Sussex</c:v>
                </c:pt>
                <c:pt idx="3">
                  <c:v>South East</c:v>
                </c:pt>
                <c:pt idx="4">
                  <c:v>England</c:v>
                </c:pt>
              </c:strCache>
            </c:strRef>
          </c:cat>
          <c:val>
            <c:numRef>
              <c:f>Population!$G$133:$K$133</c:f>
              <c:numCache>
                <c:formatCode>0.0%</c:formatCode>
                <c:ptCount val="5"/>
                <c:pt idx="0">
                  <c:v>0.68083003952569165</c:v>
                </c:pt>
                <c:pt idx="1">
                  <c:v>0.4770085901970692</c:v>
                </c:pt>
                <c:pt idx="2">
                  <c:v>0.62169075757914261</c:v>
                </c:pt>
                <c:pt idx="3">
                  <c:v>0.60131071046932683</c:v>
                </c:pt>
                <c:pt idx="4">
                  <c:v>0.55249679011512953</c:v>
                </c:pt>
              </c:numCache>
            </c:numRef>
          </c:val>
        </c:ser>
        <c:ser>
          <c:idx val="2"/>
          <c:order val="1"/>
          <c:tx>
            <c:strRef>
              <c:f>Population!$D$134</c:f>
              <c:strCache>
                <c:ptCount val="1"/>
                <c:pt idx="0">
                  <c:v>% Socially rented</c:v>
                </c:pt>
              </c:strCache>
            </c:strRef>
          </c:tx>
          <c:spPr>
            <a:ln>
              <a:solidFill>
                <a:sysClr val="windowText" lastClr="000000"/>
              </a:solidFill>
            </a:ln>
          </c:spPr>
          <c:invertIfNegative val="0"/>
          <c:dPt>
            <c:idx val="0"/>
            <c:invertIfNegative val="0"/>
            <c:bubble3D val="0"/>
            <c:spPr>
              <a:solidFill>
                <a:schemeClr val="accent1">
                  <a:lumMod val="40000"/>
                  <a:lumOff val="60000"/>
                </a:schemeClr>
              </a:solidFill>
              <a:ln>
                <a:solidFill>
                  <a:sysClr val="windowText" lastClr="000000"/>
                </a:solidFill>
              </a:ln>
            </c:spPr>
          </c:dPt>
          <c:dPt>
            <c:idx val="1"/>
            <c:invertIfNegative val="0"/>
            <c:bubble3D val="0"/>
            <c:spPr>
              <a:solidFill>
                <a:schemeClr val="accent4">
                  <a:lumMod val="40000"/>
                  <a:lumOff val="60000"/>
                </a:schemeClr>
              </a:solidFill>
              <a:ln>
                <a:solidFill>
                  <a:sysClr val="windowText" lastClr="000000"/>
                </a:solidFill>
              </a:ln>
            </c:spPr>
          </c:dPt>
          <c:dPt>
            <c:idx val="2"/>
            <c:invertIfNegative val="0"/>
            <c:bubble3D val="0"/>
            <c:spPr>
              <a:solidFill>
                <a:schemeClr val="accent3">
                  <a:lumMod val="40000"/>
                  <a:lumOff val="60000"/>
                </a:schemeClr>
              </a:solidFill>
              <a:ln>
                <a:solidFill>
                  <a:sysClr val="windowText" lastClr="000000"/>
                </a:solidFill>
              </a:ln>
            </c:spPr>
          </c:dPt>
          <c:dPt>
            <c:idx val="3"/>
            <c:invertIfNegative val="0"/>
            <c:bubble3D val="0"/>
            <c:spPr>
              <a:solidFill>
                <a:schemeClr val="bg1">
                  <a:lumMod val="85000"/>
                </a:schemeClr>
              </a:solidFill>
              <a:ln>
                <a:solidFill>
                  <a:sysClr val="windowText" lastClr="000000"/>
                </a:solidFill>
              </a:ln>
            </c:spPr>
          </c:dPt>
          <c:dPt>
            <c:idx val="4"/>
            <c:invertIfNegative val="0"/>
            <c:bubble3D val="0"/>
            <c:spPr>
              <a:solidFill>
                <a:schemeClr val="bg1">
                  <a:lumMod val="85000"/>
                </a:schemeClr>
              </a:solidFill>
              <a:ln>
                <a:solidFill>
                  <a:sysClr val="windowText" lastClr="000000"/>
                </a:solidFill>
              </a:ln>
            </c:spPr>
          </c:dPt>
          <c:dLbls>
            <c:dLblPos val="inBase"/>
            <c:showLegendKey val="0"/>
            <c:showVal val="1"/>
            <c:showCatName val="0"/>
            <c:showSerName val="0"/>
            <c:showPercent val="0"/>
            <c:showBubbleSize val="0"/>
            <c:showLeaderLines val="0"/>
          </c:dLbls>
          <c:cat>
            <c:strRef>
              <c:f>Population!$G$131:$K$131</c:f>
              <c:strCache>
                <c:ptCount val="5"/>
                <c:pt idx="0">
                  <c:v>Angmering</c:v>
                </c:pt>
                <c:pt idx="1">
                  <c:v>Bewbush</c:v>
                </c:pt>
                <c:pt idx="2">
                  <c:v>West Sussex</c:v>
                </c:pt>
                <c:pt idx="3">
                  <c:v>South East</c:v>
                </c:pt>
                <c:pt idx="4">
                  <c:v>England</c:v>
                </c:pt>
              </c:strCache>
            </c:strRef>
          </c:cat>
          <c:val>
            <c:numRef>
              <c:f>Population!$G$134:$K$134</c:f>
              <c:numCache>
                <c:formatCode>0.0%</c:formatCode>
                <c:ptCount val="5"/>
                <c:pt idx="0">
                  <c:v>9.3379446640316208E-2</c:v>
                </c:pt>
                <c:pt idx="1">
                  <c:v>0.32491157150075795</c:v>
                </c:pt>
                <c:pt idx="2">
                  <c:v>0.17295190009159758</c:v>
                </c:pt>
                <c:pt idx="3">
                  <c:v>0.17231993402372051</c:v>
                </c:pt>
                <c:pt idx="4">
                  <c:v>0.21446978397089048</c:v>
                </c:pt>
              </c:numCache>
            </c:numRef>
          </c:val>
        </c:ser>
        <c:ser>
          <c:idx val="3"/>
          <c:order val="2"/>
          <c:tx>
            <c:strRef>
              <c:f>Population!$D$135</c:f>
              <c:strCache>
                <c:ptCount val="1"/>
                <c:pt idx="0">
                  <c:v>% Privately rented or living rent free</c:v>
                </c:pt>
              </c:strCache>
            </c:strRef>
          </c:tx>
          <c:spPr>
            <a:ln>
              <a:solidFill>
                <a:sysClr val="windowText" lastClr="000000"/>
              </a:solidFill>
            </a:ln>
          </c:spPr>
          <c:invertIfNegative val="0"/>
          <c:dPt>
            <c:idx val="0"/>
            <c:invertIfNegative val="0"/>
            <c:bubble3D val="0"/>
            <c:spPr>
              <a:solidFill>
                <a:schemeClr val="accent1">
                  <a:lumMod val="20000"/>
                  <a:lumOff val="80000"/>
                </a:schemeClr>
              </a:solidFill>
              <a:ln>
                <a:solidFill>
                  <a:sysClr val="windowText" lastClr="000000"/>
                </a:solidFill>
              </a:ln>
            </c:spPr>
          </c:dPt>
          <c:dPt>
            <c:idx val="1"/>
            <c:invertIfNegative val="0"/>
            <c:bubble3D val="0"/>
            <c:spPr>
              <a:solidFill>
                <a:schemeClr val="accent4">
                  <a:lumMod val="20000"/>
                  <a:lumOff val="80000"/>
                </a:schemeClr>
              </a:solidFill>
              <a:ln>
                <a:solidFill>
                  <a:sysClr val="windowText" lastClr="000000"/>
                </a:solidFill>
              </a:ln>
            </c:spPr>
          </c:dPt>
          <c:dPt>
            <c:idx val="2"/>
            <c:invertIfNegative val="0"/>
            <c:bubble3D val="0"/>
            <c:spPr>
              <a:solidFill>
                <a:schemeClr val="accent3">
                  <a:lumMod val="20000"/>
                  <a:lumOff val="80000"/>
                </a:schemeClr>
              </a:solidFill>
              <a:ln>
                <a:solidFill>
                  <a:sysClr val="windowText" lastClr="000000"/>
                </a:solidFill>
              </a:ln>
            </c:spPr>
          </c:dPt>
          <c:dPt>
            <c:idx val="3"/>
            <c:invertIfNegative val="0"/>
            <c:bubble3D val="0"/>
            <c:spPr>
              <a:solidFill>
                <a:schemeClr val="bg1">
                  <a:lumMod val="95000"/>
                </a:schemeClr>
              </a:solidFill>
              <a:ln>
                <a:solidFill>
                  <a:sysClr val="windowText" lastClr="000000"/>
                </a:solidFill>
              </a:ln>
            </c:spPr>
          </c:dPt>
          <c:dPt>
            <c:idx val="4"/>
            <c:invertIfNegative val="0"/>
            <c:bubble3D val="0"/>
            <c:spPr>
              <a:solidFill>
                <a:schemeClr val="bg1">
                  <a:lumMod val="95000"/>
                </a:schemeClr>
              </a:solidFill>
              <a:ln>
                <a:solidFill>
                  <a:sysClr val="windowText" lastClr="000000"/>
                </a:solidFill>
              </a:ln>
            </c:spPr>
          </c:dPt>
          <c:dLbls>
            <c:dLblPos val="inBase"/>
            <c:showLegendKey val="0"/>
            <c:showVal val="1"/>
            <c:showCatName val="0"/>
            <c:showSerName val="0"/>
            <c:showPercent val="0"/>
            <c:showBubbleSize val="0"/>
            <c:showLeaderLines val="0"/>
          </c:dLbls>
          <c:cat>
            <c:strRef>
              <c:f>Population!$G$131:$K$131</c:f>
              <c:strCache>
                <c:ptCount val="5"/>
                <c:pt idx="0">
                  <c:v>Angmering</c:v>
                </c:pt>
                <c:pt idx="1">
                  <c:v>Bewbush</c:v>
                </c:pt>
                <c:pt idx="2">
                  <c:v>West Sussex</c:v>
                </c:pt>
                <c:pt idx="3">
                  <c:v>South East</c:v>
                </c:pt>
                <c:pt idx="4">
                  <c:v>England</c:v>
                </c:pt>
              </c:strCache>
            </c:strRef>
          </c:cat>
          <c:val>
            <c:numRef>
              <c:f>Population!$G$135:$K$135</c:f>
              <c:numCache>
                <c:formatCode>0.0%</c:formatCode>
                <c:ptCount val="5"/>
                <c:pt idx="0">
                  <c:v>0.2257905138339921</c:v>
                </c:pt>
                <c:pt idx="1">
                  <c:v>0.19807983830217282</c:v>
                </c:pt>
                <c:pt idx="2">
                  <c:v>0.20535734232925984</c:v>
                </c:pt>
                <c:pt idx="3">
                  <c:v>0.22636935550695267</c:v>
                </c:pt>
                <c:pt idx="4">
                  <c:v>0.23303342591398002</c:v>
                </c:pt>
              </c:numCache>
            </c:numRef>
          </c:val>
        </c:ser>
        <c:dLbls>
          <c:showLegendKey val="0"/>
          <c:showVal val="0"/>
          <c:showCatName val="0"/>
          <c:showSerName val="0"/>
          <c:showPercent val="0"/>
          <c:showBubbleSize val="0"/>
        </c:dLbls>
        <c:gapWidth val="150"/>
        <c:overlap val="100"/>
        <c:axId val="35781632"/>
        <c:axId val="36840192"/>
      </c:barChart>
      <c:catAx>
        <c:axId val="35781632"/>
        <c:scaling>
          <c:orientation val="minMax"/>
        </c:scaling>
        <c:delete val="0"/>
        <c:axPos val="b"/>
        <c:majorTickMark val="out"/>
        <c:minorTickMark val="none"/>
        <c:tickLblPos val="nextTo"/>
        <c:crossAx val="36840192"/>
        <c:crosses val="autoZero"/>
        <c:auto val="1"/>
        <c:lblAlgn val="ctr"/>
        <c:lblOffset val="100"/>
        <c:noMultiLvlLbl val="0"/>
      </c:catAx>
      <c:valAx>
        <c:axId val="36840192"/>
        <c:scaling>
          <c:orientation val="minMax"/>
        </c:scaling>
        <c:delete val="0"/>
        <c:axPos val="l"/>
        <c:majorGridlines>
          <c:spPr>
            <a:ln>
              <a:solidFill>
                <a:schemeClr val="bg1">
                  <a:lumMod val="85000"/>
                </a:schemeClr>
              </a:solidFill>
            </a:ln>
          </c:spPr>
        </c:majorGridlines>
        <c:numFmt formatCode="0%" sourceLinked="1"/>
        <c:majorTickMark val="out"/>
        <c:minorTickMark val="none"/>
        <c:tickLblPos val="nextTo"/>
        <c:crossAx val="35781632"/>
        <c:crosses val="autoZero"/>
        <c:crossBetween val="between"/>
      </c:valAx>
    </c:plotArea>
    <c:plotVisOnly val="1"/>
    <c:dispBlanksAs val="gap"/>
    <c:showDLblsOverMax val="0"/>
  </c:chart>
  <c:spPr>
    <a:ln>
      <a:noFill/>
    </a:ln>
  </c:spPr>
  <c:printSettings>
    <c:headerFooter/>
    <c:pageMargins b="0.75" l="0.7" r="0.7" t="0.75" header="0.3" footer="0.3"/>
    <c:pageSetup/>
  </c:printSettings>
  <c:userShapes r:id="rId1"/>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35"/>
    </mc:Choice>
    <mc:Fallback>
      <c:style val="35"/>
    </mc:Fallback>
  </mc:AlternateContent>
  <c:chart>
    <c:autoTitleDeleted val="0"/>
    <c:plotArea>
      <c:layout>
        <c:manualLayout>
          <c:layoutTarget val="inner"/>
          <c:xMode val="edge"/>
          <c:yMode val="edge"/>
          <c:x val="0.15130425615534704"/>
          <c:y val="2.6898153723666954E-2"/>
          <c:w val="0.8082359561528274"/>
          <c:h val="0.850899619016249"/>
        </c:manualLayout>
      </c:layout>
      <c:barChart>
        <c:barDir val="col"/>
        <c:grouping val="percentStacked"/>
        <c:varyColors val="0"/>
        <c:ser>
          <c:idx val="0"/>
          <c:order val="0"/>
          <c:tx>
            <c:strRef>
              <c:f>'Family Structure'!$J$20</c:f>
              <c:strCache>
                <c:ptCount val="1"/>
                <c:pt idx="0">
                  <c:v>One child</c:v>
                </c:pt>
              </c:strCache>
            </c:strRef>
          </c:tx>
          <c:invertIfNegative val="0"/>
          <c:dPt>
            <c:idx val="0"/>
            <c:invertIfNegative val="0"/>
            <c:bubble3D val="0"/>
            <c:spPr>
              <a:solidFill>
                <a:schemeClr val="accent1">
                  <a:lumMod val="60000"/>
                  <a:lumOff val="40000"/>
                </a:schemeClr>
              </a:solidFill>
            </c:spPr>
          </c:dPt>
          <c:dPt>
            <c:idx val="1"/>
            <c:invertIfNegative val="0"/>
            <c:bubble3D val="0"/>
            <c:spPr>
              <a:solidFill>
                <a:schemeClr val="accent4">
                  <a:lumMod val="60000"/>
                  <a:lumOff val="40000"/>
                </a:schemeClr>
              </a:solidFill>
              <a:ln>
                <a:solidFill>
                  <a:schemeClr val="accent4">
                    <a:lumMod val="50000"/>
                  </a:schemeClr>
                </a:solidFill>
              </a:ln>
            </c:spPr>
          </c:dPt>
          <c:dLbls>
            <c:txPr>
              <a:bodyPr/>
              <a:lstStyle/>
              <a:p>
                <a:pPr>
                  <a:defRPr sz="800"/>
                </a:pPr>
                <a:endParaRPr lang="en-US"/>
              </a:p>
            </c:txPr>
            <c:showLegendKey val="0"/>
            <c:showVal val="1"/>
            <c:showCatName val="0"/>
            <c:showSerName val="1"/>
            <c:showPercent val="0"/>
            <c:showBubbleSize val="0"/>
            <c:showLeaderLines val="0"/>
          </c:dLbls>
          <c:cat>
            <c:strRef>
              <c:f>'Family Structure'!$K$19:$L$19</c:f>
              <c:strCache>
                <c:ptCount val="2"/>
                <c:pt idx="0">
                  <c:v>Angmering</c:v>
                </c:pt>
                <c:pt idx="1">
                  <c:v>Bewbush</c:v>
                </c:pt>
              </c:strCache>
            </c:strRef>
          </c:cat>
          <c:val>
            <c:numRef>
              <c:f>'Family Structure'!$K$20:$L$20</c:f>
              <c:numCache>
                <c:formatCode>0.0%</c:formatCode>
                <c:ptCount val="2"/>
                <c:pt idx="0">
                  <c:v>0.3979328165374677</c:v>
                </c:pt>
                <c:pt idx="1">
                  <c:v>0.39834515366430262</c:v>
                </c:pt>
              </c:numCache>
            </c:numRef>
          </c:val>
        </c:ser>
        <c:ser>
          <c:idx val="1"/>
          <c:order val="1"/>
          <c:tx>
            <c:strRef>
              <c:f>'Family Structure'!$J$21</c:f>
              <c:strCache>
                <c:ptCount val="1"/>
                <c:pt idx="0">
                  <c:v>Two children</c:v>
                </c:pt>
              </c:strCache>
            </c:strRef>
          </c:tx>
          <c:invertIfNegative val="0"/>
          <c:dPt>
            <c:idx val="0"/>
            <c:invertIfNegative val="0"/>
            <c:bubble3D val="0"/>
            <c:spPr>
              <a:solidFill>
                <a:schemeClr val="accent1">
                  <a:lumMod val="40000"/>
                  <a:lumOff val="60000"/>
                </a:schemeClr>
              </a:solidFill>
            </c:spPr>
          </c:dPt>
          <c:dPt>
            <c:idx val="1"/>
            <c:invertIfNegative val="0"/>
            <c:bubble3D val="0"/>
            <c:spPr>
              <a:solidFill>
                <a:schemeClr val="accent4">
                  <a:lumMod val="40000"/>
                  <a:lumOff val="60000"/>
                </a:schemeClr>
              </a:solidFill>
              <a:ln>
                <a:solidFill>
                  <a:schemeClr val="accent4">
                    <a:lumMod val="50000"/>
                  </a:schemeClr>
                </a:solidFill>
              </a:ln>
            </c:spPr>
          </c:dPt>
          <c:dLbls>
            <c:txPr>
              <a:bodyPr/>
              <a:lstStyle/>
              <a:p>
                <a:pPr>
                  <a:defRPr sz="800"/>
                </a:pPr>
                <a:endParaRPr lang="en-US"/>
              </a:p>
            </c:txPr>
            <c:showLegendKey val="0"/>
            <c:showVal val="1"/>
            <c:showCatName val="0"/>
            <c:showSerName val="1"/>
            <c:showPercent val="0"/>
            <c:showBubbleSize val="0"/>
            <c:showLeaderLines val="0"/>
          </c:dLbls>
          <c:cat>
            <c:strRef>
              <c:f>'Family Structure'!$K$19:$L$19</c:f>
              <c:strCache>
                <c:ptCount val="2"/>
                <c:pt idx="0">
                  <c:v>Angmering</c:v>
                </c:pt>
                <c:pt idx="1">
                  <c:v>Bewbush</c:v>
                </c:pt>
              </c:strCache>
            </c:strRef>
          </c:cat>
          <c:val>
            <c:numRef>
              <c:f>'Family Structure'!$K$21:$L$21</c:f>
              <c:numCache>
                <c:formatCode>0.0%</c:formatCode>
                <c:ptCount val="2"/>
                <c:pt idx="0">
                  <c:v>0.43023255813953487</c:v>
                </c:pt>
                <c:pt idx="1">
                  <c:v>0.36170212765957449</c:v>
                </c:pt>
              </c:numCache>
            </c:numRef>
          </c:val>
        </c:ser>
        <c:ser>
          <c:idx val="2"/>
          <c:order val="2"/>
          <c:tx>
            <c:strRef>
              <c:f>'Family Structure'!$J$22</c:f>
              <c:strCache>
                <c:ptCount val="1"/>
                <c:pt idx="0">
                  <c:v>Three children</c:v>
                </c:pt>
              </c:strCache>
            </c:strRef>
          </c:tx>
          <c:invertIfNegative val="0"/>
          <c:dPt>
            <c:idx val="0"/>
            <c:invertIfNegative val="0"/>
            <c:bubble3D val="0"/>
            <c:spPr>
              <a:solidFill>
                <a:schemeClr val="accent1">
                  <a:lumMod val="20000"/>
                  <a:lumOff val="80000"/>
                </a:schemeClr>
              </a:solidFill>
            </c:spPr>
          </c:dPt>
          <c:dPt>
            <c:idx val="1"/>
            <c:invertIfNegative val="0"/>
            <c:bubble3D val="0"/>
            <c:spPr>
              <a:solidFill>
                <a:schemeClr val="accent4">
                  <a:lumMod val="20000"/>
                  <a:lumOff val="80000"/>
                </a:schemeClr>
              </a:solidFill>
              <a:ln>
                <a:solidFill>
                  <a:schemeClr val="accent4">
                    <a:lumMod val="50000"/>
                  </a:schemeClr>
                </a:solidFill>
              </a:ln>
            </c:spPr>
          </c:dPt>
          <c:dLbls>
            <c:txPr>
              <a:bodyPr/>
              <a:lstStyle/>
              <a:p>
                <a:pPr>
                  <a:defRPr sz="800"/>
                </a:pPr>
                <a:endParaRPr lang="en-US"/>
              </a:p>
            </c:txPr>
            <c:showLegendKey val="0"/>
            <c:showVal val="1"/>
            <c:showCatName val="0"/>
            <c:showSerName val="1"/>
            <c:showPercent val="0"/>
            <c:showBubbleSize val="0"/>
            <c:showLeaderLines val="0"/>
          </c:dLbls>
          <c:cat>
            <c:strRef>
              <c:f>'Family Structure'!$K$19:$L$19</c:f>
              <c:strCache>
                <c:ptCount val="2"/>
                <c:pt idx="0">
                  <c:v>Angmering</c:v>
                </c:pt>
                <c:pt idx="1">
                  <c:v>Bewbush</c:v>
                </c:pt>
              </c:strCache>
            </c:strRef>
          </c:cat>
          <c:val>
            <c:numRef>
              <c:f>'Family Structure'!$K$22:$L$22</c:f>
              <c:numCache>
                <c:formatCode>0.0%</c:formatCode>
                <c:ptCount val="2"/>
                <c:pt idx="0">
                  <c:v>0.17183462532299743</c:v>
                </c:pt>
                <c:pt idx="1">
                  <c:v>0.23995271867612294</c:v>
                </c:pt>
              </c:numCache>
            </c:numRef>
          </c:val>
        </c:ser>
        <c:dLbls>
          <c:showLegendKey val="0"/>
          <c:showVal val="1"/>
          <c:showCatName val="0"/>
          <c:showSerName val="0"/>
          <c:showPercent val="0"/>
          <c:showBubbleSize val="0"/>
        </c:dLbls>
        <c:gapWidth val="63"/>
        <c:overlap val="100"/>
        <c:axId val="34972800"/>
        <c:axId val="34974336"/>
      </c:barChart>
      <c:catAx>
        <c:axId val="34972800"/>
        <c:scaling>
          <c:orientation val="minMax"/>
        </c:scaling>
        <c:delete val="0"/>
        <c:axPos val="b"/>
        <c:majorTickMark val="out"/>
        <c:minorTickMark val="none"/>
        <c:tickLblPos val="nextTo"/>
        <c:crossAx val="34974336"/>
        <c:crosses val="autoZero"/>
        <c:auto val="1"/>
        <c:lblAlgn val="ctr"/>
        <c:lblOffset val="100"/>
        <c:noMultiLvlLbl val="0"/>
      </c:catAx>
      <c:valAx>
        <c:axId val="34974336"/>
        <c:scaling>
          <c:orientation val="minMax"/>
        </c:scaling>
        <c:delete val="0"/>
        <c:axPos val="l"/>
        <c:majorGridlines>
          <c:spPr>
            <a:ln>
              <a:solidFill>
                <a:schemeClr val="bg1">
                  <a:lumMod val="85000"/>
                </a:schemeClr>
              </a:solidFill>
            </a:ln>
          </c:spPr>
        </c:majorGridlines>
        <c:numFmt formatCode="0%" sourceLinked="1"/>
        <c:majorTickMark val="out"/>
        <c:minorTickMark val="none"/>
        <c:tickLblPos val="nextTo"/>
        <c:crossAx val="34972800"/>
        <c:crosses val="autoZero"/>
        <c:crossBetween val="between"/>
      </c:valAx>
      <c:spPr>
        <a:solidFill>
          <a:schemeClr val="bg1"/>
        </a:solidFill>
      </c:spPr>
    </c:plotArea>
    <c:plotVisOnly val="1"/>
    <c:dispBlanksAs val="gap"/>
    <c:showDLblsOverMax val="0"/>
  </c:chart>
  <c:spPr>
    <a:ln>
      <a:noFill/>
    </a:ln>
  </c:sp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135769713568413"/>
          <c:y val="3.0867732442535593E-2"/>
          <c:w val="0.8287872304005478"/>
          <c:h val="0.76282400014683482"/>
        </c:manualLayout>
      </c:layout>
      <c:barChart>
        <c:barDir val="col"/>
        <c:grouping val="percentStacked"/>
        <c:varyColors val="0"/>
        <c:ser>
          <c:idx val="0"/>
          <c:order val="0"/>
          <c:tx>
            <c:strRef>
              <c:f>'Family Structure'!$J$40</c:f>
              <c:strCache>
                <c:ptCount val="1"/>
                <c:pt idx="0">
                  <c:v>couple</c:v>
                </c:pt>
              </c:strCache>
            </c:strRef>
          </c:tx>
          <c:spPr>
            <a:solidFill>
              <a:schemeClr val="bg1">
                <a:lumMod val="65000"/>
              </a:schemeClr>
            </a:solidFill>
            <a:ln>
              <a:solidFill>
                <a:schemeClr val="bg1">
                  <a:lumMod val="50000"/>
                </a:schemeClr>
              </a:solidFill>
            </a:ln>
          </c:spPr>
          <c:invertIfNegative val="0"/>
          <c:dPt>
            <c:idx val="0"/>
            <c:invertIfNegative val="0"/>
            <c:bubble3D val="0"/>
            <c:spPr>
              <a:solidFill>
                <a:schemeClr val="accent1">
                  <a:lumMod val="60000"/>
                  <a:lumOff val="40000"/>
                </a:schemeClr>
              </a:solidFill>
              <a:ln>
                <a:solidFill>
                  <a:schemeClr val="bg1">
                    <a:lumMod val="50000"/>
                  </a:schemeClr>
                </a:solidFill>
              </a:ln>
            </c:spPr>
          </c:dPt>
          <c:dPt>
            <c:idx val="1"/>
            <c:invertIfNegative val="0"/>
            <c:bubble3D val="0"/>
            <c:spPr>
              <a:solidFill>
                <a:schemeClr val="accent4">
                  <a:lumMod val="60000"/>
                  <a:lumOff val="40000"/>
                </a:schemeClr>
              </a:solidFill>
              <a:ln>
                <a:solidFill>
                  <a:schemeClr val="bg1">
                    <a:lumMod val="50000"/>
                  </a:schemeClr>
                </a:solidFill>
              </a:ln>
            </c:spPr>
          </c:dPt>
          <c:dPt>
            <c:idx val="2"/>
            <c:invertIfNegative val="0"/>
            <c:bubble3D val="0"/>
            <c:spPr>
              <a:solidFill>
                <a:schemeClr val="accent3">
                  <a:lumMod val="60000"/>
                  <a:lumOff val="40000"/>
                </a:schemeClr>
              </a:solidFill>
              <a:ln>
                <a:solidFill>
                  <a:schemeClr val="bg1">
                    <a:lumMod val="50000"/>
                  </a:schemeClr>
                </a:solidFill>
              </a:ln>
            </c:spPr>
          </c:dPt>
          <c:dLbls>
            <c:txPr>
              <a:bodyPr rot="0" vert="horz"/>
              <a:lstStyle/>
              <a:p>
                <a:pPr>
                  <a:defRPr/>
                </a:pPr>
                <a:endParaRPr lang="en-US"/>
              </a:p>
            </c:txPr>
            <c:dLblPos val="ctr"/>
            <c:showLegendKey val="0"/>
            <c:showVal val="0"/>
            <c:showCatName val="0"/>
            <c:showSerName val="1"/>
            <c:showPercent val="0"/>
            <c:showBubbleSize val="0"/>
            <c:showLeaderLines val="0"/>
          </c:dLbls>
          <c:cat>
            <c:strRef>
              <c:f>'Family Structure'!$J$37:$M$37</c:f>
              <c:strCache>
                <c:ptCount val="4"/>
                <c:pt idx="0">
                  <c:v>Angmering</c:v>
                </c:pt>
                <c:pt idx="1">
                  <c:v>Bewbush</c:v>
                </c:pt>
                <c:pt idx="2">
                  <c:v>West Sussex</c:v>
                </c:pt>
                <c:pt idx="3">
                  <c:v>England</c:v>
                </c:pt>
              </c:strCache>
            </c:strRef>
          </c:cat>
          <c:val>
            <c:numRef>
              <c:f>'Family Structure'!$J$38:$M$38</c:f>
              <c:numCache>
                <c:formatCode>_-* #,##0_-;\-* #,##0_-;_-* "-"??_-;_-@_-</c:formatCode>
                <c:ptCount val="4"/>
                <c:pt idx="0">
                  <c:v>654</c:v>
                </c:pt>
                <c:pt idx="1">
                  <c:v>647</c:v>
                </c:pt>
                <c:pt idx="2" formatCode="General">
                  <c:v>30468</c:v>
                </c:pt>
                <c:pt idx="3" formatCode="General">
                  <c:v>2018660</c:v>
                </c:pt>
              </c:numCache>
            </c:numRef>
          </c:val>
        </c:ser>
        <c:ser>
          <c:idx val="1"/>
          <c:order val="1"/>
          <c:tx>
            <c:strRef>
              <c:f>'Family Structure'!$J$41</c:f>
              <c:strCache>
                <c:ptCount val="1"/>
                <c:pt idx="0">
                  <c:v>non-couple</c:v>
                </c:pt>
              </c:strCache>
            </c:strRef>
          </c:tx>
          <c:spPr>
            <a:ln>
              <a:solidFill>
                <a:schemeClr val="bg1">
                  <a:lumMod val="50000"/>
                </a:schemeClr>
              </a:solidFill>
            </a:ln>
          </c:spPr>
          <c:invertIfNegative val="0"/>
          <c:dPt>
            <c:idx val="0"/>
            <c:invertIfNegative val="0"/>
            <c:bubble3D val="0"/>
            <c:spPr>
              <a:solidFill>
                <a:schemeClr val="accent1">
                  <a:lumMod val="40000"/>
                  <a:lumOff val="60000"/>
                </a:schemeClr>
              </a:solidFill>
              <a:ln>
                <a:solidFill>
                  <a:schemeClr val="bg1">
                    <a:lumMod val="50000"/>
                  </a:schemeClr>
                </a:solidFill>
              </a:ln>
            </c:spPr>
          </c:dPt>
          <c:dPt>
            <c:idx val="1"/>
            <c:invertIfNegative val="0"/>
            <c:bubble3D val="0"/>
            <c:spPr>
              <a:solidFill>
                <a:schemeClr val="accent4">
                  <a:lumMod val="40000"/>
                  <a:lumOff val="60000"/>
                </a:schemeClr>
              </a:solidFill>
              <a:ln>
                <a:solidFill>
                  <a:schemeClr val="bg1">
                    <a:lumMod val="50000"/>
                  </a:schemeClr>
                </a:solidFill>
              </a:ln>
            </c:spPr>
          </c:dPt>
          <c:dPt>
            <c:idx val="2"/>
            <c:invertIfNegative val="0"/>
            <c:bubble3D val="0"/>
            <c:spPr>
              <a:solidFill>
                <a:schemeClr val="accent3">
                  <a:lumMod val="40000"/>
                  <a:lumOff val="60000"/>
                </a:schemeClr>
              </a:solidFill>
              <a:ln>
                <a:solidFill>
                  <a:schemeClr val="bg1">
                    <a:lumMod val="50000"/>
                  </a:schemeClr>
                </a:solidFill>
              </a:ln>
            </c:spPr>
          </c:dPt>
          <c:dPt>
            <c:idx val="3"/>
            <c:invertIfNegative val="0"/>
            <c:bubble3D val="0"/>
            <c:spPr>
              <a:solidFill>
                <a:schemeClr val="bg1">
                  <a:lumMod val="75000"/>
                </a:schemeClr>
              </a:solidFill>
              <a:ln>
                <a:solidFill>
                  <a:schemeClr val="bg1">
                    <a:lumMod val="50000"/>
                  </a:schemeClr>
                </a:solidFill>
              </a:ln>
            </c:spPr>
          </c:dPt>
          <c:dLbls>
            <c:dLbl>
              <c:idx val="0"/>
              <c:tx>
                <c:rich>
                  <a:bodyPr/>
                  <a:lstStyle/>
                  <a:p>
                    <a:r>
                      <a:rPr lang="en-US"/>
                      <a:t>non-</a:t>
                    </a:r>
                  </a:p>
                  <a:p>
                    <a:r>
                      <a:rPr lang="en-US"/>
                      <a:t>couple</a:t>
                    </a:r>
                  </a:p>
                </c:rich>
              </c:tx>
              <c:dLblPos val="ctr"/>
              <c:showLegendKey val="0"/>
              <c:showVal val="0"/>
              <c:showCatName val="0"/>
              <c:showSerName val="1"/>
              <c:showPercent val="0"/>
              <c:showBubbleSize val="0"/>
            </c:dLbl>
            <c:dLbl>
              <c:idx val="1"/>
              <c:tx>
                <c:rich>
                  <a:bodyPr/>
                  <a:lstStyle/>
                  <a:p>
                    <a:r>
                      <a:rPr lang="en-US"/>
                      <a:t>non-</a:t>
                    </a:r>
                  </a:p>
                  <a:p>
                    <a:r>
                      <a:rPr lang="en-US"/>
                      <a:t>couple</a:t>
                    </a:r>
                  </a:p>
                </c:rich>
              </c:tx>
              <c:dLblPos val="ctr"/>
              <c:showLegendKey val="0"/>
              <c:showVal val="0"/>
              <c:showCatName val="0"/>
              <c:showSerName val="1"/>
              <c:showPercent val="0"/>
              <c:showBubbleSize val="0"/>
            </c:dLbl>
            <c:dLbl>
              <c:idx val="2"/>
              <c:tx>
                <c:rich>
                  <a:bodyPr/>
                  <a:lstStyle/>
                  <a:p>
                    <a:r>
                      <a:rPr lang="en-US"/>
                      <a:t>non-</a:t>
                    </a:r>
                  </a:p>
                  <a:p>
                    <a:r>
                      <a:rPr lang="en-US"/>
                      <a:t>couple</a:t>
                    </a:r>
                  </a:p>
                </c:rich>
              </c:tx>
              <c:dLblPos val="ctr"/>
              <c:showLegendKey val="0"/>
              <c:showVal val="0"/>
              <c:showCatName val="0"/>
              <c:showSerName val="1"/>
              <c:showPercent val="0"/>
              <c:showBubbleSize val="0"/>
            </c:dLbl>
            <c:dLbl>
              <c:idx val="3"/>
              <c:tx>
                <c:rich>
                  <a:bodyPr/>
                  <a:lstStyle/>
                  <a:p>
                    <a:r>
                      <a:rPr lang="en-US"/>
                      <a:t>non-</a:t>
                    </a:r>
                  </a:p>
                  <a:p>
                    <a:r>
                      <a:rPr lang="en-US"/>
                      <a:t>couple</a:t>
                    </a:r>
                  </a:p>
                </c:rich>
              </c:tx>
              <c:dLblPos val="ctr"/>
              <c:showLegendKey val="0"/>
              <c:showVal val="0"/>
              <c:showCatName val="0"/>
              <c:showSerName val="1"/>
              <c:showPercent val="0"/>
              <c:showBubbleSize val="0"/>
            </c:dLbl>
            <c:dLblPos val="ctr"/>
            <c:showLegendKey val="0"/>
            <c:showVal val="0"/>
            <c:showCatName val="0"/>
            <c:showSerName val="1"/>
            <c:showPercent val="0"/>
            <c:showBubbleSize val="0"/>
            <c:showLeaderLines val="0"/>
          </c:dLbls>
          <c:cat>
            <c:strRef>
              <c:f>'Family Structure'!$J$37:$M$37</c:f>
              <c:strCache>
                <c:ptCount val="4"/>
                <c:pt idx="0">
                  <c:v>Angmering</c:v>
                </c:pt>
                <c:pt idx="1">
                  <c:v>Bewbush</c:v>
                </c:pt>
                <c:pt idx="2">
                  <c:v>West Sussex</c:v>
                </c:pt>
                <c:pt idx="3">
                  <c:v>England</c:v>
                </c:pt>
              </c:strCache>
            </c:strRef>
          </c:cat>
          <c:val>
            <c:numRef>
              <c:f>'Family Structure'!$J$39:$M$39</c:f>
              <c:numCache>
                <c:formatCode>_-* #,##0_-;\-* #,##0_-;_-* "-"??_-;_-@_-</c:formatCode>
                <c:ptCount val="4"/>
                <c:pt idx="0">
                  <c:v>125</c:v>
                </c:pt>
                <c:pt idx="1">
                  <c:v>206</c:v>
                </c:pt>
                <c:pt idx="2" formatCode="General">
                  <c:v>5946</c:v>
                </c:pt>
                <c:pt idx="3" formatCode="General">
                  <c:v>587904</c:v>
                </c:pt>
              </c:numCache>
            </c:numRef>
          </c:val>
        </c:ser>
        <c:dLbls>
          <c:showLegendKey val="0"/>
          <c:showVal val="0"/>
          <c:showCatName val="0"/>
          <c:showSerName val="0"/>
          <c:showPercent val="0"/>
          <c:showBubbleSize val="0"/>
        </c:dLbls>
        <c:gapWidth val="79"/>
        <c:overlap val="100"/>
        <c:axId val="32332032"/>
        <c:axId val="32346112"/>
      </c:barChart>
      <c:catAx>
        <c:axId val="32332032"/>
        <c:scaling>
          <c:orientation val="minMax"/>
        </c:scaling>
        <c:delete val="0"/>
        <c:axPos val="b"/>
        <c:majorTickMark val="out"/>
        <c:minorTickMark val="none"/>
        <c:tickLblPos val="low"/>
        <c:txPr>
          <a:bodyPr rot="0"/>
          <a:lstStyle/>
          <a:p>
            <a:pPr>
              <a:defRPr sz="900"/>
            </a:pPr>
            <a:endParaRPr lang="en-US"/>
          </a:p>
        </c:txPr>
        <c:crossAx val="32346112"/>
        <c:crosses val="autoZero"/>
        <c:auto val="1"/>
        <c:lblAlgn val="ctr"/>
        <c:lblOffset val="100"/>
        <c:noMultiLvlLbl val="0"/>
      </c:catAx>
      <c:valAx>
        <c:axId val="32346112"/>
        <c:scaling>
          <c:orientation val="minMax"/>
        </c:scaling>
        <c:delete val="0"/>
        <c:axPos val="l"/>
        <c:majorGridlines>
          <c:spPr>
            <a:ln>
              <a:solidFill>
                <a:schemeClr val="bg1">
                  <a:lumMod val="85000"/>
                </a:schemeClr>
              </a:solidFill>
            </a:ln>
          </c:spPr>
        </c:majorGridlines>
        <c:numFmt formatCode="0%" sourceLinked="1"/>
        <c:majorTickMark val="out"/>
        <c:minorTickMark val="none"/>
        <c:tickLblPos val="nextTo"/>
        <c:txPr>
          <a:bodyPr/>
          <a:lstStyle/>
          <a:p>
            <a:pPr>
              <a:defRPr sz="900"/>
            </a:pPr>
            <a:endParaRPr lang="en-US"/>
          </a:p>
        </c:txPr>
        <c:crossAx val="32332032"/>
        <c:crosses val="autoZero"/>
        <c:crossBetween val="between"/>
      </c:valAx>
    </c:plotArea>
    <c:plotVisOnly val="1"/>
    <c:dispBlanksAs val="gap"/>
    <c:showDLblsOverMax val="0"/>
  </c:chart>
  <c:spPr>
    <a:ln>
      <a:noFill/>
    </a:ln>
  </c:sp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39"/>
    </mc:Choice>
    <mc:Fallback>
      <c:style val="39"/>
    </mc:Fallback>
  </mc:AlternateContent>
  <c:chart>
    <c:autoTitleDeleted val="0"/>
    <c:plotArea>
      <c:layout>
        <c:manualLayout>
          <c:layoutTarget val="inner"/>
          <c:xMode val="edge"/>
          <c:yMode val="edge"/>
          <c:x val="0.18626580768313053"/>
          <c:y val="5.1400554097404488E-2"/>
          <c:w val="0.77333015191282906"/>
          <c:h val="0.77611475648877226"/>
        </c:manualLayout>
      </c:layout>
      <c:barChart>
        <c:barDir val="col"/>
        <c:grouping val="clustered"/>
        <c:varyColors val="0"/>
        <c:ser>
          <c:idx val="0"/>
          <c:order val="0"/>
          <c:tx>
            <c:strRef>
              <c:f>'Family Structure'!$C$70</c:f>
              <c:strCache>
                <c:ptCount val="1"/>
                <c:pt idx="0">
                  <c:v>2011</c:v>
                </c:pt>
              </c:strCache>
            </c:strRef>
          </c:tx>
          <c:invertIfNegative val="0"/>
          <c:dPt>
            <c:idx val="0"/>
            <c:invertIfNegative val="0"/>
            <c:bubble3D val="0"/>
            <c:spPr>
              <a:solidFill>
                <a:schemeClr val="accent1">
                  <a:lumMod val="60000"/>
                  <a:lumOff val="40000"/>
                </a:schemeClr>
              </a:solidFill>
            </c:spPr>
          </c:dPt>
          <c:dPt>
            <c:idx val="1"/>
            <c:invertIfNegative val="0"/>
            <c:bubble3D val="0"/>
            <c:spPr>
              <a:solidFill>
                <a:schemeClr val="accent4">
                  <a:lumMod val="60000"/>
                  <a:lumOff val="40000"/>
                </a:schemeClr>
              </a:solidFill>
            </c:spPr>
          </c:dPt>
          <c:dLbls>
            <c:txPr>
              <a:bodyPr rot="-5400000" vert="horz"/>
              <a:lstStyle/>
              <a:p>
                <a:pPr>
                  <a:defRPr/>
                </a:pPr>
                <a:endParaRPr lang="en-US"/>
              </a:p>
            </c:txPr>
            <c:dLblPos val="inBase"/>
            <c:showLegendKey val="0"/>
            <c:showVal val="0"/>
            <c:showCatName val="0"/>
            <c:showSerName val="1"/>
            <c:showPercent val="0"/>
            <c:showBubbleSize val="0"/>
            <c:showLeaderLines val="0"/>
          </c:dLbls>
          <c:cat>
            <c:strRef>
              <c:f>'Family Structure'!$G$69:$H$69</c:f>
              <c:strCache>
                <c:ptCount val="2"/>
                <c:pt idx="0">
                  <c:v>Angmering</c:v>
                </c:pt>
                <c:pt idx="1">
                  <c:v>Bewbush</c:v>
                </c:pt>
              </c:strCache>
            </c:strRef>
          </c:cat>
          <c:val>
            <c:numRef>
              <c:f>'Family Structure'!$G$70:$H$70</c:f>
              <c:numCache>
                <c:formatCode>_-* #,##0_-;\-* #,##0_-;_-* "-"??_-;_-@_-</c:formatCode>
                <c:ptCount val="2"/>
                <c:pt idx="0">
                  <c:v>115</c:v>
                </c:pt>
                <c:pt idx="1">
                  <c:v>220</c:v>
                </c:pt>
              </c:numCache>
            </c:numRef>
          </c:val>
        </c:ser>
        <c:ser>
          <c:idx val="1"/>
          <c:order val="1"/>
          <c:tx>
            <c:strRef>
              <c:f>'Family Structure'!$C$71</c:f>
              <c:strCache>
                <c:ptCount val="1"/>
                <c:pt idx="0">
                  <c:v>2012</c:v>
                </c:pt>
              </c:strCache>
            </c:strRef>
          </c:tx>
          <c:invertIfNegative val="0"/>
          <c:dPt>
            <c:idx val="0"/>
            <c:invertIfNegative val="0"/>
            <c:bubble3D val="0"/>
            <c:spPr>
              <a:solidFill>
                <a:schemeClr val="accent1">
                  <a:lumMod val="60000"/>
                  <a:lumOff val="40000"/>
                </a:schemeClr>
              </a:solidFill>
            </c:spPr>
          </c:dPt>
          <c:dPt>
            <c:idx val="1"/>
            <c:invertIfNegative val="0"/>
            <c:bubble3D val="0"/>
            <c:spPr>
              <a:solidFill>
                <a:schemeClr val="accent4">
                  <a:lumMod val="60000"/>
                  <a:lumOff val="40000"/>
                </a:schemeClr>
              </a:solidFill>
            </c:spPr>
          </c:dPt>
          <c:dLbls>
            <c:txPr>
              <a:bodyPr rot="-5400000" vert="horz"/>
              <a:lstStyle/>
              <a:p>
                <a:pPr>
                  <a:defRPr/>
                </a:pPr>
                <a:endParaRPr lang="en-US"/>
              </a:p>
            </c:txPr>
            <c:dLblPos val="inBase"/>
            <c:showLegendKey val="0"/>
            <c:showVal val="0"/>
            <c:showCatName val="0"/>
            <c:showSerName val="1"/>
            <c:showPercent val="0"/>
            <c:showBubbleSize val="0"/>
            <c:showLeaderLines val="0"/>
          </c:dLbls>
          <c:val>
            <c:numRef>
              <c:f>'Family Structure'!$G$71:$H$71</c:f>
              <c:numCache>
                <c:formatCode>_-* #,##0_-;\-* #,##0_-;_-* "-"??_-;_-@_-</c:formatCode>
                <c:ptCount val="2"/>
                <c:pt idx="0">
                  <c:v>95</c:v>
                </c:pt>
                <c:pt idx="1">
                  <c:v>180</c:v>
                </c:pt>
              </c:numCache>
            </c:numRef>
          </c:val>
        </c:ser>
        <c:ser>
          <c:idx val="2"/>
          <c:order val="2"/>
          <c:tx>
            <c:strRef>
              <c:f>'Family Structure'!$C$72</c:f>
              <c:strCache>
                <c:ptCount val="1"/>
                <c:pt idx="0">
                  <c:v>2013</c:v>
                </c:pt>
              </c:strCache>
            </c:strRef>
          </c:tx>
          <c:spPr>
            <a:solidFill>
              <a:schemeClr val="accent1">
                <a:lumMod val="60000"/>
                <a:lumOff val="40000"/>
              </a:schemeClr>
            </a:solidFill>
          </c:spPr>
          <c:invertIfNegative val="0"/>
          <c:dPt>
            <c:idx val="1"/>
            <c:invertIfNegative val="0"/>
            <c:bubble3D val="0"/>
            <c:spPr>
              <a:solidFill>
                <a:schemeClr val="accent4">
                  <a:lumMod val="60000"/>
                  <a:lumOff val="40000"/>
                </a:schemeClr>
              </a:solidFill>
            </c:spPr>
          </c:dPt>
          <c:dLbls>
            <c:txPr>
              <a:bodyPr rot="-5400000" vert="horz"/>
              <a:lstStyle/>
              <a:p>
                <a:pPr>
                  <a:defRPr/>
                </a:pPr>
                <a:endParaRPr lang="en-US"/>
              </a:p>
            </c:txPr>
            <c:dLblPos val="inBase"/>
            <c:showLegendKey val="0"/>
            <c:showVal val="0"/>
            <c:showCatName val="0"/>
            <c:showSerName val="1"/>
            <c:showPercent val="0"/>
            <c:showBubbleSize val="0"/>
            <c:showLeaderLines val="0"/>
          </c:dLbls>
          <c:val>
            <c:numRef>
              <c:f>'Family Structure'!$G$72:$H$72</c:f>
              <c:numCache>
                <c:formatCode>_-* #,##0_-;\-* #,##0_-;_-* "-"??_-;_-@_-</c:formatCode>
                <c:ptCount val="2"/>
                <c:pt idx="0">
                  <c:v>75</c:v>
                </c:pt>
                <c:pt idx="1">
                  <c:v>165</c:v>
                </c:pt>
              </c:numCache>
            </c:numRef>
          </c:val>
        </c:ser>
        <c:ser>
          <c:idx val="3"/>
          <c:order val="3"/>
          <c:tx>
            <c:strRef>
              <c:f>'Family Structure'!$C$73</c:f>
              <c:strCache>
                <c:ptCount val="1"/>
                <c:pt idx="0">
                  <c:v>2014</c:v>
                </c:pt>
              </c:strCache>
            </c:strRef>
          </c:tx>
          <c:spPr>
            <a:solidFill>
              <a:schemeClr val="accent1">
                <a:lumMod val="60000"/>
                <a:lumOff val="40000"/>
              </a:schemeClr>
            </a:solidFill>
          </c:spPr>
          <c:invertIfNegative val="0"/>
          <c:dPt>
            <c:idx val="1"/>
            <c:invertIfNegative val="0"/>
            <c:bubble3D val="0"/>
            <c:spPr>
              <a:solidFill>
                <a:schemeClr val="accent4">
                  <a:lumMod val="60000"/>
                  <a:lumOff val="40000"/>
                </a:schemeClr>
              </a:solidFill>
            </c:spPr>
          </c:dPt>
          <c:dLbls>
            <c:txPr>
              <a:bodyPr rot="-5400000" vert="horz"/>
              <a:lstStyle/>
              <a:p>
                <a:pPr>
                  <a:defRPr/>
                </a:pPr>
                <a:endParaRPr lang="en-US"/>
              </a:p>
            </c:txPr>
            <c:dLblPos val="inBase"/>
            <c:showLegendKey val="0"/>
            <c:showVal val="0"/>
            <c:showCatName val="0"/>
            <c:showSerName val="1"/>
            <c:showPercent val="0"/>
            <c:showBubbleSize val="0"/>
            <c:showLeaderLines val="0"/>
          </c:dLbls>
          <c:val>
            <c:numRef>
              <c:f>'Family Structure'!$G$73:$H$73</c:f>
              <c:numCache>
                <c:formatCode>_-* #,##0_-;\-* #,##0_-;_-* "-"??_-;_-@_-</c:formatCode>
                <c:ptCount val="2"/>
                <c:pt idx="0">
                  <c:v>75</c:v>
                </c:pt>
                <c:pt idx="1">
                  <c:v>155</c:v>
                </c:pt>
              </c:numCache>
            </c:numRef>
          </c:val>
        </c:ser>
        <c:ser>
          <c:idx val="4"/>
          <c:order val="4"/>
          <c:tx>
            <c:strRef>
              <c:f>'Family Structure'!$C$74</c:f>
              <c:strCache>
                <c:ptCount val="1"/>
                <c:pt idx="0">
                  <c:v>2015</c:v>
                </c:pt>
              </c:strCache>
            </c:strRef>
          </c:tx>
          <c:spPr>
            <a:solidFill>
              <a:schemeClr val="accent1">
                <a:lumMod val="60000"/>
                <a:lumOff val="40000"/>
              </a:schemeClr>
            </a:solidFill>
          </c:spPr>
          <c:invertIfNegative val="0"/>
          <c:dPt>
            <c:idx val="1"/>
            <c:invertIfNegative val="0"/>
            <c:bubble3D val="0"/>
            <c:spPr>
              <a:solidFill>
                <a:schemeClr val="accent4">
                  <a:lumMod val="60000"/>
                  <a:lumOff val="40000"/>
                </a:schemeClr>
              </a:solidFill>
            </c:spPr>
          </c:dPt>
          <c:dLbls>
            <c:txPr>
              <a:bodyPr rot="-5400000" vert="horz"/>
              <a:lstStyle/>
              <a:p>
                <a:pPr>
                  <a:defRPr/>
                </a:pPr>
                <a:endParaRPr lang="en-US"/>
              </a:p>
            </c:txPr>
            <c:dLblPos val="inBase"/>
            <c:showLegendKey val="0"/>
            <c:showVal val="0"/>
            <c:showCatName val="0"/>
            <c:showSerName val="1"/>
            <c:showPercent val="0"/>
            <c:showBubbleSize val="0"/>
            <c:showLeaderLines val="0"/>
          </c:dLbls>
          <c:val>
            <c:numRef>
              <c:f>'Family Structure'!$G$74:$H$74</c:f>
              <c:numCache>
                <c:formatCode>_-* #,##0_-;\-* #,##0_-;_-* "-"??_-;_-@_-</c:formatCode>
                <c:ptCount val="2"/>
                <c:pt idx="0">
                  <c:v>70</c:v>
                </c:pt>
                <c:pt idx="1">
                  <c:v>145</c:v>
                </c:pt>
              </c:numCache>
            </c:numRef>
          </c:val>
        </c:ser>
        <c:ser>
          <c:idx val="5"/>
          <c:order val="5"/>
          <c:tx>
            <c:v>2016</c:v>
          </c:tx>
          <c:spPr>
            <a:solidFill>
              <a:schemeClr val="accent1">
                <a:lumMod val="60000"/>
                <a:lumOff val="40000"/>
              </a:schemeClr>
            </a:solidFill>
          </c:spPr>
          <c:invertIfNegative val="0"/>
          <c:dPt>
            <c:idx val="1"/>
            <c:invertIfNegative val="0"/>
            <c:bubble3D val="0"/>
            <c:spPr>
              <a:solidFill>
                <a:schemeClr val="accent4">
                  <a:lumMod val="60000"/>
                  <a:lumOff val="40000"/>
                </a:schemeClr>
              </a:solidFill>
            </c:spPr>
          </c:dPt>
          <c:dLbls>
            <c:txPr>
              <a:bodyPr rot="-5400000" vert="horz"/>
              <a:lstStyle/>
              <a:p>
                <a:pPr>
                  <a:defRPr/>
                </a:pPr>
                <a:endParaRPr lang="en-US"/>
              </a:p>
            </c:txPr>
            <c:dLblPos val="inBase"/>
            <c:showLegendKey val="0"/>
            <c:showVal val="0"/>
            <c:showCatName val="0"/>
            <c:showSerName val="1"/>
            <c:showPercent val="0"/>
            <c:showBubbleSize val="0"/>
            <c:showLeaderLines val="0"/>
          </c:dLbls>
          <c:val>
            <c:numRef>
              <c:f>'Family Structure'!$G$75:$H$75</c:f>
              <c:numCache>
                <c:formatCode>_-* #,##0_-;\-* #,##0_-;_-* "-"??_-;_-@_-</c:formatCode>
                <c:ptCount val="2"/>
                <c:pt idx="0">
                  <c:v>70</c:v>
                </c:pt>
                <c:pt idx="1">
                  <c:v>130</c:v>
                </c:pt>
              </c:numCache>
            </c:numRef>
          </c:val>
        </c:ser>
        <c:dLbls>
          <c:showLegendKey val="0"/>
          <c:showVal val="0"/>
          <c:showCatName val="0"/>
          <c:showSerName val="0"/>
          <c:showPercent val="0"/>
          <c:showBubbleSize val="0"/>
        </c:dLbls>
        <c:gapWidth val="150"/>
        <c:axId val="35676544"/>
        <c:axId val="35678080"/>
      </c:barChart>
      <c:catAx>
        <c:axId val="35676544"/>
        <c:scaling>
          <c:orientation val="minMax"/>
        </c:scaling>
        <c:delete val="0"/>
        <c:axPos val="b"/>
        <c:majorTickMark val="out"/>
        <c:minorTickMark val="none"/>
        <c:tickLblPos val="nextTo"/>
        <c:crossAx val="35678080"/>
        <c:crosses val="autoZero"/>
        <c:auto val="1"/>
        <c:lblAlgn val="ctr"/>
        <c:lblOffset val="100"/>
        <c:noMultiLvlLbl val="0"/>
      </c:catAx>
      <c:valAx>
        <c:axId val="35678080"/>
        <c:scaling>
          <c:orientation val="minMax"/>
        </c:scaling>
        <c:delete val="0"/>
        <c:axPos val="l"/>
        <c:majorGridlines>
          <c:spPr>
            <a:ln>
              <a:prstDash val="dash"/>
            </a:ln>
          </c:spPr>
        </c:majorGridlines>
        <c:title>
          <c:tx>
            <c:rich>
              <a:bodyPr rot="-5400000" vert="horz"/>
              <a:lstStyle/>
              <a:p>
                <a:pPr>
                  <a:defRPr/>
                </a:pPr>
                <a:r>
                  <a:rPr lang="en-US"/>
                  <a:t>N of lone parents claiming benefits</a:t>
                </a:r>
              </a:p>
            </c:rich>
          </c:tx>
          <c:layout>
            <c:manualLayout>
              <c:xMode val="edge"/>
              <c:yMode val="edge"/>
              <c:x val="2.5711662075298437E-2"/>
              <c:y val="9.0001822688830557E-2"/>
            </c:manualLayout>
          </c:layout>
          <c:overlay val="0"/>
        </c:title>
        <c:numFmt formatCode="_-* #,##0_-;\-* #,##0_-;_-* &quot;-&quot;??_-;_-@_-" sourceLinked="1"/>
        <c:majorTickMark val="out"/>
        <c:minorTickMark val="none"/>
        <c:tickLblPos val="nextTo"/>
        <c:crossAx val="35676544"/>
        <c:crosses val="autoZero"/>
        <c:crossBetween val="between"/>
      </c:valAx>
      <c:spPr>
        <a:solidFill>
          <a:sysClr val="window" lastClr="FFFFFF"/>
        </a:solidFill>
      </c:spPr>
    </c:plotArea>
    <c:plotVisOnly val="1"/>
    <c:dispBlanksAs val="gap"/>
    <c:showDLblsOverMax val="0"/>
  </c:chart>
  <c:spPr>
    <a:ln>
      <a:noFill/>
    </a:ln>
  </c:sp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39"/>
    </mc:Choice>
    <mc:Fallback>
      <c:style val="39"/>
    </mc:Fallback>
  </mc:AlternateContent>
  <c:chart>
    <c:autoTitleDeleted val="0"/>
    <c:plotArea>
      <c:layout/>
      <c:barChart>
        <c:barDir val="col"/>
        <c:grouping val="clustered"/>
        <c:varyColors val="0"/>
        <c:ser>
          <c:idx val="0"/>
          <c:order val="0"/>
          <c:tx>
            <c:strRef>
              <c:f>'Health Indicators'!$E$857</c:f>
              <c:strCache>
                <c:ptCount val="1"/>
                <c:pt idx="0">
                  <c:v>2010/11</c:v>
                </c:pt>
              </c:strCache>
            </c:strRef>
          </c:tx>
          <c:spPr>
            <a:solidFill>
              <a:schemeClr val="accent1">
                <a:lumMod val="60000"/>
                <a:lumOff val="40000"/>
              </a:schemeClr>
            </a:solidFill>
          </c:spPr>
          <c:invertIfNegative val="0"/>
          <c:dPt>
            <c:idx val="7"/>
            <c:invertIfNegative val="0"/>
            <c:bubble3D val="0"/>
            <c:spPr>
              <a:solidFill>
                <a:schemeClr val="accent3">
                  <a:lumMod val="60000"/>
                  <a:lumOff val="40000"/>
                </a:schemeClr>
              </a:solidFill>
            </c:spPr>
          </c:dPt>
          <c:dPt>
            <c:idx val="8"/>
            <c:invertIfNegative val="0"/>
            <c:bubble3D val="0"/>
            <c:spPr>
              <a:solidFill>
                <a:schemeClr val="bg1">
                  <a:lumMod val="75000"/>
                </a:schemeClr>
              </a:solidFill>
            </c:spPr>
          </c:dPt>
          <c:dPt>
            <c:idx val="9"/>
            <c:invertIfNegative val="0"/>
            <c:bubble3D val="0"/>
            <c:spPr>
              <a:solidFill>
                <a:schemeClr val="bg1">
                  <a:lumMod val="75000"/>
                </a:schemeClr>
              </a:solidFill>
            </c:spPr>
          </c:dPt>
          <c:dLbls>
            <c:txPr>
              <a:bodyPr rot="-5400000" vert="horz"/>
              <a:lstStyle/>
              <a:p>
                <a:pPr>
                  <a:defRPr/>
                </a:pPr>
                <a:endParaRPr lang="en-US"/>
              </a:p>
            </c:txPr>
            <c:dLblPos val="inBase"/>
            <c:showLegendKey val="0"/>
            <c:showVal val="0"/>
            <c:showCatName val="0"/>
            <c:showSerName val="1"/>
            <c:showPercent val="0"/>
            <c:showBubbleSize val="0"/>
            <c:showLeaderLines val="0"/>
          </c:dLbls>
          <c:errBars>
            <c:errBarType val="both"/>
            <c:errValType val="cust"/>
            <c:noEndCap val="0"/>
            <c:plus>
              <c:numRef>
                <c:f>'Health Indicators'!$J$858:$J$867</c:f>
                <c:numCache>
                  <c:formatCode>General</c:formatCode>
                  <c:ptCount val="10"/>
                  <c:pt idx="0">
                    <c:v>45.477228907285024</c:v>
                  </c:pt>
                  <c:pt idx="1">
                    <c:v>29.613080039071974</c:v>
                  </c:pt>
                  <c:pt idx="2">
                    <c:v>35.832092703168996</c:v>
                  </c:pt>
                  <c:pt idx="3">
                    <c:v>35.421978517725989</c:v>
                  </c:pt>
                  <c:pt idx="4">
                    <c:v>30.343830272677991</c:v>
                  </c:pt>
                  <c:pt idx="5">
                    <c:v>27.058059754831987</c:v>
                  </c:pt>
                  <c:pt idx="6">
                    <c:v>29.230815963896006</c:v>
                  </c:pt>
                  <c:pt idx="7">
                    <c:v>11.591862576186998</c:v>
                  </c:pt>
                  <c:pt idx="8">
                    <c:v>3.2483334309669942</c:v>
                  </c:pt>
                  <c:pt idx="9">
                    <c:v>1.3013335652040041</c:v>
                  </c:pt>
                </c:numCache>
              </c:numRef>
            </c:plus>
            <c:minus>
              <c:numRef>
                <c:f>'Health Indicators'!$K$858:$K$867</c:f>
                <c:numCache>
                  <c:formatCode>General</c:formatCode>
                  <c:ptCount val="10"/>
                  <c:pt idx="0">
                    <c:v>36.742160482030982</c:v>
                  </c:pt>
                  <c:pt idx="1">
                    <c:v>25.536859406304018</c:v>
                  </c:pt>
                  <c:pt idx="2">
                    <c:v>30.516134116254008</c:v>
                  </c:pt>
                  <c:pt idx="3">
                    <c:v>31.585523400481009</c:v>
                  </c:pt>
                  <c:pt idx="4">
                    <c:v>26.127814263814997</c:v>
                  </c:pt>
                  <c:pt idx="5">
                    <c:v>23.43273456864901</c:v>
                  </c:pt>
                  <c:pt idx="6">
                    <c:v>24.329923512856297</c:v>
                  </c:pt>
                  <c:pt idx="7">
                    <c:v>10.949908279629</c:v>
                  </c:pt>
                  <c:pt idx="8">
                    <c:v>3.1930092221369932</c:v>
                  </c:pt>
                  <c:pt idx="9">
                    <c:v>1.2924970263350133</c:v>
                  </c:pt>
                </c:numCache>
              </c:numRef>
            </c:minus>
          </c:errBars>
          <c:cat>
            <c:strRef>
              <c:f>'Health Indicators'!$D$858:$D$867</c:f>
              <c:strCache>
                <c:ptCount val="10"/>
                <c:pt idx="0">
                  <c:v>Adur</c:v>
                </c:pt>
                <c:pt idx="1">
                  <c:v>Arun</c:v>
                </c:pt>
                <c:pt idx="2">
                  <c:v>Chichester</c:v>
                </c:pt>
                <c:pt idx="3">
                  <c:v>Crawley</c:v>
                </c:pt>
                <c:pt idx="4">
                  <c:v>Horsham</c:v>
                </c:pt>
                <c:pt idx="5">
                  <c:v>Mid Sussex</c:v>
                </c:pt>
                <c:pt idx="6">
                  <c:v>Worthing</c:v>
                </c:pt>
                <c:pt idx="7">
                  <c:v>West Sussex</c:v>
                </c:pt>
                <c:pt idx="8">
                  <c:v>South East region</c:v>
                </c:pt>
                <c:pt idx="9">
                  <c:v>England</c:v>
                </c:pt>
              </c:strCache>
            </c:strRef>
          </c:cat>
          <c:val>
            <c:numRef>
              <c:f>'Health Indicators'!$E$858:$E$867</c:f>
              <c:numCache>
                <c:formatCode>General</c:formatCode>
                <c:ptCount val="10"/>
                <c:pt idx="0">
                  <c:v>141.21037463976899</c:v>
                </c:pt>
                <c:pt idx="1">
                  <c:v>137.67720828789501</c:v>
                </c:pt>
                <c:pt idx="2">
                  <c:v>152.48226950354601</c:v>
                </c:pt>
                <c:pt idx="3">
                  <c:v>217.082310376018</c:v>
                </c:pt>
                <c:pt idx="4">
                  <c:v>139.53488372093</c:v>
                </c:pt>
                <c:pt idx="5">
                  <c:v>129.83861181895401</c:v>
                </c:pt>
                <c:pt idx="6">
                  <c:v>107.369448511469</c:v>
                </c:pt>
                <c:pt idx="7">
                  <c:v>148.024875186126</c:v>
                </c:pt>
                <c:pt idx="8">
                  <c:v>140.97298779338399</c:v>
                </c:pt>
                <c:pt idx="9">
                  <c:v>143.298539793092</c:v>
                </c:pt>
              </c:numCache>
            </c:numRef>
          </c:val>
        </c:ser>
        <c:ser>
          <c:idx val="1"/>
          <c:order val="1"/>
          <c:tx>
            <c:strRef>
              <c:f>'Health Indicators'!$F$857</c:f>
              <c:strCache>
                <c:ptCount val="1"/>
                <c:pt idx="0">
                  <c:v>2011/12</c:v>
                </c:pt>
              </c:strCache>
            </c:strRef>
          </c:tx>
          <c:spPr>
            <a:solidFill>
              <a:schemeClr val="accent1">
                <a:lumMod val="60000"/>
                <a:lumOff val="40000"/>
              </a:schemeClr>
            </a:solidFill>
          </c:spPr>
          <c:invertIfNegative val="0"/>
          <c:dPt>
            <c:idx val="7"/>
            <c:invertIfNegative val="0"/>
            <c:bubble3D val="0"/>
            <c:spPr>
              <a:solidFill>
                <a:schemeClr val="accent3">
                  <a:lumMod val="60000"/>
                  <a:lumOff val="40000"/>
                </a:schemeClr>
              </a:solidFill>
            </c:spPr>
          </c:dPt>
          <c:dPt>
            <c:idx val="8"/>
            <c:invertIfNegative val="0"/>
            <c:bubble3D val="0"/>
            <c:spPr>
              <a:solidFill>
                <a:schemeClr val="bg1">
                  <a:lumMod val="75000"/>
                </a:schemeClr>
              </a:solidFill>
            </c:spPr>
          </c:dPt>
          <c:dPt>
            <c:idx val="9"/>
            <c:invertIfNegative val="0"/>
            <c:bubble3D val="0"/>
            <c:spPr>
              <a:solidFill>
                <a:schemeClr val="bg1">
                  <a:lumMod val="75000"/>
                </a:schemeClr>
              </a:solidFill>
            </c:spPr>
          </c:dPt>
          <c:dLbls>
            <c:txPr>
              <a:bodyPr rot="-5400000" vert="horz"/>
              <a:lstStyle/>
              <a:p>
                <a:pPr>
                  <a:defRPr/>
                </a:pPr>
                <a:endParaRPr lang="en-US"/>
              </a:p>
            </c:txPr>
            <c:dLblPos val="inBase"/>
            <c:showLegendKey val="0"/>
            <c:showVal val="0"/>
            <c:showCatName val="0"/>
            <c:showSerName val="1"/>
            <c:showPercent val="0"/>
            <c:showBubbleSize val="0"/>
            <c:showLeaderLines val="0"/>
          </c:dLbls>
          <c:errBars>
            <c:errBarType val="both"/>
            <c:errValType val="cust"/>
            <c:noEndCap val="0"/>
            <c:plus>
              <c:numRef>
                <c:f>'Health Indicators'!$L$858:$L$867</c:f>
                <c:numCache>
                  <c:formatCode>General</c:formatCode>
                  <c:ptCount val="10"/>
                  <c:pt idx="0">
                    <c:v>45.677965798132021</c:v>
                  </c:pt>
                  <c:pt idx="1">
                    <c:v>31.561768188016003</c:v>
                  </c:pt>
                  <c:pt idx="2">
                    <c:v>37.646153980545989</c:v>
                  </c:pt>
                  <c:pt idx="3">
                    <c:v>33.291860447423005</c:v>
                  </c:pt>
                  <c:pt idx="4">
                    <c:v>29.863886002368019</c:v>
                  </c:pt>
                  <c:pt idx="5">
                    <c:v>27.778251659713987</c:v>
                  </c:pt>
                  <c:pt idx="6">
                    <c:v>30.843198134623009</c:v>
                  </c:pt>
                  <c:pt idx="7">
                    <c:v>11.754924793216986</c:v>
                  </c:pt>
                  <c:pt idx="8">
                    <c:v>3.2681937774800076</c:v>
                  </c:pt>
                  <c:pt idx="9">
                    <c:v>1.3136186610090022</c:v>
                  </c:pt>
                </c:numCache>
              </c:numRef>
            </c:plus>
            <c:minus>
              <c:numRef>
                <c:f>'Health Indicators'!$M$858:$M$867</c:f>
                <c:numCache>
                  <c:formatCode>General</c:formatCode>
                  <c:ptCount val="10"/>
                  <c:pt idx="0">
                    <c:v>37.211422632850997</c:v>
                  </c:pt>
                  <c:pt idx="1">
                    <c:v>27.585507184783012</c:v>
                  </c:pt>
                  <c:pt idx="2">
                    <c:v>32.339877007729001</c:v>
                  </c:pt>
                  <c:pt idx="3">
                    <c:v>29.644645607842989</c:v>
                  </c:pt>
                  <c:pt idx="4">
                    <c:v>25.674832899131999</c:v>
                  </c:pt>
                  <c:pt idx="5">
                    <c:v>24.194732501246008</c:v>
                  </c:pt>
                  <c:pt idx="6">
                    <c:v>26.1112460190581</c:v>
                  </c:pt>
                  <c:pt idx="7">
                    <c:v>11.127041994471</c:v>
                  </c:pt>
                  <c:pt idx="8">
                    <c:v>3.2139899784799866</c:v>
                  </c:pt>
                  <c:pt idx="9">
                    <c:v>1.3049105354000119</c:v>
                  </c:pt>
                </c:numCache>
              </c:numRef>
            </c:minus>
          </c:errBars>
          <c:cat>
            <c:strRef>
              <c:f>'Health Indicators'!$D$858:$D$867</c:f>
              <c:strCache>
                <c:ptCount val="10"/>
                <c:pt idx="0">
                  <c:v>Adur</c:v>
                </c:pt>
                <c:pt idx="1">
                  <c:v>Arun</c:v>
                </c:pt>
                <c:pt idx="2">
                  <c:v>Chichester</c:v>
                </c:pt>
                <c:pt idx="3">
                  <c:v>Crawley</c:v>
                </c:pt>
                <c:pt idx="4">
                  <c:v>Horsham</c:v>
                </c:pt>
                <c:pt idx="5">
                  <c:v>Mid Sussex</c:v>
                </c:pt>
                <c:pt idx="6">
                  <c:v>Worthing</c:v>
                </c:pt>
                <c:pt idx="7">
                  <c:v>West Sussex</c:v>
                </c:pt>
                <c:pt idx="8">
                  <c:v>South East region</c:v>
                </c:pt>
                <c:pt idx="9">
                  <c:v>England</c:v>
                </c:pt>
              </c:strCache>
            </c:strRef>
          </c:cat>
          <c:val>
            <c:numRef>
              <c:f>'Health Indicators'!$F$858:$F$867</c:f>
              <c:numCache>
                <c:formatCode>General</c:formatCode>
                <c:ptCount val="10"/>
                <c:pt idx="0">
                  <c:v>148.29322887520999</c:v>
                </c:pt>
                <c:pt idx="1">
                  <c:v>162.68835844779301</c:v>
                </c:pt>
                <c:pt idx="2">
                  <c:v>170.212765957447</c:v>
                </c:pt>
                <c:pt idx="3">
                  <c:v>201.399975439027</c:v>
                </c:pt>
                <c:pt idx="4">
                  <c:v>135.79728405431899</c:v>
                </c:pt>
                <c:pt idx="5">
                  <c:v>139.30587246307201</c:v>
                </c:pt>
                <c:pt idx="6">
                  <c:v>126.10340479192899</c:v>
                </c:pt>
                <c:pt idx="7">
                  <c:v>155.98885793871901</c:v>
                </c:pt>
                <c:pt idx="8">
                  <c:v>145.72543693377699</c:v>
                </c:pt>
                <c:pt idx="9">
                  <c:v>148.196948640719</c:v>
                </c:pt>
              </c:numCache>
            </c:numRef>
          </c:val>
        </c:ser>
        <c:ser>
          <c:idx val="2"/>
          <c:order val="2"/>
          <c:tx>
            <c:strRef>
              <c:f>'Health Indicators'!$G$857</c:f>
              <c:strCache>
                <c:ptCount val="1"/>
                <c:pt idx="0">
                  <c:v>2012/13</c:v>
                </c:pt>
              </c:strCache>
            </c:strRef>
          </c:tx>
          <c:spPr>
            <a:solidFill>
              <a:schemeClr val="accent1">
                <a:lumMod val="60000"/>
                <a:lumOff val="40000"/>
              </a:schemeClr>
            </a:solidFill>
          </c:spPr>
          <c:invertIfNegative val="0"/>
          <c:dPt>
            <c:idx val="7"/>
            <c:invertIfNegative val="0"/>
            <c:bubble3D val="0"/>
            <c:spPr>
              <a:solidFill>
                <a:schemeClr val="accent3">
                  <a:lumMod val="60000"/>
                  <a:lumOff val="40000"/>
                </a:schemeClr>
              </a:solidFill>
            </c:spPr>
          </c:dPt>
          <c:dPt>
            <c:idx val="8"/>
            <c:invertIfNegative val="0"/>
            <c:bubble3D val="0"/>
            <c:spPr>
              <a:solidFill>
                <a:schemeClr val="bg1">
                  <a:lumMod val="75000"/>
                </a:schemeClr>
              </a:solidFill>
            </c:spPr>
          </c:dPt>
          <c:dPt>
            <c:idx val="9"/>
            <c:invertIfNegative val="0"/>
            <c:bubble3D val="0"/>
            <c:spPr>
              <a:solidFill>
                <a:schemeClr val="bg1">
                  <a:lumMod val="75000"/>
                </a:schemeClr>
              </a:solidFill>
            </c:spPr>
          </c:dPt>
          <c:dLbls>
            <c:txPr>
              <a:bodyPr rot="-5400000" vert="horz"/>
              <a:lstStyle/>
              <a:p>
                <a:pPr>
                  <a:defRPr/>
                </a:pPr>
                <a:endParaRPr lang="en-US"/>
              </a:p>
            </c:txPr>
            <c:dLblPos val="inBase"/>
            <c:showLegendKey val="0"/>
            <c:showVal val="0"/>
            <c:showCatName val="0"/>
            <c:showSerName val="1"/>
            <c:showPercent val="0"/>
            <c:showBubbleSize val="0"/>
            <c:showLeaderLines val="0"/>
          </c:dLbls>
          <c:errBars>
            <c:errBarType val="both"/>
            <c:errValType val="cust"/>
            <c:noEndCap val="0"/>
            <c:plus>
              <c:numRef>
                <c:f>'Health Indicators'!$N$858:$N$867</c:f>
                <c:numCache>
                  <c:formatCode>General</c:formatCode>
                  <c:ptCount val="10"/>
                  <c:pt idx="0">
                    <c:v>46.219133858939017</c:v>
                  </c:pt>
                  <c:pt idx="1">
                    <c:v>29.947839739047993</c:v>
                  </c:pt>
                  <c:pt idx="2">
                    <c:v>31.614587691294986</c:v>
                  </c:pt>
                  <c:pt idx="3">
                    <c:v>31.182056569361009</c:v>
                  </c:pt>
                  <c:pt idx="4">
                    <c:v>28.662145180308002</c:v>
                  </c:pt>
                  <c:pt idx="5">
                    <c:v>23.049740719289602</c:v>
                  </c:pt>
                  <c:pt idx="6">
                    <c:v>29.376031796468013</c:v>
                  </c:pt>
                  <c:pt idx="7">
                    <c:v>10.800881384504009</c:v>
                  </c:pt>
                  <c:pt idx="8">
                    <c:v>3.0472288196779971</c:v>
                  </c:pt>
                  <c:pt idx="9">
                    <c:v>1.24060109562501</c:v>
                  </c:pt>
                </c:numCache>
              </c:numRef>
            </c:plus>
            <c:minus>
              <c:numRef>
                <c:f>'Health Indicators'!$O$858:$O$867</c:f>
                <c:numCache>
                  <c:formatCode>General</c:formatCode>
                  <c:ptCount val="10"/>
                  <c:pt idx="0">
                    <c:v>38.061242639269992</c:v>
                  </c:pt>
                  <c:pt idx="1">
                    <c:v>26.130490704654989</c:v>
                  </c:pt>
                  <c:pt idx="2">
                    <c:v>26.4556233709</c:v>
                  </c:pt>
                  <c:pt idx="3">
                    <c:v>27.607169593389983</c:v>
                  </c:pt>
                  <c:pt idx="4">
                    <c:v>24.498847766284996</c:v>
                  </c:pt>
                  <c:pt idx="5">
                    <c:v>19.513457974426601</c:v>
                  </c:pt>
                  <c:pt idx="6">
                    <c:v>24.613598288522098</c:v>
                  </c:pt>
                  <c:pt idx="7">
                    <c:v>10.185633472196997</c:v>
                  </c:pt>
                  <c:pt idx="8">
                    <c:v>2.9939777583809928</c:v>
                  </c:pt>
                  <c:pt idx="9">
                    <c:v>1.2320582695269877</c:v>
                  </c:pt>
                </c:numCache>
              </c:numRef>
            </c:minus>
          </c:errBars>
          <c:cat>
            <c:strRef>
              <c:f>'Health Indicators'!$D$858:$D$867</c:f>
              <c:strCache>
                <c:ptCount val="10"/>
                <c:pt idx="0">
                  <c:v>Adur</c:v>
                </c:pt>
                <c:pt idx="1">
                  <c:v>Arun</c:v>
                </c:pt>
                <c:pt idx="2">
                  <c:v>Chichester</c:v>
                </c:pt>
                <c:pt idx="3">
                  <c:v>Crawley</c:v>
                </c:pt>
                <c:pt idx="4">
                  <c:v>Horsham</c:v>
                </c:pt>
                <c:pt idx="5">
                  <c:v>Mid Sussex</c:v>
                </c:pt>
                <c:pt idx="6">
                  <c:v>Worthing</c:v>
                </c:pt>
                <c:pt idx="7">
                  <c:v>West Sussex</c:v>
                </c:pt>
                <c:pt idx="8">
                  <c:v>South East region</c:v>
                </c:pt>
                <c:pt idx="9">
                  <c:v>England</c:v>
                </c:pt>
              </c:strCache>
            </c:strRef>
          </c:cat>
          <c:val>
            <c:numRef>
              <c:f>'Health Indicators'!$G$858:$G$867</c:f>
              <c:numCache>
                <c:formatCode>General</c:formatCode>
                <c:ptCount val="10"/>
                <c:pt idx="0">
                  <c:v>159.41637395298599</c:v>
                </c:pt>
                <c:pt idx="1">
                  <c:v>152.29076017404699</c:v>
                </c:pt>
                <c:pt idx="2">
                  <c:v>120.006857534716</c:v>
                </c:pt>
                <c:pt idx="3">
                  <c:v>179.129598461169</c:v>
                </c:pt>
                <c:pt idx="4">
                  <c:v>125.06948304613699</c:v>
                </c:pt>
                <c:pt idx="5">
                  <c:v>94.239604193662402</c:v>
                </c:pt>
                <c:pt idx="6">
                  <c:v>112.395124267849</c:v>
                </c:pt>
                <c:pt idx="7">
                  <c:v>133.842410002517</c:v>
                </c:pt>
                <c:pt idx="8">
                  <c:v>128.823001227758</c:v>
                </c:pt>
                <c:pt idx="9">
                  <c:v>134.69851085474099</c:v>
                </c:pt>
              </c:numCache>
            </c:numRef>
          </c:val>
        </c:ser>
        <c:ser>
          <c:idx val="3"/>
          <c:order val="3"/>
          <c:tx>
            <c:strRef>
              <c:f>'Health Indicators'!$H$857</c:f>
              <c:strCache>
                <c:ptCount val="1"/>
                <c:pt idx="0">
                  <c:v>2013/14</c:v>
                </c:pt>
              </c:strCache>
            </c:strRef>
          </c:tx>
          <c:spPr>
            <a:solidFill>
              <a:schemeClr val="accent1">
                <a:lumMod val="60000"/>
                <a:lumOff val="40000"/>
              </a:schemeClr>
            </a:solidFill>
          </c:spPr>
          <c:invertIfNegative val="0"/>
          <c:dPt>
            <c:idx val="7"/>
            <c:invertIfNegative val="0"/>
            <c:bubble3D val="0"/>
            <c:spPr>
              <a:solidFill>
                <a:schemeClr val="accent3">
                  <a:lumMod val="60000"/>
                  <a:lumOff val="40000"/>
                </a:schemeClr>
              </a:solidFill>
            </c:spPr>
          </c:dPt>
          <c:dPt>
            <c:idx val="8"/>
            <c:invertIfNegative val="0"/>
            <c:bubble3D val="0"/>
            <c:spPr>
              <a:solidFill>
                <a:schemeClr val="bg1">
                  <a:lumMod val="75000"/>
                </a:schemeClr>
              </a:solidFill>
            </c:spPr>
          </c:dPt>
          <c:dPt>
            <c:idx val="9"/>
            <c:invertIfNegative val="0"/>
            <c:bubble3D val="0"/>
            <c:spPr>
              <a:solidFill>
                <a:schemeClr val="bg1">
                  <a:lumMod val="75000"/>
                </a:schemeClr>
              </a:solidFill>
            </c:spPr>
          </c:dPt>
          <c:dLbls>
            <c:txPr>
              <a:bodyPr rot="-5400000" vert="horz"/>
              <a:lstStyle/>
              <a:p>
                <a:pPr>
                  <a:defRPr/>
                </a:pPr>
                <a:endParaRPr lang="en-US"/>
              </a:p>
            </c:txPr>
            <c:dLblPos val="inBase"/>
            <c:showLegendKey val="0"/>
            <c:showVal val="0"/>
            <c:showCatName val="0"/>
            <c:showSerName val="1"/>
            <c:showPercent val="0"/>
            <c:showBubbleSize val="0"/>
            <c:showLeaderLines val="0"/>
          </c:dLbls>
          <c:errBars>
            <c:errBarType val="both"/>
            <c:errValType val="cust"/>
            <c:noEndCap val="0"/>
            <c:plus>
              <c:numRef>
                <c:f>'Health Indicators'!$P$858:$P$867</c:f>
                <c:numCache>
                  <c:formatCode>General</c:formatCode>
                  <c:ptCount val="10"/>
                  <c:pt idx="0">
                    <c:v>44.164442703605999</c:v>
                  </c:pt>
                  <c:pt idx="1">
                    <c:v>28.850593061533004</c:v>
                  </c:pt>
                  <c:pt idx="2">
                    <c:v>39.52475398765398</c:v>
                  </c:pt>
                  <c:pt idx="3">
                    <c:v>29.561556397223995</c:v>
                  </c:pt>
                  <c:pt idx="4">
                    <c:v>31.590681887272979</c:v>
                  </c:pt>
                  <c:pt idx="5">
                    <c:v>25.041610531824006</c:v>
                  </c:pt>
                  <c:pt idx="6">
                    <c:v>31.433879102868005</c:v>
                  </c:pt>
                  <c:pt idx="7">
                    <c:v>11.299939188645993</c:v>
                  </c:pt>
                  <c:pt idx="8">
                    <c:v>3.1113127080460004</c:v>
                  </c:pt>
                  <c:pt idx="9">
                    <c:v>1.2643645531590266</c:v>
                  </c:pt>
                </c:numCache>
              </c:numRef>
            </c:plus>
            <c:minus>
              <c:numRef>
                <c:f>'Health Indicators'!$Q$858:$Q$867</c:f>
                <c:numCache>
                  <c:formatCode>General</c:formatCode>
                  <c:ptCount val="10"/>
                  <c:pt idx="0">
                    <c:v>36.181198672397002</c:v>
                  </c:pt>
                  <c:pt idx="1">
                    <c:v>25.113580940334998</c:v>
                  </c:pt>
                  <c:pt idx="2">
                    <c:v>34.362798787481012</c:v>
                  </c:pt>
                  <c:pt idx="3">
                    <c:v>25.998261432944986</c:v>
                  </c:pt>
                  <c:pt idx="4">
                    <c:v>27.430224508596012</c:v>
                  </c:pt>
                  <c:pt idx="5">
                    <c:v>21.545761773372888</c:v>
                  </c:pt>
                  <c:pt idx="6">
                    <c:v>26.583127690476999</c:v>
                  </c:pt>
                  <c:pt idx="7">
                    <c:v>10.687258379895013</c:v>
                  </c:pt>
                  <c:pt idx="8">
                    <c:v>3.0582438763809989</c:v>
                  </c:pt>
                  <c:pt idx="9">
                    <c:v>1.2558740410409825</c:v>
                  </c:pt>
                </c:numCache>
              </c:numRef>
            </c:minus>
          </c:errBars>
          <c:cat>
            <c:strRef>
              <c:f>'Health Indicators'!$D$858:$D$867</c:f>
              <c:strCache>
                <c:ptCount val="10"/>
                <c:pt idx="0">
                  <c:v>Adur</c:v>
                </c:pt>
                <c:pt idx="1">
                  <c:v>Arun</c:v>
                </c:pt>
                <c:pt idx="2">
                  <c:v>Chichester</c:v>
                </c:pt>
                <c:pt idx="3">
                  <c:v>Crawley</c:v>
                </c:pt>
                <c:pt idx="4">
                  <c:v>Horsham</c:v>
                </c:pt>
                <c:pt idx="5">
                  <c:v>Mid Sussex</c:v>
                </c:pt>
                <c:pt idx="6">
                  <c:v>Worthing</c:v>
                </c:pt>
                <c:pt idx="7">
                  <c:v>West Sussex</c:v>
                </c:pt>
                <c:pt idx="8">
                  <c:v>South East region</c:v>
                </c:pt>
                <c:pt idx="9">
                  <c:v>England</c:v>
                </c:pt>
              </c:strCache>
            </c:strRef>
          </c:cat>
          <c:val>
            <c:numRef>
              <c:f>'Health Indicators'!$H$858:$H$867</c:f>
              <c:numCache>
                <c:formatCode>General</c:formatCode>
                <c:ptCount val="10"/>
                <c:pt idx="0">
                  <c:v>147.91336502905401</c:v>
                </c:pt>
                <c:pt idx="1">
                  <c:v>144.00200350613599</c:v>
                </c:pt>
                <c:pt idx="2">
                  <c:v>195.40031125713301</c:v>
                </c:pt>
                <c:pt idx="3">
                  <c:v>160.344621275577</c:v>
                </c:pt>
                <c:pt idx="4">
                  <c:v>154.66072175003501</c:v>
                </c:pt>
                <c:pt idx="5">
                  <c:v>114.51273662070599</c:v>
                </c:pt>
                <c:pt idx="6">
                  <c:v>127.625201938611</c:v>
                </c:pt>
                <c:pt idx="7">
                  <c:v>147.58450571733201</c:v>
                </c:pt>
                <c:pt idx="8">
                  <c:v>134.82341639103501</c:v>
                </c:pt>
                <c:pt idx="9">
                  <c:v>140.79721627471699</c:v>
                </c:pt>
              </c:numCache>
            </c:numRef>
          </c:val>
        </c:ser>
        <c:ser>
          <c:idx val="4"/>
          <c:order val="4"/>
          <c:tx>
            <c:strRef>
              <c:f>'Health Indicators'!$I$857</c:f>
              <c:strCache>
                <c:ptCount val="1"/>
                <c:pt idx="0">
                  <c:v>2014/15</c:v>
                </c:pt>
              </c:strCache>
            </c:strRef>
          </c:tx>
          <c:spPr>
            <a:solidFill>
              <a:schemeClr val="accent1">
                <a:lumMod val="60000"/>
                <a:lumOff val="40000"/>
              </a:schemeClr>
            </a:solidFill>
          </c:spPr>
          <c:invertIfNegative val="0"/>
          <c:dPt>
            <c:idx val="7"/>
            <c:invertIfNegative val="0"/>
            <c:bubble3D val="0"/>
            <c:spPr>
              <a:solidFill>
                <a:schemeClr val="accent3">
                  <a:lumMod val="60000"/>
                  <a:lumOff val="40000"/>
                </a:schemeClr>
              </a:solidFill>
            </c:spPr>
          </c:dPt>
          <c:dPt>
            <c:idx val="8"/>
            <c:invertIfNegative val="0"/>
            <c:bubble3D val="0"/>
            <c:spPr>
              <a:solidFill>
                <a:schemeClr val="bg1">
                  <a:lumMod val="75000"/>
                </a:schemeClr>
              </a:solidFill>
            </c:spPr>
          </c:dPt>
          <c:dPt>
            <c:idx val="9"/>
            <c:invertIfNegative val="0"/>
            <c:bubble3D val="0"/>
            <c:spPr>
              <a:solidFill>
                <a:schemeClr val="bg1">
                  <a:lumMod val="75000"/>
                </a:schemeClr>
              </a:solidFill>
            </c:spPr>
          </c:dPt>
          <c:dLbls>
            <c:txPr>
              <a:bodyPr rot="-5400000" vert="horz"/>
              <a:lstStyle/>
              <a:p>
                <a:pPr>
                  <a:defRPr/>
                </a:pPr>
                <a:endParaRPr lang="en-US"/>
              </a:p>
            </c:txPr>
            <c:dLblPos val="inBase"/>
            <c:showLegendKey val="0"/>
            <c:showVal val="0"/>
            <c:showCatName val="0"/>
            <c:showSerName val="1"/>
            <c:showPercent val="0"/>
            <c:showBubbleSize val="0"/>
            <c:showLeaderLines val="0"/>
          </c:dLbls>
          <c:errBars>
            <c:errBarType val="both"/>
            <c:errValType val="cust"/>
            <c:noEndCap val="0"/>
            <c:plus>
              <c:numRef>
                <c:f>'Health Indicators'!$R$858:$R$867</c:f>
                <c:numCache>
                  <c:formatCode>General</c:formatCode>
                  <c:ptCount val="10"/>
                  <c:pt idx="0">
                    <c:v>43.039999999999992</c:v>
                  </c:pt>
                  <c:pt idx="1">
                    <c:v>30.379999999999995</c:v>
                  </c:pt>
                  <c:pt idx="2">
                    <c:v>42.41</c:v>
                  </c:pt>
                  <c:pt idx="3">
                    <c:v>23.490000000000009</c:v>
                  </c:pt>
                  <c:pt idx="4">
                    <c:v>25.710000000000008</c:v>
                  </c:pt>
                  <c:pt idx="5">
                    <c:v>22.25</c:v>
                  </c:pt>
                  <c:pt idx="6">
                    <c:v>36.909999999999997</c:v>
                  </c:pt>
                  <c:pt idx="7">
                    <c:v>10.840000000000003</c:v>
                  </c:pt>
                  <c:pt idx="8">
                    <c:v>3.0900000000000034</c:v>
                  </c:pt>
                  <c:pt idx="9">
                    <c:v>1.2400000000000091</c:v>
                  </c:pt>
                </c:numCache>
              </c:numRef>
            </c:plus>
            <c:minus>
              <c:numRef>
                <c:f>'Health Indicators'!$S$858:$S$867</c:f>
                <c:numCache>
                  <c:formatCode>General</c:formatCode>
                  <c:ptCount val="10"/>
                  <c:pt idx="0">
                    <c:v>35.320000000000007</c:v>
                  </c:pt>
                  <c:pt idx="1">
                    <c:v>26.620000000000005</c:v>
                  </c:pt>
                  <c:pt idx="2">
                    <c:v>37.210000000000008</c:v>
                  </c:pt>
                  <c:pt idx="3">
                    <c:v>19.939999999999998</c:v>
                  </c:pt>
                  <c:pt idx="4">
                    <c:v>21.509999999999991</c:v>
                  </c:pt>
                  <c:pt idx="5">
                    <c:v>18.799999999999997</c:v>
                  </c:pt>
                  <c:pt idx="6">
                    <c:v>31.97999999999999</c:v>
                  </c:pt>
                  <c:pt idx="7">
                    <c:v>10.22999999999999</c:v>
                  </c:pt>
                  <c:pt idx="8">
                    <c:v>3.0300000000000011</c:v>
                  </c:pt>
                  <c:pt idx="9">
                    <c:v>1.2400000000000091</c:v>
                  </c:pt>
                </c:numCache>
              </c:numRef>
            </c:minus>
          </c:errBars>
          <c:cat>
            <c:strRef>
              <c:f>'Health Indicators'!$D$858:$D$867</c:f>
              <c:strCache>
                <c:ptCount val="10"/>
                <c:pt idx="0">
                  <c:v>Adur</c:v>
                </c:pt>
                <c:pt idx="1">
                  <c:v>Arun</c:v>
                </c:pt>
                <c:pt idx="2">
                  <c:v>Chichester</c:v>
                </c:pt>
                <c:pt idx="3">
                  <c:v>Crawley</c:v>
                </c:pt>
                <c:pt idx="4">
                  <c:v>Horsham</c:v>
                </c:pt>
                <c:pt idx="5">
                  <c:v>Mid Sussex</c:v>
                </c:pt>
                <c:pt idx="6">
                  <c:v>Worthing</c:v>
                </c:pt>
                <c:pt idx="7">
                  <c:v>West Sussex</c:v>
                </c:pt>
                <c:pt idx="8">
                  <c:v>South East region</c:v>
                </c:pt>
                <c:pt idx="9">
                  <c:v>England</c:v>
                </c:pt>
              </c:strCache>
            </c:strRef>
          </c:cat>
          <c:val>
            <c:numRef>
              <c:f>'Health Indicators'!$I$858:$I$867</c:f>
              <c:numCache>
                <c:formatCode>0.0</c:formatCode>
                <c:ptCount val="10"/>
                <c:pt idx="0">
                  <c:v>145.59</c:v>
                </c:pt>
                <c:pt idx="1">
                  <c:v>160.03</c:v>
                </c:pt>
                <c:pt idx="2">
                  <c:v>225.33</c:v>
                </c:pt>
                <c:pt idx="3">
                  <c:v>97.99</c:v>
                </c:pt>
                <c:pt idx="4">
                  <c:v>97.6</c:v>
                </c:pt>
                <c:pt idx="5">
                  <c:v>89.71</c:v>
                </c:pt>
                <c:pt idx="6">
                  <c:v>177.98</c:v>
                </c:pt>
                <c:pt idx="7">
                  <c:v>135.88999999999999</c:v>
                </c:pt>
                <c:pt idx="8">
                  <c:v>132.76</c:v>
                </c:pt>
                <c:pt idx="9">
                  <c:v>137.47</c:v>
                </c:pt>
              </c:numCache>
            </c:numRef>
          </c:val>
        </c:ser>
        <c:dLbls>
          <c:showLegendKey val="0"/>
          <c:showVal val="0"/>
          <c:showCatName val="0"/>
          <c:showSerName val="0"/>
          <c:showPercent val="0"/>
          <c:showBubbleSize val="0"/>
        </c:dLbls>
        <c:gapWidth val="150"/>
        <c:axId val="83689856"/>
        <c:axId val="83691392"/>
      </c:barChart>
      <c:catAx>
        <c:axId val="83689856"/>
        <c:scaling>
          <c:orientation val="minMax"/>
        </c:scaling>
        <c:delete val="0"/>
        <c:axPos val="b"/>
        <c:majorTickMark val="out"/>
        <c:minorTickMark val="none"/>
        <c:tickLblPos val="nextTo"/>
        <c:crossAx val="83691392"/>
        <c:crosses val="autoZero"/>
        <c:auto val="1"/>
        <c:lblAlgn val="ctr"/>
        <c:lblOffset val="100"/>
        <c:noMultiLvlLbl val="0"/>
      </c:catAx>
      <c:valAx>
        <c:axId val="83691392"/>
        <c:scaling>
          <c:orientation val="minMax"/>
        </c:scaling>
        <c:delete val="0"/>
        <c:axPos val="l"/>
        <c:majorGridlines>
          <c:spPr>
            <a:ln>
              <a:solidFill>
                <a:schemeClr val="bg1">
                  <a:lumMod val="65000"/>
                </a:schemeClr>
              </a:solidFill>
            </a:ln>
          </c:spPr>
        </c:majorGridlines>
        <c:title>
          <c:tx>
            <c:rich>
              <a:bodyPr rot="-5400000" vert="horz"/>
              <a:lstStyle/>
              <a:p>
                <a:pPr>
                  <a:defRPr/>
                </a:pPr>
                <a:r>
                  <a:rPr lang="en-US" sz="1050"/>
                  <a:t>Rate of admissions of 0-4 year olds (per 10,000)</a:t>
                </a:r>
              </a:p>
            </c:rich>
          </c:tx>
          <c:overlay val="0"/>
        </c:title>
        <c:numFmt formatCode="General" sourceLinked="1"/>
        <c:majorTickMark val="out"/>
        <c:minorTickMark val="none"/>
        <c:tickLblPos val="nextTo"/>
        <c:crossAx val="83689856"/>
        <c:crosses val="autoZero"/>
        <c:crossBetween val="between"/>
      </c:valAx>
      <c:spPr>
        <a:solidFill>
          <a:schemeClr val="bg1"/>
        </a:solidFill>
      </c:spPr>
    </c:plotArea>
    <c:plotVisOnly val="1"/>
    <c:dispBlanksAs val="gap"/>
    <c:showDLblsOverMax val="0"/>
  </c:chart>
  <c:spPr>
    <a:ln>
      <a:noFill/>
    </a:ln>
  </c:sp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38"/>
    </mc:Choice>
    <mc:Fallback>
      <c:style val="38"/>
    </mc:Fallback>
  </mc:AlternateContent>
  <c:chart>
    <c:autoTitleDeleted val="0"/>
    <c:plotArea>
      <c:layout>
        <c:manualLayout>
          <c:layoutTarget val="inner"/>
          <c:xMode val="edge"/>
          <c:yMode val="edge"/>
          <c:x val="5.9493232346159816E-2"/>
          <c:y val="4.1350166424727636E-2"/>
          <c:w val="0.92248420470986836"/>
          <c:h val="0.72549040308508927"/>
        </c:manualLayout>
      </c:layout>
      <c:barChart>
        <c:barDir val="col"/>
        <c:grouping val="clustered"/>
        <c:varyColors val="0"/>
        <c:ser>
          <c:idx val="0"/>
          <c:order val="0"/>
          <c:tx>
            <c:strRef>
              <c:f>'Health Indicators'!$E$78</c:f>
              <c:strCache>
                <c:ptCount val="1"/>
                <c:pt idx="0">
                  <c:v>Angmering</c:v>
                </c:pt>
              </c:strCache>
            </c:strRef>
          </c:tx>
          <c:spPr>
            <a:solidFill>
              <a:schemeClr val="accent1">
                <a:lumMod val="40000"/>
                <a:lumOff val="60000"/>
              </a:schemeClr>
            </a:solidFill>
          </c:spPr>
          <c:invertIfNegative val="0"/>
          <c:errBars>
            <c:errBarType val="both"/>
            <c:errValType val="cust"/>
            <c:noEndCap val="0"/>
            <c:plus>
              <c:numRef>
                <c:f>('Health Indicators'!$Q$80,'Health Indicators'!$Q$83,'Health Indicators'!$Q$86,'Health Indicators'!$P$80,'Health Indicators'!$P$83,'Health Indicators'!$P$86)</c:f>
                <c:numCache>
                  <c:formatCode>General</c:formatCode>
                  <c:ptCount val="6"/>
                  <c:pt idx="0">
                    <c:v>7.1602657589108887E-2</c:v>
                  </c:pt>
                  <c:pt idx="1">
                    <c:v>7.7482430643166456E-2</c:v>
                  </c:pt>
                  <c:pt idx="2">
                    <c:v>7.6286826071778502E-2</c:v>
                  </c:pt>
                  <c:pt idx="3">
                    <c:v>7.0227316201449175E-2</c:v>
                  </c:pt>
                  <c:pt idx="4">
                    <c:v>7.6719804117273749E-2</c:v>
                  </c:pt>
                  <c:pt idx="5">
                    <c:v>7.3854342228567127E-2</c:v>
                  </c:pt>
                </c:numCache>
              </c:numRef>
            </c:plus>
            <c:minus>
              <c:numRef>
                <c:f>('Health Indicators'!$O$80,'Health Indicators'!$O$83,'Health Indicators'!$O$86,'Health Indicators'!$N$80,'Health Indicators'!$N$83,'Health Indicators'!$N$86)</c:f>
                <c:numCache>
                  <c:formatCode>General</c:formatCode>
                  <c:ptCount val="6"/>
                  <c:pt idx="0">
                    <c:v>6.9557385517126646E-2</c:v>
                  </c:pt>
                  <c:pt idx="1">
                    <c:v>7.1992892621754567E-2</c:v>
                  </c:pt>
                  <c:pt idx="2">
                    <c:v>7.2563792896942036E-2</c:v>
                  </c:pt>
                  <c:pt idx="3">
                    <c:v>7.1411421085228355E-2</c:v>
                  </c:pt>
                  <c:pt idx="4">
                    <c:v>7.686817000974433E-2</c:v>
                  </c:pt>
                  <c:pt idx="5">
                    <c:v>7.6198474227538227E-2</c:v>
                  </c:pt>
                </c:numCache>
              </c:numRef>
            </c:minus>
          </c:errBars>
          <c:cat>
            <c:multiLvlStrRef>
              <c:f>'Health Indicators'!$F$76:$K$77</c:f>
              <c:multiLvlStrCache>
                <c:ptCount val="6"/>
                <c:lvl>
                  <c:pt idx="0">
                    <c:v>2012/13</c:v>
                  </c:pt>
                  <c:pt idx="1">
                    <c:v>2014/15</c:v>
                  </c:pt>
                  <c:pt idx="2">
                    <c:v>2015/16</c:v>
                  </c:pt>
                  <c:pt idx="3">
                    <c:v>2012/13</c:v>
                  </c:pt>
                  <c:pt idx="4">
                    <c:v>2014/15</c:v>
                  </c:pt>
                  <c:pt idx="5">
                    <c:v>2015/16</c:v>
                  </c:pt>
                </c:lvl>
                <c:lvl>
                  <c:pt idx="0">
                    <c:v>babies exclusively breastfed</c:v>
                  </c:pt>
                  <c:pt idx="3">
                    <c:v>babies partially and exclusively breastfed</c:v>
                  </c:pt>
                </c:lvl>
              </c:multiLvlStrCache>
            </c:multiLvlStrRef>
          </c:cat>
          <c:val>
            <c:numRef>
              <c:f>'Health Indicators'!$F$78:$K$78</c:f>
              <c:numCache>
                <c:formatCode>0.0%</c:formatCode>
                <c:ptCount val="6"/>
                <c:pt idx="0">
                  <c:v>0.44919786096256686</c:v>
                </c:pt>
                <c:pt idx="1">
                  <c:v>0.38364779874213839</c:v>
                </c:pt>
                <c:pt idx="2">
                  <c:v>0.41818181818181815</c:v>
                </c:pt>
                <c:pt idx="3">
                  <c:v>0.52941176470588236</c:v>
                </c:pt>
                <c:pt idx="4">
                  <c:v>0.50314465408805031</c:v>
                </c:pt>
                <c:pt idx="5">
                  <c:v>0.55151515151515151</c:v>
                </c:pt>
              </c:numCache>
            </c:numRef>
          </c:val>
        </c:ser>
        <c:ser>
          <c:idx val="1"/>
          <c:order val="1"/>
          <c:tx>
            <c:strRef>
              <c:f>'Health Indicators'!$E$79</c:f>
              <c:strCache>
                <c:ptCount val="1"/>
                <c:pt idx="0">
                  <c:v>Bewbush</c:v>
                </c:pt>
              </c:strCache>
            </c:strRef>
          </c:tx>
          <c:spPr>
            <a:solidFill>
              <a:schemeClr val="accent4">
                <a:lumMod val="40000"/>
                <a:lumOff val="60000"/>
              </a:schemeClr>
            </a:solidFill>
          </c:spPr>
          <c:invertIfNegative val="0"/>
          <c:dPt>
            <c:idx val="0"/>
            <c:invertIfNegative val="0"/>
            <c:bubble3D val="0"/>
          </c:dPt>
          <c:errBars>
            <c:errBarType val="both"/>
            <c:errValType val="cust"/>
            <c:noEndCap val="0"/>
            <c:plus>
              <c:numRef>
                <c:f>('Health Indicators'!$Q$81,'Health Indicators'!$Q$84,'Health Indicators'!$Q$87,'Health Indicators'!$P$81,'Health Indicators'!$P$84,'Health Indicators'!$P$87)</c:f>
                <c:numCache>
                  <c:formatCode>General</c:formatCode>
                  <c:ptCount val="6"/>
                  <c:pt idx="0">
                    <c:v>6.9697017020961705E-2</c:v>
                  </c:pt>
                  <c:pt idx="1">
                    <c:v>6.427302292486764E-2</c:v>
                  </c:pt>
                  <c:pt idx="2">
                    <c:v>6.7297281465366399E-2</c:v>
                  </c:pt>
                  <c:pt idx="3">
                    <c:v>7.0814550071543081E-2</c:v>
                  </c:pt>
                  <c:pt idx="4">
                    <c:v>6.7956090874152775E-2</c:v>
                  </c:pt>
                  <c:pt idx="5">
                    <c:v>6.9782874774831583E-2</c:v>
                  </c:pt>
                </c:numCache>
              </c:numRef>
            </c:plus>
            <c:minus>
              <c:numRef>
                <c:f>('Health Indicators'!$O$81,'Health Indicators'!$O$84,'Health Indicators'!$O$87,'Health Indicators'!$N$81,'Health Indicators'!$N$84,'Health Indicators'!$N$87)</c:f>
                <c:numCache>
                  <c:formatCode>General</c:formatCode>
                  <c:ptCount val="6"/>
                  <c:pt idx="0">
                    <c:v>6.3021398208596591E-2</c:v>
                  </c:pt>
                  <c:pt idx="1">
                    <c:v>5.5741846998347971E-2</c:v>
                  </c:pt>
                  <c:pt idx="2">
                    <c:v>5.9627134596703435E-2</c:v>
                  </c:pt>
                  <c:pt idx="3">
                    <c:v>6.9771484632111025E-2</c:v>
                  </c:pt>
                  <c:pt idx="4">
                    <c:v>6.7245159546942823E-2</c:v>
                  </c:pt>
                  <c:pt idx="5">
                    <c:v>6.7743974974300958E-2</c:v>
                  </c:pt>
                </c:numCache>
              </c:numRef>
            </c:minus>
          </c:errBars>
          <c:cat>
            <c:multiLvlStrRef>
              <c:f>'Health Indicators'!$F$76:$K$77</c:f>
              <c:multiLvlStrCache>
                <c:ptCount val="6"/>
                <c:lvl>
                  <c:pt idx="0">
                    <c:v>2012/13</c:v>
                  </c:pt>
                  <c:pt idx="1">
                    <c:v>2014/15</c:v>
                  </c:pt>
                  <c:pt idx="2">
                    <c:v>2015/16</c:v>
                  </c:pt>
                  <c:pt idx="3">
                    <c:v>2012/13</c:v>
                  </c:pt>
                  <c:pt idx="4">
                    <c:v>2014/15</c:v>
                  </c:pt>
                  <c:pt idx="5">
                    <c:v>2015/16</c:v>
                  </c:pt>
                </c:lvl>
                <c:lvl>
                  <c:pt idx="0">
                    <c:v>babies exclusively breastfed</c:v>
                  </c:pt>
                  <c:pt idx="3">
                    <c:v>babies partially and exclusively breastfed</c:v>
                  </c:pt>
                </c:lvl>
              </c:multiLvlStrCache>
            </c:multiLvlStrRef>
          </c:cat>
          <c:val>
            <c:numRef>
              <c:f>'Health Indicators'!$F$79:$K$79</c:f>
              <c:numCache>
                <c:formatCode>0.0%</c:formatCode>
                <c:ptCount val="6"/>
                <c:pt idx="0">
                  <c:v>0.33157894736842103</c:v>
                </c:pt>
                <c:pt idx="1">
                  <c:v>0.26699029126213591</c:v>
                </c:pt>
                <c:pt idx="2">
                  <c:v>0.29949238578680204</c:v>
                </c:pt>
                <c:pt idx="3">
                  <c:v>0.47368421052631576</c:v>
                </c:pt>
                <c:pt idx="4">
                  <c:v>0.48058252427184467</c:v>
                </c:pt>
                <c:pt idx="5">
                  <c:v>0.4467005076142132</c:v>
                </c:pt>
              </c:numCache>
            </c:numRef>
          </c:val>
        </c:ser>
        <c:ser>
          <c:idx val="2"/>
          <c:order val="2"/>
          <c:tx>
            <c:strRef>
              <c:f>'Health Indicators'!$E$80</c:f>
              <c:strCache>
                <c:ptCount val="1"/>
                <c:pt idx="0">
                  <c:v>West Sussex</c:v>
                </c:pt>
              </c:strCache>
            </c:strRef>
          </c:tx>
          <c:spPr>
            <a:solidFill>
              <a:schemeClr val="accent3">
                <a:lumMod val="60000"/>
                <a:lumOff val="40000"/>
              </a:schemeClr>
            </a:solidFill>
          </c:spPr>
          <c:invertIfNegative val="0"/>
          <c:errBars>
            <c:errBarType val="both"/>
            <c:errValType val="cust"/>
            <c:noEndCap val="0"/>
            <c:plus>
              <c:numRef>
                <c:f>('Health Indicators'!$Q$82,'Health Indicators'!$Q$85,'Health Indicators'!$Q$88,'Health Indicators'!$P$82,'Health Indicators'!$P$85,'Health Indicators'!$P$88)</c:f>
                <c:numCache>
                  <c:formatCode>General</c:formatCode>
                  <c:ptCount val="6"/>
                  <c:pt idx="0">
                    <c:v>1.0649123126649174E-2</c:v>
                  </c:pt>
                  <c:pt idx="1">
                    <c:v>1.0935801560433722E-2</c:v>
                  </c:pt>
                  <c:pt idx="2">
                    <c:v>1.1537952673417506E-2</c:v>
                  </c:pt>
                  <c:pt idx="3">
                    <c:v>1.0659375451263498E-2</c:v>
                  </c:pt>
                  <c:pt idx="4">
                    <c:v>1.0972433343733989E-2</c:v>
                  </c:pt>
                  <c:pt idx="5">
                    <c:v>1.1528781756301787E-2</c:v>
                  </c:pt>
                </c:numCache>
              </c:numRef>
            </c:plus>
            <c:minus>
              <c:numRef>
                <c:f>('Health Indicators'!$O$82,'Health Indicators'!$O$85,'Health Indicators'!$O$88,'Health Indicators'!$N$82,'Health Indicators'!$N$85,'Health Indicators'!$N$88)</c:f>
                <c:numCache>
                  <c:formatCode>General</c:formatCode>
                  <c:ptCount val="6"/>
                  <c:pt idx="0">
                    <c:v>1.0576061592882935E-2</c:v>
                  </c:pt>
                  <c:pt idx="1">
                    <c:v>1.0841855944892786E-2</c:v>
                  </c:pt>
                  <c:pt idx="2">
                    <c:v>1.1441434199538192E-2</c:v>
                  </c:pt>
                  <c:pt idx="3">
                    <c:v>1.0709624548736474E-2</c:v>
                  </c:pt>
                  <c:pt idx="4">
                    <c:v>1.1034706226567326E-2</c:v>
                  </c:pt>
                  <c:pt idx="5">
                    <c:v>1.1602854073464841E-2</c:v>
                  </c:pt>
                </c:numCache>
              </c:numRef>
            </c:minus>
          </c:errBars>
          <c:cat>
            <c:multiLvlStrRef>
              <c:f>'Health Indicators'!$F$76:$K$77</c:f>
              <c:multiLvlStrCache>
                <c:ptCount val="6"/>
                <c:lvl>
                  <c:pt idx="0">
                    <c:v>2012/13</c:v>
                  </c:pt>
                  <c:pt idx="1">
                    <c:v>2014/15</c:v>
                  </c:pt>
                  <c:pt idx="2">
                    <c:v>2015/16</c:v>
                  </c:pt>
                  <c:pt idx="3">
                    <c:v>2012/13</c:v>
                  </c:pt>
                  <c:pt idx="4">
                    <c:v>2014/15</c:v>
                  </c:pt>
                  <c:pt idx="5">
                    <c:v>2015/16</c:v>
                  </c:pt>
                </c:lvl>
                <c:lvl>
                  <c:pt idx="0">
                    <c:v>babies exclusively breastfed</c:v>
                  </c:pt>
                  <c:pt idx="3">
                    <c:v>babies partially and exclusively breastfed</c:v>
                  </c:pt>
                </c:lvl>
              </c:multiLvlStrCache>
            </c:multiLvlStrRef>
          </c:cat>
          <c:val>
            <c:numRef>
              <c:f>'Health Indicators'!$F$80:$K$80</c:f>
              <c:numCache>
                <c:formatCode>0.0%</c:formatCode>
                <c:ptCount val="6"/>
                <c:pt idx="0">
                  <c:v>0.42093862815884475</c:v>
                </c:pt>
                <c:pt idx="1">
                  <c:v>0.40456351749775671</c:v>
                </c:pt>
                <c:pt idx="2">
                  <c:v>0.41147238392730373</c:v>
                </c:pt>
                <c:pt idx="3">
                  <c:v>0.55415162454873645</c:v>
                </c:pt>
                <c:pt idx="4">
                  <c:v>0.56326112036918341</c:v>
                </c:pt>
                <c:pt idx="5">
                  <c:v>0.56793979838137154</c:v>
                </c:pt>
              </c:numCache>
            </c:numRef>
          </c:val>
        </c:ser>
        <c:dLbls>
          <c:showLegendKey val="0"/>
          <c:showVal val="0"/>
          <c:showCatName val="0"/>
          <c:showSerName val="0"/>
          <c:showPercent val="0"/>
          <c:showBubbleSize val="0"/>
        </c:dLbls>
        <c:gapWidth val="150"/>
        <c:axId val="83751680"/>
        <c:axId val="83753216"/>
      </c:barChart>
      <c:catAx>
        <c:axId val="83751680"/>
        <c:scaling>
          <c:orientation val="minMax"/>
        </c:scaling>
        <c:delete val="0"/>
        <c:axPos val="b"/>
        <c:numFmt formatCode="General" sourceLinked="1"/>
        <c:majorTickMark val="out"/>
        <c:minorTickMark val="none"/>
        <c:tickLblPos val="nextTo"/>
        <c:crossAx val="83753216"/>
        <c:crosses val="autoZero"/>
        <c:auto val="1"/>
        <c:lblAlgn val="ctr"/>
        <c:lblOffset val="100"/>
        <c:noMultiLvlLbl val="0"/>
      </c:catAx>
      <c:valAx>
        <c:axId val="83753216"/>
        <c:scaling>
          <c:orientation val="minMax"/>
          <c:min val="0"/>
        </c:scaling>
        <c:delete val="0"/>
        <c:axPos val="l"/>
        <c:majorGridlines>
          <c:spPr>
            <a:ln>
              <a:solidFill>
                <a:schemeClr val="bg1">
                  <a:lumMod val="75000"/>
                </a:schemeClr>
              </a:solidFill>
            </a:ln>
          </c:spPr>
        </c:majorGridlines>
        <c:title>
          <c:tx>
            <c:rich>
              <a:bodyPr rot="-5400000" vert="horz"/>
              <a:lstStyle/>
              <a:p>
                <a:pPr>
                  <a:defRPr/>
                </a:pPr>
                <a:r>
                  <a:rPr lang="en-GB"/>
                  <a:t>% checked babies breastfed</a:t>
                </a:r>
              </a:p>
            </c:rich>
          </c:tx>
          <c:layout>
            <c:manualLayout>
              <c:xMode val="edge"/>
              <c:yMode val="edge"/>
              <c:x val="2.5715201511000941E-3"/>
              <c:y val="0.21397410519215823"/>
            </c:manualLayout>
          </c:layout>
          <c:overlay val="0"/>
        </c:title>
        <c:numFmt formatCode="0%" sourceLinked="0"/>
        <c:majorTickMark val="out"/>
        <c:minorTickMark val="none"/>
        <c:tickLblPos val="nextTo"/>
        <c:crossAx val="83751680"/>
        <c:crosses val="autoZero"/>
        <c:crossBetween val="between"/>
      </c:valAx>
      <c:spPr>
        <a:solidFill>
          <a:schemeClr val="bg1"/>
        </a:solidFill>
      </c:spPr>
    </c:plotArea>
    <c:legend>
      <c:legendPos val="b"/>
      <c:layout>
        <c:manualLayout>
          <c:xMode val="edge"/>
          <c:yMode val="edge"/>
          <c:x val="0.25147708459519486"/>
          <c:y val="0.93265209167289842"/>
          <c:w val="0.49704583080961035"/>
          <c:h val="6.7347908327101566E-2"/>
        </c:manualLayout>
      </c:layout>
      <c:overlay val="0"/>
    </c:legend>
    <c:plotVisOnly val="1"/>
    <c:dispBlanksAs val="gap"/>
    <c:showDLblsOverMax val="0"/>
  </c:chart>
  <c:spPr>
    <a:ln>
      <a:noFill/>
    </a:ln>
  </c:spPr>
  <c:txPr>
    <a:bodyPr/>
    <a:lstStyle/>
    <a:p>
      <a:pPr>
        <a:defRPr>
          <a:solidFill>
            <a:sysClr val="windowText" lastClr="000000"/>
          </a:solidFill>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38"/>
    </mc:Choice>
    <mc:Fallback>
      <c:style val="38"/>
    </mc:Fallback>
  </mc:AlternateContent>
  <c:chart>
    <c:autoTitleDeleted val="0"/>
    <c:plotArea>
      <c:layout>
        <c:manualLayout>
          <c:layoutTarget val="inner"/>
          <c:xMode val="edge"/>
          <c:yMode val="edge"/>
          <c:x val="9.1104939483776959E-2"/>
          <c:y val="4.2037495110871424E-2"/>
          <c:w val="0.89946842584837849"/>
          <c:h val="0.84955913715321629"/>
        </c:manualLayout>
      </c:layout>
      <c:barChart>
        <c:barDir val="col"/>
        <c:grouping val="clustered"/>
        <c:varyColors val="0"/>
        <c:ser>
          <c:idx val="0"/>
          <c:order val="0"/>
          <c:tx>
            <c:strRef>
              <c:f>'Health Indicators'!$C$289</c:f>
              <c:strCache>
                <c:ptCount val="1"/>
                <c:pt idx="0">
                  <c:v>2009/10</c:v>
                </c:pt>
              </c:strCache>
            </c:strRef>
          </c:tx>
          <c:invertIfNegative val="0"/>
          <c:dPt>
            <c:idx val="0"/>
            <c:invertIfNegative val="0"/>
            <c:bubble3D val="0"/>
            <c:spPr>
              <a:solidFill>
                <a:schemeClr val="accent1">
                  <a:lumMod val="60000"/>
                  <a:lumOff val="40000"/>
                </a:schemeClr>
              </a:solidFill>
            </c:spPr>
          </c:dPt>
          <c:dPt>
            <c:idx val="1"/>
            <c:invertIfNegative val="0"/>
            <c:bubble3D val="0"/>
            <c:spPr>
              <a:solidFill>
                <a:schemeClr val="accent4">
                  <a:lumMod val="40000"/>
                  <a:lumOff val="60000"/>
                </a:schemeClr>
              </a:solidFill>
            </c:spPr>
          </c:dPt>
          <c:dPt>
            <c:idx val="2"/>
            <c:invertIfNegative val="0"/>
            <c:bubble3D val="0"/>
            <c:spPr>
              <a:solidFill>
                <a:schemeClr val="accent3">
                  <a:lumMod val="40000"/>
                  <a:lumOff val="60000"/>
                </a:schemeClr>
              </a:solidFill>
            </c:spPr>
          </c:dPt>
          <c:dPt>
            <c:idx val="3"/>
            <c:invertIfNegative val="0"/>
            <c:bubble3D val="0"/>
            <c:spPr>
              <a:solidFill>
                <a:schemeClr val="bg1">
                  <a:lumMod val="85000"/>
                </a:schemeClr>
              </a:solidFill>
            </c:spPr>
          </c:dPt>
          <c:dLbls>
            <c:txPr>
              <a:bodyPr rot="-5400000" vert="horz"/>
              <a:lstStyle/>
              <a:p>
                <a:pPr>
                  <a:defRPr/>
                </a:pPr>
                <a:endParaRPr lang="en-US"/>
              </a:p>
            </c:txPr>
            <c:dLblPos val="inBase"/>
            <c:showLegendKey val="0"/>
            <c:showVal val="0"/>
            <c:showCatName val="0"/>
            <c:showSerName val="1"/>
            <c:showPercent val="0"/>
            <c:showBubbleSize val="0"/>
            <c:showLeaderLines val="0"/>
          </c:dLbls>
          <c:errBars>
            <c:errBarType val="both"/>
            <c:errValType val="cust"/>
            <c:noEndCap val="0"/>
            <c:plus>
              <c:numRef>
                <c:f>'Health Indicators'!$D$291:$G$291</c:f>
                <c:numCache>
                  <c:formatCode>General</c:formatCode>
                  <c:ptCount val="4"/>
                  <c:pt idx="0">
                    <c:v>4.8436447618485805E-2</c:v>
                  </c:pt>
                  <c:pt idx="1">
                    <c:v>5.9915575166467894E-2</c:v>
                  </c:pt>
                  <c:pt idx="2">
                    <c:v>6.0000000000000053E-3</c:v>
                  </c:pt>
                  <c:pt idx="3">
                    <c:v>1.0000000000000009E-3</c:v>
                  </c:pt>
                </c:numCache>
              </c:numRef>
            </c:plus>
            <c:minus>
              <c:numRef>
                <c:f>'Health Indicators'!$D$290:$G$290</c:f>
                <c:numCache>
                  <c:formatCode>General</c:formatCode>
                  <c:ptCount val="4"/>
                  <c:pt idx="0">
                    <c:v>2.802738917372153E-2</c:v>
                  </c:pt>
                  <c:pt idx="1">
                    <c:v>3.8052786923849238E-2</c:v>
                  </c:pt>
                  <c:pt idx="2">
                    <c:v>6.0000000000000053E-3</c:v>
                  </c:pt>
                  <c:pt idx="3">
                    <c:v>1.0000000000000009E-3</c:v>
                  </c:pt>
                </c:numCache>
              </c:numRef>
            </c:minus>
          </c:errBars>
          <c:cat>
            <c:strRef>
              <c:f>'Health Indicators'!$D$288:$G$288</c:f>
              <c:strCache>
                <c:ptCount val="4"/>
                <c:pt idx="0">
                  <c:v>Angmering</c:v>
                </c:pt>
                <c:pt idx="1">
                  <c:v>Bewbush</c:v>
                </c:pt>
                <c:pt idx="2">
                  <c:v>West Sussex</c:v>
                </c:pt>
                <c:pt idx="3">
                  <c:v>England</c:v>
                </c:pt>
              </c:strCache>
            </c:strRef>
          </c:cat>
          <c:val>
            <c:numRef>
              <c:f>'Health Indicators'!$D$289:$G$289</c:f>
              <c:numCache>
                <c:formatCode>0.0%</c:formatCode>
                <c:ptCount val="4"/>
                <c:pt idx="0">
                  <c:v>6.2111801242236024E-2</c:v>
                </c:pt>
                <c:pt idx="1">
                  <c:v>9.3525179856115109E-2</c:v>
                </c:pt>
                <c:pt idx="2">
                  <c:v>7.8E-2</c:v>
                </c:pt>
                <c:pt idx="3">
                  <c:v>9.8000000000000004E-2</c:v>
                </c:pt>
              </c:numCache>
            </c:numRef>
          </c:val>
        </c:ser>
        <c:ser>
          <c:idx val="1"/>
          <c:order val="1"/>
          <c:tx>
            <c:strRef>
              <c:f>'Health Indicators'!$C$292</c:f>
              <c:strCache>
                <c:ptCount val="1"/>
                <c:pt idx="0">
                  <c:v>2010/11</c:v>
                </c:pt>
              </c:strCache>
            </c:strRef>
          </c:tx>
          <c:invertIfNegative val="0"/>
          <c:dPt>
            <c:idx val="0"/>
            <c:invertIfNegative val="0"/>
            <c:bubble3D val="0"/>
            <c:spPr>
              <a:solidFill>
                <a:schemeClr val="accent1">
                  <a:lumMod val="60000"/>
                  <a:lumOff val="40000"/>
                </a:schemeClr>
              </a:solidFill>
            </c:spPr>
          </c:dPt>
          <c:dPt>
            <c:idx val="1"/>
            <c:invertIfNegative val="0"/>
            <c:bubble3D val="0"/>
            <c:spPr>
              <a:solidFill>
                <a:schemeClr val="accent4">
                  <a:lumMod val="40000"/>
                  <a:lumOff val="60000"/>
                </a:schemeClr>
              </a:solidFill>
            </c:spPr>
          </c:dPt>
          <c:dPt>
            <c:idx val="2"/>
            <c:invertIfNegative val="0"/>
            <c:bubble3D val="0"/>
            <c:spPr>
              <a:solidFill>
                <a:schemeClr val="accent3">
                  <a:lumMod val="40000"/>
                  <a:lumOff val="60000"/>
                </a:schemeClr>
              </a:solidFill>
            </c:spPr>
          </c:dPt>
          <c:dPt>
            <c:idx val="3"/>
            <c:invertIfNegative val="0"/>
            <c:bubble3D val="0"/>
            <c:spPr>
              <a:solidFill>
                <a:schemeClr val="bg1">
                  <a:lumMod val="85000"/>
                </a:schemeClr>
              </a:solidFill>
            </c:spPr>
          </c:dPt>
          <c:dLbls>
            <c:txPr>
              <a:bodyPr rot="-5400000" vert="horz"/>
              <a:lstStyle/>
              <a:p>
                <a:pPr>
                  <a:defRPr/>
                </a:pPr>
                <a:endParaRPr lang="en-US"/>
              </a:p>
            </c:txPr>
            <c:dLblPos val="inBase"/>
            <c:showLegendKey val="0"/>
            <c:showVal val="0"/>
            <c:showCatName val="0"/>
            <c:showSerName val="1"/>
            <c:showPercent val="0"/>
            <c:showBubbleSize val="0"/>
            <c:showLeaderLines val="0"/>
          </c:dLbls>
          <c:errBars>
            <c:errBarType val="both"/>
            <c:errValType val="cust"/>
            <c:noEndCap val="0"/>
            <c:plus>
              <c:numRef>
                <c:f>'Health Indicators'!$D$294:$G$294</c:f>
                <c:numCache>
                  <c:formatCode>General</c:formatCode>
                  <c:ptCount val="4"/>
                  <c:pt idx="0">
                    <c:v>4.6379366466849758E-2</c:v>
                  </c:pt>
                  <c:pt idx="1">
                    <c:v>5.5171878250809547E-2</c:v>
                  </c:pt>
                  <c:pt idx="2">
                    <c:v>6.0000000000000053E-3</c:v>
                  </c:pt>
                  <c:pt idx="3">
                    <c:v>1.0000000000000009E-3</c:v>
                  </c:pt>
                </c:numCache>
              </c:numRef>
            </c:plus>
            <c:minus>
              <c:numRef>
                <c:f>'Health Indicators'!$D$293:$G$293</c:f>
                <c:numCache>
                  <c:formatCode>General</c:formatCode>
                  <c:ptCount val="4"/>
                  <c:pt idx="0">
                    <c:v>2.5897355171034496E-2</c:v>
                  </c:pt>
                  <c:pt idx="1">
                    <c:v>3.726424956854299E-2</c:v>
                  </c:pt>
                  <c:pt idx="2">
                    <c:v>6.0000000000000053E-3</c:v>
                  </c:pt>
                  <c:pt idx="3">
                    <c:v>1.0000000000000009E-3</c:v>
                  </c:pt>
                </c:numCache>
              </c:numRef>
            </c:minus>
          </c:errBars>
          <c:cat>
            <c:strRef>
              <c:f>'Health Indicators'!$D$288:$G$288</c:f>
              <c:strCache>
                <c:ptCount val="4"/>
                <c:pt idx="0">
                  <c:v>Angmering</c:v>
                </c:pt>
                <c:pt idx="1">
                  <c:v>Bewbush</c:v>
                </c:pt>
                <c:pt idx="2">
                  <c:v>West Sussex</c:v>
                </c:pt>
                <c:pt idx="3">
                  <c:v>England</c:v>
                </c:pt>
              </c:strCache>
            </c:strRef>
          </c:cat>
          <c:val>
            <c:numRef>
              <c:f>'Health Indicators'!$D$292:$G$292</c:f>
              <c:numCache>
                <c:formatCode>0.0%</c:formatCode>
                <c:ptCount val="4"/>
                <c:pt idx="0">
                  <c:v>5.5214723926380369E-2</c:v>
                </c:pt>
                <c:pt idx="1">
                  <c:v>0.10179640718562874</c:v>
                </c:pt>
                <c:pt idx="2">
                  <c:v>0.08</c:v>
                </c:pt>
                <c:pt idx="3">
                  <c:v>9.4E-2</c:v>
                </c:pt>
              </c:numCache>
            </c:numRef>
          </c:val>
        </c:ser>
        <c:ser>
          <c:idx val="2"/>
          <c:order val="2"/>
          <c:tx>
            <c:strRef>
              <c:f>'Health Indicators'!$C$295</c:f>
              <c:strCache>
                <c:ptCount val="1"/>
                <c:pt idx="0">
                  <c:v>2011/12</c:v>
                </c:pt>
              </c:strCache>
            </c:strRef>
          </c:tx>
          <c:invertIfNegative val="0"/>
          <c:dPt>
            <c:idx val="0"/>
            <c:invertIfNegative val="0"/>
            <c:bubble3D val="0"/>
            <c:spPr>
              <a:solidFill>
                <a:schemeClr val="accent1">
                  <a:lumMod val="60000"/>
                  <a:lumOff val="40000"/>
                </a:schemeClr>
              </a:solidFill>
            </c:spPr>
          </c:dPt>
          <c:dPt>
            <c:idx val="1"/>
            <c:invertIfNegative val="0"/>
            <c:bubble3D val="0"/>
            <c:spPr>
              <a:solidFill>
                <a:schemeClr val="accent4">
                  <a:lumMod val="40000"/>
                  <a:lumOff val="60000"/>
                </a:schemeClr>
              </a:solidFill>
            </c:spPr>
          </c:dPt>
          <c:dPt>
            <c:idx val="2"/>
            <c:invertIfNegative val="0"/>
            <c:bubble3D val="0"/>
            <c:spPr>
              <a:solidFill>
                <a:schemeClr val="accent3">
                  <a:lumMod val="40000"/>
                  <a:lumOff val="60000"/>
                </a:schemeClr>
              </a:solidFill>
            </c:spPr>
          </c:dPt>
          <c:dPt>
            <c:idx val="3"/>
            <c:invertIfNegative val="0"/>
            <c:bubble3D val="0"/>
            <c:spPr>
              <a:solidFill>
                <a:schemeClr val="bg1">
                  <a:lumMod val="85000"/>
                </a:schemeClr>
              </a:solidFill>
            </c:spPr>
          </c:dPt>
          <c:dLbls>
            <c:txPr>
              <a:bodyPr rot="-5400000" vert="horz"/>
              <a:lstStyle/>
              <a:p>
                <a:pPr>
                  <a:defRPr/>
                </a:pPr>
                <a:endParaRPr lang="en-US"/>
              </a:p>
            </c:txPr>
            <c:dLblPos val="inBase"/>
            <c:showLegendKey val="0"/>
            <c:showVal val="0"/>
            <c:showCatName val="0"/>
            <c:showSerName val="1"/>
            <c:showPercent val="0"/>
            <c:showBubbleSize val="0"/>
            <c:showLeaderLines val="0"/>
          </c:dLbls>
          <c:errBars>
            <c:errBarType val="both"/>
            <c:errValType val="cust"/>
            <c:noEndCap val="0"/>
            <c:plus>
              <c:numRef>
                <c:f>'Health Indicators'!$D$297:$G$297</c:f>
                <c:numCache>
                  <c:formatCode>General</c:formatCode>
                  <c:ptCount val="4"/>
                  <c:pt idx="0">
                    <c:v>5.7111148960977409E-2</c:v>
                  </c:pt>
                  <c:pt idx="1">
                    <c:v>5.9135890371956643E-2</c:v>
                  </c:pt>
                  <c:pt idx="2">
                    <c:v>6.0000000000000053E-3</c:v>
                  </c:pt>
                  <c:pt idx="3">
                    <c:v>1.0000000000000009E-3</c:v>
                  </c:pt>
                </c:numCache>
              </c:numRef>
            </c:plus>
            <c:minus>
              <c:numRef>
                <c:f>'Health Indicators'!$D$296:$G$296</c:f>
                <c:numCache>
                  <c:formatCode>General</c:formatCode>
                  <c:ptCount val="4"/>
                  <c:pt idx="0">
                    <c:v>3.2383650085774991E-2</c:v>
                  </c:pt>
                  <c:pt idx="1">
                    <c:v>3.8964951820615081E-2</c:v>
                  </c:pt>
                  <c:pt idx="2">
                    <c:v>6.0000000000000053E-3</c:v>
                  </c:pt>
                  <c:pt idx="3">
                    <c:v>1.0000000000000009E-3</c:v>
                  </c:pt>
                </c:numCache>
              </c:numRef>
            </c:minus>
          </c:errBars>
          <c:cat>
            <c:strRef>
              <c:f>'Health Indicators'!$D$288:$G$288</c:f>
              <c:strCache>
                <c:ptCount val="4"/>
                <c:pt idx="0">
                  <c:v>Angmering</c:v>
                </c:pt>
                <c:pt idx="1">
                  <c:v>Bewbush</c:v>
                </c:pt>
                <c:pt idx="2">
                  <c:v>West Sussex</c:v>
                </c:pt>
                <c:pt idx="3">
                  <c:v>England</c:v>
                </c:pt>
              </c:strCache>
            </c:strRef>
          </c:cat>
          <c:val>
            <c:numRef>
              <c:f>'Health Indicators'!$D$295:$G$295</c:f>
              <c:numCache>
                <c:formatCode>0.0%</c:formatCode>
                <c:ptCount val="4"/>
                <c:pt idx="0">
                  <c:v>6.9230769230769235E-2</c:v>
                </c:pt>
                <c:pt idx="1">
                  <c:v>0.10135135135135136</c:v>
                </c:pt>
                <c:pt idx="2">
                  <c:v>7.9000000000000001E-2</c:v>
                </c:pt>
                <c:pt idx="3">
                  <c:v>9.5000000000000001E-2</c:v>
                </c:pt>
              </c:numCache>
            </c:numRef>
          </c:val>
        </c:ser>
        <c:ser>
          <c:idx val="3"/>
          <c:order val="3"/>
          <c:tx>
            <c:strRef>
              <c:f>'Health Indicators'!$C$298</c:f>
              <c:strCache>
                <c:ptCount val="1"/>
                <c:pt idx="0">
                  <c:v>2012/13</c:v>
                </c:pt>
              </c:strCache>
            </c:strRef>
          </c:tx>
          <c:spPr>
            <a:solidFill>
              <a:schemeClr val="accent1">
                <a:lumMod val="60000"/>
                <a:lumOff val="40000"/>
              </a:schemeClr>
            </a:solidFill>
          </c:spPr>
          <c:invertIfNegative val="0"/>
          <c:dPt>
            <c:idx val="1"/>
            <c:invertIfNegative val="0"/>
            <c:bubble3D val="0"/>
            <c:spPr>
              <a:solidFill>
                <a:schemeClr val="accent4">
                  <a:lumMod val="40000"/>
                  <a:lumOff val="60000"/>
                </a:schemeClr>
              </a:solidFill>
            </c:spPr>
          </c:dPt>
          <c:dPt>
            <c:idx val="2"/>
            <c:invertIfNegative val="0"/>
            <c:bubble3D val="0"/>
            <c:spPr>
              <a:solidFill>
                <a:schemeClr val="accent3">
                  <a:lumMod val="40000"/>
                  <a:lumOff val="60000"/>
                </a:schemeClr>
              </a:solidFill>
            </c:spPr>
          </c:dPt>
          <c:dPt>
            <c:idx val="3"/>
            <c:invertIfNegative val="0"/>
            <c:bubble3D val="0"/>
            <c:spPr>
              <a:solidFill>
                <a:schemeClr val="bg1">
                  <a:lumMod val="85000"/>
                </a:schemeClr>
              </a:solidFill>
            </c:spPr>
          </c:dPt>
          <c:dLbls>
            <c:txPr>
              <a:bodyPr rot="-5400000" vert="horz"/>
              <a:lstStyle/>
              <a:p>
                <a:pPr>
                  <a:defRPr/>
                </a:pPr>
                <a:endParaRPr lang="en-US"/>
              </a:p>
            </c:txPr>
            <c:dLblPos val="inBase"/>
            <c:showLegendKey val="0"/>
            <c:showVal val="0"/>
            <c:showCatName val="0"/>
            <c:showSerName val="1"/>
            <c:showPercent val="0"/>
            <c:showBubbleSize val="0"/>
            <c:showLeaderLines val="0"/>
          </c:dLbls>
          <c:errBars>
            <c:errBarType val="both"/>
            <c:errValType val="cust"/>
            <c:noEndCap val="0"/>
            <c:plus>
              <c:numRef>
                <c:f>'Health Indicators'!$D$300:$G$300</c:f>
                <c:numCache>
                  <c:formatCode>General</c:formatCode>
                  <c:ptCount val="4"/>
                  <c:pt idx="0">
                    <c:v>5.4737077439525203E-2</c:v>
                  </c:pt>
                  <c:pt idx="1">
                    <c:v>5.456547821126348E-2</c:v>
                  </c:pt>
                  <c:pt idx="2">
                    <c:v>6.0000000000000053E-3</c:v>
                  </c:pt>
                  <c:pt idx="3">
                    <c:v>1.0000000000000009E-3</c:v>
                  </c:pt>
                </c:numCache>
              </c:numRef>
            </c:plus>
            <c:minus>
              <c:numRef>
                <c:f>'Health Indicators'!$D$299:$G$299</c:f>
                <c:numCache>
                  <c:formatCode>General</c:formatCode>
                  <c:ptCount val="4"/>
                  <c:pt idx="0">
                    <c:v>3.6397691800516219E-2</c:v>
                  </c:pt>
                  <c:pt idx="1">
                    <c:v>3.9061390396430862E-2</c:v>
                  </c:pt>
                  <c:pt idx="2">
                    <c:v>6.0000000000000053E-3</c:v>
                  </c:pt>
                  <c:pt idx="3">
                    <c:v>1.0000000000000009E-3</c:v>
                  </c:pt>
                </c:numCache>
              </c:numRef>
            </c:minus>
          </c:errBars>
          <c:cat>
            <c:strRef>
              <c:f>'Health Indicators'!$D$288:$G$288</c:f>
              <c:strCache>
                <c:ptCount val="4"/>
                <c:pt idx="0">
                  <c:v>Angmering</c:v>
                </c:pt>
                <c:pt idx="1">
                  <c:v>Bewbush</c:v>
                </c:pt>
                <c:pt idx="2">
                  <c:v>West Sussex</c:v>
                </c:pt>
                <c:pt idx="3">
                  <c:v>England</c:v>
                </c:pt>
              </c:strCache>
            </c:strRef>
          </c:cat>
          <c:val>
            <c:numRef>
              <c:f>'Health Indicators'!$D$298:$G$298</c:f>
              <c:numCache>
                <c:formatCode>0.0%</c:formatCode>
                <c:ptCount val="4"/>
                <c:pt idx="0">
                  <c:v>9.696969696969697E-2</c:v>
                </c:pt>
                <c:pt idx="1">
                  <c:v>0.11891891891891893</c:v>
                </c:pt>
                <c:pt idx="2">
                  <c:v>8.5000000000000006E-2</c:v>
                </c:pt>
                <c:pt idx="3">
                  <c:v>9.2999999999999999E-2</c:v>
                </c:pt>
              </c:numCache>
            </c:numRef>
          </c:val>
        </c:ser>
        <c:ser>
          <c:idx val="4"/>
          <c:order val="4"/>
          <c:tx>
            <c:strRef>
              <c:f>'Health Indicators'!$C$301</c:f>
              <c:strCache>
                <c:ptCount val="1"/>
                <c:pt idx="0">
                  <c:v>2013/14</c:v>
                </c:pt>
              </c:strCache>
            </c:strRef>
          </c:tx>
          <c:invertIfNegative val="0"/>
          <c:dPt>
            <c:idx val="0"/>
            <c:invertIfNegative val="0"/>
            <c:bubble3D val="0"/>
            <c:spPr>
              <a:solidFill>
                <a:schemeClr val="accent1">
                  <a:lumMod val="60000"/>
                  <a:lumOff val="40000"/>
                </a:schemeClr>
              </a:solidFill>
            </c:spPr>
          </c:dPt>
          <c:dPt>
            <c:idx val="1"/>
            <c:invertIfNegative val="0"/>
            <c:bubble3D val="0"/>
            <c:spPr>
              <a:solidFill>
                <a:schemeClr val="accent4">
                  <a:lumMod val="40000"/>
                  <a:lumOff val="60000"/>
                </a:schemeClr>
              </a:solidFill>
            </c:spPr>
          </c:dPt>
          <c:dPt>
            <c:idx val="2"/>
            <c:invertIfNegative val="0"/>
            <c:bubble3D val="0"/>
            <c:spPr>
              <a:solidFill>
                <a:schemeClr val="accent3">
                  <a:lumMod val="40000"/>
                  <a:lumOff val="60000"/>
                </a:schemeClr>
              </a:solidFill>
            </c:spPr>
          </c:dPt>
          <c:dPt>
            <c:idx val="3"/>
            <c:invertIfNegative val="0"/>
            <c:bubble3D val="0"/>
            <c:spPr>
              <a:solidFill>
                <a:schemeClr val="bg1">
                  <a:lumMod val="85000"/>
                </a:schemeClr>
              </a:solidFill>
            </c:spPr>
          </c:dPt>
          <c:dLbls>
            <c:txPr>
              <a:bodyPr rot="-5400000" vert="horz"/>
              <a:lstStyle/>
              <a:p>
                <a:pPr>
                  <a:defRPr/>
                </a:pPr>
                <a:endParaRPr lang="en-US"/>
              </a:p>
            </c:txPr>
            <c:dLblPos val="inBase"/>
            <c:showLegendKey val="0"/>
            <c:showVal val="0"/>
            <c:showCatName val="0"/>
            <c:showSerName val="1"/>
            <c:showPercent val="0"/>
            <c:showBubbleSize val="0"/>
            <c:showLeaderLines val="0"/>
          </c:dLbls>
          <c:errBars>
            <c:errBarType val="both"/>
            <c:errValType val="cust"/>
            <c:noEndCap val="0"/>
            <c:plus>
              <c:numRef>
                <c:f>'Health Indicators'!$D$303:$G$303</c:f>
                <c:numCache>
                  <c:formatCode>General</c:formatCode>
                  <c:ptCount val="4"/>
                  <c:pt idx="0">
                    <c:v>6.8182855293925371E-2</c:v>
                  </c:pt>
                  <c:pt idx="1">
                    <c:v>7.0265345045057465E-2</c:v>
                  </c:pt>
                  <c:pt idx="2">
                    <c:v>7.6060000000000016E-3</c:v>
                  </c:pt>
                  <c:pt idx="3">
                    <c:v>7.5200000000000267E-4</c:v>
                  </c:pt>
                </c:numCache>
              </c:numRef>
            </c:plus>
            <c:minus>
              <c:numRef>
                <c:f>'Health Indicators'!$D$302:$G$302</c:f>
                <c:numCache>
                  <c:formatCode>General</c:formatCode>
                  <c:ptCount val="4"/>
                  <c:pt idx="0">
                    <c:v>4.2914480536368094E-2</c:v>
                  </c:pt>
                  <c:pt idx="1">
                    <c:v>4.5395469312579192E-2</c:v>
                  </c:pt>
                  <c:pt idx="2">
                    <c:v>7.0349999999999857E-3</c:v>
                  </c:pt>
                  <c:pt idx="3">
                    <c:v>7.4600000000001054E-4</c:v>
                  </c:pt>
                </c:numCache>
              </c:numRef>
            </c:minus>
          </c:errBars>
          <c:cat>
            <c:strRef>
              <c:f>'Health Indicators'!$D$288:$G$288</c:f>
              <c:strCache>
                <c:ptCount val="4"/>
                <c:pt idx="0">
                  <c:v>Angmering</c:v>
                </c:pt>
                <c:pt idx="1">
                  <c:v>Bewbush</c:v>
                </c:pt>
                <c:pt idx="2">
                  <c:v>West Sussex</c:v>
                </c:pt>
                <c:pt idx="3">
                  <c:v>England</c:v>
                </c:pt>
              </c:strCache>
            </c:strRef>
          </c:cat>
          <c:val>
            <c:numRef>
              <c:f>'Health Indicators'!$D$301:$G$301</c:f>
              <c:numCache>
                <c:formatCode>0.0%</c:formatCode>
                <c:ptCount val="4"/>
                <c:pt idx="0">
                  <c:v>0.10256410256410256</c:v>
                </c:pt>
                <c:pt idx="1">
                  <c:v>0.11206896551724138</c:v>
                </c:pt>
                <c:pt idx="2">
                  <c:v>8.5063999999999987E-2</c:v>
                </c:pt>
                <c:pt idx="3">
                  <c:v>9.4788999999999998E-2</c:v>
                </c:pt>
              </c:numCache>
            </c:numRef>
          </c:val>
        </c:ser>
        <c:ser>
          <c:idx val="5"/>
          <c:order val="5"/>
          <c:tx>
            <c:strRef>
              <c:f>'Health Indicators'!$C$304</c:f>
              <c:strCache>
                <c:ptCount val="1"/>
                <c:pt idx="0">
                  <c:v>2014/15</c:v>
                </c:pt>
              </c:strCache>
            </c:strRef>
          </c:tx>
          <c:invertIfNegative val="0"/>
          <c:dPt>
            <c:idx val="0"/>
            <c:invertIfNegative val="0"/>
            <c:bubble3D val="0"/>
            <c:spPr>
              <a:solidFill>
                <a:schemeClr val="accent1">
                  <a:lumMod val="60000"/>
                  <a:lumOff val="40000"/>
                </a:schemeClr>
              </a:solidFill>
            </c:spPr>
          </c:dPt>
          <c:dPt>
            <c:idx val="1"/>
            <c:invertIfNegative val="0"/>
            <c:bubble3D val="0"/>
            <c:spPr>
              <a:solidFill>
                <a:schemeClr val="accent4">
                  <a:lumMod val="40000"/>
                  <a:lumOff val="60000"/>
                </a:schemeClr>
              </a:solidFill>
            </c:spPr>
          </c:dPt>
          <c:dPt>
            <c:idx val="2"/>
            <c:invertIfNegative val="0"/>
            <c:bubble3D val="0"/>
            <c:spPr>
              <a:solidFill>
                <a:schemeClr val="accent3">
                  <a:lumMod val="40000"/>
                  <a:lumOff val="60000"/>
                </a:schemeClr>
              </a:solidFill>
            </c:spPr>
          </c:dPt>
          <c:dPt>
            <c:idx val="3"/>
            <c:invertIfNegative val="0"/>
            <c:bubble3D val="0"/>
            <c:spPr>
              <a:solidFill>
                <a:schemeClr val="bg1">
                  <a:lumMod val="85000"/>
                </a:schemeClr>
              </a:solidFill>
            </c:spPr>
          </c:dPt>
          <c:dLbls>
            <c:txPr>
              <a:bodyPr rot="-5400000" vert="horz"/>
              <a:lstStyle/>
              <a:p>
                <a:pPr>
                  <a:defRPr/>
                </a:pPr>
                <a:endParaRPr lang="en-US"/>
              </a:p>
            </c:txPr>
            <c:dLblPos val="inBase"/>
            <c:showLegendKey val="0"/>
            <c:showVal val="0"/>
            <c:showCatName val="0"/>
            <c:showSerName val="1"/>
            <c:showPercent val="0"/>
            <c:showBubbleSize val="0"/>
            <c:showLeaderLines val="0"/>
          </c:dLbls>
          <c:errBars>
            <c:errBarType val="both"/>
            <c:errValType val="cust"/>
            <c:noEndCap val="0"/>
            <c:plus>
              <c:numRef>
                <c:f>'Health Indicators'!$D$306:$G$306</c:f>
                <c:numCache>
                  <c:formatCode>General</c:formatCode>
                  <c:ptCount val="4"/>
                  <c:pt idx="0">
                    <c:v>5.3056577901989782E-2</c:v>
                  </c:pt>
                  <c:pt idx="1">
                    <c:v>4.5159218897402639E-2</c:v>
                  </c:pt>
                  <c:pt idx="2">
                    <c:v>5.8237910764310091E-3</c:v>
                  </c:pt>
                  <c:pt idx="3">
                    <c:v>7.2325406318779484E-4</c:v>
                  </c:pt>
                </c:numCache>
              </c:numRef>
            </c:plus>
            <c:minus>
              <c:numRef>
                <c:f>'Health Indicators'!$D$305:$G$305</c:f>
                <c:numCache>
                  <c:formatCode>General</c:formatCode>
                  <c:ptCount val="4"/>
                  <c:pt idx="0">
                    <c:v>3.8243719827106434E-2</c:v>
                  </c:pt>
                  <c:pt idx="1">
                    <c:v>3.2927002054915416E-2</c:v>
                  </c:pt>
                  <c:pt idx="2">
                    <c:v>5.4227296100999023E-3</c:v>
                  </c:pt>
                  <c:pt idx="3">
                    <c:v>7.1810567819981241E-4</c:v>
                  </c:pt>
                </c:numCache>
              </c:numRef>
            </c:minus>
          </c:errBars>
          <c:cat>
            <c:strRef>
              <c:f>'Health Indicators'!$D$288:$G$288</c:f>
              <c:strCache>
                <c:ptCount val="4"/>
                <c:pt idx="0">
                  <c:v>Angmering</c:v>
                </c:pt>
                <c:pt idx="1">
                  <c:v>Bewbush</c:v>
                </c:pt>
                <c:pt idx="2">
                  <c:v>West Sussex</c:v>
                </c:pt>
                <c:pt idx="3">
                  <c:v>England</c:v>
                </c:pt>
              </c:strCache>
            </c:strRef>
          </c:cat>
          <c:val>
            <c:numRef>
              <c:f>'Health Indicators'!$D$304:$G$304</c:f>
              <c:numCache>
                <c:formatCode>0.0%</c:formatCode>
                <c:ptCount val="4"/>
                <c:pt idx="0">
                  <c:v>0.11855670103092783</c:v>
                </c:pt>
                <c:pt idx="1">
                  <c:v>0.10699588477366255</c:v>
                </c:pt>
                <c:pt idx="2">
                  <c:v>7.25806451612903E-2</c:v>
                </c:pt>
                <c:pt idx="3">
                  <c:v>9.0805324284844002E-2</c:v>
                </c:pt>
              </c:numCache>
            </c:numRef>
          </c:val>
        </c:ser>
        <c:ser>
          <c:idx val="6"/>
          <c:order val="6"/>
          <c:tx>
            <c:strRef>
              <c:f>'Health Indicators'!$C$307</c:f>
              <c:strCache>
                <c:ptCount val="1"/>
                <c:pt idx="0">
                  <c:v>2015/16</c:v>
                </c:pt>
              </c:strCache>
            </c:strRef>
          </c:tx>
          <c:invertIfNegative val="0"/>
          <c:dPt>
            <c:idx val="0"/>
            <c:invertIfNegative val="0"/>
            <c:bubble3D val="0"/>
            <c:spPr>
              <a:solidFill>
                <a:schemeClr val="accent1">
                  <a:lumMod val="60000"/>
                  <a:lumOff val="40000"/>
                </a:schemeClr>
              </a:solidFill>
            </c:spPr>
          </c:dPt>
          <c:dPt>
            <c:idx val="2"/>
            <c:invertIfNegative val="0"/>
            <c:bubble3D val="0"/>
            <c:spPr>
              <a:solidFill>
                <a:schemeClr val="accent3">
                  <a:lumMod val="40000"/>
                  <a:lumOff val="60000"/>
                </a:schemeClr>
              </a:solidFill>
            </c:spPr>
          </c:dPt>
          <c:dPt>
            <c:idx val="3"/>
            <c:invertIfNegative val="0"/>
            <c:bubble3D val="0"/>
            <c:spPr>
              <a:solidFill>
                <a:schemeClr val="bg1">
                  <a:lumMod val="85000"/>
                </a:schemeClr>
              </a:solidFill>
            </c:spPr>
          </c:dPt>
          <c:dLbls>
            <c:txPr>
              <a:bodyPr rot="-5400000" vert="horz"/>
              <a:lstStyle/>
              <a:p>
                <a:pPr>
                  <a:defRPr/>
                </a:pPr>
                <a:endParaRPr lang="en-US"/>
              </a:p>
            </c:txPr>
            <c:dLblPos val="inBase"/>
            <c:showLegendKey val="0"/>
            <c:showVal val="0"/>
            <c:showCatName val="0"/>
            <c:showSerName val="1"/>
            <c:showPercent val="0"/>
            <c:showBubbleSize val="0"/>
            <c:showLeaderLines val="0"/>
          </c:dLbls>
          <c:errBars>
            <c:errBarType val="both"/>
            <c:errValType val="cust"/>
            <c:noEndCap val="0"/>
            <c:plus>
              <c:numRef>
                <c:f>'Health Indicators'!$D$309:$G$309</c:f>
                <c:numCache>
                  <c:formatCode>General</c:formatCode>
                  <c:ptCount val="4"/>
                  <c:pt idx="0">
                    <c:v>4.610395891091161E-2</c:v>
                  </c:pt>
                  <c:pt idx="1">
                    <c:v>5.808910781264856E-2</c:v>
                  </c:pt>
                  <c:pt idx="2">
                    <c:v>5.8359271342182939E-3</c:v>
                  </c:pt>
                  <c:pt idx="3">
                    <c:v>7.2281827008401078E-4</c:v>
                  </c:pt>
                </c:numCache>
              </c:numRef>
            </c:plus>
            <c:minus>
              <c:numRef>
                <c:f>'Health Indicators'!$D$308:$G$308</c:f>
                <c:numCache>
                  <c:formatCode>General</c:formatCode>
                  <c:ptCount val="4"/>
                  <c:pt idx="0">
                    <c:v>3.1496499044766618E-2</c:v>
                  </c:pt>
                  <c:pt idx="1">
                    <c:v>4.4877639799914743E-2</c:v>
                  </c:pt>
                  <c:pt idx="2">
                    <c:v>5.4490222108150993E-3</c:v>
                  </c:pt>
                  <c:pt idx="3">
                    <c:v>7.1781945690138627E-4</c:v>
                  </c:pt>
                </c:numCache>
              </c:numRef>
            </c:minus>
          </c:errBars>
          <c:cat>
            <c:strRef>
              <c:f>'Health Indicators'!$D$288:$G$288</c:f>
              <c:strCache>
                <c:ptCount val="4"/>
                <c:pt idx="0">
                  <c:v>Angmering</c:v>
                </c:pt>
                <c:pt idx="1">
                  <c:v>Bewbush</c:v>
                </c:pt>
                <c:pt idx="2">
                  <c:v>West Sussex</c:v>
                </c:pt>
                <c:pt idx="3">
                  <c:v>England</c:v>
                </c:pt>
              </c:strCache>
            </c:strRef>
          </c:cat>
          <c:val>
            <c:numRef>
              <c:f>'Health Indicators'!$D$307:$G$307</c:f>
              <c:numCache>
                <c:formatCode>0.0%</c:formatCode>
                <c:ptCount val="4"/>
                <c:pt idx="0">
                  <c:v>8.9622641509433956E-2</c:v>
                </c:pt>
                <c:pt idx="1">
                  <c:v>0.15979381443298968</c:v>
                </c:pt>
                <c:pt idx="2">
                  <c:v>7.5480655115119907E-2</c:v>
                </c:pt>
                <c:pt idx="3">
                  <c:v>9.3135420564633489E-2</c:v>
                </c:pt>
              </c:numCache>
            </c:numRef>
          </c:val>
        </c:ser>
        <c:dLbls>
          <c:showLegendKey val="0"/>
          <c:showVal val="0"/>
          <c:showCatName val="0"/>
          <c:showSerName val="0"/>
          <c:showPercent val="0"/>
          <c:showBubbleSize val="0"/>
        </c:dLbls>
        <c:gapWidth val="150"/>
        <c:axId val="84126720"/>
        <c:axId val="84132608"/>
      </c:barChart>
      <c:catAx>
        <c:axId val="84126720"/>
        <c:scaling>
          <c:orientation val="minMax"/>
        </c:scaling>
        <c:delete val="0"/>
        <c:axPos val="b"/>
        <c:majorTickMark val="out"/>
        <c:minorTickMark val="none"/>
        <c:tickLblPos val="nextTo"/>
        <c:crossAx val="84132608"/>
        <c:crosses val="autoZero"/>
        <c:auto val="1"/>
        <c:lblAlgn val="ctr"/>
        <c:lblOffset val="100"/>
        <c:noMultiLvlLbl val="0"/>
      </c:catAx>
      <c:valAx>
        <c:axId val="84132608"/>
        <c:scaling>
          <c:orientation val="minMax"/>
        </c:scaling>
        <c:delete val="0"/>
        <c:axPos val="l"/>
        <c:majorGridlines>
          <c:spPr>
            <a:ln>
              <a:solidFill>
                <a:schemeClr val="bg1">
                  <a:lumMod val="75000"/>
                </a:schemeClr>
              </a:solidFill>
            </a:ln>
          </c:spPr>
        </c:majorGridlines>
        <c:title>
          <c:tx>
            <c:rich>
              <a:bodyPr rot="-5400000" vert="horz"/>
              <a:lstStyle/>
              <a:p>
                <a:pPr>
                  <a:defRPr/>
                </a:pPr>
                <a:r>
                  <a:rPr lang="en-US"/>
                  <a:t>% of reception age children measured as obese</a:t>
                </a:r>
              </a:p>
            </c:rich>
          </c:tx>
          <c:overlay val="0"/>
        </c:title>
        <c:numFmt formatCode="0.0%" sourceLinked="1"/>
        <c:majorTickMark val="out"/>
        <c:minorTickMark val="none"/>
        <c:tickLblPos val="nextTo"/>
        <c:crossAx val="84126720"/>
        <c:crosses val="autoZero"/>
        <c:crossBetween val="between"/>
      </c:valAx>
      <c:spPr>
        <a:solidFill>
          <a:schemeClr val="bg1"/>
        </a:solidFill>
      </c:spPr>
    </c:plotArea>
    <c:plotVisOnly val="1"/>
    <c:dispBlanksAs val="gap"/>
    <c:showDLblsOverMax val="0"/>
  </c:chart>
  <c:spPr>
    <a:ln>
      <a:noFill/>
    </a:ln>
  </c:spPr>
  <c:printSettings>
    <c:headerFooter/>
    <c:pageMargins b="0.75" l="0.7" r="0.7" t="0.75" header="0.3" footer="0.3"/>
    <c:pageSetup/>
  </c:printSettings>
</c:chartSpace>
</file>

<file path=xl/ctrlProps/ctrlProp1.xml><?xml version="1.0" encoding="utf-8"?>
<formControlPr xmlns="http://schemas.microsoft.com/office/spreadsheetml/2009/9/main" objectType="Drop" dropLines="15" dropStyle="combo" dx="16" fmlaLink="Data!$A$3" fmlaRange="Data!$A$6:$A$78" noThreeD="1" val="0"/>
</file>

<file path=xl/ctrlProps/ctrlProp10.xml><?xml version="1.0" encoding="utf-8"?>
<formControlPr xmlns="http://schemas.microsoft.com/office/spreadsheetml/2009/9/main" objectType="Drop" dropLines="15" dropStyle="combo" dx="16" fmlaLink="Data!$A$4" fmlaRange="Data!$A$6:$A$78" noThreeD="1" sel="2" val="40"/>
</file>

<file path=xl/ctrlProps/ctrlProp11.xml><?xml version="1.0" encoding="utf-8"?>
<formControlPr xmlns="http://schemas.microsoft.com/office/spreadsheetml/2009/9/main" objectType="Drop" dropLines="15" dropStyle="combo" dx="16" fmlaLink="Data!$A$3" fmlaRange="Data!$A$6:$A$78" noThreeD="1" val="16"/>
</file>

<file path=xl/ctrlProps/ctrlProp12.xml><?xml version="1.0" encoding="utf-8"?>
<formControlPr xmlns="http://schemas.microsoft.com/office/spreadsheetml/2009/9/main" objectType="Drop" dropLines="15" dropStyle="combo" dx="16" fmlaLink="Data!$A$4" fmlaRange="Data!$A$6:$A$78" noThreeD="1" sel="2" val="0"/>
</file>

<file path=xl/ctrlProps/ctrlProp13.xml><?xml version="1.0" encoding="utf-8"?>
<formControlPr xmlns="http://schemas.microsoft.com/office/spreadsheetml/2009/9/main" objectType="Drop" dropLines="15" dropStyle="combo" dx="16" fmlaLink="Data!$A$3" fmlaRange="Data!$A$6:$A$78" noThreeD="1" val="43"/>
</file>

<file path=xl/ctrlProps/ctrlProp14.xml><?xml version="1.0" encoding="utf-8"?>
<formControlPr xmlns="http://schemas.microsoft.com/office/spreadsheetml/2009/9/main" objectType="Drop" dropLines="15" dropStyle="combo" dx="16" fmlaLink="Data!$A$4" fmlaRange="Data!$A$6:$A$78" noThreeD="1" sel="2" val="5"/>
</file>

<file path=xl/ctrlProps/ctrlProp2.xml><?xml version="1.0" encoding="utf-8"?>
<formControlPr xmlns="http://schemas.microsoft.com/office/spreadsheetml/2009/9/main" objectType="Drop" dropLines="15" dropStyle="combo" dx="16" fmlaLink="Data!$A$4" fmlaRange="Data!$A$6:$A$78" noThreeD="1" sel="2" val="0"/>
</file>

<file path=xl/ctrlProps/ctrlProp3.xml><?xml version="1.0" encoding="utf-8"?>
<formControlPr xmlns="http://schemas.microsoft.com/office/spreadsheetml/2009/9/main" objectType="Drop" dropLines="15" dropStyle="combo" dx="16" fmlaLink="Data!$A$3" fmlaRange="Data!$A$6:$A$78" noThreeD="1" val="0"/>
</file>

<file path=xl/ctrlProps/ctrlProp4.xml><?xml version="1.0" encoding="utf-8"?>
<formControlPr xmlns="http://schemas.microsoft.com/office/spreadsheetml/2009/9/main" objectType="Drop" dropLines="15" dropStyle="combo" dx="16" fmlaLink="Data!$A$4" fmlaRange="Data!$A$6:$A$78" noThreeD="1" sel="2" val="0"/>
</file>

<file path=xl/ctrlProps/ctrlProp5.xml><?xml version="1.0" encoding="utf-8"?>
<formControlPr xmlns="http://schemas.microsoft.com/office/spreadsheetml/2009/9/main" objectType="Drop" dropLines="15" dropStyle="combo" dx="16" fmlaLink="Data!$A$3" fmlaRange="Data!$A$6:$A$78" noThreeD="1" val="52"/>
</file>

<file path=xl/ctrlProps/ctrlProp6.xml><?xml version="1.0" encoding="utf-8"?>
<formControlPr xmlns="http://schemas.microsoft.com/office/spreadsheetml/2009/9/main" objectType="Drop" dropLines="15" dropStyle="combo" dx="16" fmlaLink="Data!$A$4" fmlaRange="Data!$A$6:$A$78" noThreeD="1" sel="2" val="51"/>
</file>

<file path=xl/ctrlProps/ctrlProp7.xml><?xml version="1.0" encoding="utf-8"?>
<formControlPr xmlns="http://schemas.microsoft.com/office/spreadsheetml/2009/9/main" objectType="Drop" dropLines="15" dropStyle="combo" dx="16" fmlaLink="Data!$A$3" fmlaRange="Data!$A$6:$A$78" noThreeD="1" val="41"/>
</file>

<file path=xl/ctrlProps/ctrlProp8.xml><?xml version="1.0" encoding="utf-8"?>
<formControlPr xmlns="http://schemas.microsoft.com/office/spreadsheetml/2009/9/main" objectType="Drop" dropLines="15" dropStyle="combo" dx="16" fmlaLink="Data!$A$4" fmlaRange="Data!$A$6:$A$78" noThreeD="1" sel="2" val="45"/>
</file>

<file path=xl/ctrlProps/ctrlProp9.xml><?xml version="1.0" encoding="utf-8"?>
<formControlPr xmlns="http://schemas.microsoft.com/office/spreadsheetml/2009/9/main" objectType="Drop" dropLines="15" dropStyle="combo" dx="16" fmlaLink="Data!$A$3" fmlaRange="Data!$A$6:$A$78" noThreeD="1" val="0"/>
</file>

<file path=xl/drawings/_rels/drawing1.xml.rels><?xml version="1.0" encoding="UTF-8" standalone="yes"?>
<Relationships xmlns="http://schemas.openxmlformats.org/package/2006/relationships"><Relationship Id="rId3" Type="http://schemas.openxmlformats.org/officeDocument/2006/relationships/hyperlink" Target="#Data!A1"/><Relationship Id="rId2" Type="http://schemas.microsoft.com/office/2007/relationships/hdphoto" Target="../media/hdphoto1.wdp"/><Relationship Id="rId1" Type="http://schemas.openxmlformats.org/officeDocument/2006/relationships/image" Target="../media/image1.jpeg"/><Relationship Id="rId5" Type="http://schemas.microsoft.com/office/2007/relationships/hdphoto" Target="../media/hdphoto2.wdp"/><Relationship Id="rId4" Type="http://schemas.openxmlformats.org/officeDocument/2006/relationships/image" Target="../media/image2.jpeg"/></Relationships>
</file>

<file path=xl/drawings/_rels/drawing10.xml.rels><?xml version="1.0" encoding="UTF-8" standalone="yes"?>
<Relationships xmlns="http://schemas.openxmlformats.org/package/2006/relationships"><Relationship Id="rId3" Type="http://schemas.openxmlformats.org/officeDocument/2006/relationships/hyperlink" Target="#'Health Indicators'!A1"/><Relationship Id="rId2" Type="http://schemas.openxmlformats.org/officeDocument/2006/relationships/hyperlink" Target="#'Family Structure'!A1"/><Relationship Id="rId1" Type="http://schemas.openxmlformats.org/officeDocument/2006/relationships/hyperlink" Target="#Population!A1"/><Relationship Id="rId6" Type="http://schemas.openxmlformats.org/officeDocument/2006/relationships/hyperlink" Target="#Data!A1"/><Relationship Id="rId5" Type="http://schemas.openxmlformats.org/officeDocument/2006/relationships/hyperlink" Target="#EYFS!A1"/><Relationship Id="rId4" Type="http://schemas.openxmlformats.org/officeDocument/2006/relationships/hyperlink" Target="#Deprivation!A1"/></Relationships>
</file>

<file path=xl/drawings/_rels/drawing2.xml.rels><?xml version="1.0" encoding="UTF-8" standalone="yes"?>
<Relationships xmlns="http://schemas.openxmlformats.org/package/2006/relationships"><Relationship Id="rId3" Type="http://schemas.openxmlformats.org/officeDocument/2006/relationships/hyperlink" Target="#'Health Indicators'!A1"/><Relationship Id="rId2" Type="http://schemas.openxmlformats.org/officeDocument/2006/relationships/hyperlink" Target="#'Family Structure'!A1"/><Relationship Id="rId1" Type="http://schemas.openxmlformats.org/officeDocument/2006/relationships/hyperlink" Target="#Population!A1"/><Relationship Id="rId6" Type="http://schemas.openxmlformats.org/officeDocument/2006/relationships/hyperlink" Target="#Data!A1"/><Relationship Id="rId5" Type="http://schemas.openxmlformats.org/officeDocument/2006/relationships/hyperlink" Target="#EYFS!A1"/><Relationship Id="rId4" Type="http://schemas.openxmlformats.org/officeDocument/2006/relationships/hyperlink" Target="#Deprivation!A1"/></Relationships>
</file>

<file path=xl/drawings/_rels/drawing3.xml.rels><?xml version="1.0" encoding="UTF-8" standalone="yes"?>
<Relationships xmlns="http://schemas.openxmlformats.org/package/2006/relationships"><Relationship Id="rId8" Type="http://schemas.openxmlformats.org/officeDocument/2006/relationships/chart" Target="../charts/chart1.xml"/><Relationship Id="rId3" Type="http://schemas.openxmlformats.org/officeDocument/2006/relationships/hyperlink" Target="#'Births and Early Years'!A1"/><Relationship Id="rId7" Type="http://schemas.openxmlformats.org/officeDocument/2006/relationships/hyperlink" Target="#Population!A1"/><Relationship Id="rId12" Type="http://schemas.openxmlformats.org/officeDocument/2006/relationships/image" Target="../media/image4.jpeg"/><Relationship Id="rId2" Type="http://schemas.openxmlformats.org/officeDocument/2006/relationships/hyperlink" Target="#'Health Indicators'!A1"/><Relationship Id="rId1" Type="http://schemas.openxmlformats.org/officeDocument/2006/relationships/hyperlink" Target="#'Family Structure'!A1"/><Relationship Id="rId6" Type="http://schemas.openxmlformats.org/officeDocument/2006/relationships/hyperlink" Target="https://www.ons.gov.uk/peoplepopulationandcommunity/populationandmigration/populationestimates" TargetMode="External"/><Relationship Id="rId11" Type="http://schemas.openxmlformats.org/officeDocument/2006/relationships/hyperlink" Target="#Data!A1"/><Relationship Id="rId5" Type="http://schemas.openxmlformats.org/officeDocument/2006/relationships/hyperlink" Target="#EYFS!A1"/><Relationship Id="rId10" Type="http://schemas.openxmlformats.org/officeDocument/2006/relationships/chart" Target="../charts/chart3.xml"/><Relationship Id="rId4" Type="http://schemas.openxmlformats.org/officeDocument/2006/relationships/hyperlink" Target="#Deprivation!A1"/><Relationship Id="rId9" Type="http://schemas.openxmlformats.org/officeDocument/2006/relationships/chart" Target="../charts/chart2.xml"/></Relationships>
</file>

<file path=xl/drawings/_rels/drawing5.xml.rels><?xml version="1.0" encoding="UTF-8" standalone="yes"?>
<Relationships xmlns="http://schemas.openxmlformats.org/package/2006/relationships"><Relationship Id="rId8" Type="http://schemas.openxmlformats.org/officeDocument/2006/relationships/chart" Target="../charts/chart5.xml"/><Relationship Id="rId3" Type="http://schemas.openxmlformats.org/officeDocument/2006/relationships/hyperlink" Target="#'Births and Early Years'!A1"/><Relationship Id="rId7" Type="http://schemas.openxmlformats.org/officeDocument/2006/relationships/chart" Target="../charts/chart4.xml"/><Relationship Id="rId2" Type="http://schemas.openxmlformats.org/officeDocument/2006/relationships/hyperlink" Target="#'Health Indicators'!A1"/><Relationship Id="rId1" Type="http://schemas.openxmlformats.org/officeDocument/2006/relationships/hyperlink" Target="#Population!A1"/><Relationship Id="rId6" Type="http://schemas.openxmlformats.org/officeDocument/2006/relationships/hyperlink" Target="#'Family Structure'!A1"/><Relationship Id="rId5" Type="http://schemas.openxmlformats.org/officeDocument/2006/relationships/hyperlink" Target="#EYFS!A1"/><Relationship Id="rId10" Type="http://schemas.openxmlformats.org/officeDocument/2006/relationships/hyperlink" Target="#Data!A1"/><Relationship Id="rId4" Type="http://schemas.openxmlformats.org/officeDocument/2006/relationships/hyperlink" Target="#Deprivation!A1"/><Relationship Id="rId9" Type="http://schemas.openxmlformats.org/officeDocument/2006/relationships/chart" Target="../charts/chart6.xml"/></Relationships>
</file>

<file path=xl/drawings/_rels/drawing6.xml.rels><?xml version="1.0" encoding="UTF-8" standalone="yes"?>
<Relationships xmlns="http://schemas.openxmlformats.org/package/2006/relationships"><Relationship Id="rId8" Type="http://schemas.openxmlformats.org/officeDocument/2006/relationships/hyperlink" Target="https://www.gov.uk/government/publications/commissioning-of-public-health-services-for-children" TargetMode="External"/><Relationship Id="rId13" Type="http://schemas.openxmlformats.org/officeDocument/2006/relationships/chart" Target="../charts/chart11.xml"/><Relationship Id="rId18" Type="http://schemas.openxmlformats.org/officeDocument/2006/relationships/chart" Target="../charts/chart13.xml"/><Relationship Id="rId3" Type="http://schemas.openxmlformats.org/officeDocument/2006/relationships/hyperlink" Target="#'Births and Early Years'!A1"/><Relationship Id="rId7" Type="http://schemas.openxmlformats.org/officeDocument/2006/relationships/hyperlink" Target="#'Health Indicators'!A1"/><Relationship Id="rId12" Type="http://schemas.openxmlformats.org/officeDocument/2006/relationships/chart" Target="../charts/chart10.xml"/><Relationship Id="rId17" Type="http://schemas.openxmlformats.org/officeDocument/2006/relationships/chart" Target="../charts/chart12.xml"/><Relationship Id="rId2" Type="http://schemas.openxmlformats.org/officeDocument/2006/relationships/hyperlink" Target="#'Family Structure'!A1"/><Relationship Id="rId16" Type="http://schemas.openxmlformats.org/officeDocument/2006/relationships/hyperlink" Target="http://webarchive.nationalarchives.gov.uk/20130401151715/http:/www.education.gov.uk/publications/standard/publicationdetail/page1/DCSF-00632-2008" TargetMode="External"/><Relationship Id="rId1" Type="http://schemas.openxmlformats.org/officeDocument/2006/relationships/hyperlink" Target="#Population!A1"/><Relationship Id="rId6" Type="http://schemas.openxmlformats.org/officeDocument/2006/relationships/hyperlink" Target="http://www.unicef.org.uk/BabyFriendly/" TargetMode="External"/><Relationship Id="rId11" Type="http://schemas.openxmlformats.org/officeDocument/2006/relationships/chart" Target="../charts/chart9.xml"/><Relationship Id="rId5" Type="http://schemas.openxmlformats.org/officeDocument/2006/relationships/hyperlink" Target="#EYFS!A1"/><Relationship Id="rId15" Type="http://schemas.openxmlformats.org/officeDocument/2006/relationships/hyperlink" Target="#Data!A1"/><Relationship Id="rId10" Type="http://schemas.openxmlformats.org/officeDocument/2006/relationships/chart" Target="../charts/chart8.xml"/><Relationship Id="rId4" Type="http://schemas.openxmlformats.org/officeDocument/2006/relationships/hyperlink" Target="#Deprivation!A1"/><Relationship Id="rId9" Type="http://schemas.openxmlformats.org/officeDocument/2006/relationships/chart" Target="../charts/chart7.xml"/><Relationship Id="rId14" Type="http://schemas.openxmlformats.org/officeDocument/2006/relationships/hyperlink" Target="http://www.ons.gov.uk/peoplepopulationandcommunity/birthsdeathsandmarriages/deaths/bulletins/unexplaineddeathsininfancyenglandandwales/2014" TargetMode="External"/></Relationships>
</file>

<file path=xl/drawings/_rels/drawing7.xml.rels><?xml version="1.0" encoding="UTF-8" standalone="yes"?>
<Relationships xmlns="http://schemas.openxmlformats.org/package/2006/relationships"><Relationship Id="rId8" Type="http://schemas.openxmlformats.org/officeDocument/2006/relationships/chart" Target="../charts/chart15.xml"/><Relationship Id="rId3" Type="http://schemas.openxmlformats.org/officeDocument/2006/relationships/hyperlink" Target="#'Health Indicators'!A1"/><Relationship Id="rId7" Type="http://schemas.openxmlformats.org/officeDocument/2006/relationships/hyperlink" Target="#'Births and Early Years'!A1"/><Relationship Id="rId2" Type="http://schemas.openxmlformats.org/officeDocument/2006/relationships/hyperlink" Target="#'Family Structure'!A1"/><Relationship Id="rId1" Type="http://schemas.openxmlformats.org/officeDocument/2006/relationships/hyperlink" Target="#Population!A1"/><Relationship Id="rId6" Type="http://schemas.openxmlformats.org/officeDocument/2006/relationships/chart" Target="../charts/chart14.xml"/><Relationship Id="rId11" Type="http://schemas.openxmlformats.org/officeDocument/2006/relationships/hyperlink" Target="#Data!A1"/><Relationship Id="rId5" Type="http://schemas.openxmlformats.org/officeDocument/2006/relationships/hyperlink" Target="#EYFS!A1"/><Relationship Id="rId10" Type="http://schemas.openxmlformats.org/officeDocument/2006/relationships/chart" Target="../charts/chart17.xml"/><Relationship Id="rId4" Type="http://schemas.openxmlformats.org/officeDocument/2006/relationships/hyperlink" Target="#Deprivation!A1"/><Relationship Id="rId9" Type="http://schemas.openxmlformats.org/officeDocument/2006/relationships/chart" Target="../charts/chart16.xml"/></Relationships>
</file>

<file path=xl/drawings/_rels/drawing8.xml.rels><?xml version="1.0" encoding="UTF-8" standalone="yes"?>
<Relationships xmlns="http://schemas.openxmlformats.org/package/2006/relationships"><Relationship Id="rId8" Type="http://schemas.openxmlformats.org/officeDocument/2006/relationships/chart" Target="../charts/chart18.xml"/><Relationship Id="rId3" Type="http://schemas.openxmlformats.org/officeDocument/2006/relationships/hyperlink" Target="#'Health Indicators'!A1"/><Relationship Id="rId7" Type="http://schemas.openxmlformats.org/officeDocument/2006/relationships/hyperlink" Target="#Deprivation!A1"/><Relationship Id="rId2" Type="http://schemas.openxmlformats.org/officeDocument/2006/relationships/hyperlink" Target="#'Family Structure'!A1"/><Relationship Id="rId1" Type="http://schemas.openxmlformats.org/officeDocument/2006/relationships/hyperlink" Target="#Population!A1"/><Relationship Id="rId6" Type="http://schemas.openxmlformats.org/officeDocument/2006/relationships/hyperlink" Target="https://www.gov.uk/government/uploads/system/uploads/attachment_data/file/285389/Cm_8781_Child_Poverty_Evidence_Review_Print.pdf" TargetMode="External"/><Relationship Id="rId11" Type="http://schemas.openxmlformats.org/officeDocument/2006/relationships/hyperlink" Target="#Data!A1"/><Relationship Id="rId5" Type="http://schemas.openxmlformats.org/officeDocument/2006/relationships/hyperlink" Target="#EYFS!A1"/><Relationship Id="rId10" Type="http://schemas.openxmlformats.org/officeDocument/2006/relationships/chart" Target="../charts/chart19.xml"/><Relationship Id="rId4" Type="http://schemas.openxmlformats.org/officeDocument/2006/relationships/hyperlink" Target="#'Births and Early Years'!A1"/><Relationship Id="rId9" Type="http://schemas.openxmlformats.org/officeDocument/2006/relationships/hyperlink" Target="http://www.poverty.ac.uk/report-poverty-measurement-life-chances-children-parenting-uk-government-policy/field-review" TargetMode="External"/></Relationships>
</file>

<file path=xl/drawings/_rels/drawing9.xml.rels><?xml version="1.0" encoding="UTF-8" standalone="yes"?>
<Relationships xmlns="http://schemas.openxmlformats.org/package/2006/relationships"><Relationship Id="rId8" Type="http://schemas.openxmlformats.org/officeDocument/2006/relationships/hyperlink" Target="#Data!A1"/><Relationship Id="rId3" Type="http://schemas.openxmlformats.org/officeDocument/2006/relationships/hyperlink" Target="#'Health Indicators'!A1"/><Relationship Id="rId7" Type="http://schemas.openxmlformats.org/officeDocument/2006/relationships/chart" Target="../charts/chart21.xml"/><Relationship Id="rId2" Type="http://schemas.openxmlformats.org/officeDocument/2006/relationships/hyperlink" Target="#'Family Structure'!A1"/><Relationship Id="rId1" Type="http://schemas.openxmlformats.org/officeDocument/2006/relationships/hyperlink" Target="#Population!A1"/><Relationship Id="rId6" Type="http://schemas.openxmlformats.org/officeDocument/2006/relationships/chart" Target="../charts/chart20.xml"/><Relationship Id="rId5" Type="http://schemas.openxmlformats.org/officeDocument/2006/relationships/hyperlink" Target="#Deprivation!A1"/><Relationship Id="rId4" Type="http://schemas.openxmlformats.org/officeDocument/2006/relationships/hyperlink" Target="#'Births and Early Years'!A1"/></Relationships>
</file>

<file path=xl/drawings/_rels/vmlDrawing2.vml.rels><?xml version="1.0" encoding="UTF-8" standalone="yes"?>
<Relationships xmlns="http://schemas.openxmlformats.org/package/2006/relationships"><Relationship Id="rId1" Type="http://schemas.openxmlformats.org/officeDocument/2006/relationships/image" Target="../media/image3.png"/></Relationships>
</file>

<file path=xl/drawings/_rels/vmlDrawing5.vml.rels><?xml version="1.0" encoding="UTF-8" standalone="yes"?>
<Relationships xmlns="http://schemas.openxmlformats.org/package/2006/relationships"><Relationship Id="rId1" Type="http://schemas.openxmlformats.org/officeDocument/2006/relationships/image" Target="../media/image5.emf"/></Relationships>
</file>

<file path=xl/drawings/drawing1.xml><?xml version="1.0" encoding="utf-8"?>
<xdr:wsDr xmlns:xdr="http://schemas.openxmlformats.org/drawingml/2006/spreadsheetDrawing" xmlns:a="http://schemas.openxmlformats.org/drawingml/2006/main">
  <xdr:twoCellAnchor editAs="absolute">
    <xdr:from>
      <xdr:col>0</xdr:col>
      <xdr:colOff>428625</xdr:colOff>
      <xdr:row>0</xdr:row>
      <xdr:rowOff>0</xdr:rowOff>
    </xdr:from>
    <xdr:to>
      <xdr:col>11</xdr:col>
      <xdr:colOff>441325</xdr:colOff>
      <xdr:row>1</xdr:row>
      <xdr:rowOff>167216</xdr:rowOff>
    </xdr:to>
    <xdr:sp macro="" textlink="">
      <xdr:nvSpPr>
        <xdr:cNvPr id="2" name="Rectangle 1"/>
        <xdr:cNvSpPr/>
      </xdr:nvSpPr>
      <xdr:spPr>
        <a:xfrm>
          <a:off x="428625" y="0"/>
          <a:ext cx="10186307" cy="342786"/>
        </a:xfrm>
        <a:prstGeom prst="rect">
          <a:avLst/>
        </a:prstGeom>
        <a:noFill/>
      </xdr:spPr>
      <xdr:txBody>
        <a:bodyPr wrap="square" lIns="91440" tIns="45720" rIns="91440" bIns="45720">
          <a:spAutoFit/>
        </a:bodyPr>
        <a:lstStyle/>
        <a:p>
          <a:pPr algn="ctr"/>
          <a:r>
            <a:rPr lang="en-US" sz="1600" b="0" cap="none" spc="0">
              <a:ln w="3175" cmpd="sng">
                <a:solidFill>
                  <a:srgbClr val="FFFFFF"/>
                </a:solidFill>
                <a:prstDash val="solid"/>
              </a:ln>
              <a:solidFill>
                <a:srgbClr val="FFFFFF"/>
              </a:solidFill>
              <a:effectLst>
                <a:outerShdw blurRad="63500" dir="3600000" algn="tl" rotWithShape="0">
                  <a:srgbClr val="000000">
                    <a:alpha val="70000"/>
                  </a:srgbClr>
                </a:outerShdw>
              </a:effectLst>
            </a:rPr>
            <a:t>West</a:t>
          </a:r>
          <a:r>
            <a:rPr lang="en-US" sz="1600" b="0" cap="none" spc="0" baseline="0">
              <a:ln w="3175" cmpd="sng">
                <a:solidFill>
                  <a:srgbClr val="FFFFFF"/>
                </a:solidFill>
                <a:prstDash val="solid"/>
              </a:ln>
              <a:solidFill>
                <a:srgbClr val="FFFFFF"/>
              </a:solidFill>
              <a:effectLst>
                <a:outerShdw blurRad="63500" dir="3600000" algn="tl" rotWithShape="0">
                  <a:srgbClr val="000000">
                    <a:alpha val="70000"/>
                  </a:srgbClr>
                </a:outerShdw>
              </a:effectLst>
            </a:rPr>
            <a:t> Sussex Children's Workforce JSNA Data Profiles (2016): Supporting the Health4Families Programme</a:t>
          </a:r>
          <a:endParaRPr lang="en-US" sz="1600" b="0" cap="none" spc="0">
            <a:ln w="3175" cmpd="sng">
              <a:solidFill>
                <a:srgbClr val="FFFFFF"/>
              </a:solidFill>
              <a:prstDash val="solid"/>
            </a:ln>
            <a:solidFill>
              <a:srgbClr val="FFFFFF"/>
            </a:solidFill>
            <a:effectLst>
              <a:outerShdw blurRad="63500" dir="3600000" algn="tl" rotWithShape="0">
                <a:srgbClr val="000000">
                  <a:alpha val="70000"/>
                </a:srgbClr>
              </a:outerShdw>
            </a:effectLst>
          </a:endParaRPr>
        </a:p>
      </xdr:txBody>
    </xdr:sp>
    <xdr:clientData/>
  </xdr:twoCellAnchor>
  <xdr:twoCellAnchor editAs="absolute">
    <xdr:from>
      <xdr:col>3</xdr:col>
      <xdr:colOff>7937</xdr:colOff>
      <xdr:row>2</xdr:row>
      <xdr:rowOff>9261</xdr:rowOff>
    </xdr:from>
    <xdr:to>
      <xdr:col>9</xdr:col>
      <xdr:colOff>437719</xdr:colOff>
      <xdr:row>15</xdr:row>
      <xdr:rowOff>188613</xdr:rowOff>
    </xdr:to>
    <xdr:pic>
      <xdr:nvPicPr>
        <xdr:cNvPr id="3" name="Picture 168" descr="Fotolia_2265952_M"/>
        <xdr:cNvPicPr>
          <a:picLocks noChangeAspect="1" noChangeArrowheads="1"/>
        </xdr:cNvPicPr>
      </xdr:nvPicPr>
      <xdr:blipFill>
        <a:blip xmlns:r="http://schemas.openxmlformats.org/officeDocument/2006/relationships" r:embed="rId1" cstate="print">
          <a:duotone>
            <a:schemeClr val="accent1">
              <a:shade val="45000"/>
              <a:satMod val="135000"/>
            </a:schemeClr>
            <a:prstClr val="white"/>
          </a:duotone>
          <a:extLst>
            <a:ext uri="{BEBA8EAE-BF5A-486C-A8C5-ECC9F3942E4B}">
              <a14:imgProps xmlns:a14="http://schemas.microsoft.com/office/drawing/2010/main">
                <a14:imgLayer r:embed="rId2">
                  <a14:imgEffect>
                    <a14:saturation sat="0"/>
                  </a14:imgEffect>
                </a14:imgLayer>
              </a14:imgProps>
            </a:ext>
            <a:ext uri="{28A0092B-C50C-407E-A947-70E740481C1C}">
              <a14:useLocalDpi xmlns:a14="http://schemas.microsoft.com/office/drawing/2010/main" val="0"/>
            </a:ext>
          </a:extLst>
        </a:blip>
        <a:srcRect t="12224" b="9821"/>
        <a:stretch>
          <a:fillRect/>
        </a:stretch>
      </xdr:blipFill>
      <xdr:spPr bwMode="auto">
        <a:xfrm>
          <a:off x="2514600" y="400050"/>
          <a:ext cx="5443107" cy="26558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absolute">
    <xdr:from>
      <xdr:col>0</xdr:col>
      <xdr:colOff>257175</xdr:colOff>
      <xdr:row>22</xdr:row>
      <xdr:rowOff>69008</xdr:rowOff>
    </xdr:from>
    <xdr:to>
      <xdr:col>11</xdr:col>
      <xdr:colOff>626113</xdr:colOff>
      <xdr:row>37</xdr:row>
      <xdr:rowOff>100421</xdr:rowOff>
    </xdr:to>
    <xdr:grpSp>
      <xdr:nvGrpSpPr>
        <xdr:cNvPr id="5" name="Group 4"/>
        <xdr:cNvGrpSpPr/>
      </xdr:nvGrpSpPr>
      <xdr:grpSpPr>
        <a:xfrm>
          <a:off x="257175" y="4279058"/>
          <a:ext cx="10513063" cy="2793663"/>
          <a:chOff x="276225" y="3249812"/>
          <a:chExt cx="9500238" cy="2779926"/>
        </a:xfrm>
      </xdr:grpSpPr>
      <xdr:sp macro="" textlink="">
        <xdr:nvSpPr>
          <xdr:cNvPr id="6" name="TextBox 5"/>
          <xdr:cNvSpPr txBox="1"/>
        </xdr:nvSpPr>
        <xdr:spPr>
          <a:xfrm>
            <a:off x="276225" y="3249812"/>
            <a:ext cx="9500238" cy="2779926"/>
          </a:xfrm>
          <a:prstGeom prst="rect">
            <a:avLst/>
          </a:prstGeom>
          <a:solidFill>
            <a:schemeClr val="accent1">
              <a:lumMod val="60000"/>
              <a:lumOff val="4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600" b="1"/>
              <a:t>West</a:t>
            </a:r>
            <a:r>
              <a:rPr lang="en-GB" sz="1600" b="1" baseline="0"/>
              <a:t> Sussex Children's Workforce JSNA Data Profiles:</a:t>
            </a:r>
          </a:p>
          <a:p>
            <a:endParaRPr lang="en-GB" sz="1100" b="1" baseline="0"/>
          </a:p>
          <a:p>
            <a:r>
              <a:rPr lang="en-GB" sz="1200" b="1">
                <a:solidFill>
                  <a:schemeClr val="dk1"/>
                </a:solidFill>
                <a:effectLst/>
                <a:latin typeface="+mn-lt"/>
                <a:ea typeface="+mn-ea"/>
                <a:cs typeface="+mn-cs"/>
              </a:rPr>
              <a:t>Background:</a:t>
            </a:r>
            <a:r>
              <a:rPr lang="en-GB" sz="1200" b="1" baseline="0">
                <a:solidFill>
                  <a:schemeClr val="dk1"/>
                </a:solidFill>
                <a:effectLst/>
                <a:latin typeface="+mn-lt"/>
                <a:ea typeface="+mn-ea"/>
                <a:cs typeface="+mn-cs"/>
              </a:rPr>
              <a:t> </a:t>
            </a:r>
            <a:r>
              <a:rPr lang="en-GB" sz="1200">
                <a:solidFill>
                  <a:schemeClr val="dk1"/>
                </a:solidFill>
                <a:effectLst/>
                <a:latin typeface="+mn-lt"/>
                <a:ea typeface="+mn-ea"/>
                <a:cs typeface="+mn-cs"/>
              </a:rPr>
              <a:t>This data profile provides information on progress on health and other performance indicators.  It has been developed to support the performance management of the West Sussex Health4Families Programme</a:t>
            </a:r>
            <a:r>
              <a:rPr lang="en-GB" sz="1200" baseline="0">
                <a:solidFill>
                  <a:schemeClr val="dk1"/>
                </a:solidFill>
                <a:effectLst/>
                <a:latin typeface="+mn-lt"/>
                <a:ea typeface="+mn-ea"/>
                <a:cs typeface="+mn-cs"/>
              </a:rPr>
              <a:t> (H4FP)</a:t>
            </a:r>
            <a:r>
              <a:rPr lang="en-GB" sz="1200">
                <a:solidFill>
                  <a:schemeClr val="dk1"/>
                </a:solidFill>
                <a:effectLst/>
                <a:latin typeface="+mn-lt"/>
                <a:ea typeface="+mn-ea"/>
                <a:cs typeface="+mn-cs"/>
              </a:rPr>
              <a:t>, and Ofsted inspection requirements.   </a:t>
            </a:r>
          </a:p>
          <a:p>
            <a:endParaRPr lang="en-GB" sz="1200">
              <a:solidFill>
                <a:schemeClr val="dk1"/>
              </a:solidFill>
              <a:effectLst/>
              <a:latin typeface="+mn-lt"/>
              <a:ea typeface="+mn-ea"/>
              <a:cs typeface="+mn-cs"/>
            </a:endParaRPr>
          </a:p>
          <a:p>
            <a:endParaRPr lang="en-GB" sz="1200">
              <a:solidFill>
                <a:schemeClr val="dk1"/>
              </a:solidFill>
              <a:effectLst/>
              <a:latin typeface="+mn-lt"/>
              <a:ea typeface="+mn-ea"/>
              <a:cs typeface="+mn-cs"/>
            </a:endParaRPr>
          </a:p>
          <a:p>
            <a:endParaRPr lang="en-GB" sz="1200">
              <a:solidFill>
                <a:schemeClr val="dk1"/>
              </a:solidFill>
              <a:effectLst/>
              <a:latin typeface="+mn-lt"/>
              <a:ea typeface="+mn-ea"/>
              <a:cs typeface="+mn-cs"/>
            </a:endParaRPr>
          </a:p>
          <a:p>
            <a:endParaRPr lang="en-GB" sz="1200">
              <a:solidFill>
                <a:schemeClr val="dk1"/>
              </a:solidFill>
              <a:effectLst/>
              <a:latin typeface="+mn-lt"/>
              <a:ea typeface="+mn-ea"/>
              <a:cs typeface="+mn-cs"/>
            </a:endParaRPr>
          </a:p>
          <a:p>
            <a:endParaRPr lang="en-GB" sz="1200">
              <a:solidFill>
                <a:schemeClr val="dk1"/>
              </a:solidFill>
              <a:effectLst/>
              <a:latin typeface="+mn-lt"/>
              <a:ea typeface="+mn-ea"/>
              <a:cs typeface="+mn-cs"/>
            </a:endParaRPr>
          </a:p>
          <a:p>
            <a:r>
              <a:rPr lang="en-GB" sz="1200">
                <a:effectLst/>
              </a:rPr>
              <a:t>The data has been collated by the West Sussex Public</a:t>
            </a:r>
            <a:r>
              <a:rPr lang="en-GB" sz="1200" baseline="0">
                <a:effectLst/>
              </a:rPr>
              <a:t> Health and Social </a:t>
            </a:r>
            <a:r>
              <a:rPr lang="en-GB" sz="1200">
                <a:effectLst/>
              </a:rPr>
              <a:t>Research Unit working with colleagues in the NHS and West Sussex County Council. It will be updated annually. The inclusion of further indicators, some outlined in this profile, will be considered at the next refresh.</a:t>
            </a:r>
          </a:p>
          <a:p>
            <a:endParaRPr lang="en-GB" sz="600">
              <a:effectLst/>
            </a:endParaRPr>
          </a:p>
          <a:p>
            <a:r>
              <a:rPr lang="en-GB" sz="1200">
                <a:effectLst/>
              </a:rPr>
              <a:t>Should you need further</a:t>
            </a:r>
            <a:r>
              <a:rPr lang="en-GB" sz="1200" baseline="0">
                <a:effectLst/>
              </a:rPr>
              <a:t> information please email:  jsna@westsussex.gov.uk</a:t>
            </a:r>
          </a:p>
          <a:p>
            <a:pPr marL="0" marR="0" indent="0" defTabSz="914400" eaLnBrk="1" fontAlgn="auto" latinLnBrk="0" hangingPunct="1">
              <a:lnSpc>
                <a:spcPct val="100000"/>
              </a:lnSpc>
              <a:spcBef>
                <a:spcPts val="0"/>
              </a:spcBef>
              <a:spcAft>
                <a:spcPts val="0"/>
              </a:spcAft>
              <a:buClrTx/>
              <a:buSzTx/>
              <a:buFontTx/>
              <a:buNone/>
              <a:tabLst/>
              <a:defRPr/>
            </a:pPr>
            <a:endParaRPr lang="en-GB" sz="600" b="1">
              <a:solidFill>
                <a:schemeClr val="dk1"/>
              </a:solidFill>
              <a:effectLst/>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GB" sz="1200" b="1">
                <a:solidFill>
                  <a:schemeClr val="dk1"/>
                </a:solidFill>
                <a:effectLst/>
                <a:latin typeface="+mn-lt"/>
                <a:ea typeface="+mn-ea"/>
                <a:cs typeface="+mn-cs"/>
              </a:rPr>
              <a:t>Next release:</a:t>
            </a:r>
            <a:r>
              <a:rPr lang="en-GB" sz="1200" b="1" baseline="0">
                <a:solidFill>
                  <a:schemeClr val="dk1"/>
                </a:solidFill>
                <a:effectLst/>
                <a:latin typeface="+mn-lt"/>
                <a:ea typeface="+mn-ea"/>
                <a:cs typeface="+mn-cs"/>
              </a:rPr>
              <a:t>  November 2017</a:t>
            </a:r>
            <a:endParaRPr lang="en-GB" sz="1100">
              <a:effectLst/>
            </a:endParaRPr>
          </a:p>
          <a:p>
            <a:endParaRPr lang="en-GB" sz="1600" b="1"/>
          </a:p>
        </xdr:txBody>
      </xdr:sp>
      <xdr:grpSp>
        <xdr:nvGrpSpPr>
          <xdr:cNvPr id="7" name="Group 6"/>
          <xdr:cNvGrpSpPr/>
        </xdr:nvGrpSpPr>
        <xdr:grpSpPr>
          <a:xfrm>
            <a:off x="352425" y="3600450"/>
            <a:ext cx="9424038" cy="1280164"/>
            <a:chOff x="352425" y="3600450"/>
            <a:chExt cx="9424038" cy="1280164"/>
          </a:xfrm>
        </xdr:grpSpPr>
        <xdr:sp macro="" textlink="">
          <xdr:nvSpPr>
            <xdr:cNvPr id="8" name="TextBox 7"/>
            <xdr:cNvSpPr txBox="1"/>
          </xdr:nvSpPr>
          <xdr:spPr>
            <a:xfrm>
              <a:off x="352425" y="4204339"/>
              <a:ext cx="9424038" cy="676275"/>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ctr" anchorCtr="0">
              <a:scene3d>
                <a:camera prst="orthographicFront"/>
                <a:lightRig rig="threePt" dir="t"/>
              </a:scene3d>
              <a:sp3d extrusionH="57150">
                <a:bevelT w="38100" h="38100"/>
              </a:sp3d>
            </a:bodyPr>
            <a:lstStyle/>
            <a:p>
              <a:pPr algn="ctr"/>
              <a:r>
                <a:rPr lang="en-GB" sz="1400" b="1" cap="none" spc="0">
                  <a:ln>
                    <a:noFill/>
                  </a:ln>
                  <a:solidFill>
                    <a:sysClr val="windowText" lastClr="000000"/>
                  </a:solidFill>
                  <a:effectLst/>
                  <a:latin typeface="+mn-lt"/>
                  <a:ea typeface="+mn-ea"/>
                  <a:cs typeface="+mn-cs"/>
                </a:rPr>
                <a:t>The profile enables you to look at individual children and family centres, or groups of centres, and to compare the performance of two different centres/groups at a time. </a:t>
              </a:r>
              <a:r>
                <a:rPr lang="en-GB" sz="1400" b="1" u="sng" cap="none" spc="0">
                  <a:ln>
                    <a:noFill/>
                  </a:ln>
                  <a:solidFill>
                    <a:sysClr val="windowText" lastClr="000000"/>
                  </a:solidFill>
                  <a:effectLst/>
                  <a:latin typeface="+mn-lt"/>
                  <a:ea typeface="+mn-ea"/>
                  <a:cs typeface="+mn-cs"/>
                </a:rPr>
                <a:t>Note: not all data are available at all geographies</a:t>
              </a:r>
              <a:endParaRPr lang="en-GB" sz="1400" b="1" u="sng" cap="none" spc="0">
                <a:ln>
                  <a:noFill/>
                </a:ln>
                <a:solidFill>
                  <a:sysClr val="windowText" lastClr="000000"/>
                </a:solidFill>
                <a:effectLst/>
              </a:endParaRPr>
            </a:p>
          </xdr:txBody>
        </xdr:sp>
        <xdr:cxnSp macro="">
          <xdr:nvCxnSpPr>
            <xdr:cNvPr id="9" name="Straight Connector 8"/>
            <xdr:cNvCxnSpPr/>
          </xdr:nvCxnSpPr>
          <xdr:spPr>
            <a:xfrm>
              <a:off x="352425" y="3600450"/>
              <a:ext cx="4404554" cy="8649"/>
            </a:xfrm>
            <a:prstGeom prst="line">
              <a:avLst/>
            </a:prstGeom>
            <a:ln>
              <a:solidFill>
                <a:schemeClr val="tx2"/>
              </a:solidFill>
            </a:ln>
          </xdr:spPr>
          <xdr:style>
            <a:lnRef idx="2">
              <a:schemeClr val="accent4"/>
            </a:lnRef>
            <a:fillRef idx="0">
              <a:schemeClr val="accent4"/>
            </a:fillRef>
            <a:effectRef idx="1">
              <a:schemeClr val="accent4"/>
            </a:effectRef>
            <a:fontRef idx="minor">
              <a:schemeClr val="tx1"/>
            </a:fontRef>
          </xdr:style>
        </xdr:cxnSp>
      </xdr:grpSp>
    </xdr:grpSp>
    <xdr:clientData/>
  </xdr:twoCellAnchor>
  <xdr:twoCellAnchor editAs="absolute">
    <xdr:from>
      <xdr:col>0</xdr:col>
      <xdr:colOff>0</xdr:colOff>
      <xdr:row>56</xdr:row>
      <xdr:rowOff>169861</xdr:rowOff>
    </xdr:from>
    <xdr:to>
      <xdr:col>12</xdr:col>
      <xdr:colOff>19050</xdr:colOff>
      <xdr:row>58</xdr:row>
      <xdr:rowOff>122501</xdr:rowOff>
    </xdr:to>
    <xdr:grpSp>
      <xdr:nvGrpSpPr>
        <xdr:cNvPr id="10" name="Group 9"/>
        <xdr:cNvGrpSpPr/>
      </xdr:nvGrpSpPr>
      <xdr:grpSpPr>
        <a:xfrm>
          <a:off x="0" y="10580686"/>
          <a:ext cx="11001375" cy="314590"/>
          <a:chOff x="9524" y="6115049"/>
          <a:chExt cx="10963277" cy="314325"/>
        </a:xfrm>
      </xdr:grpSpPr>
      <xdr:sp macro="" textlink="">
        <xdr:nvSpPr>
          <xdr:cNvPr id="12" name="Round Same Side Corner Rectangle 11"/>
          <xdr:cNvSpPr/>
        </xdr:nvSpPr>
        <xdr:spPr>
          <a:xfrm flipV="1">
            <a:off x="9524" y="6124573"/>
            <a:ext cx="10941976" cy="238125"/>
          </a:xfrm>
          <a:prstGeom prst="round2SameRect">
            <a:avLst/>
          </a:prstGeom>
          <a:ln/>
        </xdr:spPr>
        <xdr:style>
          <a:lnRef idx="0">
            <a:schemeClr val="accent1"/>
          </a:lnRef>
          <a:fillRef idx="3">
            <a:schemeClr val="accent1"/>
          </a:fillRef>
          <a:effectRef idx="3">
            <a:schemeClr val="accent1"/>
          </a:effectRef>
          <a:fontRef idx="minor">
            <a:schemeClr val="lt1"/>
          </a:fontRef>
        </xdr:style>
        <xdr:txBody>
          <a:bodyPr vertOverflow="clip" horzOverflow="clip" rtlCol="0" anchor="t"/>
          <a:lstStyle/>
          <a:p>
            <a:pPr algn="l"/>
            <a:endParaRPr lang="en-GB" sz="1100"/>
          </a:p>
        </xdr:txBody>
      </xdr:sp>
      <xdr:sp macro="" textlink="$K$26">
        <xdr:nvSpPr>
          <xdr:cNvPr id="11" name="TextBox 10"/>
          <xdr:cNvSpPr txBox="1"/>
        </xdr:nvSpPr>
        <xdr:spPr>
          <a:xfrm>
            <a:off x="7441831" y="6115049"/>
            <a:ext cx="3530970"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fld id="{63B1BCF6-4FA2-4300-A41F-12861E9D32B9}" type="TxLink">
              <a:rPr lang="en-US" sz="1200" b="0" i="0" u="none" strike="noStrike">
                <a:solidFill>
                  <a:schemeClr val="bg1"/>
                </a:solidFill>
                <a:latin typeface="Calibri"/>
                <a:cs typeface="Calibri"/>
              </a:rPr>
              <a:pPr algn="r"/>
              <a:t>08:33AM Thursday 05 January 2017</a:t>
            </a:fld>
            <a:endParaRPr lang="en-GB" sz="1200" b="0">
              <a:solidFill>
                <a:schemeClr val="bg1"/>
              </a:solidFill>
            </a:endParaRPr>
          </a:p>
        </xdr:txBody>
      </xdr:sp>
    </xdr:grpSp>
    <xdr:clientData/>
  </xdr:twoCellAnchor>
  <xdr:twoCellAnchor editAs="absolute">
    <xdr:from>
      <xdr:col>0</xdr:col>
      <xdr:colOff>0</xdr:colOff>
      <xdr:row>20</xdr:row>
      <xdr:rowOff>180711</xdr:rowOff>
    </xdr:from>
    <xdr:to>
      <xdr:col>11</xdr:col>
      <xdr:colOff>835875</xdr:colOff>
      <xdr:row>22</xdr:row>
      <xdr:rowOff>37836</xdr:rowOff>
    </xdr:to>
    <xdr:sp macro="" textlink="">
      <xdr:nvSpPr>
        <xdr:cNvPr id="13" name="Round Same Side Corner Rectangle 12"/>
        <xdr:cNvSpPr/>
      </xdr:nvSpPr>
      <xdr:spPr>
        <a:xfrm>
          <a:off x="0" y="4009761"/>
          <a:ext cx="10980000" cy="238125"/>
        </a:xfrm>
        <a:prstGeom prst="round2SameRect">
          <a:avLst/>
        </a:prstGeom>
        <a:ln/>
      </xdr:spPr>
      <xdr:style>
        <a:lnRef idx="0">
          <a:schemeClr val="accent1"/>
        </a:lnRef>
        <a:fillRef idx="3">
          <a:schemeClr val="accent1"/>
        </a:fillRef>
        <a:effectRef idx="3">
          <a:schemeClr val="accent1"/>
        </a:effectRef>
        <a:fontRef idx="minor">
          <a:schemeClr val="lt1"/>
        </a:fontRef>
      </xdr:style>
      <xdr:txBody>
        <a:bodyPr vertOverflow="clip" horzOverflow="clip" rtlCol="0" anchor="t"/>
        <a:lstStyle/>
        <a:p>
          <a:pPr algn="l"/>
          <a:endParaRPr lang="en-GB" sz="1100"/>
        </a:p>
      </xdr:txBody>
    </xdr:sp>
    <xdr:clientData/>
  </xdr:twoCellAnchor>
  <xdr:twoCellAnchor editAs="absolute">
    <xdr:from>
      <xdr:col>0</xdr:col>
      <xdr:colOff>0</xdr:colOff>
      <xdr:row>1</xdr:row>
      <xdr:rowOff>210874</xdr:rowOff>
    </xdr:from>
    <xdr:to>
      <xdr:col>11</xdr:col>
      <xdr:colOff>835875</xdr:colOff>
      <xdr:row>2</xdr:row>
      <xdr:rowOff>9525</xdr:rowOff>
    </xdr:to>
    <xdr:cxnSp macro="">
      <xdr:nvCxnSpPr>
        <xdr:cNvPr id="16" name="Straight Connector 15"/>
        <xdr:cNvCxnSpPr/>
      </xdr:nvCxnSpPr>
      <xdr:spPr>
        <a:xfrm>
          <a:off x="0" y="391849"/>
          <a:ext cx="10980000" cy="17726"/>
        </a:xfrm>
        <a:prstGeom prst="line">
          <a:avLst/>
        </a:prstGeom>
        <a:ln>
          <a:solidFill>
            <a:schemeClr val="accent1">
              <a:lumMod val="50000"/>
            </a:schemeClr>
          </a:solidFill>
        </a:ln>
      </xdr:spPr>
      <xdr:style>
        <a:lnRef idx="2">
          <a:schemeClr val="accent4"/>
        </a:lnRef>
        <a:fillRef idx="0">
          <a:schemeClr val="accent4"/>
        </a:fillRef>
        <a:effectRef idx="1">
          <a:schemeClr val="accent4"/>
        </a:effectRef>
        <a:fontRef idx="minor">
          <a:schemeClr val="tx1"/>
        </a:fontRef>
      </xdr:style>
    </xdr:cxnSp>
    <xdr:clientData/>
  </xdr:twoCellAnchor>
  <xdr:twoCellAnchor editAs="absolute">
    <xdr:from>
      <xdr:col>0</xdr:col>
      <xdr:colOff>342900</xdr:colOff>
      <xdr:row>38</xdr:row>
      <xdr:rowOff>109535</xdr:rowOff>
    </xdr:from>
    <xdr:to>
      <xdr:col>11</xdr:col>
      <xdr:colOff>627325</xdr:colOff>
      <xdr:row>55</xdr:row>
      <xdr:rowOff>133350</xdr:rowOff>
    </xdr:to>
    <xdr:sp macro="" textlink="">
      <xdr:nvSpPr>
        <xdr:cNvPr id="14" name="TextBox 13"/>
        <xdr:cNvSpPr txBox="1"/>
      </xdr:nvSpPr>
      <xdr:spPr>
        <a:xfrm>
          <a:off x="342900" y="7262810"/>
          <a:ext cx="10428550" cy="3100390"/>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lIns="144000" tIns="144000" rIns="144000" bIns="144000" rtlCol="0" anchor="t"/>
        <a:lstStyle/>
        <a:p>
          <a:r>
            <a:rPr lang="en-GB" sz="1400" b="1"/>
            <a:t>Information in this profile:</a:t>
          </a:r>
        </a:p>
        <a:p>
          <a:endParaRPr lang="en-GB" sz="600" b="1"/>
        </a:p>
        <a:p>
          <a:r>
            <a:rPr lang="en-GB" sz="1100" b="0"/>
            <a:t>Where possible data are provided for each individual centre. Where the information is not available, or where numbers are very small, data is shown for groups of centres or for a larger geographical area. Regional and national figures are included where available.</a:t>
          </a:r>
        </a:p>
        <a:p>
          <a:endParaRPr lang="en-GB" sz="600" b="0"/>
        </a:p>
        <a:p>
          <a:r>
            <a:rPr lang="en-GB" sz="1100" b="0">
              <a:solidFill>
                <a:schemeClr val="dk1"/>
              </a:solidFill>
              <a:effectLst/>
              <a:latin typeface="+mn-lt"/>
              <a:ea typeface="+mn-ea"/>
              <a:cs typeface="+mn-cs"/>
            </a:rPr>
            <a:t>Brief notes concerning any statistical issues are</a:t>
          </a:r>
          <a:r>
            <a:rPr lang="en-GB" sz="1100" b="0" baseline="0">
              <a:solidFill>
                <a:schemeClr val="dk1"/>
              </a:solidFill>
              <a:effectLst/>
              <a:latin typeface="+mn-lt"/>
              <a:ea typeface="+mn-ea"/>
              <a:cs typeface="+mn-cs"/>
            </a:rPr>
            <a:t> provided for each section.</a:t>
          </a:r>
        </a:p>
        <a:p>
          <a:endParaRPr lang="en-GB" sz="600">
            <a:effectLst/>
          </a:endParaRPr>
        </a:p>
        <a:p>
          <a:pPr marL="0" marR="0" indent="0" defTabSz="914400" eaLnBrk="1" fontAlgn="auto" latinLnBrk="0" hangingPunct="1">
            <a:lnSpc>
              <a:spcPct val="100000"/>
            </a:lnSpc>
            <a:spcBef>
              <a:spcPts val="0"/>
            </a:spcBef>
            <a:spcAft>
              <a:spcPts val="0"/>
            </a:spcAft>
            <a:buClrTx/>
            <a:buSzTx/>
            <a:buFontTx/>
            <a:buNone/>
            <a:tabLst/>
            <a:defRPr/>
          </a:pPr>
          <a:r>
            <a:rPr lang="en-GB" sz="1100" b="1" baseline="0">
              <a:solidFill>
                <a:schemeClr val="dk1"/>
              </a:solidFill>
              <a:effectLst/>
              <a:latin typeface="+mn-lt"/>
              <a:ea typeface="+mn-ea"/>
              <a:cs typeface="+mn-cs"/>
            </a:rPr>
            <a:t>NOTE: An error was identified in the 2014 Children and Family Centre Profile concerning  "Household Composition", where the total number of households with a child aged 0-4 (and couple and non-couple households) were miscalcuated. This has been corrected in the 2015 and 2016 Children's Workforce Public Health Profile. In addition, small changes to the way breastfeeding data is calculated has been backdated for consistency so small differences may exist between profiles of different years. </a:t>
          </a:r>
        </a:p>
        <a:p>
          <a:pPr marL="0" marR="0" indent="0" defTabSz="914400" eaLnBrk="1" fontAlgn="auto" latinLnBrk="0" hangingPunct="1">
            <a:lnSpc>
              <a:spcPct val="100000"/>
            </a:lnSpc>
            <a:spcBef>
              <a:spcPts val="0"/>
            </a:spcBef>
            <a:spcAft>
              <a:spcPts val="0"/>
            </a:spcAft>
            <a:buClrTx/>
            <a:buSzTx/>
            <a:buFontTx/>
            <a:buNone/>
            <a:tabLst/>
            <a:defRPr/>
          </a:pPr>
          <a:endParaRPr lang="en-GB" sz="1100" b="1" baseline="0">
            <a:solidFill>
              <a:schemeClr val="dk1"/>
            </a:solidFill>
            <a:effectLst/>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GB" sz="1100" b="1" baseline="0">
              <a:solidFill>
                <a:schemeClr val="dk1"/>
              </a:solidFill>
              <a:effectLst/>
              <a:latin typeface="+mn-lt"/>
              <a:ea typeface="+mn-ea"/>
              <a:cs typeface="+mn-cs"/>
            </a:rPr>
            <a:t>The most recent data concerning the number of births, teenage mothers and feeding status were sourced from SystmOne. This is a relatively new recording system and </a:t>
          </a:r>
          <a:r>
            <a:rPr lang="en-GB" sz="1100" b="1" u="sng" baseline="0">
              <a:solidFill>
                <a:schemeClr val="dk1"/>
              </a:solidFill>
              <a:effectLst/>
              <a:latin typeface="+mn-lt"/>
              <a:ea typeface="+mn-ea"/>
              <a:cs typeface="+mn-cs"/>
            </a:rPr>
            <a:t>differences are anticipated </a:t>
          </a:r>
          <a:r>
            <a:rPr lang="en-GB" sz="1100" b="1" baseline="0">
              <a:solidFill>
                <a:schemeClr val="dk1"/>
              </a:solidFill>
              <a:effectLst/>
              <a:latin typeface="+mn-lt"/>
              <a:ea typeface="+mn-ea"/>
              <a:cs typeface="+mn-cs"/>
            </a:rPr>
            <a:t>as a result.  </a:t>
          </a:r>
        </a:p>
        <a:p>
          <a:pPr marL="0" marR="0" indent="0" defTabSz="914400" eaLnBrk="1" fontAlgn="auto" latinLnBrk="0" hangingPunct="1">
            <a:lnSpc>
              <a:spcPct val="100000"/>
            </a:lnSpc>
            <a:spcBef>
              <a:spcPts val="0"/>
            </a:spcBef>
            <a:spcAft>
              <a:spcPts val="0"/>
            </a:spcAft>
            <a:buClrTx/>
            <a:buSzTx/>
            <a:buFontTx/>
            <a:buNone/>
            <a:tabLst/>
            <a:defRPr/>
          </a:pPr>
          <a:endParaRPr lang="en-GB" sz="600" b="0"/>
        </a:p>
        <a:p>
          <a:r>
            <a:rPr lang="en-GB" sz="1400" b="1"/>
            <a:t>Interpretation</a:t>
          </a:r>
          <a:r>
            <a:rPr lang="en-GB" sz="1400" b="1" baseline="0"/>
            <a:t> using </a:t>
          </a:r>
          <a:r>
            <a:rPr lang="en-GB" sz="1400" b="1" u="sng" baseline="0"/>
            <a:t>CONFIDENCE LEVELS</a:t>
          </a:r>
          <a:r>
            <a:rPr lang="en-GB" sz="1400" b="1" baseline="0"/>
            <a:t>:</a:t>
          </a:r>
          <a:endParaRPr lang="en-GB" sz="1400" b="1"/>
        </a:p>
        <a:p>
          <a:endParaRPr lang="en-GB" sz="600" b="0"/>
        </a:p>
        <a:p>
          <a:r>
            <a:rPr lang="en-GB" sz="1100" b="0"/>
            <a:t>95% confidence intervals are shown and should be used when making comparisons. Where confidence intervals overlap, it is not possible to say that a difference is statistically significant. For the majority of this profile, significance relates to whether an area is significantly different in comparison to </a:t>
          </a:r>
          <a:r>
            <a:rPr lang="en-GB" sz="1100" b="0" u="sng"/>
            <a:t>England averages</a:t>
          </a:r>
          <a:r>
            <a:rPr lang="en-GB" sz="1100" b="0"/>
            <a:t>.</a:t>
          </a:r>
        </a:p>
        <a:p>
          <a:endParaRPr lang="en-GB" sz="600" b="0"/>
        </a:p>
      </xdr:txBody>
    </xdr:sp>
    <xdr:clientData/>
  </xdr:twoCellAnchor>
  <xdr:twoCellAnchor editAs="absolute">
    <xdr:from>
      <xdr:col>0</xdr:col>
      <xdr:colOff>0</xdr:colOff>
      <xdr:row>16</xdr:row>
      <xdr:rowOff>9262</xdr:rowOff>
    </xdr:from>
    <xdr:to>
      <xdr:col>11</xdr:col>
      <xdr:colOff>835875</xdr:colOff>
      <xdr:row>16</xdr:row>
      <xdr:rowOff>18786</xdr:rowOff>
    </xdr:to>
    <xdr:cxnSp macro="">
      <xdr:nvCxnSpPr>
        <xdr:cNvPr id="33" name="Straight Connector 32"/>
        <xdr:cNvCxnSpPr/>
      </xdr:nvCxnSpPr>
      <xdr:spPr>
        <a:xfrm>
          <a:off x="0" y="3076312"/>
          <a:ext cx="10980000" cy="9524"/>
        </a:xfrm>
        <a:prstGeom prst="line">
          <a:avLst/>
        </a:prstGeom>
        <a:ln>
          <a:solidFill>
            <a:schemeClr val="tx2"/>
          </a:solidFill>
        </a:ln>
      </xdr:spPr>
      <xdr:style>
        <a:lnRef idx="2">
          <a:schemeClr val="accent4"/>
        </a:lnRef>
        <a:fillRef idx="0">
          <a:schemeClr val="accent4"/>
        </a:fillRef>
        <a:effectRef idx="1">
          <a:schemeClr val="accent4"/>
        </a:effectRef>
        <a:fontRef idx="minor">
          <a:schemeClr val="tx1"/>
        </a:fontRef>
      </xdr:style>
    </xdr:cxnSp>
    <xdr:clientData/>
  </xdr:twoCellAnchor>
  <mc:AlternateContent xmlns:mc="http://schemas.openxmlformats.org/markup-compatibility/2006">
    <mc:Choice xmlns:a14="http://schemas.microsoft.com/office/drawing/2010/main" Requires="a14">
      <xdr:twoCellAnchor editAs="absolute">
        <xdr:from>
          <xdr:col>4</xdr:col>
          <xdr:colOff>457200</xdr:colOff>
          <xdr:row>16</xdr:row>
          <xdr:rowOff>133350</xdr:rowOff>
        </xdr:from>
        <xdr:to>
          <xdr:col>8</xdr:col>
          <xdr:colOff>285750</xdr:colOff>
          <xdr:row>18</xdr:row>
          <xdr:rowOff>19050</xdr:rowOff>
        </xdr:to>
        <xdr:sp macro="" textlink="">
          <xdr:nvSpPr>
            <xdr:cNvPr id="2050" name="Drop Down 2" hidden="1">
              <a:extLst>
                <a:ext uri="{63B3BB69-23CF-44E3-9099-C40C66FF867C}">
                  <a14:compatExt spid="_x0000_s2050"/>
                </a:ext>
              </a:extLst>
            </xdr:cNvPr>
            <xdr:cNvSpPr/>
          </xdr:nvSpPr>
          <xdr:spPr>
            <a:xfrm>
              <a:off x="0" y="0"/>
              <a:ext cx="0" cy="0"/>
            </a:xfrm>
            <a:prstGeom prst="rect">
              <a:avLst/>
            </a:prstGeom>
          </xdr:spPr>
        </xdr:sp>
        <xdr:clientData/>
      </xdr:twoCellAnchor>
    </mc:Choice>
    <mc:Fallback/>
  </mc:AlternateContent>
  <xdr:twoCellAnchor editAs="absolute">
    <xdr:from>
      <xdr:col>8</xdr:col>
      <xdr:colOff>430742</xdr:colOff>
      <xdr:row>16</xdr:row>
      <xdr:rowOff>104511</xdr:rowOff>
    </xdr:from>
    <xdr:to>
      <xdr:col>9</xdr:col>
      <xdr:colOff>147637</xdr:colOff>
      <xdr:row>18</xdr:row>
      <xdr:rowOff>37836</xdr:rowOff>
    </xdr:to>
    <xdr:sp macro="" textlink="">
      <xdr:nvSpPr>
        <xdr:cNvPr id="15" name="Left Arrow 14"/>
        <xdr:cNvSpPr/>
      </xdr:nvSpPr>
      <xdr:spPr>
        <a:xfrm>
          <a:off x="7115175" y="3162300"/>
          <a:ext cx="552450" cy="314325"/>
        </a:xfrm>
        <a:prstGeom prst="leftArrow">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t"/>
        <a:lstStyle/>
        <a:p>
          <a:pPr algn="l"/>
          <a:endParaRPr lang="en-GB" sz="1100"/>
        </a:p>
      </xdr:txBody>
    </xdr:sp>
    <xdr:clientData/>
  </xdr:twoCellAnchor>
  <xdr:twoCellAnchor editAs="absolute">
    <xdr:from>
      <xdr:col>9</xdr:col>
      <xdr:colOff>157162</xdr:colOff>
      <xdr:row>16</xdr:row>
      <xdr:rowOff>133086</xdr:rowOff>
    </xdr:from>
    <xdr:to>
      <xdr:col>10</xdr:col>
      <xdr:colOff>1198033</xdr:colOff>
      <xdr:row>18</xdr:row>
      <xdr:rowOff>9261</xdr:rowOff>
    </xdr:to>
    <xdr:sp macro="" textlink="">
      <xdr:nvSpPr>
        <xdr:cNvPr id="17" name="TextBox 16"/>
        <xdr:cNvSpPr txBox="1"/>
      </xdr:nvSpPr>
      <xdr:spPr>
        <a:xfrm>
          <a:off x="7677150" y="3190875"/>
          <a:ext cx="1876425"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Please select an</a:t>
          </a:r>
          <a:r>
            <a:rPr lang="en-GB" sz="1100" baseline="0"/>
            <a:t> area</a:t>
          </a:r>
          <a:endParaRPr lang="en-GB" sz="1100"/>
        </a:p>
      </xdr:txBody>
    </xdr:sp>
    <xdr:clientData/>
  </xdr:twoCellAnchor>
  <mc:AlternateContent xmlns:mc="http://schemas.openxmlformats.org/markup-compatibility/2006">
    <mc:Choice xmlns:a14="http://schemas.microsoft.com/office/drawing/2010/main" Requires="a14">
      <xdr:twoCellAnchor editAs="absolute">
        <xdr:from>
          <xdr:col>4</xdr:col>
          <xdr:colOff>457200</xdr:colOff>
          <xdr:row>18</xdr:row>
          <xdr:rowOff>171450</xdr:rowOff>
        </xdr:from>
        <xdr:to>
          <xdr:col>8</xdr:col>
          <xdr:colOff>285750</xdr:colOff>
          <xdr:row>20</xdr:row>
          <xdr:rowOff>57150</xdr:rowOff>
        </xdr:to>
        <xdr:sp macro="" textlink="">
          <xdr:nvSpPr>
            <xdr:cNvPr id="2051" name="Drop Down 3" hidden="1">
              <a:extLst>
                <a:ext uri="{63B3BB69-23CF-44E3-9099-C40C66FF867C}">
                  <a14:compatExt spid="_x0000_s2051"/>
                </a:ext>
              </a:extLst>
            </xdr:cNvPr>
            <xdr:cNvSpPr/>
          </xdr:nvSpPr>
          <xdr:spPr>
            <a:xfrm>
              <a:off x="0" y="0"/>
              <a:ext cx="0" cy="0"/>
            </a:xfrm>
            <a:prstGeom prst="rect">
              <a:avLst/>
            </a:prstGeom>
          </xdr:spPr>
        </xdr:sp>
        <xdr:clientData/>
      </xdr:twoCellAnchor>
    </mc:Choice>
    <mc:Fallback/>
  </mc:AlternateContent>
  <xdr:twoCellAnchor editAs="absolute">
    <xdr:from>
      <xdr:col>8</xdr:col>
      <xdr:colOff>421217</xdr:colOff>
      <xdr:row>18</xdr:row>
      <xdr:rowOff>152136</xdr:rowOff>
    </xdr:from>
    <xdr:to>
      <xdr:col>9</xdr:col>
      <xdr:colOff>138112</xdr:colOff>
      <xdr:row>20</xdr:row>
      <xdr:rowOff>85461</xdr:rowOff>
    </xdr:to>
    <xdr:sp macro="" textlink="">
      <xdr:nvSpPr>
        <xdr:cNvPr id="22" name="Left Arrow 21"/>
        <xdr:cNvSpPr/>
      </xdr:nvSpPr>
      <xdr:spPr>
        <a:xfrm>
          <a:off x="7105650" y="3590925"/>
          <a:ext cx="552450" cy="314325"/>
        </a:xfrm>
        <a:prstGeom prst="leftArrow">
          <a:avLst/>
        </a:prstGeom>
      </xdr:spPr>
      <xdr:style>
        <a:lnRef idx="0">
          <a:schemeClr val="accent4"/>
        </a:lnRef>
        <a:fillRef idx="3">
          <a:schemeClr val="accent4"/>
        </a:fillRef>
        <a:effectRef idx="3">
          <a:schemeClr val="accent4"/>
        </a:effectRef>
        <a:fontRef idx="minor">
          <a:schemeClr val="lt1"/>
        </a:fontRef>
      </xdr:style>
      <xdr:txBody>
        <a:bodyPr vertOverflow="clip" horzOverflow="clip" rtlCol="0" anchor="t"/>
        <a:lstStyle/>
        <a:p>
          <a:pPr algn="l"/>
          <a:endParaRPr lang="en-GB" sz="1100"/>
        </a:p>
      </xdr:txBody>
    </xdr:sp>
    <xdr:clientData/>
  </xdr:twoCellAnchor>
  <xdr:twoCellAnchor editAs="absolute">
    <xdr:from>
      <xdr:col>9</xdr:col>
      <xdr:colOff>147637</xdr:colOff>
      <xdr:row>19</xdr:row>
      <xdr:rowOff>9261</xdr:rowOff>
    </xdr:from>
    <xdr:to>
      <xdr:col>10</xdr:col>
      <xdr:colOff>1188508</xdr:colOff>
      <xdr:row>20</xdr:row>
      <xdr:rowOff>75936</xdr:rowOff>
    </xdr:to>
    <xdr:sp macro="" textlink="">
      <xdr:nvSpPr>
        <xdr:cNvPr id="23" name="TextBox 22"/>
        <xdr:cNvSpPr txBox="1"/>
      </xdr:nvSpPr>
      <xdr:spPr>
        <a:xfrm>
          <a:off x="7667625" y="3638550"/>
          <a:ext cx="1876425"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Please select an</a:t>
          </a:r>
          <a:r>
            <a:rPr lang="en-GB" sz="1100" baseline="0"/>
            <a:t> area</a:t>
          </a:r>
          <a:endParaRPr lang="en-GB" sz="1100"/>
        </a:p>
      </xdr:txBody>
    </xdr:sp>
    <xdr:clientData/>
  </xdr:twoCellAnchor>
  <xdr:twoCellAnchor editAs="absolute">
    <xdr:from>
      <xdr:col>10</xdr:col>
      <xdr:colOff>502708</xdr:colOff>
      <xdr:row>35</xdr:row>
      <xdr:rowOff>143669</xdr:rowOff>
    </xdr:from>
    <xdr:to>
      <xdr:col>11</xdr:col>
      <xdr:colOff>603250</xdr:colOff>
      <xdr:row>37</xdr:row>
      <xdr:rowOff>32014</xdr:rowOff>
    </xdr:to>
    <xdr:sp macro="" textlink="">
      <xdr:nvSpPr>
        <xdr:cNvPr id="18" name="Rectangle 17">
          <a:hlinkClick xmlns:r="http://schemas.openxmlformats.org/officeDocument/2006/relationships" r:id="rId3"/>
        </xdr:cNvPr>
        <xdr:cNvSpPr/>
      </xdr:nvSpPr>
      <xdr:spPr>
        <a:xfrm>
          <a:off x="8858250" y="6734175"/>
          <a:ext cx="1857375" cy="247650"/>
        </a:xfrm>
        <a:prstGeom prst="rect">
          <a:avLst/>
        </a:prstGeom>
        <a:solidFill>
          <a:schemeClr val="accent1"/>
        </a:solidFill>
      </xdr:spPr>
      <xdr:style>
        <a:lnRef idx="0">
          <a:schemeClr val="accent5"/>
        </a:lnRef>
        <a:fillRef idx="3">
          <a:schemeClr val="accent5"/>
        </a:fillRef>
        <a:effectRef idx="3">
          <a:schemeClr val="accent5"/>
        </a:effectRef>
        <a:fontRef idx="minor">
          <a:schemeClr val="lt1"/>
        </a:fontRef>
      </xdr:style>
      <xdr:txBody>
        <a:bodyPr vertOverflow="clip" horzOverflow="clip" rtlCol="0" anchor="t"/>
        <a:lstStyle/>
        <a:p>
          <a:pPr algn="ctr"/>
          <a:r>
            <a:rPr lang="en-GB" sz="1100"/>
            <a:t>Go</a:t>
          </a:r>
          <a:r>
            <a:rPr lang="en-GB" sz="1100" baseline="0"/>
            <a:t> to the data</a:t>
          </a:r>
          <a:endParaRPr lang="en-GB" sz="1100"/>
        </a:p>
      </xdr:txBody>
    </xdr:sp>
    <xdr:clientData/>
  </xdr:twoCellAnchor>
  <xdr:twoCellAnchor editAs="oneCell">
    <xdr:from>
      <xdr:col>0</xdr:col>
      <xdr:colOff>107156</xdr:colOff>
      <xdr:row>9</xdr:row>
      <xdr:rowOff>154782</xdr:rowOff>
    </xdr:from>
    <xdr:to>
      <xdr:col>2</xdr:col>
      <xdr:colOff>529167</xdr:colOff>
      <xdr:row>15</xdr:row>
      <xdr:rowOff>8064</xdr:rowOff>
    </xdr:to>
    <xdr:pic>
      <xdr:nvPicPr>
        <xdr:cNvPr id="19" name="Picture 18"/>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sharpenSoften amount="25000"/>
                  </a14:imgEffect>
                </a14:imgLayer>
              </a14:imgProps>
            </a:ext>
            <a:ext uri="{28A0092B-C50C-407E-A947-70E740481C1C}">
              <a14:useLocalDpi xmlns:a14="http://schemas.microsoft.com/office/drawing/2010/main" val="0"/>
            </a:ext>
          </a:extLst>
        </a:blip>
        <a:stretch>
          <a:fillRect/>
        </a:stretch>
      </xdr:blipFill>
      <xdr:spPr>
        <a:xfrm>
          <a:off x="107156" y="1881188"/>
          <a:ext cx="2083594" cy="996282"/>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absolute">
    <xdr:from>
      <xdr:col>1</xdr:col>
      <xdr:colOff>0</xdr:colOff>
      <xdr:row>0</xdr:row>
      <xdr:rowOff>104775</xdr:rowOff>
    </xdr:from>
    <xdr:to>
      <xdr:col>19</xdr:col>
      <xdr:colOff>122475</xdr:colOff>
      <xdr:row>4</xdr:row>
      <xdr:rowOff>57150</xdr:rowOff>
    </xdr:to>
    <xdr:grpSp>
      <xdr:nvGrpSpPr>
        <xdr:cNvPr id="12" name="Group 11"/>
        <xdr:cNvGrpSpPr/>
      </xdr:nvGrpSpPr>
      <xdr:grpSpPr>
        <a:xfrm>
          <a:off x="85725" y="104775"/>
          <a:ext cx="10800000" cy="676275"/>
          <a:chOff x="85725" y="104775"/>
          <a:chExt cx="10800000" cy="676275"/>
        </a:xfrm>
      </xdr:grpSpPr>
      <xdr:sp macro="" textlink="">
        <xdr:nvSpPr>
          <xdr:cNvPr id="3" name="Round Same Side Corner Rectangle 2"/>
          <xdr:cNvSpPr/>
        </xdr:nvSpPr>
        <xdr:spPr>
          <a:xfrm>
            <a:off x="85725" y="104775"/>
            <a:ext cx="10796776" cy="676275"/>
          </a:xfrm>
          <a:prstGeom prst="round2SameRect">
            <a:avLst>
              <a:gd name="adj1" fmla="val 50000"/>
              <a:gd name="adj2" fmla="val 0"/>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lang="en-GB" sz="1000"/>
          </a:p>
        </xdr:txBody>
      </xdr:sp>
      <xdr:sp macro="" textlink="">
        <xdr:nvSpPr>
          <xdr:cNvPr id="4" name="Snip Single Corner Rectangle 3">
            <a:hlinkClick xmlns:r="http://schemas.openxmlformats.org/officeDocument/2006/relationships" r:id="rId1"/>
          </xdr:cNvPr>
          <xdr:cNvSpPr/>
        </xdr:nvSpPr>
        <xdr:spPr>
          <a:xfrm>
            <a:off x="95246" y="500879"/>
            <a:ext cx="1763473" cy="251187"/>
          </a:xfrm>
          <a:prstGeom prst="snip1Rect">
            <a:avLst>
              <a:gd name="adj" fmla="val 50000"/>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b"/>
          <a:lstStyle/>
          <a:p>
            <a:pPr algn="ctr"/>
            <a:r>
              <a:rPr lang="en-GB" sz="1000" b="0"/>
              <a:t>Population</a:t>
            </a:r>
          </a:p>
        </xdr:txBody>
      </xdr:sp>
      <xdr:sp macro="" textlink="">
        <xdr:nvSpPr>
          <xdr:cNvPr id="5" name="Snip Single Corner Rectangle 4">
            <a:hlinkClick xmlns:r="http://schemas.openxmlformats.org/officeDocument/2006/relationships" r:id="rId2"/>
          </xdr:cNvPr>
          <xdr:cNvSpPr/>
        </xdr:nvSpPr>
        <xdr:spPr>
          <a:xfrm>
            <a:off x="1900647" y="500879"/>
            <a:ext cx="1763473" cy="251187"/>
          </a:xfrm>
          <a:prstGeom prst="snip1Rect">
            <a:avLst>
              <a:gd name="adj" fmla="val 50000"/>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b"/>
          <a:lstStyle/>
          <a:p>
            <a:pPr algn="ctr"/>
            <a:r>
              <a:rPr lang="en-GB" sz="1000"/>
              <a:t>Family Structure</a:t>
            </a:r>
          </a:p>
        </xdr:txBody>
      </xdr:sp>
      <xdr:sp macro="" textlink="">
        <xdr:nvSpPr>
          <xdr:cNvPr id="6" name="Snip Single Corner Rectangle 5">
            <a:hlinkClick xmlns:r="http://schemas.openxmlformats.org/officeDocument/2006/relationships" r:id="rId3"/>
          </xdr:cNvPr>
          <xdr:cNvSpPr/>
        </xdr:nvSpPr>
        <xdr:spPr>
          <a:xfrm>
            <a:off x="3706048" y="500879"/>
            <a:ext cx="1763473" cy="251187"/>
          </a:xfrm>
          <a:prstGeom prst="snip1Rect">
            <a:avLst>
              <a:gd name="adj" fmla="val 50000"/>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b"/>
          <a:lstStyle/>
          <a:p>
            <a:pPr algn="ctr"/>
            <a:r>
              <a:rPr lang="en-GB" sz="1000"/>
              <a:t>Health Indicators</a:t>
            </a:r>
          </a:p>
        </xdr:txBody>
      </xdr:sp>
      <xdr:sp macro="" textlink="">
        <xdr:nvSpPr>
          <xdr:cNvPr id="7" name="Snip Single Corner Rectangle 6">
            <a:hlinkClick xmlns:r="http://schemas.openxmlformats.org/officeDocument/2006/relationships" r:id="rId4"/>
          </xdr:cNvPr>
          <xdr:cNvSpPr/>
        </xdr:nvSpPr>
        <xdr:spPr>
          <a:xfrm>
            <a:off x="7316850" y="500879"/>
            <a:ext cx="1763473" cy="251187"/>
          </a:xfrm>
          <a:prstGeom prst="snip1Rect">
            <a:avLst>
              <a:gd name="adj" fmla="val 50000"/>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b"/>
          <a:lstStyle/>
          <a:p>
            <a:pPr algn="ctr"/>
            <a:r>
              <a:rPr lang="en-GB" sz="1000"/>
              <a:t>Deprivation</a:t>
            </a:r>
          </a:p>
        </xdr:txBody>
      </xdr:sp>
      <xdr:sp macro="" textlink="">
        <xdr:nvSpPr>
          <xdr:cNvPr id="8" name="Snip Single Corner Rectangle 7">
            <a:hlinkClick xmlns:r="http://schemas.openxmlformats.org/officeDocument/2006/relationships" r:id="rId5"/>
          </xdr:cNvPr>
          <xdr:cNvSpPr/>
        </xdr:nvSpPr>
        <xdr:spPr>
          <a:xfrm>
            <a:off x="9122252" y="500879"/>
            <a:ext cx="1763473" cy="251187"/>
          </a:xfrm>
          <a:prstGeom prst="snip1Rect">
            <a:avLst>
              <a:gd name="adj" fmla="val 50000"/>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b"/>
          <a:lstStyle/>
          <a:p>
            <a:pPr algn="ctr"/>
            <a:r>
              <a:rPr lang="en-GB" sz="1000"/>
              <a:t>EYFS</a:t>
            </a:r>
          </a:p>
        </xdr:txBody>
      </xdr:sp>
      <xdr:cxnSp macro="">
        <xdr:nvCxnSpPr>
          <xdr:cNvPr id="9" name="Straight Connector 8"/>
          <xdr:cNvCxnSpPr/>
        </xdr:nvCxnSpPr>
        <xdr:spPr>
          <a:xfrm>
            <a:off x="85725" y="771389"/>
            <a:ext cx="10796776" cy="1"/>
          </a:xfrm>
          <a:prstGeom prst="line">
            <a:avLst/>
          </a:prstGeom>
          <a:ln>
            <a:solidFill>
              <a:schemeClr val="tx2"/>
            </a:solidFill>
          </a:ln>
        </xdr:spPr>
        <xdr:style>
          <a:lnRef idx="1">
            <a:schemeClr val="accent1"/>
          </a:lnRef>
          <a:fillRef idx="2">
            <a:schemeClr val="accent1"/>
          </a:fillRef>
          <a:effectRef idx="1">
            <a:schemeClr val="accent1"/>
          </a:effectRef>
          <a:fontRef idx="minor">
            <a:schemeClr val="dk1"/>
          </a:fontRef>
        </xdr:style>
      </xdr:cxnSp>
      <xdr:sp macro="" textlink="">
        <xdr:nvSpPr>
          <xdr:cNvPr id="10" name="Snip Single Corner Rectangle 9">
            <a:hlinkClick xmlns:r="http://schemas.openxmlformats.org/officeDocument/2006/relationships" r:id="rId4"/>
          </xdr:cNvPr>
          <xdr:cNvSpPr/>
        </xdr:nvSpPr>
        <xdr:spPr>
          <a:xfrm>
            <a:off x="5505450" y="504825"/>
            <a:ext cx="1763473" cy="251187"/>
          </a:xfrm>
          <a:prstGeom prst="snip1Rect">
            <a:avLst>
              <a:gd name="adj" fmla="val 50000"/>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b"/>
          <a:lstStyle/>
          <a:p>
            <a:pPr algn="ctr"/>
            <a:r>
              <a:rPr lang="en-GB" sz="1000"/>
              <a:t>Birth and Early</a:t>
            </a:r>
            <a:r>
              <a:rPr lang="en-GB" sz="1000" baseline="0"/>
              <a:t> Years</a:t>
            </a:r>
            <a:endParaRPr lang="en-GB" sz="1000"/>
          </a:p>
        </xdr:txBody>
      </xdr:sp>
    </xdr:grpSp>
    <xdr:clientData/>
  </xdr:twoCellAnchor>
  <xdr:twoCellAnchor editAs="absolute">
    <xdr:from>
      <xdr:col>2</xdr:col>
      <xdr:colOff>161925</xdr:colOff>
      <xdr:row>0</xdr:row>
      <xdr:rowOff>152400</xdr:rowOff>
    </xdr:from>
    <xdr:to>
      <xdr:col>11</xdr:col>
      <xdr:colOff>342900</xdr:colOff>
      <xdr:row>2</xdr:row>
      <xdr:rowOff>118926</xdr:rowOff>
    </xdr:to>
    <xdr:sp macro="" textlink="">
      <xdr:nvSpPr>
        <xdr:cNvPr id="13" name="TextBox 12"/>
        <xdr:cNvSpPr txBox="1"/>
      </xdr:nvSpPr>
      <xdr:spPr>
        <a:xfrm>
          <a:off x="361950" y="152400"/>
          <a:ext cx="5924550" cy="3284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400" b="1"/>
            <a:t>Children's Workforce Public Health Profiles: </a:t>
          </a:r>
          <a:r>
            <a:rPr lang="en-GB" sz="1400" b="0"/>
            <a:t>References and Resources</a:t>
          </a:r>
        </a:p>
      </xdr:txBody>
    </xdr:sp>
    <xdr:clientData/>
  </xdr:twoCellAnchor>
  <xdr:twoCellAnchor editAs="absolute">
    <xdr:from>
      <xdr:col>0</xdr:col>
      <xdr:colOff>76200</xdr:colOff>
      <xdr:row>39</xdr:row>
      <xdr:rowOff>171450</xdr:rowOff>
    </xdr:from>
    <xdr:to>
      <xdr:col>19</xdr:col>
      <xdr:colOff>132000</xdr:colOff>
      <xdr:row>41</xdr:row>
      <xdr:rowOff>113240</xdr:rowOff>
    </xdr:to>
    <xdr:grpSp>
      <xdr:nvGrpSpPr>
        <xdr:cNvPr id="14" name="Group 13"/>
        <xdr:cNvGrpSpPr/>
      </xdr:nvGrpSpPr>
      <xdr:grpSpPr>
        <a:xfrm>
          <a:off x="76200" y="8886825"/>
          <a:ext cx="10819050" cy="313265"/>
          <a:chOff x="9524" y="6115049"/>
          <a:chExt cx="10963276" cy="314325"/>
        </a:xfrm>
      </xdr:grpSpPr>
      <xdr:sp macro="" textlink="">
        <xdr:nvSpPr>
          <xdr:cNvPr id="15" name="Round Same Side Corner Rectangle 14"/>
          <xdr:cNvSpPr/>
        </xdr:nvSpPr>
        <xdr:spPr>
          <a:xfrm flipV="1">
            <a:off x="9524" y="6124573"/>
            <a:ext cx="10958850" cy="238125"/>
          </a:xfrm>
          <a:prstGeom prst="round2SameRect">
            <a:avLst/>
          </a:prstGeom>
          <a:ln/>
        </xdr:spPr>
        <xdr:style>
          <a:lnRef idx="0">
            <a:schemeClr val="accent1"/>
          </a:lnRef>
          <a:fillRef idx="3">
            <a:schemeClr val="accent1"/>
          </a:fillRef>
          <a:effectRef idx="3">
            <a:schemeClr val="accent1"/>
          </a:effectRef>
          <a:fontRef idx="minor">
            <a:schemeClr val="lt1"/>
          </a:fontRef>
        </xdr:style>
        <xdr:txBody>
          <a:bodyPr vertOverflow="clip" horzOverflow="clip" rtlCol="0" anchor="t"/>
          <a:lstStyle/>
          <a:p>
            <a:pPr algn="l"/>
            <a:endParaRPr lang="en-GB" sz="1100"/>
          </a:p>
        </xdr:txBody>
      </xdr:sp>
      <xdr:sp macro="" textlink="$R$1">
        <xdr:nvSpPr>
          <xdr:cNvPr id="16" name="TextBox 15"/>
          <xdr:cNvSpPr txBox="1"/>
        </xdr:nvSpPr>
        <xdr:spPr>
          <a:xfrm>
            <a:off x="8829675" y="6115049"/>
            <a:ext cx="2143125"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3B1BCF6-4FA2-4300-A41F-12861E9D32B9}" type="TxLink">
              <a:rPr lang="en-US" sz="1200" b="0" i="0" u="none" strike="noStrike">
                <a:solidFill>
                  <a:schemeClr val="bg1"/>
                </a:solidFill>
                <a:latin typeface="Calibri"/>
                <a:ea typeface="Verdana"/>
                <a:cs typeface="Calibri"/>
              </a:rPr>
              <a:pPr/>
              <a:t> </a:t>
            </a:fld>
            <a:endParaRPr lang="en-GB" sz="1200" b="0">
              <a:solidFill>
                <a:schemeClr val="bg1"/>
              </a:solidFill>
            </a:endParaRPr>
          </a:p>
        </xdr:txBody>
      </xdr:sp>
    </xdr:grpSp>
    <xdr:clientData/>
  </xdr:twoCellAnchor>
  <xdr:twoCellAnchor editAs="absolute">
    <xdr:from>
      <xdr:col>15</xdr:col>
      <xdr:colOff>295275</xdr:colOff>
      <xdr:row>1</xdr:row>
      <xdr:rowOff>19050</xdr:rowOff>
    </xdr:from>
    <xdr:to>
      <xdr:col>18</xdr:col>
      <xdr:colOff>238125</xdr:colOff>
      <xdr:row>2</xdr:row>
      <xdr:rowOff>85725</xdr:rowOff>
    </xdr:to>
    <xdr:sp macro="" textlink="">
      <xdr:nvSpPr>
        <xdr:cNvPr id="17" name="Rectangle 16">
          <a:hlinkClick xmlns:r="http://schemas.openxmlformats.org/officeDocument/2006/relationships" r:id="rId6"/>
        </xdr:cNvPr>
        <xdr:cNvSpPr/>
      </xdr:nvSpPr>
      <xdr:spPr>
        <a:xfrm>
          <a:off x="8791575" y="200025"/>
          <a:ext cx="1857375" cy="247650"/>
        </a:xfrm>
        <a:prstGeom prst="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t"/>
        <a:lstStyle/>
        <a:p>
          <a:pPr algn="ctr"/>
          <a:r>
            <a:rPr lang="en-GB" sz="1100"/>
            <a:t>Go</a:t>
          </a:r>
          <a:r>
            <a:rPr lang="en-GB" sz="1100" baseline="0"/>
            <a:t> to the data</a:t>
          </a:r>
          <a:endParaRPr lang="en-GB" sz="1100"/>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xdr:colOff>
      <xdr:row>195</xdr:row>
      <xdr:rowOff>24797</xdr:rowOff>
    </xdr:from>
    <xdr:to>
      <xdr:col>20</xdr:col>
      <xdr:colOff>103426</xdr:colOff>
      <xdr:row>196</xdr:row>
      <xdr:rowOff>158147</xdr:rowOff>
    </xdr:to>
    <xdr:grpSp>
      <xdr:nvGrpSpPr>
        <xdr:cNvPr id="2" name="Group 1"/>
        <xdr:cNvGrpSpPr/>
      </xdr:nvGrpSpPr>
      <xdr:grpSpPr>
        <a:xfrm>
          <a:off x="95251" y="36572222"/>
          <a:ext cx="10800000" cy="314325"/>
          <a:chOff x="9524" y="6115049"/>
          <a:chExt cx="10963276" cy="314325"/>
        </a:xfrm>
      </xdr:grpSpPr>
      <xdr:sp macro="" textlink="">
        <xdr:nvSpPr>
          <xdr:cNvPr id="3" name="Round Same Side Corner Rectangle 2"/>
          <xdr:cNvSpPr/>
        </xdr:nvSpPr>
        <xdr:spPr>
          <a:xfrm flipV="1">
            <a:off x="9524" y="6124573"/>
            <a:ext cx="10958850" cy="238125"/>
          </a:xfrm>
          <a:prstGeom prst="round2SameRect">
            <a:avLst/>
          </a:prstGeom>
          <a:ln/>
        </xdr:spPr>
        <xdr:style>
          <a:lnRef idx="0">
            <a:schemeClr val="accent4"/>
          </a:lnRef>
          <a:fillRef idx="3">
            <a:schemeClr val="accent4"/>
          </a:fillRef>
          <a:effectRef idx="3">
            <a:schemeClr val="accent4"/>
          </a:effectRef>
          <a:fontRef idx="minor">
            <a:schemeClr val="lt1"/>
          </a:fontRef>
        </xdr:style>
        <xdr:txBody>
          <a:bodyPr vertOverflow="clip" horzOverflow="clip" rtlCol="0" anchor="t"/>
          <a:lstStyle/>
          <a:p>
            <a:pPr algn="l"/>
            <a:endParaRPr lang="en-GB" sz="1100"/>
          </a:p>
        </xdr:txBody>
      </xdr:sp>
      <xdr:sp macro="" textlink="$X$1">
        <xdr:nvSpPr>
          <xdr:cNvPr id="4" name="TextBox 3"/>
          <xdr:cNvSpPr txBox="1"/>
        </xdr:nvSpPr>
        <xdr:spPr>
          <a:xfrm>
            <a:off x="8829675" y="6115049"/>
            <a:ext cx="2143125"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3B1BCF6-4FA2-4300-A41F-12861E9D32B9}" type="TxLink">
              <a:rPr lang="en-US" sz="1200" b="0" i="0" u="none" strike="noStrike">
                <a:solidFill>
                  <a:schemeClr val="bg1"/>
                </a:solidFill>
                <a:latin typeface="Calibri"/>
                <a:ea typeface="Verdana"/>
                <a:cs typeface="Calibri"/>
              </a:rPr>
              <a:pPr/>
              <a:t>08:33AM Thursday 05 January 2017</a:t>
            </a:fld>
            <a:endParaRPr lang="en-GB" sz="1200" b="0">
              <a:solidFill>
                <a:schemeClr val="bg1"/>
              </a:solidFill>
            </a:endParaRPr>
          </a:p>
        </xdr:txBody>
      </xdr:sp>
    </xdr:grpSp>
    <xdr:clientData/>
  </xdr:twoCellAnchor>
  <xdr:twoCellAnchor editAs="oneCell">
    <xdr:from>
      <xdr:col>1</xdr:col>
      <xdr:colOff>0</xdr:colOff>
      <xdr:row>0</xdr:row>
      <xdr:rowOff>123825</xdr:rowOff>
    </xdr:from>
    <xdr:to>
      <xdr:col>20</xdr:col>
      <xdr:colOff>100201</xdr:colOff>
      <xdr:row>4</xdr:row>
      <xdr:rowOff>9525</xdr:rowOff>
    </xdr:to>
    <xdr:sp macro="" textlink="">
      <xdr:nvSpPr>
        <xdr:cNvPr id="6" name="Round Same Side Corner Rectangle 5"/>
        <xdr:cNvSpPr/>
      </xdr:nvSpPr>
      <xdr:spPr>
        <a:xfrm>
          <a:off x="95250" y="123825"/>
          <a:ext cx="10796776" cy="676275"/>
        </a:xfrm>
        <a:prstGeom prst="round2SameRect">
          <a:avLst>
            <a:gd name="adj1" fmla="val 50000"/>
            <a:gd name="adj2" fmla="val 0"/>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lang="en-GB" sz="1000"/>
        </a:p>
      </xdr:txBody>
    </xdr:sp>
    <xdr:clientData/>
  </xdr:twoCellAnchor>
  <xdr:twoCellAnchor editAs="oneCell">
    <xdr:from>
      <xdr:col>1</xdr:col>
      <xdr:colOff>9521</xdr:colOff>
      <xdr:row>2</xdr:row>
      <xdr:rowOff>110354</xdr:rowOff>
    </xdr:from>
    <xdr:to>
      <xdr:col>4</xdr:col>
      <xdr:colOff>506169</xdr:colOff>
      <xdr:row>3</xdr:row>
      <xdr:rowOff>171041</xdr:rowOff>
    </xdr:to>
    <xdr:sp macro="" textlink="">
      <xdr:nvSpPr>
        <xdr:cNvPr id="7" name="Snip Single Corner Rectangle 6">
          <a:hlinkClick xmlns:r="http://schemas.openxmlformats.org/officeDocument/2006/relationships" r:id="rId1"/>
        </xdr:cNvPr>
        <xdr:cNvSpPr/>
      </xdr:nvSpPr>
      <xdr:spPr>
        <a:xfrm>
          <a:off x="104771" y="519929"/>
          <a:ext cx="1763473" cy="251187"/>
        </a:xfrm>
        <a:prstGeom prst="snip1Rect">
          <a:avLst>
            <a:gd name="adj" fmla="val 50000"/>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b"/>
        <a:lstStyle/>
        <a:p>
          <a:pPr algn="ctr"/>
          <a:r>
            <a:rPr lang="en-GB" sz="1000" b="0"/>
            <a:t>Population</a:t>
          </a:r>
        </a:p>
      </xdr:txBody>
    </xdr:sp>
    <xdr:clientData/>
  </xdr:twoCellAnchor>
  <xdr:twoCellAnchor editAs="oneCell">
    <xdr:from>
      <xdr:col>5</xdr:col>
      <xdr:colOff>5172</xdr:colOff>
      <xdr:row>2</xdr:row>
      <xdr:rowOff>110354</xdr:rowOff>
    </xdr:from>
    <xdr:to>
      <xdr:col>7</xdr:col>
      <xdr:colOff>492295</xdr:colOff>
      <xdr:row>3</xdr:row>
      <xdr:rowOff>171041</xdr:rowOff>
    </xdr:to>
    <xdr:sp macro="" textlink="">
      <xdr:nvSpPr>
        <xdr:cNvPr id="8" name="Snip Single Corner Rectangle 7">
          <a:hlinkClick xmlns:r="http://schemas.openxmlformats.org/officeDocument/2006/relationships" r:id="rId2"/>
        </xdr:cNvPr>
        <xdr:cNvSpPr/>
      </xdr:nvSpPr>
      <xdr:spPr>
        <a:xfrm>
          <a:off x="1910172" y="519929"/>
          <a:ext cx="1763473" cy="251187"/>
        </a:xfrm>
        <a:prstGeom prst="snip1Rect">
          <a:avLst>
            <a:gd name="adj" fmla="val 50000"/>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b"/>
        <a:lstStyle/>
        <a:p>
          <a:pPr algn="ctr"/>
          <a:r>
            <a:rPr lang="en-GB" sz="1000"/>
            <a:t>Family Structure</a:t>
          </a:r>
        </a:p>
      </xdr:txBody>
    </xdr:sp>
    <xdr:clientData/>
  </xdr:twoCellAnchor>
  <xdr:twoCellAnchor editAs="oneCell">
    <xdr:from>
      <xdr:col>7</xdr:col>
      <xdr:colOff>534223</xdr:colOff>
      <xdr:row>2</xdr:row>
      <xdr:rowOff>110354</xdr:rowOff>
    </xdr:from>
    <xdr:to>
      <xdr:col>10</xdr:col>
      <xdr:colOff>383171</xdr:colOff>
      <xdr:row>3</xdr:row>
      <xdr:rowOff>171041</xdr:rowOff>
    </xdr:to>
    <xdr:sp macro="" textlink="">
      <xdr:nvSpPr>
        <xdr:cNvPr id="9" name="Snip Single Corner Rectangle 8">
          <a:hlinkClick xmlns:r="http://schemas.openxmlformats.org/officeDocument/2006/relationships" r:id="rId3"/>
        </xdr:cNvPr>
        <xdr:cNvSpPr/>
      </xdr:nvSpPr>
      <xdr:spPr>
        <a:xfrm>
          <a:off x="3715573" y="519929"/>
          <a:ext cx="1763473" cy="251187"/>
        </a:xfrm>
        <a:prstGeom prst="snip1Rect">
          <a:avLst>
            <a:gd name="adj" fmla="val 50000"/>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b"/>
        <a:lstStyle/>
        <a:p>
          <a:pPr algn="ctr"/>
          <a:r>
            <a:rPr lang="en-GB" sz="1000"/>
            <a:t>Health Indicators</a:t>
          </a:r>
        </a:p>
      </xdr:txBody>
    </xdr:sp>
    <xdr:clientData/>
  </xdr:twoCellAnchor>
  <xdr:twoCellAnchor editAs="oneCell">
    <xdr:from>
      <xdr:col>13</xdr:col>
      <xdr:colOff>315975</xdr:colOff>
      <xdr:row>2</xdr:row>
      <xdr:rowOff>110354</xdr:rowOff>
    </xdr:from>
    <xdr:to>
      <xdr:col>16</xdr:col>
      <xdr:colOff>164923</xdr:colOff>
      <xdr:row>3</xdr:row>
      <xdr:rowOff>171041</xdr:rowOff>
    </xdr:to>
    <xdr:sp macro="" textlink="">
      <xdr:nvSpPr>
        <xdr:cNvPr id="11" name="Snip Single Corner Rectangle 10">
          <a:hlinkClick xmlns:r="http://schemas.openxmlformats.org/officeDocument/2006/relationships" r:id="rId4"/>
        </xdr:cNvPr>
        <xdr:cNvSpPr/>
      </xdr:nvSpPr>
      <xdr:spPr>
        <a:xfrm>
          <a:off x="7326375" y="519929"/>
          <a:ext cx="1763473" cy="251187"/>
        </a:xfrm>
        <a:prstGeom prst="snip1Rect">
          <a:avLst>
            <a:gd name="adj" fmla="val 50000"/>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b"/>
        <a:lstStyle/>
        <a:p>
          <a:pPr algn="ctr"/>
          <a:r>
            <a:rPr lang="en-GB" sz="1000"/>
            <a:t>Deprivation</a:t>
          </a:r>
        </a:p>
      </xdr:txBody>
    </xdr:sp>
    <xdr:clientData/>
  </xdr:twoCellAnchor>
  <xdr:twoCellAnchor editAs="oneCell">
    <xdr:from>
      <xdr:col>16</xdr:col>
      <xdr:colOff>206852</xdr:colOff>
      <xdr:row>2</xdr:row>
      <xdr:rowOff>110354</xdr:rowOff>
    </xdr:from>
    <xdr:to>
      <xdr:col>20</xdr:col>
      <xdr:colOff>103425</xdr:colOff>
      <xdr:row>3</xdr:row>
      <xdr:rowOff>171041</xdr:rowOff>
    </xdr:to>
    <xdr:sp macro="" textlink="">
      <xdr:nvSpPr>
        <xdr:cNvPr id="12" name="Snip Single Corner Rectangle 11">
          <a:hlinkClick xmlns:r="http://schemas.openxmlformats.org/officeDocument/2006/relationships" r:id="rId5"/>
        </xdr:cNvPr>
        <xdr:cNvSpPr/>
      </xdr:nvSpPr>
      <xdr:spPr>
        <a:xfrm>
          <a:off x="9131777" y="519929"/>
          <a:ext cx="1763473" cy="251187"/>
        </a:xfrm>
        <a:prstGeom prst="snip1Rect">
          <a:avLst>
            <a:gd name="adj" fmla="val 50000"/>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b"/>
        <a:lstStyle/>
        <a:p>
          <a:pPr algn="ctr"/>
          <a:r>
            <a:rPr lang="en-GB" sz="1000"/>
            <a:t>EYFS</a:t>
          </a:r>
        </a:p>
      </xdr:txBody>
    </xdr:sp>
    <xdr:clientData/>
  </xdr:twoCellAnchor>
  <xdr:twoCellAnchor editAs="oneCell">
    <xdr:from>
      <xdr:col>1</xdr:col>
      <xdr:colOff>0</xdr:colOff>
      <xdr:row>3</xdr:row>
      <xdr:rowOff>190364</xdr:rowOff>
    </xdr:from>
    <xdr:to>
      <xdr:col>20</xdr:col>
      <xdr:colOff>100201</xdr:colOff>
      <xdr:row>3</xdr:row>
      <xdr:rowOff>190365</xdr:rowOff>
    </xdr:to>
    <xdr:cxnSp macro="">
      <xdr:nvCxnSpPr>
        <xdr:cNvPr id="13" name="Straight Connector 12"/>
        <xdr:cNvCxnSpPr/>
      </xdr:nvCxnSpPr>
      <xdr:spPr>
        <a:xfrm>
          <a:off x="95250" y="790439"/>
          <a:ext cx="10796776" cy="1"/>
        </a:xfrm>
        <a:prstGeom prst="line">
          <a:avLst/>
        </a:prstGeom>
        <a:ln>
          <a:solidFill>
            <a:schemeClr val="accent1"/>
          </a:solidFill>
        </a:ln>
      </xdr:spPr>
      <xdr:style>
        <a:lnRef idx="2">
          <a:schemeClr val="accent4"/>
        </a:lnRef>
        <a:fillRef idx="0">
          <a:schemeClr val="accent4"/>
        </a:fillRef>
        <a:effectRef idx="1">
          <a:schemeClr val="accent4"/>
        </a:effectRef>
        <a:fontRef idx="minor">
          <a:schemeClr val="tx1"/>
        </a:fontRef>
      </xdr:style>
    </xdr:cxnSp>
    <xdr:clientData/>
  </xdr:twoCellAnchor>
  <xdr:twoCellAnchor editAs="oneCell">
    <xdr:from>
      <xdr:col>2</xdr:col>
      <xdr:colOff>161844</xdr:colOff>
      <xdr:row>0</xdr:row>
      <xdr:rowOff>152808</xdr:rowOff>
    </xdr:from>
    <xdr:to>
      <xdr:col>10</xdr:col>
      <xdr:colOff>152399</xdr:colOff>
      <xdr:row>2</xdr:row>
      <xdr:rowOff>71709</xdr:rowOff>
    </xdr:to>
    <xdr:sp macro="" textlink="">
      <xdr:nvSpPr>
        <xdr:cNvPr id="14" name="TextBox 13"/>
        <xdr:cNvSpPr txBox="1"/>
      </xdr:nvSpPr>
      <xdr:spPr>
        <a:xfrm>
          <a:off x="361869" y="152808"/>
          <a:ext cx="4886405" cy="3284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400" b="1"/>
            <a:t>Children's Workforce Public Health Profiles : </a:t>
          </a:r>
          <a:r>
            <a:rPr lang="en-GB" sz="1400" b="0"/>
            <a:t>Contents</a:t>
          </a:r>
        </a:p>
      </xdr:txBody>
    </xdr:sp>
    <xdr:clientData/>
  </xdr:twoCellAnchor>
  <xdr:twoCellAnchor editAs="oneCell">
    <xdr:from>
      <xdr:col>10</xdr:col>
      <xdr:colOff>419100</xdr:colOff>
      <xdr:row>2</xdr:row>
      <xdr:rowOff>114300</xdr:rowOff>
    </xdr:from>
    <xdr:to>
      <xdr:col>13</xdr:col>
      <xdr:colOff>268048</xdr:colOff>
      <xdr:row>3</xdr:row>
      <xdr:rowOff>174987</xdr:rowOff>
    </xdr:to>
    <xdr:sp macro="" textlink="">
      <xdr:nvSpPr>
        <xdr:cNvPr id="48" name="Snip Single Corner Rectangle 47">
          <a:hlinkClick xmlns:r="http://schemas.openxmlformats.org/officeDocument/2006/relationships" r:id="rId4"/>
        </xdr:cNvPr>
        <xdr:cNvSpPr/>
      </xdr:nvSpPr>
      <xdr:spPr>
        <a:xfrm>
          <a:off x="5514975" y="523875"/>
          <a:ext cx="1763473" cy="251187"/>
        </a:xfrm>
        <a:prstGeom prst="snip1Rect">
          <a:avLst>
            <a:gd name="adj" fmla="val 50000"/>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b"/>
        <a:lstStyle/>
        <a:p>
          <a:pPr algn="ctr"/>
          <a:r>
            <a:rPr lang="en-GB" sz="1000"/>
            <a:t>Birth and Early</a:t>
          </a:r>
          <a:r>
            <a:rPr lang="en-GB" sz="1000" baseline="0"/>
            <a:t> Years</a:t>
          </a:r>
          <a:endParaRPr lang="en-GB" sz="1000"/>
        </a:p>
      </xdr:txBody>
    </xdr:sp>
    <xdr:clientData/>
  </xdr:twoCellAnchor>
  <xdr:twoCellAnchor editAs="oneCell">
    <xdr:from>
      <xdr:col>1</xdr:col>
      <xdr:colOff>0</xdr:colOff>
      <xdr:row>61</xdr:row>
      <xdr:rowOff>141805</xdr:rowOff>
    </xdr:from>
    <xdr:to>
      <xdr:col>21</xdr:col>
      <xdr:colOff>0</xdr:colOff>
      <xdr:row>63</xdr:row>
      <xdr:rowOff>94180</xdr:rowOff>
    </xdr:to>
    <xdr:grpSp>
      <xdr:nvGrpSpPr>
        <xdr:cNvPr id="49" name="Group 48"/>
        <xdr:cNvGrpSpPr/>
      </xdr:nvGrpSpPr>
      <xdr:grpSpPr>
        <a:xfrm>
          <a:off x="95250" y="12438580"/>
          <a:ext cx="10810875" cy="314325"/>
          <a:chOff x="9524" y="6115049"/>
          <a:chExt cx="10963277" cy="314325"/>
        </a:xfrm>
      </xdr:grpSpPr>
      <xdr:sp macro="" textlink="">
        <xdr:nvSpPr>
          <xdr:cNvPr id="50" name="Round Same Side Corner Rectangle 49"/>
          <xdr:cNvSpPr/>
        </xdr:nvSpPr>
        <xdr:spPr>
          <a:xfrm flipV="1">
            <a:off x="9524" y="6124573"/>
            <a:ext cx="10958850" cy="238125"/>
          </a:xfrm>
          <a:prstGeom prst="round2SameRect">
            <a:avLst/>
          </a:prstGeom>
          <a:ln/>
        </xdr:spPr>
        <xdr:style>
          <a:lnRef idx="0">
            <a:schemeClr val="accent1"/>
          </a:lnRef>
          <a:fillRef idx="3">
            <a:schemeClr val="accent1"/>
          </a:fillRef>
          <a:effectRef idx="3">
            <a:schemeClr val="accent1"/>
          </a:effectRef>
          <a:fontRef idx="minor">
            <a:schemeClr val="lt1"/>
          </a:fontRef>
        </xdr:style>
        <xdr:txBody>
          <a:bodyPr vertOverflow="clip" horzOverflow="clip" rtlCol="0" anchor="t"/>
          <a:lstStyle/>
          <a:p>
            <a:pPr algn="l"/>
            <a:endParaRPr lang="en-GB" sz="1100"/>
          </a:p>
        </xdr:txBody>
      </xdr:sp>
      <xdr:sp macro="" textlink="$X$1">
        <xdr:nvSpPr>
          <xdr:cNvPr id="51" name="TextBox 50"/>
          <xdr:cNvSpPr txBox="1"/>
        </xdr:nvSpPr>
        <xdr:spPr>
          <a:xfrm>
            <a:off x="7918767" y="6115049"/>
            <a:ext cx="3054034"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fld id="{63B1BCF6-4FA2-4300-A41F-12861E9D32B9}" type="TxLink">
              <a:rPr lang="en-US" sz="1200" b="0" i="0" u="none" strike="noStrike">
                <a:solidFill>
                  <a:schemeClr val="bg1"/>
                </a:solidFill>
                <a:latin typeface="Calibri"/>
                <a:ea typeface="Verdana"/>
                <a:cs typeface="Calibri"/>
              </a:rPr>
              <a:pPr algn="r"/>
              <a:t>08:33AM Thursday 05 January 2017</a:t>
            </a:fld>
            <a:endParaRPr lang="en-GB" sz="1200" b="0">
              <a:solidFill>
                <a:schemeClr val="bg1"/>
              </a:solidFill>
            </a:endParaRPr>
          </a:p>
        </xdr:txBody>
      </xdr:sp>
    </xdr:grpSp>
    <xdr:clientData/>
  </xdr:twoCellAnchor>
  <xdr:twoCellAnchor editAs="oneCell">
    <xdr:from>
      <xdr:col>2</xdr:col>
      <xdr:colOff>0</xdr:colOff>
      <xdr:row>4</xdr:row>
      <xdr:rowOff>180975</xdr:rowOff>
    </xdr:from>
    <xdr:to>
      <xdr:col>4</xdr:col>
      <xdr:colOff>485775</xdr:colOff>
      <xdr:row>21</xdr:row>
      <xdr:rowOff>0</xdr:rowOff>
    </xdr:to>
    <xdr:sp macro="" textlink="">
      <xdr:nvSpPr>
        <xdr:cNvPr id="15" name="Rectangle 14"/>
        <xdr:cNvSpPr/>
      </xdr:nvSpPr>
      <xdr:spPr>
        <a:xfrm>
          <a:off x="200025" y="971550"/>
          <a:ext cx="1647825" cy="2828925"/>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lang="en-GB" sz="1050" b="0" i="0" u="none" strike="noStrike">
              <a:solidFill>
                <a:schemeClr val="dk1"/>
              </a:solidFill>
              <a:effectLst/>
              <a:latin typeface="+mn-lt"/>
              <a:ea typeface="+mn-ea"/>
              <a:cs typeface="+mn-cs"/>
            </a:rPr>
            <a:t>1. Geographies</a:t>
          </a:r>
        </a:p>
        <a:p>
          <a:pPr algn="l"/>
          <a:endParaRPr lang="en-GB" sz="500" b="0" i="0" u="none" strike="noStrike">
            <a:solidFill>
              <a:schemeClr val="dk1"/>
            </a:solidFill>
            <a:effectLst/>
            <a:latin typeface="+mn-lt"/>
            <a:ea typeface="+mn-ea"/>
            <a:cs typeface="+mn-cs"/>
          </a:endParaRPr>
        </a:p>
        <a:p>
          <a:pPr algn="l"/>
          <a:r>
            <a:rPr lang="en-GB" sz="1050" b="0" i="0" u="none" strike="noStrike">
              <a:solidFill>
                <a:schemeClr val="dk1"/>
              </a:solidFill>
              <a:effectLst/>
              <a:latin typeface="+mn-lt"/>
              <a:ea typeface="+mn-ea"/>
              <a:cs typeface="+mn-cs"/>
            </a:rPr>
            <a:t>2. Overall</a:t>
          </a:r>
          <a:r>
            <a:rPr lang="en-GB" sz="1050" b="0" i="0" u="none" strike="noStrike" baseline="0">
              <a:solidFill>
                <a:schemeClr val="dk1"/>
              </a:solidFill>
              <a:effectLst/>
              <a:latin typeface="+mn-lt"/>
              <a:ea typeface="+mn-ea"/>
              <a:cs typeface="+mn-cs"/>
            </a:rPr>
            <a:t> p</a:t>
          </a:r>
          <a:r>
            <a:rPr lang="en-GB" sz="1050" b="0" i="0" u="none" strike="noStrike">
              <a:solidFill>
                <a:schemeClr val="dk1"/>
              </a:solidFill>
              <a:effectLst/>
              <a:latin typeface="+mn-lt"/>
              <a:ea typeface="+mn-ea"/>
              <a:cs typeface="+mn-cs"/>
            </a:rPr>
            <a:t>opulation</a:t>
          </a:r>
          <a:r>
            <a:rPr lang="en-GB" sz="1050"/>
            <a:t> </a:t>
          </a:r>
          <a:r>
            <a:rPr lang="en-GB" sz="1050" b="0" i="0" u="none" strike="noStrike">
              <a:solidFill>
                <a:schemeClr val="dk1"/>
              </a:solidFill>
              <a:effectLst/>
              <a:latin typeface="+mn-lt"/>
              <a:ea typeface="+mn-ea"/>
              <a:cs typeface="+mn-cs"/>
            </a:rPr>
            <a:t> </a:t>
          </a:r>
        </a:p>
        <a:p>
          <a:pPr algn="l"/>
          <a:r>
            <a:rPr lang="en-GB" sz="500"/>
            <a:t> </a:t>
          </a:r>
        </a:p>
        <a:p>
          <a:pPr algn="l"/>
          <a:r>
            <a:rPr lang="en-GB" sz="1050" b="0" i="0" u="none" strike="noStrike">
              <a:solidFill>
                <a:schemeClr val="dk1"/>
              </a:solidFill>
              <a:effectLst/>
              <a:latin typeface="+mn-lt"/>
              <a:ea typeface="+mn-ea"/>
              <a:cs typeface="+mn-cs"/>
            </a:rPr>
            <a:t>3. Population of 0-4 year olds</a:t>
          </a:r>
          <a:r>
            <a:rPr lang="en-GB" sz="1050"/>
            <a:t> </a:t>
          </a:r>
          <a:r>
            <a:rPr lang="en-GB" sz="1050" b="0" i="0" u="none" strike="noStrike">
              <a:solidFill>
                <a:schemeClr val="dk1"/>
              </a:solidFill>
              <a:effectLst/>
              <a:latin typeface="+mn-lt"/>
              <a:ea typeface="+mn-ea"/>
              <a:cs typeface="+mn-cs"/>
            </a:rPr>
            <a:t> </a:t>
          </a:r>
        </a:p>
        <a:p>
          <a:pPr algn="l"/>
          <a:endParaRPr lang="en-GB" sz="500" b="0" i="0" u="none" strike="noStrike">
            <a:solidFill>
              <a:schemeClr val="dk1"/>
            </a:solidFill>
            <a:effectLst/>
            <a:latin typeface="+mn-lt"/>
            <a:ea typeface="+mn-ea"/>
            <a:cs typeface="+mn-cs"/>
          </a:endParaRPr>
        </a:p>
        <a:p>
          <a:pPr algn="l"/>
          <a:r>
            <a:rPr lang="en-GB" sz="1050" b="0" i="0" u="none" strike="noStrike">
              <a:solidFill>
                <a:schemeClr val="dk1"/>
              </a:solidFill>
              <a:effectLst/>
              <a:latin typeface="+mn-lt"/>
              <a:ea typeface="+mn-ea"/>
              <a:cs typeface="+mn-cs"/>
            </a:rPr>
            <a:t>4. Ethnicity - 0-4 year olds</a:t>
          </a:r>
          <a:r>
            <a:rPr lang="en-GB" sz="1050"/>
            <a:t> </a:t>
          </a:r>
          <a:r>
            <a:rPr lang="en-GB" sz="1050" b="0" i="0" u="none" strike="noStrike">
              <a:solidFill>
                <a:schemeClr val="dk1"/>
              </a:solidFill>
              <a:effectLst/>
              <a:latin typeface="+mn-lt"/>
              <a:ea typeface="+mn-ea"/>
              <a:cs typeface="+mn-cs"/>
            </a:rPr>
            <a:t> </a:t>
          </a:r>
          <a:r>
            <a:rPr lang="en-GB" sz="1050"/>
            <a:t> </a:t>
          </a:r>
        </a:p>
        <a:p>
          <a:pPr algn="l"/>
          <a:endParaRPr lang="en-GB" sz="500" b="0" i="0" u="none" strike="noStrike">
            <a:solidFill>
              <a:schemeClr val="dk1"/>
            </a:solidFill>
            <a:effectLst/>
            <a:latin typeface="+mn-lt"/>
            <a:ea typeface="+mn-ea"/>
            <a:cs typeface="+mn-cs"/>
          </a:endParaRPr>
        </a:p>
        <a:p>
          <a:pPr algn="l"/>
          <a:r>
            <a:rPr lang="en-GB" sz="1050" b="0" i="0" u="none" strike="noStrike">
              <a:solidFill>
                <a:schemeClr val="dk1"/>
              </a:solidFill>
              <a:effectLst/>
              <a:latin typeface="+mn-lt"/>
              <a:ea typeface="+mn-ea"/>
              <a:cs typeface="+mn-cs"/>
            </a:rPr>
            <a:t>5. Proficiency in English (relates to 3-15yr olds)</a:t>
          </a:r>
          <a:r>
            <a:rPr lang="en-GB" sz="1050"/>
            <a:t> </a:t>
          </a:r>
          <a:r>
            <a:rPr lang="en-GB" sz="1050" b="1" i="0" u="none" strike="noStrike">
              <a:solidFill>
                <a:schemeClr val="dk1"/>
              </a:solidFill>
              <a:effectLst/>
              <a:latin typeface="+mn-lt"/>
              <a:ea typeface="+mn-ea"/>
              <a:cs typeface="+mn-cs"/>
            </a:rPr>
            <a:t> </a:t>
          </a:r>
          <a:r>
            <a:rPr lang="en-GB" sz="1050"/>
            <a:t> </a:t>
          </a:r>
        </a:p>
        <a:p>
          <a:pPr algn="l"/>
          <a:endParaRPr lang="en-GB" sz="500" b="0" i="0" u="none" strike="noStrike">
            <a:solidFill>
              <a:schemeClr val="dk1"/>
            </a:solidFill>
            <a:effectLst/>
            <a:latin typeface="+mn-lt"/>
            <a:ea typeface="+mn-ea"/>
            <a:cs typeface="+mn-cs"/>
          </a:endParaRPr>
        </a:p>
        <a:p>
          <a:pPr algn="l"/>
          <a:r>
            <a:rPr lang="en-GB" sz="1050" b="0" i="0" u="none" strike="noStrike">
              <a:solidFill>
                <a:schemeClr val="dk1"/>
              </a:solidFill>
              <a:effectLst/>
              <a:latin typeface="+mn-lt"/>
              <a:ea typeface="+mn-ea"/>
              <a:cs typeface="+mn-cs"/>
            </a:rPr>
            <a:t>6. Tenure (relates to 0-9 yr olds)</a:t>
          </a:r>
          <a:r>
            <a:rPr lang="en-GB" sz="1050"/>
            <a:t> </a:t>
          </a:r>
        </a:p>
      </xdr:txBody>
    </xdr:sp>
    <xdr:clientData/>
  </xdr:twoCellAnchor>
  <xdr:twoCellAnchor editAs="oneCell">
    <xdr:from>
      <xdr:col>5</xdr:col>
      <xdr:colOff>81915</xdr:colOff>
      <xdr:row>4</xdr:row>
      <xdr:rowOff>180975</xdr:rowOff>
    </xdr:from>
    <xdr:to>
      <xdr:col>7</xdr:col>
      <xdr:colOff>453390</xdr:colOff>
      <xdr:row>21</xdr:row>
      <xdr:rowOff>0</xdr:rowOff>
    </xdr:to>
    <xdr:sp macro="" textlink="">
      <xdr:nvSpPr>
        <xdr:cNvPr id="53" name="Rectangle 52"/>
        <xdr:cNvSpPr/>
      </xdr:nvSpPr>
      <xdr:spPr>
        <a:xfrm>
          <a:off x="1986915" y="971550"/>
          <a:ext cx="1647825" cy="2828925"/>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lang="en-GB" sz="1050"/>
            <a:t>1. Family</a:t>
          </a:r>
          <a:r>
            <a:rPr lang="en-GB" sz="1050" baseline="0"/>
            <a:t> Size (families with a 0-4 year </a:t>
          </a:r>
        </a:p>
        <a:p>
          <a:pPr algn="l"/>
          <a:endParaRPr lang="en-GB" sz="500" baseline="0"/>
        </a:p>
        <a:p>
          <a:pPr algn="l"/>
          <a:r>
            <a:rPr lang="en-GB" sz="1050" baseline="0"/>
            <a:t>2. </a:t>
          </a:r>
          <a:r>
            <a:rPr lang="en-GB" sz="1050" b="0" i="0" u="none" strike="noStrike">
              <a:solidFill>
                <a:schemeClr val="dk1"/>
              </a:solidFill>
              <a:effectLst/>
              <a:latin typeface="+mn-lt"/>
              <a:ea typeface="+mn-ea"/>
              <a:cs typeface="+mn-cs"/>
            </a:rPr>
            <a:t>Couple/non-couple households (with 0-4yrs)</a:t>
          </a:r>
          <a:r>
            <a:rPr lang="en-GB" sz="1050"/>
            <a:t> </a:t>
          </a:r>
        </a:p>
        <a:p>
          <a:pPr algn="l"/>
          <a:r>
            <a:rPr lang="en-GB" sz="500" b="0" i="0" u="none" strike="noStrike">
              <a:solidFill>
                <a:schemeClr val="dk1"/>
              </a:solidFill>
              <a:effectLst/>
              <a:latin typeface="+mn-lt"/>
              <a:ea typeface="+mn-ea"/>
              <a:cs typeface="+mn-cs"/>
            </a:rPr>
            <a:t> </a:t>
          </a:r>
        </a:p>
        <a:p>
          <a:pPr algn="l"/>
          <a:r>
            <a:rPr lang="en-GB" sz="1050" b="0" i="0" u="none" strike="noStrike">
              <a:solidFill>
                <a:schemeClr val="dk1"/>
              </a:solidFill>
              <a:effectLst/>
              <a:latin typeface="+mn-lt"/>
              <a:ea typeface="+mn-ea"/>
              <a:cs typeface="+mn-cs"/>
            </a:rPr>
            <a:t>3. Census 2011 data - lone parents</a:t>
          </a:r>
          <a:r>
            <a:rPr lang="en-GB" sz="1050"/>
            <a:t> </a:t>
          </a:r>
          <a:r>
            <a:rPr lang="en-GB" sz="1050" b="0" i="0" u="none" strike="noStrike">
              <a:solidFill>
                <a:schemeClr val="dk1"/>
              </a:solidFill>
              <a:effectLst/>
              <a:latin typeface="+mn-lt"/>
              <a:ea typeface="+mn-ea"/>
              <a:cs typeface="+mn-cs"/>
            </a:rPr>
            <a:t> </a:t>
          </a:r>
          <a:r>
            <a:rPr lang="en-GB" sz="1050"/>
            <a:t> </a:t>
          </a:r>
        </a:p>
        <a:p>
          <a:pPr algn="l"/>
          <a:endParaRPr lang="en-GB" sz="500"/>
        </a:p>
        <a:p>
          <a:pPr algn="l"/>
          <a:r>
            <a:rPr lang="en-GB" sz="1050" b="0" i="0" u="none" strike="noStrike">
              <a:solidFill>
                <a:schemeClr val="dk1"/>
              </a:solidFill>
              <a:effectLst/>
              <a:latin typeface="+mn-lt"/>
              <a:ea typeface="+mn-ea"/>
              <a:cs typeface="+mn-cs"/>
            </a:rPr>
            <a:t>4. Lone parent families on low income</a:t>
          </a:r>
          <a:r>
            <a:rPr lang="en-GB" sz="1050"/>
            <a:t> </a:t>
          </a:r>
        </a:p>
      </xdr:txBody>
    </xdr:sp>
    <xdr:clientData/>
  </xdr:twoCellAnchor>
  <xdr:twoCellAnchor editAs="oneCell">
    <xdr:from>
      <xdr:col>7</xdr:col>
      <xdr:colOff>592455</xdr:colOff>
      <xdr:row>4</xdr:row>
      <xdr:rowOff>180975</xdr:rowOff>
    </xdr:from>
    <xdr:to>
      <xdr:col>10</xdr:col>
      <xdr:colOff>325755</xdr:colOff>
      <xdr:row>21</xdr:row>
      <xdr:rowOff>1</xdr:rowOff>
    </xdr:to>
    <xdr:sp macro="" textlink="">
      <xdr:nvSpPr>
        <xdr:cNvPr id="54" name="Rectangle 53"/>
        <xdr:cNvSpPr/>
      </xdr:nvSpPr>
      <xdr:spPr>
        <a:xfrm>
          <a:off x="3773805" y="971550"/>
          <a:ext cx="1647825" cy="2828926"/>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lang="en-GB" sz="1050"/>
            <a:t>1. Breastfeeding (CFC  level</a:t>
          </a:r>
          <a:r>
            <a:rPr lang="en-GB" sz="1050" baseline="0"/>
            <a:t> data </a:t>
          </a:r>
          <a:r>
            <a:rPr lang="en-GB" sz="1050"/>
            <a:t>and CCG data)</a:t>
          </a:r>
        </a:p>
        <a:p>
          <a:pPr algn="l"/>
          <a:endParaRPr lang="en-GB" sz="500"/>
        </a:p>
        <a:p>
          <a:pPr algn="l"/>
          <a:r>
            <a:rPr lang="en-GB" sz="1050"/>
            <a:t>2. Childhood</a:t>
          </a:r>
          <a:r>
            <a:rPr lang="en-GB" sz="1050" baseline="0"/>
            <a:t> Obesity</a:t>
          </a:r>
        </a:p>
        <a:p>
          <a:pPr algn="l"/>
          <a:endParaRPr lang="en-GB" sz="500" baseline="0"/>
        </a:p>
        <a:p>
          <a:pPr algn="l"/>
          <a:r>
            <a:rPr lang="en-GB" sz="1050" baseline="0"/>
            <a:t>3.Oral Health</a:t>
          </a:r>
        </a:p>
        <a:p>
          <a:pPr algn="l"/>
          <a:endParaRPr lang="en-GB" sz="500" baseline="0"/>
        </a:p>
        <a:p>
          <a:pPr algn="l"/>
          <a:r>
            <a:rPr lang="en-GB" sz="1050" baseline="0"/>
            <a:t>4. Mental Health incl. Post-Natal Depression</a:t>
          </a:r>
        </a:p>
        <a:p>
          <a:pPr algn="l"/>
          <a:endParaRPr lang="en-GB" sz="500" baseline="0"/>
        </a:p>
        <a:p>
          <a:pPr algn="l"/>
          <a:r>
            <a:rPr lang="en-GB" sz="1050" baseline="0"/>
            <a:t>5. Smoking in Pregnancy</a:t>
          </a:r>
        </a:p>
        <a:p>
          <a:pPr algn="l"/>
          <a:endParaRPr lang="en-GB" sz="500" baseline="0"/>
        </a:p>
        <a:p>
          <a:pPr algn="l"/>
          <a:r>
            <a:rPr lang="en-GB" sz="1050" baseline="0"/>
            <a:t>6. Immunisations</a:t>
          </a:r>
        </a:p>
        <a:p>
          <a:pPr algn="l"/>
          <a:endParaRPr lang="en-GB" sz="500" baseline="0"/>
        </a:p>
        <a:p>
          <a:pPr algn="l"/>
          <a:r>
            <a:rPr lang="en-GB" sz="1050" baseline="0"/>
            <a:t>7. Emergency Admissions (0-4 year olds)</a:t>
          </a:r>
        </a:p>
        <a:p>
          <a:pPr algn="l"/>
          <a:endParaRPr lang="en-GB" sz="500"/>
        </a:p>
        <a:p>
          <a:pPr algn="l"/>
          <a:r>
            <a:rPr lang="en-GB" sz="1050"/>
            <a:t>8. Sudden Infant Death</a:t>
          </a:r>
          <a:r>
            <a:rPr lang="en-GB" sz="1050" baseline="0"/>
            <a:t> Syndrome (pooled 2004-2013)</a:t>
          </a:r>
          <a:endParaRPr lang="en-GB" sz="1050"/>
        </a:p>
        <a:p>
          <a:pPr algn="l"/>
          <a:r>
            <a:rPr lang="en-GB" sz="1100"/>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r>
            <a:rPr lang="en-GB" sz="1100" b="0" i="0" u="none" strike="noStrike">
              <a:solidFill>
                <a:schemeClr val="dk1"/>
              </a:solidFill>
              <a:effectLst/>
              <a:latin typeface="+mn-lt"/>
              <a:ea typeface="+mn-ea"/>
              <a:cs typeface="+mn-cs"/>
            </a:rPr>
            <a:t> </a:t>
          </a:r>
          <a:r>
            <a:rPr lang="en-GB"/>
            <a:t> </a:t>
          </a:r>
          <a:endParaRPr lang="en-GB" sz="1100"/>
        </a:p>
      </xdr:txBody>
    </xdr:sp>
    <xdr:clientData/>
  </xdr:twoCellAnchor>
  <xdr:twoCellAnchor editAs="oneCell">
    <xdr:from>
      <xdr:col>10</xdr:col>
      <xdr:colOff>464820</xdr:colOff>
      <xdr:row>4</xdr:row>
      <xdr:rowOff>180974</xdr:rowOff>
    </xdr:from>
    <xdr:to>
      <xdr:col>13</xdr:col>
      <xdr:colOff>198120</xdr:colOff>
      <xdr:row>21</xdr:row>
      <xdr:rowOff>1058</xdr:rowOff>
    </xdr:to>
    <xdr:sp macro="" textlink="">
      <xdr:nvSpPr>
        <xdr:cNvPr id="55" name="Rectangle 54"/>
        <xdr:cNvSpPr/>
      </xdr:nvSpPr>
      <xdr:spPr>
        <a:xfrm>
          <a:off x="5560695" y="971549"/>
          <a:ext cx="1647825" cy="2828925"/>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lang="en-GB" sz="1050"/>
            <a:t>1. Births</a:t>
          </a:r>
        </a:p>
        <a:p>
          <a:pPr algn="l"/>
          <a:endParaRPr lang="en-GB" sz="500"/>
        </a:p>
        <a:p>
          <a:pPr algn="l"/>
          <a:r>
            <a:rPr lang="en-GB" sz="1050"/>
            <a:t>2. Births to women under</a:t>
          </a:r>
          <a:r>
            <a:rPr lang="en-GB" sz="1050" baseline="0"/>
            <a:t> the age of </a:t>
          </a:r>
          <a:r>
            <a:rPr lang="en-GB" sz="1050"/>
            <a:t>20</a:t>
          </a:r>
        </a:p>
        <a:p>
          <a:pPr algn="l"/>
          <a:endParaRPr lang="en-GB" sz="500"/>
        </a:p>
        <a:p>
          <a:pPr algn="l"/>
          <a:r>
            <a:rPr lang="en-GB" sz="1050"/>
            <a:t>3. Estimated number</a:t>
          </a:r>
          <a:r>
            <a:rPr lang="en-GB" sz="1050" baseline="0"/>
            <a:t> of teenage mothers (CFCs)</a:t>
          </a:r>
        </a:p>
        <a:p>
          <a:pPr algn="l"/>
          <a:endParaRPr lang="en-GB" sz="500" baseline="0"/>
        </a:p>
        <a:p>
          <a:pPr algn="l"/>
          <a:r>
            <a:rPr lang="en-GB" sz="1050" baseline="0"/>
            <a:t>4. Teenage conceptions (district and county level)</a:t>
          </a:r>
        </a:p>
        <a:p>
          <a:pPr algn="l"/>
          <a:endParaRPr lang="en-GB" sz="500" baseline="0"/>
        </a:p>
        <a:p>
          <a:pPr algn="l"/>
          <a:r>
            <a:rPr lang="en-GB" sz="1050" baseline="0"/>
            <a:t>5.Low birth weight</a:t>
          </a:r>
        </a:p>
        <a:p>
          <a:pPr algn="l"/>
          <a:endParaRPr lang="en-GB" sz="500" baseline="0"/>
        </a:p>
        <a:p>
          <a:pPr algn="l"/>
          <a:r>
            <a:rPr lang="en-GB" sz="1050" baseline="0"/>
            <a:t>6. 0-4 year olds with day-to-day activities limited</a:t>
          </a:r>
          <a:endParaRPr lang="en-GB" sz="1050"/>
        </a:p>
      </xdr:txBody>
    </xdr:sp>
    <xdr:clientData/>
  </xdr:twoCellAnchor>
  <xdr:twoCellAnchor editAs="oneCell">
    <xdr:from>
      <xdr:col>13</xdr:col>
      <xdr:colOff>337185</xdr:colOff>
      <xdr:row>4</xdr:row>
      <xdr:rowOff>180974</xdr:rowOff>
    </xdr:from>
    <xdr:to>
      <xdr:col>16</xdr:col>
      <xdr:colOff>70485</xdr:colOff>
      <xdr:row>21</xdr:row>
      <xdr:rowOff>1058</xdr:rowOff>
    </xdr:to>
    <xdr:sp macro="" textlink="">
      <xdr:nvSpPr>
        <xdr:cNvPr id="56" name="Rectangle 55"/>
        <xdr:cNvSpPr/>
      </xdr:nvSpPr>
      <xdr:spPr>
        <a:xfrm>
          <a:off x="7347585" y="971549"/>
          <a:ext cx="1647825" cy="2828925"/>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lang="en-GB" sz="1050"/>
            <a:t>1. Index of Deprivation</a:t>
          </a:r>
          <a:r>
            <a:rPr lang="en-GB" sz="1050" baseline="0"/>
            <a:t> and Income Deprivation Affecting Children Index (IDACI) decile (CFCs)</a:t>
          </a:r>
        </a:p>
        <a:p>
          <a:pPr algn="l"/>
          <a:endParaRPr lang="en-GB" sz="500" baseline="0"/>
        </a:p>
        <a:p>
          <a:pPr algn="l"/>
          <a:r>
            <a:rPr lang="en-GB" sz="1050" baseline="0"/>
            <a:t>2. % of households deprived in 3 or more measures (2011 Census)</a:t>
          </a:r>
        </a:p>
        <a:p>
          <a:pPr algn="l"/>
          <a:endParaRPr lang="en-GB" sz="500" baseline="0"/>
        </a:p>
        <a:p>
          <a:pPr algn="l"/>
          <a:r>
            <a:rPr lang="en-GB" sz="1050" baseline="0"/>
            <a:t>3. 0-4 year olds in workless households</a:t>
          </a:r>
        </a:p>
        <a:p>
          <a:pPr algn="l"/>
          <a:endParaRPr lang="en-GB" sz="500" baseline="0"/>
        </a:p>
        <a:p>
          <a:pPr algn="l"/>
          <a:r>
            <a:rPr lang="en-GB" sz="1050" baseline="0"/>
            <a:t>4. Child Poverty</a:t>
          </a:r>
        </a:p>
        <a:p>
          <a:pPr algn="l"/>
          <a:endParaRPr lang="en-GB" sz="1100"/>
        </a:p>
      </xdr:txBody>
    </xdr:sp>
    <xdr:clientData/>
  </xdr:twoCellAnchor>
  <xdr:twoCellAnchor editAs="oneCell">
    <xdr:from>
      <xdr:col>16</xdr:col>
      <xdr:colOff>209550</xdr:colOff>
      <xdr:row>4</xdr:row>
      <xdr:rowOff>180974</xdr:rowOff>
    </xdr:from>
    <xdr:to>
      <xdr:col>19</xdr:col>
      <xdr:colOff>133350</xdr:colOff>
      <xdr:row>21</xdr:row>
      <xdr:rowOff>1058</xdr:rowOff>
    </xdr:to>
    <xdr:sp macro="" textlink="">
      <xdr:nvSpPr>
        <xdr:cNvPr id="57" name="Rectangle 56"/>
        <xdr:cNvSpPr/>
      </xdr:nvSpPr>
      <xdr:spPr>
        <a:xfrm>
          <a:off x="9134475" y="971549"/>
          <a:ext cx="1647825" cy="2828925"/>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lang="en-GB" sz="1050"/>
            <a:t>1. % of children "good level of development"</a:t>
          </a:r>
        </a:p>
        <a:p>
          <a:pPr algn="l"/>
          <a:endParaRPr lang="en-GB" sz="500"/>
        </a:p>
        <a:p>
          <a:pPr algn="l"/>
          <a:r>
            <a:rPr lang="en-GB" sz="1050"/>
            <a:t>2. Performance gap</a:t>
          </a:r>
          <a:r>
            <a:rPr lang="en-GB" sz="1050" baseline="0"/>
            <a:t> between lowest scores and median score</a:t>
          </a:r>
          <a:endParaRPr lang="en-GB" sz="1050"/>
        </a:p>
      </xdr:txBody>
    </xdr:sp>
    <xdr:clientData/>
  </xdr:twoCellAnchor>
  <xdr:twoCellAnchor editAs="oneCell">
    <xdr:from>
      <xdr:col>2</xdr:col>
      <xdr:colOff>0</xdr:colOff>
      <xdr:row>22</xdr:row>
      <xdr:rowOff>171450</xdr:rowOff>
    </xdr:from>
    <xdr:to>
      <xdr:col>19</xdr:col>
      <xdr:colOff>135074</xdr:colOff>
      <xdr:row>24</xdr:row>
      <xdr:rowOff>95250</xdr:rowOff>
    </xdr:to>
    <xdr:sp macro="" textlink="">
      <xdr:nvSpPr>
        <xdr:cNvPr id="58" name="Rectangle 57"/>
        <xdr:cNvSpPr/>
      </xdr:nvSpPr>
      <xdr:spPr>
        <a:xfrm>
          <a:off x="200025" y="3705225"/>
          <a:ext cx="10583999" cy="285750"/>
        </a:xfrm>
        <a:prstGeom prst="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l"/>
          <a:r>
            <a:rPr lang="en-GB" sz="1100" b="1"/>
            <a:t>West</a:t>
          </a:r>
          <a:r>
            <a:rPr lang="en-GB" sz="1100" b="1" baseline="0"/>
            <a:t> Sussex Health4Families Programme</a:t>
          </a:r>
          <a:endParaRPr lang="en-GB" sz="1100" b="1"/>
        </a:p>
      </xdr:txBody>
    </xdr:sp>
    <xdr:clientData/>
  </xdr:twoCellAnchor>
  <xdr:twoCellAnchor editAs="oneCell">
    <xdr:from>
      <xdr:col>2</xdr:col>
      <xdr:colOff>0</xdr:colOff>
      <xdr:row>45</xdr:row>
      <xdr:rowOff>129117</xdr:rowOff>
    </xdr:from>
    <xdr:to>
      <xdr:col>19</xdr:col>
      <xdr:colOff>136132</xdr:colOff>
      <xdr:row>47</xdr:row>
      <xdr:rowOff>52917</xdr:rowOff>
    </xdr:to>
    <xdr:sp macro="" textlink="">
      <xdr:nvSpPr>
        <xdr:cNvPr id="60" name="Rectangle 59"/>
        <xdr:cNvSpPr/>
      </xdr:nvSpPr>
      <xdr:spPr>
        <a:xfrm>
          <a:off x="201083" y="8627534"/>
          <a:ext cx="10539549" cy="283633"/>
        </a:xfrm>
        <a:prstGeom prst="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l"/>
          <a:r>
            <a:rPr lang="en-GB" sz="1100" b="1"/>
            <a:t>Key</a:t>
          </a:r>
          <a:r>
            <a:rPr lang="en-GB" sz="1100" b="1" baseline="0"/>
            <a:t> Performance Indicators (OFSTED)</a:t>
          </a:r>
          <a:endParaRPr lang="en-GB" sz="1100" b="1"/>
        </a:p>
      </xdr:txBody>
    </xdr:sp>
    <xdr:clientData/>
  </xdr:twoCellAnchor>
  <xdr:twoCellAnchor editAs="oneCell">
    <xdr:from>
      <xdr:col>15</xdr:col>
      <xdr:colOff>504825</xdr:colOff>
      <xdr:row>1</xdr:row>
      <xdr:rowOff>19050</xdr:rowOff>
    </xdr:from>
    <xdr:to>
      <xdr:col>19</xdr:col>
      <xdr:colOff>0</xdr:colOff>
      <xdr:row>2</xdr:row>
      <xdr:rowOff>47625</xdr:rowOff>
    </xdr:to>
    <xdr:sp macro="" textlink="">
      <xdr:nvSpPr>
        <xdr:cNvPr id="32" name="Rectangle 31">
          <a:hlinkClick xmlns:r="http://schemas.openxmlformats.org/officeDocument/2006/relationships" r:id="rId6"/>
        </xdr:cNvPr>
        <xdr:cNvSpPr/>
      </xdr:nvSpPr>
      <xdr:spPr>
        <a:xfrm>
          <a:off x="8791575" y="209550"/>
          <a:ext cx="1857375" cy="247650"/>
        </a:xfrm>
        <a:prstGeom prst="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t"/>
        <a:lstStyle/>
        <a:p>
          <a:pPr algn="ctr"/>
          <a:r>
            <a:rPr lang="en-GB" sz="1100"/>
            <a:t>Go</a:t>
          </a:r>
          <a:r>
            <a:rPr lang="en-GB" sz="1100" baseline="0"/>
            <a:t> to the data</a:t>
          </a:r>
          <a:endParaRPr lang="en-GB" sz="1100"/>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156</xdr:row>
      <xdr:rowOff>145257</xdr:rowOff>
    </xdr:from>
    <xdr:to>
      <xdr:col>14</xdr:col>
      <xdr:colOff>103425</xdr:colOff>
      <xdr:row>158</xdr:row>
      <xdr:rowOff>97632</xdr:rowOff>
    </xdr:to>
    <xdr:grpSp>
      <xdr:nvGrpSpPr>
        <xdr:cNvPr id="2" name="Group 1"/>
        <xdr:cNvGrpSpPr/>
      </xdr:nvGrpSpPr>
      <xdr:grpSpPr>
        <a:xfrm>
          <a:off x="95250" y="31996857"/>
          <a:ext cx="10800000" cy="314325"/>
          <a:chOff x="9524" y="6115049"/>
          <a:chExt cx="10963276" cy="314325"/>
        </a:xfrm>
      </xdr:grpSpPr>
      <xdr:sp macro="" textlink="">
        <xdr:nvSpPr>
          <xdr:cNvPr id="3" name="Round Same Side Corner Rectangle 2"/>
          <xdr:cNvSpPr/>
        </xdr:nvSpPr>
        <xdr:spPr>
          <a:xfrm flipV="1">
            <a:off x="9524" y="6124573"/>
            <a:ext cx="10958850" cy="238125"/>
          </a:xfrm>
          <a:prstGeom prst="round2SameRect">
            <a:avLst/>
          </a:prstGeom>
          <a:ln/>
        </xdr:spPr>
        <xdr:style>
          <a:lnRef idx="0">
            <a:schemeClr val="accent1"/>
          </a:lnRef>
          <a:fillRef idx="3">
            <a:schemeClr val="accent1"/>
          </a:fillRef>
          <a:effectRef idx="3">
            <a:schemeClr val="accent1"/>
          </a:effectRef>
          <a:fontRef idx="minor">
            <a:schemeClr val="lt1"/>
          </a:fontRef>
        </xdr:style>
        <xdr:txBody>
          <a:bodyPr vertOverflow="clip" horzOverflow="clip" rtlCol="0" anchor="t"/>
          <a:lstStyle/>
          <a:p>
            <a:pPr algn="l"/>
            <a:endParaRPr lang="en-GB" sz="1100"/>
          </a:p>
        </xdr:txBody>
      </xdr:sp>
      <xdr:sp macro="" textlink="$R$1">
        <xdr:nvSpPr>
          <xdr:cNvPr id="4" name="TextBox 3"/>
          <xdr:cNvSpPr txBox="1"/>
        </xdr:nvSpPr>
        <xdr:spPr>
          <a:xfrm>
            <a:off x="7677041" y="6115049"/>
            <a:ext cx="3295759"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fld id="{63B1BCF6-4FA2-4300-A41F-12861E9D32B9}" type="TxLink">
              <a:rPr lang="en-US" sz="1200" b="0" i="0" u="none" strike="noStrike">
                <a:solidFill>
                  <a:schemeClr val="bg1"/>
                </a:solidFill>
                <a:latin typeface="Calibri"/>
                <a:ea typeface="Verdana"/>
                <a:cs typeface="Calibri"/>
              </a:rPr>
              <a:pPr algn="r"/>
              <a:t>08:33AM Thursday 05 January 2017</a:t>
            </a:fld>
            <a:endParaRPr lang="en-GB" sz="1200" b="0">
              <a:solidFill>
                <a:schemeClr val="bg1"/>
              </a:solidFill>
            </a:endParaRPr>
          </a:p>
        </xdr:txBody>
      </xdr:sp>
    </xdr:grpSp>
    <xdr:clientData/>
  </xdr:twoCellAnchor>
  <xdr:twoCellAnchor editAs="oneCell">
    <xdr:from>
      <xdr:col>1</xdr:col>
      <xdr:colOff>0</xdr:colOff>
      <xdr:row>0</xdr:row>
      <xdr:rowOff>123825</xdr:rowOff>
    </xdr:from>
    <xdr:to>
      <xdr:col>14</xdr:col>
      <xdr:colOff>103425</xdr:colOff>
      <xdr:row>4</xdr:row>
      <xdr:rowOff>9525</xdr:rowOff>
    </xdr:to>
    <xdr:grpSp>
      <xdr:nvGrpSpPr>
        <xdr:cNvPr id="5" name="Group 4"/>
        <xdr:cNvGrpSpPr/>
      </xdr:nvGrpSpPr>
      <xdr:grpSpPr>
        <a:xfrm>
          <a:off x="95250" y="123825"/>
          <a:ext cx="10800000" cy="676275"/>
          <a:chOff x="95250" y="123825"/>
          <a:chExt cx="10803225" cy="666750"/>
        </a:xfrm>
      </xdr:grpSpPr>
      <xdr:sp macro="" textlink="">
        <xdr:nvSpPr>
          <xdr:cNvPr id="6" name="Round Same Side Corner Rectangle 5"/>
          <xdr:cNvSpPr/>
        </xdr:nvSpPr>
        <xdr:spPr>
          <a:xfrm>
            <a:off x="95250" y="123825"/>
            <a:ext cx="10800000" cy="666750"/>
          </a:xfrm>
          <a:prstGeom prst="round2SameRect">
            <a:avLst>
              <a:gd name="adj1" fmla="val 50000"/>
              <a:gd name="adj2" fmla="val 0"/>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lang="en-GB" sz="1000"/>
          </a:p>
        </xdr:txBody>
      </xdr:sp>
      <xdr:sp macro="" textlink="">
        <xdr:nvSpPr>
          <xdr:cNvPr id="7" name="Snip Single Corner Rectangle 6"/>
          <xdr:cNvSpPr/>
        </xdr:nvSpPr>
        <xdr:spPr>
          <a:xfrm>
            <a:off x="104774" y="514350"/>
            <a:ext cx="1764000" cy="247649"/>
          </a:xfrm>
          <a:prstGeom prst="snip1Rect">
            <a:avLst>
              <a:gd name="adj" fmla="val 50000"/>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b"/>
          <a:lstStyle/>
          <a:p>
            <a:pPr algn="ctr"/>
            <a:r>
              <a:rPr lang="en-GB" sz="1100" b="1"/>
              <a:t>Population</a:t>
            </a:r>
          </a:p>
        </xdr:txBody>
      </xdr:sp>
      <xdr:sp macro="" textlink="">
        <xdr:nvSpPr>
          <xdr:cNvPr id="8" name="Snip Single Corner Rectangle 7">
            <a:hlinkClick xmlns:r="http://schemas.openxmlformats.org/officeDocument/2006/relationships" r:id="rId1"/>
          </xdr:cNvPr>
          <xdr:cNvSpPr/>
        </xdr:nvSpPr>
        <xdr:spPr>
          <a:xfrm>
            <a:off x="1910714" y="514350"/>
            <a:ext cx="1764000" cy="247649"/>
          </a:xfrm>
          <a:prstGeom prst="snip1Rect">
            <a:avLst>
              <a:gd name="adj" fmla="val 50000"/>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b"/>
          <a:lstStyle/>
          <a:p>
            <a:pPr algn="ctr"/>
            <a:r>
              <a:rPr lang="en-GB" sz="1000"/>
              <a:t>Family Structure</a:t>
            </a:r>
          </a:p>
        </xdr:txBody>
      </xdr:sp>
      <xdr:sp macro="" textlink="">
        <xdr:nvSpPr>
          <xdr:cNvPr id="9" name="Snip Single Corner Rectangle 8">
            <a:hlinkClick xmlns:r="http://schemas.openxmlformats.org/officeDocument/2006/relationships" r:id="rId2"/>
          </xdr:cNvPr>
          <xdr:cNvSpPr/>
        </xdr:nvSpPr>
        <xdr:spPr>
          <a:xfrm>
            <a:off x="3716654" y="514350"/>
            <a:ext cx="1764000" cy="247649"/>
          </a:xfrm>
          <a:prstGeom prst="snip1Rect">
            <a:avLst>
              <a:gd name="adj" fmla="val 50000"/>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b"/>
          <a:lstStyle/>
          <a:p>
            <a:pPr algn="ctr"/>
            <a:r>
              <a:rPr lang="en-GB" sz="1000"/>
              <a:t>Health Indicators</a:t>
            </a:r>
          </a:p>
        </xdr:txBody>
      </xdr:sp>
      <xdr:sp macro="" textlink="">
        <xdr:nvSpPr>
          <xdr:cNvPr id="10" name="Snip Single Corner Rectangle 9">
            <a:hlinkClick xmlns:r="http://schemas.openxmlformats.org/officeDocument/2006/relationships" r:id="rId3"/>
          </xdr:cNvPr>
          <xdr:cNvSpPr/>
        </xdr:nvSpPr>
        <xdr:spPr>
          <a:xfrm>
            <a:off x="5522594" y="514350"/>
            <a:ext cx="1764000" cy="247649"/>
          </a:xfrm>
          <a:prstGeom prst="snip1Rect">
            <a:avLst>
              <a:gd name="adj" fmla="val 50000"/>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b"/>
          <a:lstStyle/>
          <a:p>
            <a:pPr algn="ctr"/>
            <a:r>
              <a:rPr lang="en-GB" sz="1000"/>
              <a:t>Births and Early Years</a:t>
            </a:r>
          </a:p>
        </xdr:txBody>
      </xdr:sp>
      <xdr:sp macro="" textlink="">
        <xdr:nvSpPr>
          <xdr:cNvPr id="11" name="Snip Single Corner Rectangle 10">
            <a:hlinkClick xmlns:r="http://schemas.openxmlformats.org/officeDocument/2006/relationships" r:id="rId4"/>
          </xdr:cNvPr>
          <xdr:cNvSpPr/>
        </xdr:nvSpPr>
        <xdr:spPr>
          <a:xfrm>
            <a:off x="7328534" y="514350"/>
            <a:ext cx="1764000" cy="247649"/>
          </a:xfrm>
          <a:prstGeom prst="snip1Rect">
            <a:avLst>
              <a:gd name="adj" fmla="val 50000"/>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b"/>
          <a:lstStyle/>
          <a:p>
            <a:pPr algn="ctr"/>
            <a:r>
              <a:rPr lang="en-GB" sz="1000"/>
              <a:t>Deprivation</a:t>
            </a:r>
          </a:p>
        </xdr:txBody>
      </xdr:sp>
      <xdr:sp macro="" textlink="">
        <xdr:nvSpPr>
          <xdr:cNvPr id="12" name="Snip Single Corner Rectangle 11">
            <a:hlinkClick xmlns:r="http://schemas.openxmlformats.org/officeDocument/2006/relationships" r:id="rId5"/>
          </xdr:cNvPr>
          <xdr:cNvSpPr/>
        </xdr:nvSpPr>
        <xdr:spPr>
          <a:xfrm>
            <a:off x="9134475" y="514350"/>
            <a:ext cx="1764000" cy="247649"/>
          </a:xfrm>
          <a:prstGeom prst="snip1Rect">
            <a:avLst>
              <a:gd name="adj" fmla="val 50000"/>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b"/>
          <a:lstStyle/>
          <a:p>
            <a:pPr algn="ctr"/>
            <a:r>
              <a:rPr lang="en-GB" sz="1000"/>
              <a:t>EYFS</a:t>
            </a:r>
          </a:p>
        </xdr:txBody>
      </xdr:sp>
      <xdr:cxnSp macro="">
        <xdr:nvCxnSpPr>
          <xdr:cNvPr id="13" name="Straight Connector 12"/>
          <xdr:cNvCxnSpPr/>
        </xdr:nvCxnSpPr>
        <xdr:spPr>
          <a:xfrm>
            <a:off x="95250" y="781050"/>
            <a:ext cx="10800000" cy="1"/>
          </a:xfrm>
          <a:prstGeom prst="line">
            <a:avLst/>
          </a:prstGeom>
          <a:ln>
            <a:solidFill>
              <a:schemeClr val="tx2"/>
            </a:solidFill>
          </a:ln>
        </xdr:spPr>
        <xdr:style>
          <a:lnRef idx="1">
            <a:schemeClr val="accent1"/>
          </a:lnRef>
          <a:fillRef idx="2">
            <a:schemeClr val="accent1"/>
          </a:fillRef>
          <a:effectRef idx="1">
            <a:schemeClr val="accent1"/>
          </a:effectRef>
          <a:fontRef idx="minor">
            <a:schemeClr val="dk1"/>
          </a:fontRef>
        </xdr:style>
      </xdr:cxnSp>
    </xdr:grpSp>
    <xdr:clientData/>
  </xdr:twoCellAnchor>
  <xdr:twoCellAnchor editAs="oneCell">
    <xdr:from>
      <xdr:col>2</xdr:col>
      <xdr:colOff>0</xdr:colOff>
      <xdr:row>9</xdr:row>
      <xdr:rowOff>9525</xdr:rowOff>
    </xdr:from>
    <xdr:to>
      <xdr:col>14</xdr:col>
      <xdr:colOff>1724</xdr:colOff>
      <xdr:row>15</xdr:row>
      <xdr:rowOff>123825</xdr:rowOff>
    </xdr:to>
    <xdr:grpSp>
      <xdr:nvGrpSpPr>
        <xdr:cNvPr id="15" name="Group 14"/>
        <xdr:cNvGrpSpPr/>
      </xdr:nvGrpSpPr>
      <xdr:grpSpPr>
        <a:xfrm>
          <a:off x="209550" y="1752600"/>
          <a:ext cx="10583999" cy="1257300"/>
          <a:chOff x="89693" y="904875"/>
          <a:chExt cx="10805557" cy="1257300"/>
        </a:xfrm>
      </xdr:grpSpPr>
      <xdr:sp macro="" textlink="">
        <xdr:nvSpPr>
          <xdr:cNvPr id="16" name="TextBox 15"/>
          <xdr:cNvSpPr txBox="1"/>
        </xdr:nvSpPr>
        <xdr:spPr>
          <a:xfrm>
            <a:off x="89693" y="1190625"/>
            <a:ext cx="10805557" cy="9715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GB" sz="400"/>
          </a:p>
          <a:p>
            <a:r>
              <a:rPr lang="en-GB" sz="1100"/>
              <a:t>This section provides information</a:t>
            </a:r>
            <a:r>
              <a:rPr lang="en-GB" sz="1100" baseline="0"/>
              <a:t> on each children and family centre and the population it serves.</a:t>
            </a:r>
          </a:p>
          <a:p>
            <a:endParaRPr lang="en-GB" sz="400" baseline="0"/>
          </a:p>
          <a:p>
            <a:pPr lvl="1"/>
            <a:r>
              <a:rPr lang="en-GB" sz="1100"/>
              <a:t>- </a:t>
            </a:r>
            <a:r>
              <a:rPr lang="en-GB" sz="1100" b="1"/>
              <a:t>CFCs - </a:t>
            </a:r>
            <a:r>
              <a:rPr lang="en-GB" sz="1100" b="0"/>
              <a:t>There</a:t>
            </a:r>
            <a:r>
              <a:rPr lang="en-GB" sz="1100" b="0" baseline="0"/>
              <a:t> are currently 43 children and family centres (CFCs) in West Sussex</a:t>
            </a:r>
            <a:endParaRPr lang="en-GB" sz="1100"/>
          </a:p>
          <a:p>
            <a:pPr lvl="1"/>
            <a:r>
              <a:rPr lang="en-GB" sz="1100" b="1"/>
              <a:t>- CFC Groups</a:t>
            </a:r>
            <a:r>
              <a:rPr lang="en-GB" sz="1100"/>
              <a:t> -</a:t>
            </a:r>
            <a:r>
              <a:rPr lang="en-GB" sz="1100" baseline="0"/>
              <a:t> The CFCs in West Sussex are aggregated into 12 groups</a:t>
            </a:r>
          </a:p>
          <a:p>
            <a:pPr lvl="1"/>
            <a:r>
              <a:rPr lang="en-GB" sz="1100" baseline="0"/>
              <a:t>- </a:t>
            </a:r>
            <a:r>
              <a:rPr lang="en-GB" sz="1100" b="1" baseline="0"/>
              <a:t>Education Partnership </a:t>
            </a:r>
            <a:r>
              <a:rPr lang="en-GB" sz="1100" baseline="0"/>
              <a:t>- There are 5 education partnership areas in West Sussex</a:t>
            </a:r>
          </a:p>
        </xdr:txBody>
      </xdr:sp>
      <xdr:sp macro="" textlink="">
        <xdr:nvSpPr>
          <xdr:cNvPr id="17" name="Rectangle 16"/>
          <xdr:cNvSpPr/>
        </xdr:nvSpPr>
        <xdr:spPr>
          <a:xfrm>
            <a:off x="95249" y="904875"/>
            <a:ext cx="10800000" cy="285750"/>
          </a:xfrm>
          <a:prstGeom prst="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t"/>
          <a:lstStyle/>
          <a:p>
            <a:pPr algn="l"/>
            <a:r>
              <a:rPr lang="en-GB" sz="1100" b="1"/>
              <a:t>Geographies</a:t>
            </a:r>
          </a:p>
        </xdr:txBody>
      </xdr:sp>
    </xdr:grpSp>
    <xdr:clientData/>
  </xdr:twoCellAnchor>
  <xdr:twoCellAnchor editAs="oneCell">
    <xdr:from>
      <xdr:col>2</xdr:col>
      <xdr:colOff>0</xdr:colOff>
      <xdr:row>66</xdr:row>
      <xdr:rowOff>0</xdr:rowOff>
    </xdr:from>
    <xdr:to>
      <xdr:col>14</xdr:col>
      <xdr:colOff>1725</xdr:colOff>
      <xdr:row>69</xdr:row>
      <xdr:rowOff>47625</xdr:rowOff>
    </xdr:to>
    <xdr:grpSp>
      <xdr:nvGrpSpPr>
        <xdr:cNvPr id="19" name="Group 18"/>
        <xdr:cNvGrpSpPr/>
      </xdr:nvGrpSpPr>
      <xdr:grpSpPr>
        <a:xfrm>
          <a:off x="209550" y="13658850"/>
          <a:ext cx="10584000" cy="619125"/>
          <a:chOff x="95249" y="904875"/>
          <a:chExt cx="10800001" cy="619125"/>
        </a:xfrm>
      </xdr:grpSpPr>
      <xdr:sp macro="" textlink="">
        <xdr:nvSpPr>
          <xdr:cNvPr id="20" name="TextBox 19">
            <a:hlinkClick xmlns:r="http://schemas.openxmlformats.org/officeDocument/2006/relationships" r:id="rId6"/>
          </xdr:cNvPr>
          <xdr:cNvSpPr txBox="1"/>
        </xdr:nvSpPr>
        <xdr:spPr>
          <a:xfrm>
            <a:off x="95250" y="1190625"/>
            <a:ext cx="10800000" cy="3333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GB" sz="400" baseline="0"/>
          </a:p>
          <a:p>
            <a:r>
              <a:rPr lang="en-GB" sz="1050" b="1" baseline="0"/>
              <a:t>Source:</a:t>
            </a:r>
            <a:r>
              <a:rPr lang="en-GB" sz="1050" baseline="0"/>
              <a:t> </a:t>
            </a:r>
            <a:r>
              <a:rPr lang="en-GB" sz="1050" b="0" u="sng" baseline="0">
                <a:solidFill>
                  <a:srgbClr val="191EE1"/>
                </a:solidFill>
              </a:rPr>
              <a:t>ONS Mid Year Estimates (2015)</a:t>
            </a:r>
          </a:p>
        </xdr:txBody>
      </xdr:sp>
      <xdr:sp macro="" textlink="">
        <xdr:nvSpPr>
          <xdr:cNvPr id="21" name="Rectangle 20"/>
          <xdr:cNvSpPr/>
        </xdr:nvSpPr>
        <xdr:spPr>
          <a:xfrm>
            <a:off x="95249" y="904875"/>
            <a:ext cx="10800000" cy="285750"/>
          </a:xfrm>
          <a:prstGeom prst="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t"/>
          <a:lstStyle/>
          <a:p>
            <a:pPr algn="l"/>
            <a:r>
              <a:rPr lang="en-GB" sz="1100" b="1"/>
              <a:t>Population</a:t>
            </a:r>
          </a:p>
        </xdr:txBody>
      </xdr:sp>
    </xdr:grpSp>
    <xdr:clientData/>
  </xdr:twoCellAnchor>
  <xdr:twoCellAnchor editAs="oneCell">
    <xdr:from>
      <xdr:col>11</xdr:col>
      <xdr:colOff>152400</xdr:colOff>
      <xdr:row>66</xdr:row>
      <xdr:rowOff>9525</xdr:rowOff>
    </xdr:from>
    <xdr:to>
      <xdr:col>14</xdr:col>
      <xdr:colOff>9525</xdr:colOff>
      <xdr:row>67</xdr:row>
      <xdr:rowOff>104775</xdr:rowOff>
    </xdr:to>
    <xdr:sp macro="" textlink="">
      <xdr:nvSpPr>
        <xdr:cNvPr id="18" name="TextBox 17">
          <a:hlinkClick xmlns:r="http://schemas.openxmlformats.org/officeDocument/2006/relationships" r:id="rId7"/>
        </xdr:cNvPr>
        <xdr:cNvSpPr txBox="1"/>
      </xdr:nvSpPr>
      <xdr:spPr>
        <a:xfrm>
          <a:off x="9477375" y="4800600"/>
          <a:ext cx="1323975"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100" u="sng">
              <a:solidFill>
                <a:schemeClr val="bg1"/>
              </a:solidFill>
            </a:rPr>
            <a:t>back to top</a:t>
          </a:r>
        </a:p>
      </xdr:txBody>
    </xdr:sp>
    <xdr:clientData/>
  </xdr:twoCellAnchor>
  <xdr:twoCellAnchor editAs="oneCell">
    <xdr:from>
      <xdr:col>2</xdr:col>
      <xdr:colOff>0</xdr:colOff>
      <xdr:row>73</xdr:row>
      <xdr:rowOff>133350</xdr:rowOff>
    </xdr:from>
    <xdr:to>
      <xdr:col>14</xdr:col>
      <xdr:colOff>1724</xdr:colOff>
      <xdr:row>75</xdr:row>
      <xdr:rowOff>38100</xdr:rowOff>
    </xdr:to>
    <xdr:sp macro="" textlink="">
      <xdr:nvSpPr>
        <xdr:cNvPr id="23" name="Rectangle 22"/>
        <xdr:cNvSpPr/>
      </xdr:nvSpPr>
      <xdr:spPr>
        <a:xfrm>
          <a:off x="209550" y="6438900"/>
          <a:ext cx="10583999" cy="285750"/>
        </a:xfrm>
        <a:prstGeom prst="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t"/>
        <a:lstStyle/>
        <a:p>
          <a:pPr algn="l"/>
          <a:r>
            <a:rPr lang="en-GB" sz="1100" b="1"/>
            <a:t>Population of children</a:t>
          </a:r>
          <a:r>
            <a:rPr lang="en-GB" sz="1100" b="1" baseline="0"/>
            <a:t> under the age of 5</a:t>
          </a:r>
          <a:endParaRPr lang="en-GB" sz="1100" b="1"/>
        </a:p>
      </xdr:txBody>
    </xdr:sp>
    <xdr:clientData/>
  </xdr:twoCellAnchor>
  <xdr:twoCellAnchor editAs="oneCell">
    <xdr:from>
      <xdr:col>11</xdr:col>
      <xdr:colOff>152400</xdr:colOff>
      <xdr:row>73</xdr:row>
      <xdr:rowOff>133350</xdr:rowOff>
    </xdr:from>
    <xdr:to>
      <xdr:col>14</xdr:col>
      <xdr:colOff>9525</xdr:colOff>
      <xdr:row>75</xdr:row>
      <xdr:rowOff>38100</xdr:rowOff>
    </xdr:to>
    <xdr:sp macro="" textlink="">
      <xdr:nvSpPr>
        <xdr:cNvPr id="24" name="TextBox 23">
          <a:hlinkClick xmlns:r="http://schemas.openxmlformats.org/officeDocument/2006/relationships" r:id="rId7"/>
        </xdr:cNvPr>
        <xdr:cNvSpPr txBox="1"/>
      </xdr:nvSpPr>
      <xdr:spPr>
        <a:xfrm>
          <a:off x="9477375" y="6438900"/>
          <a:ext cx="1323975"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100" u="sng">
              <a:solidFill>
                <a:schemeClr val="bg1"/>
              </a:solidFill>
            </a:rPr>
            <a:t>back to top</a:t>
          </a:r>
        </a:p>
      </xdr:txBody>
    </xdr:sp>
    <xdr:clientData/>
  </xdr:twoCellAnchor>
  <xdr:twoCellAnchor editAs="oneCell">
    <xdr:from>
      <xdr:col>7</xdr:col>
      <xdr:colOff>447675</xdr:colOff>
      <xdr:row>75</xdr:row>
      <xdr:rowOff>123825</xdr:rowOff>
    </xdr:from>
    <xdr:to>
      <xdr:col>13</xdr:col>
      <xdr:colOff>57150</xdr:colOff>
      <xdr:row>88</xdr:row>
      <xdr:rowOff>123825</xdr:rowOff>
    </xdr:to>
    <xdr:graphicFrame macro="">
      <xdr:nvGraphicFramePr>
        <xdr:cNvPr id="22" name="Chart 2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2</xdr:col>
      <xdr:colOff>0</xdr:colOff>
      <xdr:row>92</xdr:row>
      <xdr:rowOff>19050</xdr:rowOff>
    </xdr:from>
    <xdr:to>
      <xdr:col>14</xdr:col>
      <xdr:colOff>1725</xdr:colOff>
      <xdr:row>95</xdr:row>
      <xdr:rowOff>95250</xdr:rowOff>
    </xdr:to>
    <xdr:grpSp>
      <xdr:nvGrpSpPr>
        <xdr:cNvPr id="26" name="Group 25"/>
        <xdr:cNvGrpSpPr/>
      </xdr:nvGrpSpPr>
      <xdr:grpSpPr>
        <a:xfrm>
          <a:off x="209550" y="19059525"/>
          <a:ext cx="10584000" cy="619125"/>
          <a:chOff x="95249" y="904875"/>
          <a:chExt cx="10800001" cy="619125"/>
        </a:xfrm>
      </xdr:grpSpPr>
      <xdr:sp macro="" textlink="">
        <xdr:nvSpPr>
          <xdr:cNvPr id="27" name="TextBox 26"/>
          <xdr:cNvSpPr txBox="1"/>
        </xdr:nvSpPr>
        <xdr:spPr>
          <a:xfrm>
            <a:off x="95250" y="1190626"/>
            <a:ext cx="10800000" cy="33337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GB" sz="400" baseline="0"/>
          </a:p>
          <a:p>
            <a:r>
              <a:rPr lang="en-GB" sz="1100" b="1" baseline="0"/>
              <a:t>Source:</a:t>
            </a:r>
            <a:r>
              <a:rPr lang="en-GB" sz="1100" baseline="0"/>
              <a:t> This data is for children aged 0 - 4 and is taken from the 2011 Census.</a:t>
            </a:r>
          </a:p>
          <a:p>
            <a:endParaRPr lang="en-GB" sz="1050" baseline="0"/>
          </a:p>
        </xdr:txBody>
      </xdr:sp>
      <xdr:sp macro="" textlink="">
        <xdr:nvSpPr>
          <xdr:cNvPr id="28" name="Rectangle 27"/>
          <xdr:cNvSpPr/>
        </xdr:nvSpPr>
        <xdr:spPr>
          <a:xfrm>
            <a:off x="95249" y="904875"/>
            <a:ext cx="10800000" cy="285750"/>
          </a:xfrm>
          <a:prstGeom prst="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t"/>
          <a:lstStyle/>
          <a:p>
            <a:pPr algn="l"/>
            <a:r>
              <a:rPr lang="en-GB" sz="1100" b="1"/>
              <a:t>Ethnic Composition</a:t>
            </a:r>
          </a:p>
        </xdr:txBody>
      </xdr:sp>
    </xdr:grpSp>
    <xdr:clientData/>
  </xdr:twoCellAnchor>
  <xdr:twoCellAnchor editAs="oneCell">
    <xdr:from>
      <xdr:col>11</xdr:col>
      <xdr:colOff>152400</xdr:colOff>
      <xdr:row>92</xdr:row>
      <xdr:rowOff>19050</xdr:rowOff>
    </xdr:from>
    <xdr:to>
      <xdr:col>14</xdr:col>
      <xdr:colOff>9525</xdr:colOff>
      <xdr:row>93</xdr:row>
      <xdr:rowOff>123825</xdr:rowOff>
    </xdr:to>
    <xdr:sp macro="" textlink="">
      <xdr:nvSpPr>
        <xdr:cNvPr id="29" name="TextBox 28">
          <a:hlinkClick xmlns:r="http://schemas.openxmlformats.org/officeDocument/2006/relationships" r:id="rId7"/>
        </xdr:cNvPr>
        <xdr:cNvSpPr txBox="1"/>
      </xdr:nvSpPr>
      <xdr:spPr>
        <a:xfrm>
          <a:off x="9477375" y="10001250"/>
          <a:ext cx="1323975"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100" u="sng">
              <a:solidFill>
                <a:schemeClr val="bg1"/>
              </a:solidFill>
            </a:rPr>
            <a:t>back to top</a:t>
          </a:r>
        </a:p>
      </xdr:txBody>
    </xdr:sp>
    <xdr:clientData/>
  </xdr:twoCellAnchor>
  <xdr:twoCellAnchor editAs="oneCell">
    <xdr:from>
      <xdr:col>8</xdr:col>
      <xdr:colOff>19050</xdr:colOff>
      <xdr:row>94</xdr:row>
      <xdr:rowOff>76200</xdr:rowOff>
    </xdr:from>
    <xdr:to>
      <xdr:col>13</xdr:col>
      <xdr:colOff>104775</xdr:colOff>
      <xdr:row>108</xdr:row>
      <xdr:rowOff>171450</xdr:rowOff>
    </xdr:to>
    <xdr:graphicFrame macro="">
      <xdr:nvGraphicFramePr>
        <xdr:cNvPr id="31" name="Chart 3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2</xdr:col>
      <xdr:colOff>0</xdr:colOff>
      <xdr:row>111</xdr:row>
      <xdr:rowOff>0</xdr:rowOff>
    </xdr:from>
    <xdr:to>
      <xdr:col>14</xdr:col>
      <xdr:colOff>1725</xdr:colOff>
      <xdr:row>114</xdr:row>
      <xdr:rowOff>76200</xdr:rowOff>
    </xdr:to>
    <xdr:grpSp>
      <xdr:nvGrpSpPr>
        <xdr:cNvPr id="33" name="Group 32"/>
        <xdr:cNvGrpSpPr/>
      </xdr:nvGrpSpPr>
      <xdr:grpSpPr>
        <a:xfrm>
          <a:off x="209550" y="22726650"/>
          <a:ext cx="10584000" cy="619125"/>
          <a:chOff x="95249" y="904875"/>
          <a:chExt cx="10800001" cy="619125"/>
        </a:xfrm>
      </xdr:grpSpPr>
      <xdr:sp macro="" textlink="">
        <xdr:nvSpPr>
          <xdr:cNvPr id="34" name="TextBox 33"/>
          <xdr:cNvSpPr txBox="1"/>
        </xdr:nvSpPr>
        <xdr:spPr>
          <a:xfrm>
            <a:off x="95250" y="1190626"/>
            <a:ext cx="10800000" cy="33337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GB" sz="400" baseline="0"/>
          </a:p>
          <a:p>
            <a:r>
              <a:rPr lang="en-GB" sz="1100" b="1" baseline="0"/>
              <a:t>Source:</a:t>
            </a:r>
            <a:r>
              <a:rPr lang="en-GB" sz="1100" baseline="0"/>
              <a:t> This data is for children aged 3 - 15 and is taken from the 2011 Census.</a:t>
            </a:r>
          </a:p>
          <a:p>
            <a:endParaRPr lang="en-GB" sz="1050" baseline="0"/>
          </a:p>
        </xdr:txBody>
      </xdr:sp>
      <xdr:sp macro="" textlink="">
        <xdr:nvSpPr>
          <xdr:cNvPr id="35" name="Rectangle 34"/>
          <xdr:cNvSpPr/>
        </xdr:nvSpPr>
        <xdr:spPr>
          <a:xfrm>
            <a:off x="95249" y="904875"/>
            <a:ext cx="10800000" cy="285750"/>
          </a:xfrm>
          <a:prstGeom prst="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t"/>
          <a:lstStyle/>
          <a:p>
            <a:pPr algn="l"/>
            <a:r>
              <a:rPr lang="en-GB" sz="1100" b="1"/>
              <a:t>Profiency</a:t>
            </a:r>
            <a:r>
              <a:rPr lang="en-GB" sz="1100" b="1" baseline="0"/>
              <a:t> in English (Children aged 3 to 15 years) </a:t>
            </a:r>
            <a:endParaRPr lang="en-GB" sz="1100" b="1"/>
          </a:p>
        </xdr:txBody>
      </xdr:sp>
    </xdr:grpSp>
    <xdr:clientData/>
  </xdr:twoCellAnchor>
  <xdr:twoCellAnchor editAs="oneCell">
    <xdr:from>
      <xdr:col>2</xdr:col>
      <xdr:colOff>0</xdr:colOff>
      <xdr:row>126</xdr:row>
      <xdr:rowOff>0</xdr:rowOff>
    </xdr:from>
    <xdr:to>
      <xdr:col>14</xdr:col>
      <xdr:colOff>1725</xdr:colOff>
      <xdr:row>129</xdr:row>
      <xdr:rowOff>76200</xdr:rowOff>
    </xdr:to>
    <xdr:grpSp>
      <xdr:nvGrpSpPr>
        <xdr:cNvPr id="36" name="Group 35"/>
        <xdr:cNvGrpSpPr/>
      </xdr:nvGrpSpPr>
      <xdr:grpSpPr>
        <a:xfrm>
          <a:off x="209550" y="26269950"/>
          <a:ext cx="10584000" cy="619125"/>
          <a:chOff x="95249" y="904875"/>
          <a:chExt cx="10800001" cy="619125"/>
        </a:xfrm>
      </xdr:grpSpPr>
      <xdr:sp macro="" textlink="">
        <xdr:nvSpPr>
          <xdr:cNvPr id="37" name="TextBox 36"/>
          <xdr:cNvSpPr txBox="1"/>
        </xdr:nvSpPr>
        <xdr:spPr>
          <a:xfrm>
            <a:off x="95250" y="1190626"/>
            <a:ext cx="10800000" cy="33337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GB" sz="400" baseline="0"/>
          </a:p>
          <a:p>
            <a:r>
              <a:rPr lang="en-GB" sz="1100" b="1" baseline="0"/>
              <a:t>Source:</a:t>
            </a:r>
            <a:r>
              <a:rPr lang="en-GB" sz="1100" baseline="0"/>
              <a:t> This data is for households with a child aged 0 - 9 years and is taken from the 2011 Census.</a:t>
            </a:r>
          </a:p>
          <a:p>
            <a:endParaRPr lang="en-GB" sz="1050" baseline="0"/>
          </a:p>
        </xdr:txBody>
      </xdr:sp>
      <xdr:sp macro="" textlink="">
        <xdr:nvSpPr>
          <xdr:cNvPr id="38" name="Rectangle 37"/>
          <xdr:cNvSpPr/>
        </xdr:nvSpPr>
        <xdr:spPr>
          <a:xfrm>
            <a:off x="95249" y="904875"/>
            <a:ext cx="10800000" cy="285750"/>
          </a:xfrm>
          <a:prstGeom prst="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t"/>
          <a:lstStyle/>
          <a:p>
            <a:pPr algn="l"/>
            <a:r>
              <a:rPr lang="en-GB" sz="1100" b="1"/>
              <a:t>Tenure (Households with a</a:t>
            </a:r>
            <a:r>
              <a:rPr lang="en-GB" sz="1100" b="1" baseline="0"/>
              <a:t> child aged 0-9)</a:t>
            </a:r>
            <a:endParaRPr lang="en-GB" sz="1100" b="1"/>
          </a:p>
        </xdr:txBody>
      </xdr:sp>
    </xdr:grpSp>
    <xdr:clientData/>
  </xdr:twoCellAnchor>
  <xdr:twoCellAnchor editAs="oneCell">
    <xdr:from>
      <xdr:col>11</xdr:col>
      <xdr:colOff>152400</xdr:colOff>
      <xdr:row>111</xdr:row>
      <xdr:rowOff>0</xdr:rowOff>
    </xdr:from>
    <xdr:to>
      <xdr:col>14</xdr:col>
      <xdr:colOff>9525</xdr:colOff>
      <xdr:row>112</xdr:row>
      <xdr:rowOff>104775</xdr:rowOff>
    </xdr:to>
    <xdr:sp macro="" textlink="">
      <xdr:nvSpPr>
        <xdr:cNvPr id="39" name="TextBox 38">
          <a:hlinkClick xmlns:r="http://schemas.openxmlformats.org/officeDocument/2006/relationships" r:id="rId7"/>
        </xdr:cNvPr>
        <xdr:cNvSpPr txBox="1"/>
      </xdr:nvSpPr>
      <xdr:spPr>
        <a:xfrm>
          <a:off x="9477375" y="13668375"/>
          <a:ext cx="1323975"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100" u="sng">
              <a:solidFill>
                <a:schemeClr val="bg1"/>
              </a:solidFill>
            </a:rPr>
            <a:t>back to top</a:t>
          </a:r>
        </a:p>
      </xdr:txBody>
    </xdr:sp>
    <xdr:clientData/>
  </xdr:twoCellAnchor>
  <xdr:twoCellAnchor editAs="oneCell">
    <xdr:from>
      <xdr:col>11</xdr:col>
      <xdr:colOff>152400</xdr:colOff>
      <xdr:row>126</xdr:row>
      <xdr:rowOff>0</xdr:rowOff>
    </xdr:from>
    <xdr:to>
      <xdr:col>14</xdr:col>
      <xdr:colOff>9525</xdr:colOff>
      <xdr:row>127</xdr:row>
      <xdr:rowOff>104775</xdr:rowOff>
    </xdr:to>
    <xdr:sp macro="" textlink="">
      <xdr:nvSpPr>
        <xdr:cNvPr id="40" name="TextBox 39">
          <a:hlinkClick xmlns:r="http://schemas.openxmlformats.org/officeDocument/2006/relationships" r:id="rId7"/>
        </xdr:cNvPr>
        <xdr:cNvSpPr txBox="1"/>
      </xdr:nvSpPr>
      <xdr:spPr>
        <a:xfrm>
          <a:off x="9477375" y="16859250"/>
          <a:ext cx="1323975"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100" u="sng">
              <a:solidFill>
                <a:schemeClr val="bg1"/>
              </a:solidFill>
            </a:rPr>
            <a:t>back to top</a:t>
          </a:r>
        </a:p>
      </xdr:txBody>
    </xdr:sp>
    <xdr:clientData/>
  </xdr:twoCellAnchor>
  <xdr:twoCellAnchor editAs="oneCell">
    <xdr:from>
      <xdr:col>3</xdr:col>
      <xdr:colOff>533400</xdr:colOff>
      <xdr:row>138</xdr:row>
      <xdr:rowOff>57149</xdr:rowOff>
    </xdr:from>
    <xdr:to>
      <xdr:col>10</xdr:col>
      <xdr:colOff>733425</xdr:colOff>
      <xdr:row>154</xdr:row>
      <xdr:rowOff>161924</xdr:rowOff>
    </xdr:to>
    <xdr:graphicFrame macro="">
      <xdr:nvGraphicFramePr>
        <xdr:cNvPr id="32" name="Chart 3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oneCell">
    <xdr:from>
      <xdr:col>9</xdr:col>
      <xdr:colOff>247651</xdr:colOff>
      <xdr:row>139</xdr:row>
      <xdr:rowOff>114300</xdr:rowOff>
    </xdr:from>
    <xdr:to>
      <xdr:col>11</xdr:col>
      <xdr:colOff>647700</xdr:colOff>
      <xdr:row>152</xdr:row>
      <xdr:rowOff>9525</xdr:rowOff>
    </xdr:to>
    <xdr:sp macro="" textlink="">
      <xdr:nvSpPr>
        <xdr:cNvPr id="41" name="TextBox 40"/>
        <xdr:cNvSpPr txBox="1"/>
      </xdr:nvSpPr>
      <xdr:spPr>
        <a:xfrm>
          <a:off x="7505701" y="19288125"/>
          <a:ext cx="2466974" cy="2247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050"/>
            <a:t>% Owned</a:t>
          </a:r>
        </a:p>
        <a:p>
          <a:endParaRPr lang="en-GB" sz="1050"/>
        </a:p>
        <a:p>
          <a:endParaRPr lang="en-GB" sz="300"/>
        </a:p>
        <a:p>
          <a:endParaRPr lang="en-GB" sz="1050"/>
        </a:p>
        <a:p>
          <a:r>
            <a:rPr lang="en-GB" sz="1050"/>
            <a:t>%</a:t>
          </a:r>
          <a:r>
            <a:rPr lang="en-GB" sz="1050" baseline="0"/>
            <a:t> Socially rented</a:t>
          </a:r>
        </a:p>
        <a:p>
          <a:endParaRPr lang="en-GB" sz="1050" baseline="0"/>
        </a:p>
        <a:p>
          <a:endParaRPr lang="en-GB" sz="1600" baseline="0"/>
        </a:p>
        <a:p>
          <a:endParaRPr lang="en-GB" sz="1050" baseline="0"/>
        </a:p>
        <a:p>
          <a:endParaRPr lang="en-GB" sz="1050" baseline="0"/>
        </a:p>
        <a:p>
          <a:r>
            <a:rPr lang="en-GB" sz="1050" baseline="0"/>
            <a:t>% Privately rented or living rent free</a:t>
          </a:r>
          <a:endParaRPr lang="en-GB" sz="1050"/>
        </a:p>
      </xdr:txBody>
    </xdr:sp>
    <xdr:clientData/>
  </xdr:twoCellAnchor>
  <xdr:twoCellAnchor editAs="oneCell">
    <xdr:from>
      <xdr:col>8</xdr:col>
      <xdr:colOff>1038225</xdr:colOff>
      <xdr:row>145</xdr:row>
      <xdr:rowOff>76200</xdr:rowOff>
    </xdr:from>
    <xdr:to>
      <xdr:col>9</xdr:col>
      <xdr:colOff>228600</xdr:colOff>
      <xdr:row>151</xdr:row>
      <xdr:rowOff>133350</xdr:rowOff>
    </xdr:to>
    <xdr:sp macro="" textlink="">
      <xdr:nvSpPr>
        <xdr:cNvPr id="44" name="Right Brace 43"/>
        <xdr:cNvSpPr/>
      </xdr:nvSpPr>
      <xdr:spPr>
        <a:xfrm>
          <a:off x="7210425" y="22212300"/>
          <a:ext cx="276225" cy="1143000"/>
        </a:xfrm>
        <a:prstGeom prst="rightBrace">
          <a:avLst>
            <a:gd name="adj1" fmla="val 66954"/>
            <a:gd name="adj2" fmla="val 50000"/>
          </a:avLst>
        </a:prstGeom>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GB" sz="1100"/>
        </a:p>
      </xdr:txBody>
    </xdr:sp>
    <xdr:clientData/>
  </xdr:twoCellAnchor>
  <xdr:twoCellAnchor editAs="oneCell">
    <xdr:from>
      <xdr:col>8</xdr:col>
      <xdr:colOff>1047750</xdr:colOff>
      <xdr:row>139</xdr:row>
      <xdr:rowOff>9525</xdr:rowOff>
    </xdr:from>
    <xdr:to>
      <xdr:col>9</xdr:col>
      <xdr:colOff>238125</xdr:colOff>
      <xdr:row>141</xdr:row>
      <xdr:rowOff>142875</xdr:rowOff>
    </xdr:to>
    <xdr:sp macro="" textlink="">
      <xdr:nvSpPr>
        <xdr:cNvPr id="46" name="Right Brace 45"/>
        <xdr:cNvSpPr/>
      </xdr:nvSpPr>
      <xdr:spPr>
        <a:xfrm>
          <a:off x="7219950" y="21059775"/>
          <a:ext cx="276225" cy="495300"/>
        </a:xfrm>
        <a:prstGeom prst="rightBrace">
          <a:avLst>
            <a:gd name="adj1" fmla="val 66954"/>
            <a:gd name="adj2" fmla="val 50000"/>
          </a:avLst>
        </a:prstGeom>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GB" sz="1100"/>
        </a:p>
      </xdr:txBody>
    </xdr:sp>
    <xdr:clientData/>
  </xdr:twoCellAnchor>
  <mc:AlternateContent xmlns:mc="http://schemas.openxmlformats.org/markup-compatibility/2006">
    <mc:Choice xmlns:a14="http://schemas.microsoft.com/office/drawing/2010/main" Requires="a14">
      <xdr:twoCellAnchor editAs="oneCell">
        <xdr:from>
          <xdr:col>4</xdr:col>
          <xdr:colOff>914400</xdr:colOff>
          <xdr:row>4</xdr:row>
          <xdr:rowOff>180975</xdr:rowOff>
        </xdr:from>
        <xdr:to>
          <xdr:col>7</xdr:col>
          <xdr:colOff>828675</xdr:colOff>
          <xdr:row>6</xdr:row>
          <xdr:rowOff>66675</xdr:rowOff>
        </xdr:to>
        <xdr:sp macro="" textlink="">
          <xdr:nvSpPr>
            <xdr:cNvPr id="3075" name="Drop Down 3" hidden="1">
              <a:extLst>
                <a:ext uri="{63B3BB69-23CF-44E3-9099-C40C66FF867C}">
                  <a14:compatExt spid="_x0000_s307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923925</xdr:colOff>
          <xdr:row>6</xdr:row>
          <xdr:rowOff>161925</xdr:rowOff>
        </xdr:from>
        <xdr:to>
          <xdr:col>7</xdr:col>
          <xdr:colOff>838200</xdr:colOff>
          <xdr:row>8</xdr:row>
          <xdr:rowOff>47625</xdr:rowOff>
        </xdr:to>
        <xdr:sp macro="" textlink="">
          <xdr:nvSpPr>
            <xdr:cNvPr id="3076" name="Drop Down 4" hidden="1">
              <a:extLst>
                <a:ext uri="{63B3BB69-23CF-44E3-9099-C40C66FF867C}">
                  <a14:compatExt spid="_x0000_s3076"/>
                </a:ext>
              </a:extLst>
            </xdr:cNvPr>
            <xdr:cNvSpPr/>
          </xdr:nvSpPr>
          <xdr:spPr>
            <a:xfrm>
              <a:off x="0" y="0"/>
              <a:ext cx="0" cy="0"/>
            </a:xfrm>
            <a:prstGeom prst="rect">
              <a:avLst/>
            </a:prstGeom>
          </xdr:spPr>
        </xdr:sp>
        <xdr:clientData/>
      </xdr:twoCellAnchor>
    </mc:Choice>
    <mc:Fallback/>
  </mc:AlternateContent>
  <xdr:twoCellAnchor editAs="oneCell">
    <xdr:from>
      <xdr:col>8</xdr:col>
      <xdr:colOff>166683</xdr:colOff>
      <xdr:row>4</xdr:row>
      <xdr:rowOff>178594</xdr:rowOff>
    </xdr:from>
    <xdr:to>
      <xdr:col>8</xdr:col>
      <xdr:colOff>714371</xdr:colOff>
      <xdr:row>6</xdr:row>
      <xdr:rowOff>111919</xdr:rowOff>
    </xdr:to>
    <xdr:sp macro="" textlink="">
      <xdr:nvSpPr>
        <xdr:cNvPr id="48" name="Left Arrow 47"/>
        <xdr:cNvSpPr/>
      </xdr:nvSpPr>
      <xdr:spPr>
        <a:xfrm>
          <a:off x="6334121" y="964407"/>
          <a:ext cx="547688" cy="314325"/>
        </a:xfrm>
        <a:prstGeom prst="leftArrow">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t"/>
        <a:lstStyle/>
        <a:p>
          <a:pPr algn="l"/>
          <a:endParaRPr lang="en-GB" sz="1100"/>
        </a:p>
      </xdr:txBody>
    </xdr:sp>
    <xdr:clientData/>
  </xdr:twoCellAnchor>
  <xdr:twoCellAnchor editAs="oneCell">
    <xdr:from>
      <xdr:col>8</xdr:col>
      <xdr:colOff>723895</xdr:colOff>
      <xdr:row>5</xdr:row>
      <xdr:rowOff>16670</xdr:rowOff>
    </xdr:from>
    <xdr:to>
      <xdr:col>13</xdr:col>
      <xdr:colOff>83338</xdr:colOff>
      <xdr:row>6</xdr:row>
      <xdr:rowOff>83344</xdr:rowOff>
    </xdr:to>
    <xdr:sp macro="" textlink="">
      <xdr:nvSpPr>
        <xdr:cNvPr id="49" name="TextBox 48"/>
        <xdr:cNvSpPr txBox="1"/>
      </xdr:nvSpPr>
      <xdr:spPr>
        <a:xfrm>
          <a:off x="6891333" y="992983"/>
          <a:ext cx="3848099" cy="2571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solidFill>
            </a:rPr>
            <a:t>Please select an</a:t>
          </a:r>
          <a:r>
            <a:rPr lang="en-GB" sz="1100" b="1" baseline="0">
              <a:solidFill>
                <a:schemeClr val="bg1"/>
              </a:solidFill>
            </a:rPr>
            <a:t> area </a:t>
          </a:r>
          <a:endParaRPr lang="en-GB" sz="1100" b="1">
            <a:solidFill>
              <a:schemeClr val="bg1"/>
            </a:solidFill>
          </a:endParaRPr>
        </a:p>
      </xdr:txBody>
    </xdr:sp>
    <xdr:clientData/>
  </xdr:twoCellAnchor>
  <xdr:twoCellAnchor editAs="oneCell">
    <xdr:from>
      <xdr:col>8</xdr:col>
      <xdr:colOff>164302</xdr:colOff>
      <xdr:row>6</xdr:row>
      <xdr:rowOff>116681</xdr:rowOff>
    </xdr:from>
    <xdr:to>
      <xdr:col>8</xdr:col>
      <xdr:colOff>711990</xdr:colOff>
      <xdr:row>8</xdr:row>
      <xdr:rowOff>50006</xdr:rowOff>
    </xdr:to>
    <xdr:sp macro="" textlink="">
      <xdr:nvSpPr>
        <xdr:cNvPr id="50" name="Left Arrow 49"/>
        <xdr:cNvSpPr/>
      </xdr:nvSpPr>
      <xdr:spPr>
        <a:xfrm>
          <a:off x="6331740" y="1283494"/>
          <a:ext cx="547688" cy="314325"/>
        </a:xfrm>
        <a:prstGeom prst="leftArrow">
          <a:avLst/>
        </a:prstGeom>
      </xdr:spPr>
      <xdr:style>
        <a:lnRef idx="0">
          <a:schemeClr val="accent4"/>
        </a:lnRef>
        <a:fillRef idx="3">
          <a:schemeClr val="accent4"/>
        </a:fillRef>
        <a:effectRef idx="3">
          <a:schemeClr val="accent4"/>
        </a:effectRef>
        <a:fontRef idx="minor">
          <a:schemeClr val="lt1"/>
        </a:fontRef>
      </xdr:style>
      <xdr:txBody>
        <a:bodyPr vertOverflow="clip" horzOverflow="clip" rtlCol="0" anchor="t"/>
        <a:lstStyle/>
        <a:p>
          <a:pPr algn="l"/>
          <a:endParaRPr lang="en-GB" sz="1100"/>
        </a:p>
      </xdr:txBody>
    </xdr:sp>
    <xdr:clientData/>
  </xdr:twoCellAnchor>
  <xdr:twoCellAnchor editAs="oneCell">
    <xdr:from>
      <xdr:col>8</xdr:col>
      <xdr:colOff>721515</xdr:colOff>
      <xdr:row>6</xdr:row>
      <xdr:rowOff>145256</xdr:rowOff>
    </xdr:from>
    <xdr:to>
      <xdr:col>10</xdr:col>
      <xdr:colOff>557209</xdr:colOff>
      <xdr:row>8</xdr:row>
      <xdr:rowOff>21431</xdr:rowOff>
    </xdr:to>
    <xdr:sp macro="" textlink="">
      <xdr:nvSpPr>
        <xdr:cNvPr id="51" name="TextBox 50"/>
        <xdr:cNvSpPr txBox="1"/>
      </xdr:nvSpPr>
      <xdr:spPr>
        <a:xfrm>
          <a:off x="6888953" y="1312069"/>
          <a:ext cx="1871662"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solidFill>
            </a:rPr>
            <a:t>Please select an</a:t>
          </a:r>
          <a:r>
            <a:rPr lang="en-GB" sz="1100" b="1" baseline="0">
              <a:solidFill>
                <a:schemeClr val="bg1"/>
              </a:solidFill>
            </a:rPr>
            <a:t> area</a:t>
          </a:r>
          <a:endParaRPr lang="en-GB" sz="1100" b="1">
            <a:solidFill>
              <a:schemeClr val="bg1"/>
            </a:solidFill>
          </a:endParaRPr>
        </a:p>
      </xdr:txBody>
    </xdr:sp>
    <xdr:clientData/>
  </xdr:twoCellAnchor>
  <xdr:twoCellAnchor editAs="oneCell">
    <xdr:from>
      <xdr:col>10</xdr:col>
      <xdr:colOff>581025</xdr:colOff>
      <xdr:row>1</xdr:row>
      <xdr:rowOff>19050</xdr:rowOff>
    </xdr:from>
    <xdr:to>
      <xdr:col>12</xdr:col>
      <xdr:colOff>342900</xdr:colOff>
      <xdr:row>2</xdr:row>
      <xdr:rowOff>47625</xdr:rowOff>
    </xdr:to>
    <xdr:sp macro="" textlink="">
      <xdr:nvSpPr>
        <xdr:cNvPr id="52" name="Rectangle 51">
          <a:hlinkClick xmlns:r="http://schemas.openxmlformats.org/officeDocument/2006/relationships" r:id="rId11"/>
        </xdr:cNvPr>
        <xdr:cNvSpPr/>
      </xdr:nvSpPr>
      <xdr:spPr>
        <a:xfrm>
          <a:off x="8791575" y="209550"/>
          <a:ext cx="1857375" cy="247650"/>
        </a:xfrm>
        <a:prstGeom prst="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t"/>
        <a:lstStyle/>
        <a:p>
          <a:pPr algn="ctr"/>
          <a:r>
            <a:rPr lang="en-GB" sz="1100"/>
            <a:t>Go</a:t>
          </a:r>
          <a:r>
            <a:rPr lang="en-GB" sz="1100" baseline="0"/>
            <a:t> to the data</a:t>
          </a:r>
          <a:endParaRPr lang="en-GB" sz="1100"/>
        </a:p>
      </xdr:txBody>
    </xdr:sp>
    <xdr:clientData/>
  </xdr:twoCellAnchor>
  <xdr:twoCellAnchor editAs="oneCell">
    <xdr:from>
      <xdr:col>2</xdr:col>
      <xdr:colOff>171354</xdr:colOff>
      <xdr:row>0</xdr:row>
      <xdr:rowOff>152400</xdr:rowOff>
    </xdr:from>
    <xdr:to>
      <xdr:col>8</xdr:col>
      <xdr:colOff>176</xdr:colOff>
      <xdr:row>2</xdr:row>
      <xdr:rowOff>71301</xdr:rowOff>
    </xdr:to>
    <xdr:sp macro="" textlink="">
      <xdr:nvSpPr>
        <xdr:cNvPr id="53" name="TextBox 52"/>
        <xdr:cNvSpPr txBox="1"/>
      </xdr:nvSpPr>
      <xdr:spPr>
        <a:xfrm>
          <a:off x="380904" y="152400"/>
          <a:ext cx="5791472" cy="3284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400" b="1"/>
            <a:t>Children's Workforce Public Health Profiles : </a:t>
          </a:r>
          <a:r>
            <a:rPr lang="en-GB" sz="1400" b="0"/>
            <a:t>Population</a:t>
          </a:r>
        </a:p>
      </xdr:txBody>
    </xdr:sp>
    <xdr:clientData/>
  </xdr:twoCellAnchor>
  <xdr:twoCellAnchor editAs="oneCell">
    <xdr:from>
      <xdr:col>2</xdr:col>
      <xdr:colOff>444500</xdr:colOff>
      <xdr:row>15</xdr:row>
      <xdr:rowOff>117476</xdr:rowOff>
    </xdr:from>
    <xdr:to>
      <xdr:col>12</xdr:col>
      <xdr:colOff>34925</xdr:colOff>
      <xdr:row>50</xdr:row>
      <xdr:rowOff>171451</xdr:rowOff>
    </xdr:to>
    <xdr:pic>
      <xdr:nvPicPr>
        <xdr:cNvPr id="14" name="Picture 13"/>
        <xdr:cNvPicPr>
          <a:picLocks noChangeAspect="1"/>
        </xdr:cNvPicPr>
      </xdr:nvPicPr>
      <xdr:blipFill rotWithShape="1">
        <a:blip xmlns:r="http://schemas.openxmlformats.org/officeDocument/2006/relationships" r:embed="rId12" cstate="print">
          <a:extLst>
            <a:ext uri="{28A0092B-C50C-407E-A947-70E740481C1C}">
              <a14:useLocalDpi xmlns:a14="http://schemas.microsoft.com/office/drawing/2010/main" val="0"/>
            </a:ext>
          </a:extLst>
        </a:blip>
        <a:srcRect l="1894" t="2945" r="1799" b="2847"/>
        <a:stretch/>
      </xdr:blipFill>
      <xdr:spPr>
        <a:xfrm>
          <a:off x="650875" y="3006726"/>
          <a:ext cx="9655175" cy="6705600"/>
        </a:xfrm>
        <a:prstGeom prst="rect">
          <a:avLst/>
        </a:prstGeom>
      </xdr:spPr>
    </xdr:pic>
    <xdr:clientData/>
  </xdr:twoCellAnchor>
</xdr:wsDr>
</file>

<file path=xl/drawings/drawing4.xml><?xml version="1.0" encoding="utf-8"?>
<c:userShapes xmlns:c="http://schemas.openxmlformats.org/drawingml/2006/chart">
  <cdr:relSizeAnchor xmlns:cdr="http://schemas.openxmlformats.org/drawingml/2006/chartDrawing">
    <cdr:from>
      <cdr:x>0.77557</cdr:x>
      <cdr:y>0.20748</cdr:y>
    </cdr:from>
    <cdr:to>
      <cdr:x>0.81159</cdr:x>
      <cdr:y>0.42857</cdr:y>
    </cdr:to>
    <cdr:sp macro="" textlink="">
      <cdr:nvSpPr>
        <cdr:cNvPr id="3" name="Right Brace 2"/>
        <cdr:cNvSpPr/>
      </cdr:nvSpPr>
      <cdr:spPr>
        <a:xfrm xmlns:a="http://schemas.openxmlformats.org/drawingml/2006/main">
          <a:off x="5946775" y="581024"/>
          <a:ext cx="276225" cy="619125"/>
        </a:xfrm>
        <a:prstGeom xmlns:a="http://schemas.openxmlformats.org/drawingml/2006/main" prst="rightBrace">
          <a:avLst>
            <a:gd name="adj1" fmla="val 66954"/>
            <a:gd name="adj2" fmla="val 50000"/>
          </a:avLst>
        </a:prstGeom>
      </cdr:spPr>
      <cdr:style>
        <a:lnRef xmlns:a="http://schemas.openxmlformats.org/drawingml/2006/main" idx="1">
          <a:schemeClr val="dk1"/>
        </a:lnRef>
        <a:fillRef xmlns:a="http://schemas.openxmlformats.org/drawingml/2006/main" idx="0">
          <a:schemeClr val="dk1"/>
        </a:fillRef>
        <a:effectRef xmlns:a="http://schemas.openxmlformats.org/drawingml/2006/main" idx="0">
          <a:schemeClr val="dk1"/>
        </a:effectRef>
        <a:fontRef xmlns:a="http://schemas.openxmlformats.org/drawingml/2006/main" idx="minor">
          <a:schemeClr val="tx1"/>
        </a:fontRef>
      </cdr:style>
      <cdr:txBody>
        <a:bodyPr xmlns:a="http://schemas.openxmlformats.org/drawingml/2006/main" rot="0" spcFirstLastPara="0" vert="horz" wrap="square" lIns="91440" tIns="45720" rIns="91440" bIns="45720" numCol="1" spcCol="0" rtlCol="0" fromWordArt="0" anchor="t" anchorCtr="0" forceAA="0" compatLnSpc="1">
          <a:prstTxWarp prst="textNoShape">
            <a:avLst/>
          </a:prstTxWarp>
          <a:noAutofit/>
        </a:bodyPr>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pPr algn="l"/>
          <a:endParaRPr lang="en-GB" sz="1100"/>
        </a:p>
      </cdr:txBody>
    </cdr:sp>
  </cdr:relSizeAnchor>
</c:userShapes>
</file>

<file path=xl/drawings/drawing5.xml><?xml version="1.0" encoding="utf-8"?>
<xdr:wsDr xmlns:xdr="http://schemas.openxmlformats.org/drawingml/2006/spreadsheetDrawing" xmlns:a="http://schemas.openxmlformats.org/drawingml/2006/main">
  <xdr:twoCellAnchor editAs="absolute">
    <xdr:from>
      <xdr:col>1</xdr:col>
      <xdr:colOff>0</xdr:colOff>
      <xdr:row>80</xdr:row>
      <xdr:rowOff>114273</xdr:rowOff>
    </xdr:from>
    <xdr:to>
      <xdr:col>14</xdr:col>
      <xdr:colOff>103425</xdr:colOff>
      <xdr:row>82</xdr:row>
      <xdr:rowOff>64267</xdr:rowOff>
    </xdr:to>
    <xdr:grpSp>
      <xdr:nvGrpSpPr>
        <xdr:cNvPr id="2" name="Group 1"/>
        <xdr:cNvGrpSpPr/>
      </xdr:nvGrpSpPr>
      <xdr:grpSpPr>
        <a:xfrm>
          <a:off x="95250" y="16830648"/>
          <a:ext cx="10800000" cy="311944"/>
          <a:chOff x="9524" y="6115049"/>
          <a:chExt cx="10963276" cy="314325"/>
        </a:xfrm>
      </xdr:grpSpPr>
      <xdr:sp macro="" textlink="">
        <xdr:nvSpPr>
          <xdr:cNvPr id="3" name="Round Same Side Corner Rectangle 2"/>
          <xdr:cNvSpPr/>
        </xdr:nvSpPr>
        <xdr:spPr>
          <a:xfrm flipV="1">
            <a:off x="9524" y="6124573"/>
            <a:ext cx="10958850" cy="238125"/>
          </a:xfrm>
          <a:prstGeom prst="round2SameRect">
            <a:avLst/>
          </a:prstGeom>
          <a:ln/>
        </xdr:spPr>
        <xdr:style>
          <a:lnRef idx="0">
            <a:schemeClr val="accent1"/>
          </a:lnRef>
          <a:fillRef idx="3">
            <a:schemeClr val="accent1"/>
          </a:fillRef>
          <a:effectRef idx="3">
            <a:schemeClr val="accent1"/>
          </a:effectRef>
          <a:fontRef idx="minor">
            <a:schemeClr val="lt1"/>
          </a:fontRef>
        </xdr:style>
        <xdr:txBody>
          <a:bodyPr vertOverflow="clip" horzOverflow="clip" rtlCol="0" anchor="t"/>
          <a:lstStyle/>
          <a:p>
            <a:pPr algn="l"/>
            <a:endParaRPr lang="en-GB" sz="1100"/>
          </a:p>
        </xdr:txBody>
      </xdr:sp>
      <xdr:sp macro="" textlink="$R$1">
        <xdr:nvSpPr>
          <xdr:cNvPr id="4" name="TextBox 3"/>
          <xdr:cNvSpPr txBox="1"/>
        </xdr:nvSpPr>
        <xdr:spPr>
          <a:xfrm>
            <a:off x="7541675" y="6115049"/>
            <a:ext cx="3431125"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fld id="{63B1BCF6-4FA2-4300-A41F-12861E9D32B9}" type="TxLink">
              <a:rPr lang="en-US" sz="1200" b="0" i="0" u="none" strike="noStrike">
                <a:solidFill>
                  <a:schemeClr val="bg1"/>
                </a:solidFill>
                <a:latin typeface="Calibri"/>
                <a:ea typeface="Verdana"/>
                <a:cs typeface="Calibri"/>
              </a:rPr>
              <a:pPr algn="r"/>
              <a:t>08:33AM Thursday 05 January 2017</a:t>
            </a:fld>
            <a:endParaRPr lang="en-GB" sz="1200" b="0">
              <a:solidFill>
                <a:schemeClr val="bg1"/>
              </a:solidFill>
            </a:endParaRPr>
          </a:p>
        </xdr:txBody>
      </xdr:sp>
    </xdr:grpSp>
    <xdr:clientData/>
  </xdr:twoCellAnchor>
  <xdr:twoCellAnchor editAs="absolute">
    <xdr:from>
      <xdr:col>1</xdr:col>
      <xdr:colOff>0</xdr:colOff>
      <xdr:row>0</xdr:row>
      <xdr:rowOff>123825</xdr:rowOff>
    </xdr:from>
    <xdr:to>
      <xdr:col>14</xdr:col>
      <xdr:colOff>103425</xdr:colOff>
      <xdr:row>4</xdr:row>
      <xdr:rowOff>9525</xdr:rowOff>
    </xdr:to>
    <xdr:grpSp>
      <xdr:nvGrpSpPr>
        <xdr:cNvPr id="5" name="Group 4"/>
        <xdr:cNvGrpSpPr/>
      </xdr:nvGrpSpPr>
      <xdr:grpSpPr>
        <a:xfrm>
          <a:off x="95250" y="123825"/>
          <a:ext cx="10800000" cy="676275"/>
          <a:chOff x="95250" y="123825"/>
          <a:chExt cx="10803225" cy="666750"/>
        </a:xfrm>
      </xdr:grpSpPr>
      <xdr:sp macro="" textlink="">
        <xdr:nvSpPr>
          <xdr:cNvPr id="6" name="Round Same Side Corner Rectangle 5"/>
          <xdr:cNvSpPr/>
        </xdr:nvSpPr>
        <xdr:spPr>
          <a:xfrm>
            <a:off x="95250" y="123825"/>
            <a:ext cx="10800000" cy="666750"/>
          </a:xfrm>
          <a:prstGeom prst="round2SameRect">
            <a:avLst>
              <a:gd name="adj1" fmla="val 50000"/>
              <a:gd name="adj2" fmla="val 0"/>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lang="en-GB" sz="1000"/>
          </a:p>
        </xdr:txBody>
      </xdr:sp>
      <xdr:sp macro="" textlink="">
        <xdr:nvSpPr>
          <xdr:cNvPr id="7" name="Snip Single Corner Rectangle 6">
            <a:hlinkClick xmlns:r="http://schemas.openxmlformats.org/officeDocument/2006/relationships" r:id="rId1"/>
          </xdr:cNvPr>
          <xdr:cNvSpPr/>
        </xdr:nvSpPr>
        <xdr:spPr>
          <a:xfrm>
            <a:off x="104774" y="514350"/>
            <a:ext cx="1764000" cy="247649"/>
          </a:xfrm>
          <a:prstGeom prst="snip1Rect">
            <a:avLst>
              <a:gd name="adj" fmla="val 50000"/>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b"/>
          <a:lstStyle/>
          <a:p>
            <a:pPr algn="ctr"/>
            <a:r>
              <a:rPr lang="en-GB" sz="1000" b="0"/>
              <a:t>Population</a:t>
            </a:r>
          </a:p>
        </xdr:txBody>
      </xdr:sp>
      <xdr:sp macro="" textlink="">
        <xdr:nvSpPr>
          <xdr:cNvPr id="8" name="Snip Single Corner Rectangle 7"/>
          <xdr:cNvSpPr/>
        </xdr:nvSpPr>
        <xdr:spPr>
          <a:xfrm>
            <a:off x="1910714" y="514350"/>
            <a:ext cx="1764000" cy="247649"/>
          </a:xfrm>
          <a:prstGeom prst="snip1Rect">
            <a:avLst>
              <a:gd name="adj" fmla="val 50000"/>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b"/>
          <a:lstStyle/>
          <a:p>
            <a:pPr algn="ctr"/>
            <a:r>
              <a:rPr lang="en-GB" sz="1100" b="1"/>
              <a:t>Family Structure</a:t>
            </a:r>
          </a:p>
        </xdr:txBody>
      </xdr:sp>
      <xdr:sp macro="" textlink="">
        <xdr:nvSpPr>
          <xdr:cNvPr id="9" name="Snip Single Corner Rectangle 8">
            <a:hlinkClick xmlns:r="http://schemas.openxmlformats.org/officeDocument/2006/relationships" r:id="rId2"/>
          </xdr:cNvPr>
          <xdr:cNvSpPr/>
        </xdr:nvSpPr>
        <xdr:spPr>
          <a:xfrm>
            <a:off x="3716654" y="514350"/>
            <a:ext cx="1764000" cy="247649"/>
          </a:xfrm>
          <a:prstGeom prst="snip1Rect">
            <a:avLst>
              <a:gd name="adj" fmla="val 50000"/>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b"/>
          <a:lstStyle/>
          <a:p>
            <a:pPr algn="ctr"/>
            <a:r>
              <a:rPr lang="en-GB" sz="1000"/>
              <a:t>Health Indicators</a:t>
            </a:r>
          </a:p>
        </xdr:txBody>
      </xdr:sp>
      <xdr:sp macro="" textlink="">
        <xdr:nvSpPr>
          <xdr:cNvPr id="10" name="Snip Single Corner Rectangle 9">
            <a:hlinkClick xmlns:r="http://schemas.openxmlformats.org/officeDocument/2006/relationships" r:id="rId3"/>
          </xdr:cNvPr>
          <xdr:cNvSpPr/>
        </xdr:nvSpPr>
        <xdr:spPr>
          <a:xfrm>
            <a:off x="5522594" y="514350"/>
            <a:ext cx="1764000" cy="247649"/>
          </a:xfrm>
          <a:prstGeom prst="snip1Rect">
            <a:avLst>
              <a:gd name="adj" fmla="val 50000"/>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b"/>
          <a:lstStyle/>
          <a:p>
            <a:pPr algn="ctr"/>
            <a:r>
              <a:rPr lang="en-GB" sz="1000"/>
              <a:t>Births and Early Years</a:t>
            </a:r>
          </a:p>
        </xdr:txBody>
      </xdr:sp>
      <xdr:sp macro="" textlink="">
        <xdr:nvSpPr>
          <xdr:cNvPr id="11" name="Snip Single Corner Rectangle 10">
            <a:hlinkClick xmlns:r="http://schemas.openxmlformats.org/officeDocument/2006/relationships" r:id="rId4"/>
          </xdr:cNvPr>
          <xdr:cNvSpPr/>
        </xdr:nvSpPr>
        <xdr:spPr>
          <a:xfrm>
            <a:off x="7328534" y="514350"/>
            <a:ext cx="1764000" cy="247649"/>
          </a:xfrm>
          <a:prstGeom prst="snip1Rect">
            <a:avLst>
              <a:gd name="adj" fmla="val 50000"/>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b"/>
          <a:lstStyle/>
          <a:p>
            <a:pPr algn="ctr"/>
            <a:r>
              <a:rPr lang="en-GB" sz="1000"/>
              <a:t>Deprivation</a:t>
            </a:r>
          </a:p>
        </xdr:txBody>
      </xdr:sp>
      <xdr:sp macro="" textlink="">
        <xdr:nvSpPr>
          <xdr:cNvPr id="12" name="Snip Single Corner Rectangle 11">
            <a:hlinkClick xmlns:r="http://schemas.openxmlformats.org/officeDocument/2006/relationships" r:id="rId5"/>
          </xdr:cNvPr>
          <xdr:cNvSpPr/>
        </xdr:nvSpPr>
        <xdr:spPr>
          <a:xfrm>
            <a:off x="9134475" y="514350"/>
            <a:ext cx="1764000" cy="247649"/>
          </a:xfrm>
          <a:prstGeom prst="snip1Rect">
            <a:avLst>
              <a:gd name="adj" fmla="val 50000"/>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b"/>
          <a:lstStyle/>
          <a:p>
            <a:pPr algn="ctr"/>
            <a:r>
              <a:rPr lang="en-GB" sz="1000"/>
              <a:t>EYFS</a:t>
            </a:r>
          </a:p>
        </xdr:txBody>
      </xdr:sp>
      <xdr:cxnSp macro="">
        <xdr:nvCxnSpPr>
          <xdr:cNvPr id="13" name="Straight Connector 12"/>
          <xdr:cNvCxnSpPr/>
        </xdr:nvCxnSpPr>
        <xdr:spPr>
          <a:xfrm>
            <a:off x="95250" y="781050"/>
            <a:ext cx="10800000" cy="1"/>
          </a:xfrm>
          <a:prstGeom prst="line">
            <a:avLst/>
          </a:prstGeom>
          <a:ln>
            <a:solidFill>
              <a:schemeClr val="tx2"/>
            </a:solidFill>
          </a:ln>
        </xdr:spPr>
        <xdr:style>
          <a:lnRef idx="2">
            <a:schemeClr val="accent4"/>
          </a:lnRef>
          <a:fillRef idx="0">
            <a:schemeClr val="accent4"/>
          </a:fillRef>
          <a:effectRef idx="1">
            <a:schemeClr val="accent4"/>
          </a:effectRef>
          <a:fontRef idx="minor">
            <a:schemeClr val="tx1"/>
          </a:fontRef>
        </xdr:style>
      </xdr:cxnSp>
      <xdr:sp macro="" textlink="">
        <xdr:nvSpPr>
          <xdr:cNvPr id="14" name="TextBox 13"/>
          <xdr:cNvSpPr txBox="1"/>
        </xdr:nvSpPr>
        <xdr:spPr>
          <a:xfrm>
            <a:off x="381004" y="152400"/>
            <a:ext cx="5735843"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400" b="1"/>
              <a:t>Children's Workforce Public Health Profiles : </a:t>
            </a:r>
            <a:r>
              <a:rPr lang="en-GB" sz="1400" b="0"/>
              <a:t>Family</a:t>
            </a:r>
            <a:r>
              <a:rPr lang="en-GB" sz="1400" b="0" baseline="0"/>
              <a:t> Structure</a:t>
            </a:r>
            <a:endParaRPr lang="en-GB" sz="1400" b="0"/>
          </a:p>
        </xdr:txBody>
      </xdr:sp>
    </xdr:grpSp>
    <xdr:clientData/>
  </xdr:twoCellAnchor>
  <xdr:twoCellAnchor editAs="absolute">
    <xdr:from>
      <xdr:col>2</xdr:col>
      <xdr:colOff>5442</xdr:colOff>
      <xdr:row>9</xdr:row>
      <xdr:rowOff>9525</xdr:rowOff>
    </xdr:from>
    <xdr:to>
      <xdr:col>14</xdr:col>
      <xdr:colOff>1723</xdr:colOff>
      <xdr:row>14</xdr:row>
      <xdr:rowOff>85726</xdr:rowOff>
    </xdr:to>
    <xdr:grpSp>
      <xdr:nvGrpSpPr>
        <xdr:cNvPr id="15" name="Group 14"/>
        <xdr:cNvGrpSpPr/>
      </xdr:nvGrpSpPr>
      <xdr:grpSpPr>
        <a:xfrm>
          <a:off x="214992" y="1752600"/>
          <a:ext cx="10578556" cy="1028701"/>
          <a:chOff x="95249" y="904875"/>
          <a:chExt cx="10800000" cy="1028701"/>
        </a:xfrm>
      </xdr:grpSpPr>
      <xdr:sp macro="" textlink="">
        <xdr:nvSpPr>
          <xdr:cNvPr id="16" name="TextBox 15"/>
          <xdr:cNvSpPr txBox="1"/>
        </xdr:nvSpPr>
        <xdr:spPr>
          <a:xfrm>
            <a:off x="95251" y="1190626"/>
            <a:ext cx="7188292" cy="7429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t>Source:</a:t>
            </a:r>
            <a:r>
              <a:rPr lang="en-GB" sz="1100" b="1" baseline="0"/>
              <a:t> </a:t>
            </a:r>
            <a:r>
              <a:rPr lang="en-GB" sz="1100" b="0" baseline="0"/>
              <a:t>2011 Census</a:t>
            </a:r>
          </a:p>
          <a:p>
            <a:endParaRPr lang="en-GB" sz="400" b="1"/>
          </a:p>
          <a:p>
            <a:r>
              <a:rPr lang="en-GB" sz="1100" b="0"/>
              <a:t>This section provides information from</a:t>
            </a:r>
            <a:r>
              <a:rPr lang="en-GB" sz="1100" b="0" baseline="0"/>
              <a:t> the 2011 Census on the total number of </a:t>
            </a:r>
            <a:r>
              <a:rPr lang="en-GB" sz="1100" b="1" baseline="0"/>
              <a:t>families </a:t>
            </a:r>
            <a:r>
              <a:rPr lang="en-GB" sz="1100" b="0" baseline="0"/>
              <a:t>within an area with a child aged 0 - 4. This section also shows the family size of an area, where the youngest child is aged 0 - 4.</a:t>
            </a:r>
          </a:p>
        </xdr:txBody>
      </xdr:sp>
      <xdr:sp macro="" textlink="">
        <xdr:nvSpPr>
          <xdr:cNvPr id="17" name="Rectangle 16"/>
          <xdr:cNvSpPr/>
        </xdr:nvSpPr>
        <xdr:spPr>
          <a:xfrm>
            <a:off x="95249" y="904875"/>
            <a:ext cx="10800000" cy="285750"/>
          </a:xfrm>
          <a:prstGeom prst="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t"/>
          <a:lstStyle/>
          <a:p>
            <a:pPr algn="l"/>
            <a:r>
              <a:rPr lang="en-GB" sz="1100" b="1"/>
              <a:t>Family Composition</a:t>
            </a:r>
          </a:p>
        </xdr:txBody>
      </xdr:sp>
    </xdr:grpSp>
    <xdr:clientData/>
  </xdr:twoCellAnchor>
  <xdr:twoCellAnchor editAs="absolute">
    <xdr:from>
      <xdr:col>2</xdr:col>
      <xdr:colOff>0</xdr:colOff>
      <xdr:row>28</xdr:row>
      <xdr:rowOff>11899</xdr:rowOff>
    </xdr:from>
    <xdr:to>
      <xdr:col>14</xdr:col>
      <xdr:colOff>11905</xdr:colOff>
      <xdr:row>36</xdr:row>
      <xdr:rowOff>28575</xdr:rowOff>
    </xdr:to>
    <xdr:grpSp>
      <xdr:nvGrpSpPr>
        <xdr:cNvPr id="18" name="Group 17"/>
        <xdr:cNvGrpSpPr/>
      </xdr:nvGrpSpPr>
      <xdr:grpSpPr>
        <a:xfrm>
          <a:off x="209550" y="5707849"/>
          <a:ext cx="10594180" cy="1540676"/>
          <a:chOff x="214313" y="4762500"/>
          <a:chExt cx="10584655" cy="1152516"/>
        </a:xfrm>
      </xdr:grpSpPr>
      <xdr:grpSp>
        <xdr:nvGrpSpPr>
          <xdr:cNvPr id="19" name="Group 18"/>
          <xdr:cNvGrpSpPr/>
        </xdr:nvGrpSpPr>
        <xdr:grpSpPr>
          <a:xfrm>
            <a:off x="214313" y="4762500"/>
            <a:ext cx="10579237" cy="1152516"/>
            <a:chOff x="95249" y="904875"/>
            <a:chExt cx="10800000" cy="1152516"/>
          </a:xfrm>
        </xdr:grpSpPr>
        <xdr:sp macro="" textlink="">
          <xdr:nvSpPr>
            <xdr:cNvPr id="20" name="TextBox 19"/>
            <xdr:cNvSpPr txBox="1"/>
          </xdr:nvSpPr>
          <xdr:spPr>
            <a:xfrm>
              <a:off x="95250" y="1190626"/>
              <a:ext cx="7305695" cy="86676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t>Source:</a:t>
              </a:r>
              <a:r>
                <a:rPr lang="en-GB" sz="1100" b="1" baseline="0"/>
                <a:t> </a:t>
              </a:r>
              <a:r>
                <a:rPr lang="en-GB" sz="1100" b="0" baseline="0"/>
                <a:t>2011 Census</a:t>
              </a:r>
            </a:p>
            <a:p>
              <a:endParaRPr lang="en-GB" sz="400" b="1"/>
            </a:p>
            <a:p>
              <a:r>
                <a:rPr lang="en-GB" sz="1100" b="0"/>
                <a:t>This</a:t>
              </a:r>
              <a:r>
                <a:rPr lang="en-GB" sz="1100" b="0" baseline="0"/>
                <a:t> information is taken from the 2011 Census and provides  the total number of households with dependent children under the age of 5 in West Sussex.  Households consisting of one family are classified according to the type of family (married, same-sex civil partnership, or cohabiting couple family, or lone parent family) and by the number of dependent children.</a:t>
              </a:r>
              <a:endParaRPr lang="en-GB" sz="1100" b="0"/>
            </a:p>
          </xdr:txBody>
        </xdr:sp>
        <xdr:sp macro="" textlink="">
          <xdr:nvSpPr>
            <xdr:cNvPr id="21" name="Rectangle 20"/>
            <xdr:cNvSpPr/>
          </xdr:nvSpPr>
          <xdr:spPr>
            <a:xfrm>
              <a:off x="95249" y="904875"/>
              <a:ext cx="10800000" cy="212748"/>
            </a:xfrm>
            <a:prstGeom prst="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t"/>
            <a:lstStyle/>
            <a:p>
              <a:pPr algn="l"/>
              <a:r>
                <a:rPr lang="en-GB" sz="1100" b="1"/>
                <a:t>Household Composition</a:t>
              </a:r>
            </a:p>
          </xdr:txBody>
        </xdr:sp>
      </xdr:grpSp>
      <xdr:sp macro="" textlink="">
        <xdr:nvSpPr>
          <xdr:cNvPr id="25" name="TextBox 24">
            <a:hlinkClick xmlns:r="http://schemas.openxmlformats.org/officeDocument/2006/relationships" r:id="rId6"/>
          </xdr:cNvPr>
          <xdr:cNvSpPr txBox="1"/>
        </xdr:nvSpPr>
        <xdr:spPr>
          <a:xfrm>
            <a:off x="9477374" y="4762500"/>
            <a:ext cx="1321594"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100" u="sng">
                <a:solidFill>
                  <a:schemeClr val="bg1"/>
                </a:solidFill>
              </a:rPr>
              <a:t>back to top</a:t>
            </a:r>
          </a:p>
        </xdr:txBody>
      </xdr:sp>
    </xdr:grpSp>
    <xdr:clientData/>
  </xdr:twoCellAnchor>
  <xdr:twoCellAnchor editAs="absolute">
    <xdr:from>
      <xdr:col>2</xdr:col>
      <xdr:colOff>2</xdr:colOff>
      <xdr:row>47</xdr:row>
      <xdr:rowOff>133355</xdr:rowOff>
    </xdr:from>
    <xdr:to>
      <xdr:col>14</xdr:col>
      <xdr:colOff>11907</xdr:colOff>
      <xdr:row>53</xdr:row>
      <xdr:rowOff>19052</xdr:rowOff>
    </xdr:to>
    <xdr:grpSp>
      <xdr:nvGrpSpPr>
        <xdr:cNvPr id="28" name="Group 27"/>
        <xdr:cNvGrpSpPr/>
      </xdr:nvGrpSpPr>
      <xdr:grpSpPr>
        <a:xfrm>
          <a:off x="209552" y="9734555"/>
          <a:ext cx="10594180" cy="981072"/>
          <a:chOff x="214313" y="4762500"/>
          <a:chExt cx="10584655" cy="958107"/>
        </a:xfrm>
      </xdr:grpSpPr>
      <xdr:grpSp>
        <xdr:nvGrpSpPr>
          <xdr:cNvPr id="29" name="Group 28"/>
          <xdr:cNvGrpSpPr/>
        </xdr:nvGrpSpPr>
        <xdr:grpSpPr>
          <a:xfrm>
            <a:off x="214313" y="4762500"/>
            <a:ext cx="10579237" cy="958107"/>
            <a:chOff x="95249" y="904875"/>
            <a:chExt cx="10800000" cy="958107"/>
          </a:xfrm>
        </xdr:grpSpPr>
        <xdr:sp macro="" textlink="">
          <xdr:nvSpPr>
            <xdr:cNvPr id="31" name="TextBox 30"/>
            <xdr:cNvSpPr txBox="1"/>
          </xdr:nvSpPr>
          <xdr:spPr>
            <a:xfrm>
              <a:off x="95250" y="1190625"/>
              <a:ext cx="10795148" cy="67235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t>Source:</a:t>
              </a:r>
              <a:r>
                <a:rPr lang="en-GB" sz="1100" b="1" baseline="0"/>
                <a:t> </a:t>
              </a:r>
              <a:r>
                <a:rPr lang="en-GB" sz="1100" b="0" baseline="0"/>
                <a:t>2011 Census</a:t>
              </a:r>
            </a:p>
            <a:p>
              <a:endParaRPr lang="en-GB" sz="400" b="0" baseline="0"/>
            </a:p>
            <a:p>
              <a:r>
                <a:rPr lang="en-GB" sz="1100" b="0" baseline="0"/>
                <a:t>This data relates to all lone parent families not just those with children under the age of 5.</a:t>
              </a:r>
              <a:endParaRPr lang="en-GB" sz="400" b="1"/>
            </a:p>
          </xdr:txBody>
        </xdr:sp>
        <xdr:sp macro="" textlink="">
          <xdr:nvSpPr>
            <xdr:cNvPr id="32" name="Rectangle 31"/>
            <xdr:cNvSpPr/>
          </xdr:nvSpPr>
          <xdr:spPr>
            <a:xfrm>
              <a:off x="95249" y="904875"/>
              <a:ext cx="10800000" cy="285750"/>
            </a:xfrm>
            <a:prstGeom prst="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t"/>
            <a:lstStyle/>
            <a:p>
              <a:pPr algn="l"/>
              <a:r>
                <a:rPr lang="en-GB" sz="1100" b="1"/>
                <a:t>Lone Parent Families</a:t>
              </a:r>
            </a:p>
          </xdr:txBody>
        </xdr:sp>
      </xdr:grpSp>
      <xdr:sp macro="" textlink="">
        <xdr:nvSpPr>
          <xdr:cNvPr id="30" name="TextBox 29">
            <a:hlinkClick xmlns:r="http://schemas.openxmlformats.org/officeDocument/2006/relationships" r:id="rId6"/>
          </xdr:cNvPr>
          <xdr:cNvSpPr txBox="1"/>
        </xdr:nvSpPr>
        <xdr:spPr>
          <a:xfrm>
            <a:off x="9477374" y="4762500"/>
            <a:ext cx="1321594"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100" u="sng">
                <a:solidFill>
                  <a:schemeClr val="bg1"/>
                </a:solidFill>
              </a:rPr>
              <a:t>back to top</a:t>
            </a:r>
          </a:p>
        </xdr:txBody>
      </xdr:sp>
    </xdr:grpSp>
    <xdr:clientData/>
  </xdr:twoCellAnchor>
  <xdr:twoCellAnchor editAs="absolute">
    <xdr:from>
      <xdr:col>2</xdr:col>
      <xdr:colOff>3174</xdr:colOff>
      <xdr:row>62</xdr:row>
      <xdr:rowOff>150019</xdr:rowOff>
    </xdr:from>
    <xdr:to>
      <xdr:col>14</xdr:col>
      <xdr:colOff>6486</xdr:colOff>
      <xdr:row>64</xdr:row>
      <xdr:rowOff>59531</xdr:rowOff>
    </xdr:to>
    <xdr:sp macro="" textlink="">
      <xdr:nvSpPr>
        <xdr:cNvPr id="33" name="Rectangle 32"/>
        <xdr:cNvSpPr/>
      </xdr:nvSpPr>
      <xdr:spPr>
        <a:xfrm>
          <a:off x="209549" y="12065794"/>
          <a:ext cx="10588762" cy="290512"/>
        </a:xfrm>
        <a:prstGeom prst="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t"/>
        <a:lstStyle/>
        <a:p>
          <a:pPr algn="l"/>
          <a:r>
            <a:rPr lang="en-GB" sz="1100" b="1"/>
            <a:t>Lone Parent Families on Low</a:t>
          </a:r>
          <a:r>
            <a:rPr lang="en-GB" sz="1100" b="1" baseline="0"/>
            <a:t> Income</a:t>
          </a:r>
          <a:endParaRPr lang="en-GB" sz="1100" b="1"/>
        </a:p>
      </xdr:txBody>
    </xdr:sp>
    <xdr:clientData/>
  </xdr:twoCellAnchor>
  <xdr:twoCellAnchor editAs="absolute">
    <xdr:from>
      <xdr:col>11</xdr:col>
      <xdr:colOff>154784</xdr:colOff>
      <xdr:row>62</xdr:row>
      <xdr:rowOff>161925</xdr:rowOff>
    </xdr:from>
    <xdr:to>
      <xdr:col>14</xdr:col>
      <xdr:colOff>11909</xdr:colOff>
      <xdr:row>64</xdr:row>
      <xdr:rowOff>71437</xdr:rowOff>
    </xdr:to>
    <xdr:sp macro="" textlink="">
      <xdr:nvSpPr>
        <xdr:cNvPr id="35" name="TextBox 34">
          <a:hlinkClick xmlns:r="http://schemas.openxmlformats.org/officeDocument/2006/relationships" r:id="rId6"/>
        </xdr:cNvPr>
        <xdr:cNvSpPr txBox="1"/>
      </xdr:nvSpPr>
      <xdr:spPr>
        <a:xfrm>
          <a:off x="9479759" y="12077700"/>
          <a:ext cx="1323975" cy="2905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100" u="sng">
              <a:solidFill>
                <a:schemeClr val="bg1"/>
              </a:solidFill>
            </a:rPr>
            <a:t>back to top</a:t>
          </a:r>
        </a:p>
      </xdr:txBody>
    </xdr:sp>
    <xdr:clientData/>
  </xdr:twoCellAnchor>
  <xdr:twoCellAnchor editAs="absolute">
    <xdr:from>
      <xdr:col>9</xdr:col>
      <xdr:colOff>40483</xdr:colOff>
      <xdr:row>13</xdr:row>
      <xdr:rowOff>73819</xdr:rowOff>
    </xdr:from>
    <xdr:to>
      <xdr:col>13</xdr:col>
      <xdr:colOff>76199</xdr:colOff>
      <xdr:row>25</xdr:row>
      <xdr:rowOff>169069</xdr:rowOff>
    </xdr:to>
    <xdr:graphicFrame macro="">
      <xdr:nvGraphicFramePr>
        <xdr:cNvPr id="26" name="Chart 2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absolute">
    <xdr:from>
      <xdr:col>9</xdr:col>
      <xdr:colOff>547688</xdr:colOff>
      <xdr:row>11</xdr:row>
      <xdr:rowOff>23821</xdr:rowOff>
    </xdr:from>
    <xdr:to>
      <xdr:col>12</xdr:col>
      <xdr:colOff>285750</xdr:colOff>
      <xdr:row>13</xdr:row>
      <xdr:rowOff>107156</xdr:rowOff>
    </xdr:to>
    <xdr:sp macro="" textlink="">
      <xdr:nvSpPr>
        <xdr:cNvPr id="41" name="TextBox 40"/>
        <xdr:cNvSpPr txBox="1"/>
      </xdr:nvSpPr>
      <xdr:spPr>
        <a:xfrm>
          <a:off x="7798594" y="1381134"/>
          <a:ext cx="2786062" cy="4643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100" b="1"/>
            <a:t>The</a:t>
          </a:r>
          <a:r>
            <a:rPr lang="en-GB" sz="1100" b="1" baseline="0"/>
            <a:t> % of families with a child under 5 by family size</a:t>
          </a:r>
          <a:endParaRPr lang="en-GB" sz="1100" b="1"/>
        </a:p>
      </xdr:txBody>
    </xdr:sp>
    <xdr:clientData/>
  </xdr:twoCellAnchor>
  <xdr:twoCellAnchor editAs="absolute">
    <xdr:from>
      <xdr:col>9</xdr:col>
      <xdr:colOff>57150</xdr:colOff>
      <xdr:row>32</xdr:row>
      <xdr:rowOff>114300</xdr:rowOff>
    </xdr:from>
    <xdr:to>
      <xdr:col>13</xdr:col>
      <xdr:colOff>85725</xdr:colOff>
      <xdr:row>45</xdr:row>
      <xdr:rowOff>57150</xdr:rowOff>
    </xdr:to>
    <xdr:graphicFrame macro="">
      <xdr:nvGraphicFramePr>
        <xdr:cNvPr id="22" name="Chart 2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absolute">
    <xdr:from>
      <xdr:col>9</xdr:col>
      <xdr:colOff>483394</xdr:colOff>
      <xdr:row>30</xdr:row>
      <xdr:rowOff>28584</xdr:rowOff>
    </xdr:from>
    <xdr:to>
      <xdr:col>12</xdr:col>
      <xdr:colOff>221456</xdr:colOff>
      <xdr:row>32</xdr:row>
      <xdr:rowOff>111919</xdr:rowOff>
    </xdr:to>
    <xdr:sp macro="" textlink="">
      <xdr:nvSpPr>
        <xdr:cNvPr id="34" name="TextBox 33"/>
        <xdr:cNvSpPr txBox="1"/>
      </xdr:nvSpPr>
      <xdr:spPr>
        <a:xfrm>
          <a:off x="7741444" y="5343534"/>
          <a:ext cx="2786062" cy="4643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100" b="1"/>
            <a:t>The</a:t>
          </a:r>
          <a:r>
            <a:rPr lang="en-GB" sz="1100" b="1" baseline="0"/>
            <a:t> % of couple/non-couple households with a child under 5</a:t>
          </a:r>
        </a:p>
      </xdr:txBody>
    </xdr:sp>
    <xdr:clientData/>
  </xdr:twoCellAnchor>
  <mc:AlternateContent xmlns:mc="http://schemas.openxmlformats.org/markup-compatibility/2006">
    <mc:Choice xmlns:a14="http://schemas.microsoft.com/office/drawing/2010/main" Requires="a14">
      <xdr:twoCellAnchor editAs="absolute">
        <xdr:from>
          <xdr:col>4</xdr:col>
          <xdr:colOff>914400</xdr:colOff>
          <xdr:row>4</xdr:row>
          <xdr:rowOff>180975</xdr:rowOff>
        </xdr:from>
        <xdr:to>
          <xdr:col>7</xdr:col>
          <xdr:colOff>828675</xdr:colOff>
          <xdr:row>6</xdr:row>
          <xdr:rowOff>66675</xdr:rowOff>
        </xdr:to>
        <xdr:sp macro="" textlink="">
          <xdr:nvSpPr>
            <xdr:cNvPr id="4098" name="Drop Down 2" hidden="1">
              <a:extLst>
                <a:ext uri="{63B3BB69-23CF-44E3-9099-C40C66FF867C}">
                  <a14:compatExt spid="_x0000_s409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absolute">
        <xdr:from>
          <xdr:col>4</xdr:col>
          <xdr:colOff>914400</xdr:colOff>
          <xdr:row>6</xdr:row>
          <xdr:rowOff>161925</xdr:rowOff>
        </xdr:from>
        <xdr:to>
          <xdr:col>7</xdr:col>
          <xdr:colOff>828675</xdr:colOff>
          <xdr:row>8</xdr:row>
          <xdr:rowOff>47625</xdr:rowOff>
        </xdr:to>
        <xdr:sp macro="" textlink="">
          <xdr:nvSpPr>
            <xdr:cNvPr id="4099" name="Drop Down 3" hidden="1">
              <a:extLst>
                <a:ext uri="{63B3BB69-23CF-44E3-9099-C40C66FF867C}">
                  <a14:compatExt spid="_x0000_s4099"/>
                </a:ext>
              </a:extLst>
            </xdr:cNvPr>
            <xdr:cNvSpPr/>
          </xdr:nvSpPr>
          <xdr:spPr>
            <a:xfrm>
              <a:off x="0" y="0"/>
              <a:ext cx="0" cy="0"/>
            </a:xfrm>
            <a:prstGeom prst="rect">
              <a:avLst/>
            </a:prstGeom>
          </xdr:spPr>
        </xdr:sp>
        <xdr:clientData/>
      </xdr:twoCellAnchor>
    </mc:Choice>
    <mc:Fallback/>
  </mc:AlternateContent>
  <xdr:twoCellAnchor editAs="absolute">
    <xdr:from>
      <xdr:col>8</xdr:col>
      <xdr:colOff>171451</xdr:colOff>
      <xdr:row>4</xdr:row>
      <xdr:rowOff>178594</xdr:rowOff>
    </xdr:from>
    <xdr:to>
      <xdr:col>8</xdr:col>
      <xdr:colOff>719139</xdr:colOff>
      <xdr:row>6</xdr:row>
      <xdr:rowOff>111919</xdr:rowOff>
    </xdr:to>
    <xdr:sp macro="" textlink="">
      <xdr:nvSpPr>
        <xdr:cNvPr id="37" name="Left Arrow 36"/>
        <xdr:cNvSpPr/>
      </xdr:nvSpPr>
      <xdr:spPr>
        <a:xfrm>
          <a:off x="6338889" y="964407"/>
          <a:ext cx="547688" cy="314325"/>
        </a:xfrm>
        <a:prstGeom prst="leftArrow">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t"/>
        <a:lstStyle/>
        <a:p>
          <a:pPr algn="l"/>
          <a:endParaRPr lang="en-GB" sz="1100"/>
        </a:p>
      </xdr:txBody>
    </xdr:sp>
    <xdr:clientData/>
  </xdr:twoCellAnchor>
  <xdr:twoCellAnchor editAs="absolute">
    <xdr:from>
      <xdr:col>8</xdr:col>
      <xdr:colOff>728663</xdr:colOff>
      <xdr:row>5</xdr:row>
      <xdr:rowOff>16670</xdr:rowOff>
    </xdr:from>
    <xdr:to>
      <xdr:col>13</xdr:col>
      <xdr:colOff>88106</xdr:colOff>
      <xdr:row>6</xdr:row>
      <xdr:rowOff>83344</xdr:rowOff>
    </xdr:to>
    <xdr:sp macro="" textlink="">
      <xdr:nvSpPr>
        <xdr:cNvPr id="38" name="TextBox 37"/>
        <xdr:cNvSpPr txBox="1"/>
      </xdr:nvSpPr>
      <xdr:spPr>
        <a:xfrm>
          <a:off x="6896101" y="992983"/>
          <a:ext cx="3848099" cy="2571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solidFill>
            </a:rPr>
            <a:t>Your current</a:t>
          </a:r>
          <a:r>
            <a:rPr lang="en-GB" sz="1100" b="1" baseline="0">
              <a:solidFill>
                <a:schemeClr val="bg1"/>
              </a:solidFill>
            </a:rPr>
            <a:t> selection</a:t>
          </a:r>
          <a:endParaRPr lang="en-GB" sz="1100" b="1">
            <a:solidFill>
              <a:schemeClr val="bg1"/>
            </a:solidFill>
          </a:endParaRPr>
        </a:p>
      </xdr:txBody>
    </xdr:sp>
    <xdr:clientData/>
  </xdr:twoCellAnchor>
  <xdr:twoCellAnchor editAs="absolute">
    <xdr:from>
      <xdr:col>8</xdr:col>
      <xdr:colOff>169070</xdr:colOff>
      <xdr:row>6</xdr:row>
      <xdr:rowOff>116681</xdr:rowOff>
    </xdr:from>
    <xdr:to>
      <xdr:col>8</xdr:col>
      <xdr:colOff>716758</xdr:colOff>
      <xdr:row>8</xdr:row>
      <xdr:rowOff>50006</xdr:rowOff>
    </xdr:to>
    <xdr:sp macro="" textlink="">
      <xdr:nvSpPr>
        <xdr:cNvPr id="39" name="Left Arrow 38"/>
        <xdr:cNvSpPr/>
      </xdr:nvSpPr>
      <xdr:spPr>
        <a:xfrm>
          <a:off x="6336508" y="1283494"/>
          <a:ext cx="547688" cy="314325"/>
        </a:xfrm>
        <a:prstGeom prst="leftArrow">
          <a:avLst/>
        </a:prstGeom>
      </xdr:spPr>
      <xdr:style>
        <a:lnRef idx="0">
          <a:schemeClr val="accent4"/>
        </a:lnRef>
        <a:fillRef idx="3">
          <a:schemeClr val="accent4"/>
        </a:fillRef>
        <a:effectRef idx="3">
          <a:schemeClr val="accent4"/>
        </a:effectRef>
        <a:fontRef idx="minor">
          <a:schemeClr val="lt1"/>
        </a:fontRef>
      </xdr:style>
      <xdr:txBody>
        <a:bodyPr vertOverflow="clip" horzOverflow="clip" rtlCol="0" anchor="t"/>
        <a:lstStyle/>
        <a:p>
          <a:pPr algn="l"/>
          <a:endParaRPr lang="en-GB" sz="1100"/>
        </a:p>
      </xdr:txBody>
    </xdr:sp>
    <xdr:clientData/>
  </xdr:twoCellAnchor>
  <xdr:twoCellAnchor editAs="absolute">
    <xdr:from>
      <xdr:col>8</xdr:col>
      <xdr:colOff>726283</xdr:colOff>
      <xdr:row>6</xdr:row>
      <xdr:rowOff>145256</xdr:rowOff>
    </xdr:from>
    <xdr:to>
      <xdr:col>10</xdr:col>
      <xdr:colOff>561977</xdr:colOff>
      <xdr:row>8</xdr:row>
      <xdr:rowOff>21431</xdr:rowOff>
    </xdr:to>
    <xdr:sp macro="" textlink="">
      <xdr:nvSpPr>
        <xdr:cNvPr id="40" name="TextBox 39"/>
        <xdr:cNvSpPr txBox="1"/>
      </xdr:nvSpPr>
      <xdr:spPr>
        <a:xfrm>
          <a:off x="6893721" y="1312069"/>
          <a:ext cx="1871662"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solidFill>
            </a:rPr>
            <a:t>Your current selection</a:t>
          </a:r>
        </a:p>
      </xdr:txBody>
    </xdr:sp>
    <xdr:clientData/>
  </xdr:twoCellAnchor>
  <xdr:twoCellAnchor editAs="absolute">
    <xdr:from>
      <xdr:col>9</xdr:col>
      <xdr:colOff>38099</xdr:colOff>
      <xdr:row>66</xdr:row>
      <xdr:rowOff>247650</xdr:rowOff>
    </xdr:from>
    <xdr:to>
      <xdr:col>13</xdr:col>
      <xdr:colOff>95249</xdr:colOff>
      <xdr:row>78</xdr:row>
      <xdr:rowOff>76200</xdr:rowOff>
    </xdr:to>
    <xdr:graphicFrame macro="">
      <xdr:nvGraphicFramePr>
        <xdr:cNvPr id="24" name="Chart 2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absolute">
    <xdr:from>
      <xdr:col>10</xdr:col>
      <xdr:colOff>581025</xdr:colOff>
      <xdr:row>1</xdr:row>
      <xdr:rowOff>19050</xdr:rowOff>
    </xdr:from>
    <xdr:to>
      <xdr:col>12</xdr:col>
      <xdr:colOff>342900</xdr:colOff>
      <xdr:row>2</xdr:row>
      <xdr:rowOff>47625</xdr:rowOff>
    </xdr:to>
    <xdr:sp macro="" textlink="">
      <xdr:nvSpPr>
        <xdr:cNvPr id="43" name="Rectangle 42">
          <a:hlinkClick xmlns:r="http://schemas.openxmlformats.org/officeDocument/2006/relationships" r:id="rId10"/>
        </xdr:cNvPr>
        <xdr:cNvSpPr/>
      </xdr:nvSpPr>
      <xdr:spPr>
        <a:xfrm>
          <a:off x="8791575" y="209550"/>
          <a:ext cx="1857375" cy="247650"/>
        </a:xfrm>
        <a:prstGeom prst="rect">
          <a:avLst/>
        </a:prstGeom>
      </xdr:spPr>
      <xdr:style>
        <a:lnRef idx="0">
          <a:schemeClr val="accent5"/>
        </a:lnRef>
        <a:fillRef idx="3">
          <a:schemeClr val="accent5"/>
        </a:fillRef>
        <a:effectRef idx="3">
          <a:schemeClr val="accent5"/>
        </a:effectRef>
        <a:fontRef idx="minor">
          <a:schemeClr val="lt1"/>
        </a:fontRef>
      </xdr:style>
      <xdr:txBody>
        <a:bodyPr vertOverflow="clip" horzOverflow="clip" rtlCol="0" anchor="t"/>
        <a:lstStyle/>
        <a:p>
          <a:pPr algn="ctr"/>
          <a:r>
            <a:rPr lang="en-GB" sz="1100"/>
            <a:t>Go</a:t>
          </a:r>
          <a:r>
            <a:rPr lang="en-GB" sz="1100" baseline="0"/>
            <a:t> to the data</a:t>
          </a:r>
          <a:endParaRPr lang="en-GB" sz="1100"/>
        </a:p>
      </xdr:txBody>
    </xdr:sp>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0</xdr:colOff>
      <xdr:row>961</xdr:row>
      <xdr:rowOff>165294</xdr:rowOff>
    </xdr:from>
    <xdr:to>
      <xdr:col>23</xdr:col>
      <xdr:colOff>1809</xdr:colOff>
      <xdr:row>963</xdr:row>
      <xdr:rowOff>106823</xdr:rowOff>
    </xdr:to>
    <xdr:grpSp>
      <xdr:nvGrpSpPr>
        <xdr:cNvPr id="2" name="Group 1"/>
        <xdr:cNvGrpSpPr/>
      </xdr:nvGrpSpPr>
      <xdr:grpSpPr>
        <a:xfrm>
          <a:off x="95250" y="202581069"/>
          <a:ext cx="10812684" cy="313004"/>
          <a:chOff x="9524" y="6115049"/>
          <a:chExt cx="10963277" cy="314325"/>
        </a:xfrm>
      </xdr:grpSpPr>
      <xdr:sp macro="" textlink="">
        <xdr:nvSpPr>
          <xdr:cNvPr id="3" name="Round Same Side Corner Rectangle 2"/>
          <xdr:cNvSpPr/>
        </xdr:nvSpPr>
        <xdr:spPr>
          <a:xfrm flipV="1">
            <a:off x="9524" y="6124573"/>
            <a:ext cx="10958850" cy="238125"/>
          </a:xfrm>
          <a:prstGeom prst="round2SameRect">
            <a:avLst/>
          </a:prstGeom>
          <a:ln/>
        </xdr:spPr>
        <xdr:style>
          <a:lnRef idx="0">
            <a:schemeClr val="accent1"/>
          </a:lnRef>
          <a:fillRef idx="3">
            <a:schemeClr val="accent1"/>
          </a:fillRef>
          <a:effectRef idx="3">
            <a:schemeClr val="accent1"/>
          </a:effectRef>
          <a:fontRef idx="minor">
            <a:schemeClr val="lt1"/>
          </a:fontRef>
        </xdr:style>
        <xdr:txBody>
          <a:bodyPr vertOverflow="clip" horzOverflow="clip" rtlCol="0" anchor="t"/>
          <a:lstStyle/>
          <a:p>
            <a:pPr algn="l"/>
            <a:endParaRPr lang="en-GB" sz="1100"/>
          </a:p>
        </xdr:txBody>
      </xdr:sp>
      <xdr:sp macro="" textlink="$R$1">
        <xdr:nvSpPr>
          <xdr:cNvPr id="4" name="TextBox 3"/>
          <xdr:cNvSpPr txBox="1"/>
        </xdr:nvSpPr>
        <xdr:spPr>
          <a:xfrm>
            <a:off x="7648733" y="6115049"/>
            <a:ext cx="3324068"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fld id="{63B1BCF6-4FA2-4300-A41F-12861E9D32B9}" type="TxLink">
              <a:rPr lang="en-US" sz="1200" b="0" i="0" u="none" strike="noStrike">
                <a:solidFill>
                  <a:schemeClr val="bg1"/>
                </a:solidFill>
                <a:latin typeface="Calibri"/>
                <a:ea typeface="Verdana"/>
                <a:cs typeface="Calibri"/>
              </a:rPr>
              <a:pPr algn="r"/>
              <a:t>08:33AM Thursday 05 January 2017</a:t>
            </a:fld>
            <a:endParaRPr lang="en-GB" sz="1200" b="0">
              <a:solidFill>
                <a:schemeClr val="bg1"/>
              </a:solidFill>
            </a:endParaRPr>
          </a:p>
        </xdr:txBody>
      </xdr:sp>
    </xdr:grpSp>
    <xdr:clientData/>
  </xdr:twoCellAnchor>
  <xdr:twoCellAnchor editAs="oneCell">
    <xdr:from>
      <xdr:col>1</xdr:col>
      <xdr:colOff>0</xdr:colOff>
      <xdr:row>0</xdr:row>
      <xdr:rowOff>123825</xdr:rowOff>
    </xdr:from>
    <xdr:to>
      <xdr:col>22</xdr:col>
      <xdr:colOff>93900</xdr:colOff>
      <xdr:row>4</xdr:row>
      <xdr:rowOff>9525</xdr:rowOff>
    </xdr:to>
    <xdr:grpSp>
      <xdr:nvGrpSpPr>
        <xdr:cNvPr id="5" name="Group 4"/>
        <xdr:cNvGrpSpPr/>
      </xdr:nvGrpSpPr>
      <xdr:grpSpPr>
        <a:xfrm>
          <a:off x="95250" y="123825"/>
          <a:ext cx="10800000" cy="676275"/>
          <a:chOff x="95250" y="123825"/>
          <a:chExt cx="10803225" cy="666750"/>
        </a:xfrm>
      </xdr:grpSpPr>
      <xdr:sp macro="" textlink="">
        <xdr:nvSpPr>
          <xdr:cNvPr id="6" name="Round Same Side Corner Rectangle 5"/>
          <xdr:cNvSpPr/>
        </xdr:nvSpPr>
        <xdr:spPr>
          <a:xfrm>
            <a:off x="95250" y="123825"/>
            <a:ext cx="10800000" cy="666750"/>
          </a:xfrm>
          <a:prstGeom prst="round2SameRect">
            <a:avLst>
              <a:gd name="adj1" fmla="val 50000"/>
              <a:gd name="adj2" fmla="val 0"/>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lang="en-GB" sz="1000"/>
          </a:p>
        </xdr:txBody>
      </xdr:sp>
      <xdr:sp macro="" textlink="">
        <xdr:nvSpPr>
          <xdr:cNvPr id="7" name="Snip Single Corner Rectangle 6">
            <a:hlinkClick xmlns:r="http://schemas.openxmlformats.org/officeDocument/2006/relationships" r:id="rId1"/>
          </xdr:cNvPr>
          <xdr:cNvSpPr/>
        </xdr:nvSpPr>
        <xdr:spPr>
          <a:xfrm>
            <a:off x="104774" y="514350"/>
            <a:ext cx="1764000" cy="247649"/>
          </a:xfrm>
          <a:prstGeom prst="snip1Rect">
            <a:avLst>
              <a:gd name="adj" fmla="val 50000"/>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b"/>
          <a:lstStyle/>
          <a:p>
            <a:pPr algn="ctr"/>
            <a:r>
              <a:rPr lang="en-GB" sz="1000" b="0"/>
              <a:t>Population</a:t>
            </a:r>
          </a:p>
        </xdr:txBody>
      </xdr:sp>
      <xdr:sp macro="" textlink="">
        <xdr:nvSpPr>
          <xdr:cNvPr id="8" name="Snip Single Corner Rectangle 7">
            <a:hlinkClick xmlns:r="http://schemas.openxmlformats.org/officeDocument/2006/relationships" r:id="rId2"/>
          </xdr:cNvPr>
          <xdr:cNvSpPr/>
        </xdr:nvSpPr>
        <xdr:spPr>
          <a:xfrm>
            <a:off x="1910714" y="514350"/>
            <a:ext cx="1764000" cy="247649"/>
          </a:xfrm>
          <a:prstGeom prst="snip1Rect">
            <a:avLst>
              <a:gd name="adj" fmla="val 50000"/>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b"/>
          <a:lstStyle/>
          <a:p>
            <a:pPr algn="ctr"/>
            <a:r>
              <a:rPr lang="en-GB" sz="1000"/>
              <a:t>Family Structure</a:t>
            </a:r>
          </a:p>
        </xdr:txBody>
      </xdr:sp>
      <xdr:sp macro="" textlink="">
        <xdr:nvSpPr>
          <xdr:cNvPr id="9" name="Snip Single Corner Rectangle 8"/>
          <xdr:cNvSpPr/>
        </xdr:nvSpPr>
        <xdr:spPr>
          <a:xfrm>
            <a:off x="3716654" y="514350"/>
            <a:ext cx="1764000" cy="247649"/>
          </a:xfrm>
          <a:prstGeom prst="snip1Rect">
            <a:avLst>
              <a:gd name="adj" fmla="val 50000"/>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b"/>
          <a:lstStyle/>
          <a:p>
            <a:pPr algn="ctr"/>
            <a:r>
              <a:rPr lang="en-GB" sz="1100" b="1"/>
              <a:t>Health Indicators</a:t>
            </a:r>
          </a:p>
        </xdr:txBody>
      </xdr:sp>
      <xdr:sp macro="" textlink="">
        <xdr:nvSpPr>
          <xdr:cNvPr id="10" name="Snip Single Corner Rectangle 9">
            <a:hlinkClick xmlns:r="http://schemas.openxmlformats.org/officeDocument/2006/relationships" r:id="rId3"/>
          </xdr:cNvPr>
          <xdr:cNvSpPr/>
        </xdr:nvSpPr>
        <xdr:spPr>
          <a:xfrm>
            <a:off x="5522594" y="514350"/>
            <a:ext cx="1764000" cy="247649"/>
          </a:xfrm>
          <a:prstGeom prst="snip1Rect">
            <a:avLst>
              <a:gd name="adj" fmla="val 50000"/>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b"/>
          <a:lstStyle/>
          <a:p>
            <a:pPr algn="ctr"/>
            <a:r>
              <a:rPr lang="en-GB" sz="1000"/>
              <a:t>Births and Early Years</a:t>
            </a:r>
          </a:p>
        </xdr:txBody>
      </xdr:sp>
      <xdr:sp macro="" textlink="">
        <xdr:nvSpPr>
          <xdr:cNvPr id="11" name="Snip Single Corner Rectangle 10">
            <a:hlinkClick xmlns:r="http://schemas.openxmlformats.org/officeDocument/2006/relationships" r:id="rId4"/>
          </xdr:cNvPr>
          <xdr:cNvSpPr/>
        </xdr:nvSpPr>
        <xdr:spPr>
          <a:xfrm>
            <a:off x="7328534" y="514350"/>
            <a:ext cx="1764000" cy="247649"/>
          </a:xfrm>
          <a:prstGeom prst="snip1Rect">
            <a:avLst>
              <a:gd name="adj" fmla="val 50000"/>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b"/>
          <a:lstStyle/>
          <a:p>
            <a:pPr algn="ctr"/>
            <a:r>
              <a:rPr lang="en-GB" sz="1000"/>
              <a:t>Deprivation</a:t>
            </a:r>
          </a:p>
        </xdr:txBody>
      </xdr:sp>
      <xdr:sp macro="" textlink="">
        <xdr:nvSpPr>
          <xdr:cNvPr id="12" name="Snip Single Corner Rectangle 11">
            <a:hlinkClick xmlns:r="http://schemas.openxmlformats.org/officeDocument/2006/relationships" r:id="rId5"/>
          </xdr:cNvPr>
          <xdr:cNvSpPr/>
        </xdr:nvSpPr>
        <xdr:spPr>
          <a:xfrm>
            <a:off x="9134475" y="514350"/>
            <a:ext cx="1764000" cy="247649"/>
          </a:xfrm>
          <a:prstGeom prst="snip1Rect">
            <a:avLst>
              <a:gd name="adj" fmla="val 50000"/>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b"/>
          <a:lstStyle/>
          <a:p>
            <a:pPr algn="ctr"/>
            <a:r>
              <a:rPr lang="en-GB" sz="1000"/>
              <a:t>EYFS</a:t>
            </a:r>
          </a:p>
        </xdr:txBody>
      </xdr:sp>
      <xdr:cxnSp macro="">
        <xdr:nvCxnSpPr>
          <xdr:cNvPr id="13" name="Straight Connector 12"/>
          <xdr:cNvCxnSpPr/>
        </xdr:nvCxnSpPr>
        <xdr:spPr>
          <a:xfrm>
            <a:off x="95250" y="781050"/>
            <a:ext cx="10800000" cy="1"/>
          </a:xfrm>
          <a:prstGeom prst="line">
            <a:avLst/>
          </a:prstGeom>
          <a:ln>
            <a:solidFill>
              <a:schemeClr val="tx2"/>
            </a:solidFill>
          </a:ln>
        </xdr:spPr>
        <xdr:style>
          <a:lnRef idx="2">
            <a:schemeClr val="accent4"/>
          </a:lnRef>
          <a:fillRef idx="0">
            <a:schemeClr val="accent4"/>
          </a:fillRef>
          <a:effectRef idx="1">
            <a:schemeClr val="accent4"/>
          </a:effectRef>
          <a:fontRef idx="minor">
            <a:schemeClr val="tx1"/>
          </a:fontRef>
        </xdr:style>
      </xdr:cxnSp>
      <xdr:sp macro="" textlink="">
        <xdr:nvSpPr>
          <xdr:cNvPr id="14" name="TextBox 13"/>
          <xdr:cNvSpPr txBox="1"/>
        </xdr:nvSpPr>
        <xdr:spPr>
          <a:xfrm>
            <a:off x="381005" y="152400"/>
            <a:ext cx="4840225"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400" b="1"/>
              <a:t>Children's Workforce Public Health Profiles : </a:t>
            </a:r>
            <a:r>
              <a:rPr lang="en-GB" sz="1400" b="0"/>
              <a:t>Health Indicators</a:t>
            </a:r>
          </a:p>
        </xdr:txBody>
      </xdr:sp>
    </xdr:grpSp>
    <xdr:clientData/>
  </xdr:twoCellAnchor>
  <xdr:twoCellAnchor editAs="oneCell">
    <xdr:from>
      <xdr:col>2</xdr:col>
      <xdr:colOff>3717</xdr:colOff>
      <xdr:row>9</xdr:row>
      <xdr:rowOff>38100</xdr:rowOff>
    </xdr:from>
    <xdr:to>
      <xdr:col>21</xdr:col>
      <xdr:colOff>104774</xdr:colOff>
      <xdr:row>10</xdr:row>
      <xdr:rowOff>133350</xdr:rowOff>
    </xdr:to>
    <xdr:sp macro="" textlink="">
      <xdr:nvSpPr>
        <xdr:cNvPr id="17" name="Rectangle 16"/>
        <xdr:cNvSpPr/>
      </xdr:nvSpPr>
      <xdr:spPr>
        <a:xfrm>
          <a:off x="207824" y="1019175"/>
          <a:ext cx="10584000" cy="285750"/>
        </a:xfrm>
        <a:prstGeom prst="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t"/>
        <a:lstStyle/>
        <a:p>
          <a:pPr algn="l"/>
          <a:r>
            <a:rPr lang="en-GB" sz="1100" b="1"/>
            <a:t>Breastfeeding (Ofsted KPI)</a:t>
          </a:r>
        </a:p>
      </xdr:txBody>
    </xdr:sp>
    <xdr:clientData/>
  </xdr:twoCellAnchor>
  <xdr:twoCellAnchor editAs="oneCell">
    <xdr:from>
      <xdr:col>2</xdr:col>
      <xdr:colOff>3717</xdr:colOff>
      <xdr:row>30</xdr:row>
      <xdr:rowOff>171451</xdr:rowOff>
    </xdr:from>
    <xdr:to>
      <xdr:col>21</xdr:col>
      <xdr:colOff>104775</xdr:colOff>
      <xdr:row>39</xdr:row>
      <xdr:rowOff>723900</xdr:rowOff>
    </xdr:to>
    <xdr:grpSp>
      <xdr:nvGrpSpPr>
        <xdr:cNvPr id="20" name="Group 19"/>
        <xdr:cNvGrpSpPr/>
      </xdr:nvGrpSpPr>
      <xdr:grpSpPr>
        <a:xfrm>
          <a:off x="213267" y="5915026"/>
          <a:ext cx="10578558" cy="2266949"/>
          <a:chOff x="95249" y="904875"/>
          <a:chExt cx="10751623" cy="2069824"/>
        </a:xfrm>
      </xdr:grpSpPr>
      <xdr:sp macro="" textlink="">
        <xdr:nvSpPr>
          <xdr:cNvPr id="21" name="TextBox 20"/>
          <xdr:cNvSpPr txBox="1"/>
        </xdr:nvSpPr>
        <xdr:spPr>
          <a:xfrm>
            <a:off x="95250" y="1190625"/>
            <a:ext cx="10751622" cy="178407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GB" sz="400" b="1"/>
          </a:p>
          <a:p>
            <a:r>
              <a:rPr lang="en-GB" sz="1100" b="1"/>
              <a:t>Source: </a:t>
            </a:r>
            <a:r>
              <a:rPr lang="en-GB" sz="1100" b="0"/>
              <a:t>Health</a:t>
            </a:r>
            <a:r>
              <a:rPr lang="en-GB" sz="1100" b="0" baseline="0"/>
              <a:t> Visiting Service</a:t>
            </a:r>
            <a:endParaRPr lang="en-GB" sz="1100" b="1"/>
          </a:p>
          <a:p>
            <a:endParaRPr lang="en-GB" sz="400" b="1"/>
          </a:p>
          <a:p>
            <a:r>
              <a:rPr lang="en-GB" sz="1100" b="1" baseline="0"/>
              <a:t>Statistical Issues: </a:t>
            </a:r>
            <a:r>
              <a:rPr lang="en-GB" sz="1100" b="0" baseline="0"/>
              <a:t> These data are based on information provided by Health Visitors for the periods:</a:t>
            </a:r>
          </a:p>
          <a:p>
            <a:endParaRPr lang="en-GB" sz="1100" b="0" baseline="0"/>
          </a:p>
          <a:p>
            <a:r>
              <a:rPr lang="en-GB" sz="1100" b="0" baseline="0"/>
              <a:t>      - April 2012 to March 2013 (CHIS)</a:t>
            </a:r>
          </a:p>
          <a:p>
            <a:r>
              <a:rPr lang="en-GB" sz="1100" b="0" baseline="0"/>
              <a:t>      - April 2014 to March 2015 (CHIS)</a:t>
            </a:r>
          </a:p>
          <a:p>
            <a:r>
              <a:rPr lang="en-GB" sz="1100" b="0" baseline="0"/>
              <a:t>      - April 2015 to March 2016 (SystmOne)</a:t>
            </a:r>
          </a:p>
          <a:p>
            <a:endParaRPr lang="en-GB" sz="1100" b="0" baseline="0"/>
          </a:p>
          <a:p>
            <a:r>
              <a:rPr lang="en-GB" sz="1100" b="1" baseline="0"/>
              <a:t>This is not the same data as the national breastfeeding target data which are published quarterly.</a:t>
            </a:r>
          </a:p>
          <a:p>
            <a:r>
              <a:rPr lang="en-GB" sz="1100" b="0" u="sng" baseline="0"/>
              <a:t>In 2015/16, this data was provided via SystmOne. A large number of infants turning 8 weeks within the time frame (April 2015 to March 2016) did not have a record of a check. This may mean that these children did not receive a check, or that their feeding status was not recorded.</a:t>
            </a:r>
            <a:endParaRPr lang="en-GB" sz="1100" b="0" u="sng"/>
          </a:p>
        </xdr:txBody>
      </xdr:sp>
      <xdr:sp macro="" textlink="">
        <xdr:nvSpPr>
          <xdr:cNvPr id="22" name="Rectangle 21"/>
          <xdr:cNvSpPr/>
        </xdr:nvSpPr>
        <xdr:spPr>
          <a:xfrm>
            <a:off x="95249" y="904875"/>
            <a:ext cx="10751622" cy="285750"/>
          </a:xfrm>
          <a:prstGeom prst="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t"/>
          <a:lstStyle/>
          <a:p>
            <a:pPr algn="l"/>
            <a:r>
              <a:rPr lang="en-GB" sz="1100" b="1"/>
              <a:t>Breastfeeding at CFC level (Ofsted</a:t>
            </a:r>
            <a:r>
              <a:rPr lang="en-GB" sz="1100" b="1" baseline="0"/>
              <a:t> KPI)</a:t>
            </a:r>
            <a:endParaRPr lang="en-GB" sz="1100" b="1"/>
          </a:p>
        </xdr:txBody>
      </xdr:sp>
    </xdr:grpSp>
    <xdr:clientData/>
  </xdr:twoCellAnchor>
  <xdr:twoCellAnchor editAs="oneCell">
    <xdr:from>
      <xdr:col>2</xdr:col>
      <xdr:colOff>0</xdr:colOff>
      <xdr:row>92</xdr:row>
      <xdr:rowOff>180975</xdr:rowOff>
    </xdr:from>
    <xdr:to>
      <xdr:col>21</xdr:col>
      <xdr:colOff>106500</xdr:colOff>
      <xdr:row>94</xdr:row>
      <xdr:rowOff>85725</xdr:rowOff>
    </xdr:to>
    <xdr:sp macro="" textlink="">
      <xdr:nvSpPr>
        <xdr:cNvPr id="25" name="Rectangle 24"/>
        <xdr:cNvSpPr/>
      </xdr:nvSpPr>
      <xdr:spPr>
        <a:xfrm>
          <a:off x="209550" y="10487025"/>
          <a:ext cx="10584000" cy="285750"/>
        </a:xfrm>
        <a:prstGeom prst="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t"/>
        <a:lstStyle/>
        <a:p>
          <a:pPr algn="l"/>
          <a:r>
            <a:rPr lang="en-GB" sz="1100" b="1"/>
            <a:t>Breastfeeding (CCG data from NHS England and upp</a:t>
          </a:r>
          <a:r>
            <a:rPr lang="en-GB" sz="1100" b="1" baseline="0"/>
            <a:t>er tier local authority data from PHE): QUARTERLY DATA</a:t>
          </a:r>
        </a:p>
        <a:p>
          <a:pPr algn="l"/>
          <a:endParaRPr lang="en-GB" sz="1100" b="1"/>
        </a:p>
      </xdr:txBody>
    </xdr:sp>
    <xdr:clientData/>
  </xdr:twoCellAnchor>
  <xdr:twoCellAnchor editAs="oneCell">
    <xdr:from>
      <xdr:col>2</xdr:col>
      <xdr:colOff>457200</xdr:colOff>
      <xdr:row>12</xdr:row>
      <xdr:rowOff>0</xdr:rowOff>
    </xdr:from>
    <xdr:to>
      <xdr:col>20</xdr:col>
      <xdr:colOff>312056</xdr:colOff>
      <xdr:row>28</xdr:row>
      <xdr:rowOff>190499</xdr:rowOff>
    </xdr:to>
    <xdr:sp macro="" textlink="">
      <xdr:nvSpPr>
        <xdr:cNvPr id="26" name="Rectangle 25">
          <a:hlinkClick xmlns:r="http://schemas.openxmlformats.org/officeDocument/2006/relationships" r:id="rId6"/>
        </xdr:cNvPr>
        <xdr:cNvSpPr/>
      </xdr:nvSpPr>
      <xdr:spPr>
        <a:xfrm>
          <a:off x="666750" y="2314575"/>
          <a:ext cx="9617981" cy="3238499"/>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r>
            <a:rPr lang="en-GB" sz="1200" b="1">
              <a:solidFill>
                <a:schemeClr val="dk1"/>
              </a:solidFill>
              <a:effectLst/>
              <a:latin typeface="+mn-lt"/>
              <a:ea typeface="+mn-ea"/>
              <a:cs typeface="+mn-cs"/>
            </a:rPr>
            <a:t>Why is breastfeeding important?</a:t>
          </a:r>
        </a:p>
        <a:p>
          <a:endParaRPr lang="en-GB" sz="800">
            <a:effectLst/>
          </a:endParaRPr>
        </a:p>
        <a:p>
          <a:r>
            <a:rPr lang="en-GB" sz="1100">
              <a:solidFill>
                <a:schemeClr val="dk1"/>
              </a:solidFill>
              <a:effectLst/>
              <a:latin typeface="+mn-lt"/>
              <a:ea typeface="+mn-ea"/>
              <a:cs typeface="+mn-cs"/>
            </a:rPr>
            <a:t>The evidence is well-established, for both the benefits to mother and baby of breastfeeding, and the significant risks of not breastfeeding. </a:t>
          </a:r>
        </a:p>
        <a:p>
          <a:r>
            <a:rPr lang="en-GB" sz="1100">
              <a:solidFill>
                <a:schemeClr val="dk1"/>
              </a:solidFill>
              <a:effectLst/>
              <a:latin typeface="+mn-lt"/>
              <a:ea typeface="+mn-ea"/>
              <a:cs typeface="+mn-cs"/>
            </a:rPr>
            <a:t>Breastfeeding has some of the most wide-reaching and long lasting effects on a baby's health and development. Breastfed babies are at a </a:t>
          </a:r>
        </a:p>
        <a:p>
          <a:r>
            <a:rPr lang="en-GB" sz="1100">
              <a:solidFill>
                <a:schemeClr val="dk1"/>
              </a:solidFill>
              <a:effectLst/>
              <a:latin typeface="+mn-lt"/>
              <a:ea typeface="+mn-ea"/>
              <a:cs typeface="+mn-cs"/>
            </a:rPr>
            <a:t>lower risk of gastroenteritis, respiratory infections, Sudden Infant Death Syndrome, obesity, diabetes and allergies.  See the </a:t>
          </a:r>
          <a:r>
            <a:rPr lang="en-GB" sz="1100" b="0" u="sng">
              <a:solidFill>
                <a:srgbClr val="191EE1"/>
              </a:solidFill>
              <a:effectLst/>
              <a:latin typeface="+mn-lt"/>
              <a:ea typeface="+mn-ea"/>
              <a:cs typeface="+mn-cs"/>
            </a:rPr>
            <a:t>UNICEF</a:t>
          </a:r>
          <a:r>
            <a:rPr lang="en-GB" sz="1100" b="0" u="sng" baseline="0">
              <a:solidFill>
                <a:srgbClr val="191EE1"/>
              </a:solidFill>
              <a:effectLst/>
              <a:latin typeface="+mn-lt"/>
              <a:ea typeface="+mn-ea"/>
              <a:cs typeface="+mn-cs"/>
            </a:rPr>
            <a:t> Baby </a:t>
          </a:r>
        </a:p>
        <a:p>
          <a:r>
            <a:rPr lang="en-GB" sz="1100" b="0" u="sng" baseline="0">
              <a:solidFill>
                <a:srgbClr val="191EE1"/>
              </a:solidFill>
              <a:effectLst/>
              <a:latin typeface="+mn-lt"/>
              <a:ea typeface="+mn-ea"/>
              <a:cs typeface="+mn-cs"/>
            </a:rPr>
            <a:t>Friendly Initiative </a:t>
          </a:r>
          <a:r>
            <a:rPr lang="en-GB" sz="1100" baseline="0">
              <a:solidFill>
                <a:schemeClr val="dk1"/>
              </a:solidFill>
              <a:effectLst/>
              <a:latin typeface="+mn-lt"/>
              <a:ea typeface="+mn-ea"/>
              <a:cs typeface="+mn-cs"/>
            </a:rPr>
            <a:t>for further information.</a:t>
          </a:r>
          <a:endParaRPr lang="en-GB" sz="1100">
            <a:solidFill>
              <a:schemeClr val="dk1"/>
            </a:solidFill>
            <a:effectLst/>
            <a:latin typeface="+mn-lt"/>
            <a:ea typeface="+mn-ea"/>
            <a:cs typeface="+mn-cs"/>
          </a:endParaRPr>
        </a:p>
        <a:p>
          <a:endParaRPr lang="en-GB" sz="800" b="1">
            <a:solidFill>
              <a:schemeClr val="dk1"/>
            </a:solidFill>
            <a:effectLst/>
            <a:latin typeface="+mn-lt"/>
            <a:ea typeface="+mn-ea"/>
            <a:cs typeface="+mn-cs"/>
          </a:endParaRPr>
        </a:p>
        <a:p>
          <a:r>
            <a:rPr lang="en-GB" sz="1200" b="1">
              <a:solidFill>
                <a:schemeClr val="dk1"/>
              </a:solidFill>
              <a:effectLst/>
              <a:latin typeface="+mn-lt"/>
              <a:ea typeface="+mn-ea"/>
              <a:cs typeface="+mn-cs"/>
            </a:rPr>
            <a:t>Rational</a:t>
          </a:r>
          <a:r>
            <a:rPr lang="en-GB" sz="1200" b="1" baseline="0">
              <a:solidFill>
                <a:schemeClr val="dk1"/>
              </a:solidFill>
              <a:effectLst/>
              <a:latin typeface="+mn-lt"/>
              <a:ea typeface="+mn-ea"/>
              <a:cs typeface="+mn-cs"/>
            </a:rPr>
            <a:t>e for the Indicator:</a:t>
          </a:r>
        </a:p>
        <a:p>
          <a:endParaRPr lang="en-GB" sz="800">
            <a:effectLst/>
          </a:endParaRPr>
        </a:p>
        <a:p>
          <a:r>
            <a:rPr lang="en-GB" sz="1100" b="0">
              <a:solidFill>
                <a:schemeClr val="dk1"/>
              </a:solidFill>
              <a:effectLst/>
              <a:latin typeface="+mn-lt"/>
              <a:ea typeface="+mn-ea"/>
              <a:cs typeface="+mn-cs"/>
            </a:rPr>
            <a:t>The Government recommends exclusive breastfeeding for around 6 months, and then continuing to breastfeed for at least a year or more alongside giving solid foods.  The indicator shows the prevalence of babies being exclusively or partially breastfed at between six and eight weeks old.</a:t>
          </a:r>
        </a:p>
        <a:p>
          <a:endParaRPr lang="en-GB" sz="800" b="0">
            <a:solidFill>
              <a:schemeClr val="dk1"/>
            </a:solidFill>
            <a:effectLst/>
            <a:latin typeface="+mn-lt"/>
            <a:ea typeface="+mn-ea"/>
            <a:cs typeface="+mn-cs"/>
          </a:endParaRPr>
        </a:p>
        <a:p>
          <a:r>
            <a:rPr lang="en-GB" sz="1200" b="1">
              <a:solidFill>
                <a:schemeClr val="dk1"/>
              </a:solidFill>
              <a:effectLst/>
              <a:latin typeface="+mn-lt"/>
              <a:ea typeface="+mn-ea"/>
              <a:cs typeface="+mn-cs"/>
            </a:rPr>
            <a:t>What helps?</a:t>
          </a:r>
        </a:p>
        <a:p>
          <a:endParaRPr lang="en-GB" sz="800">
            <a:effectLst/>
          </a:endParaRPr>
        </a:p>
        <a:p>
          <a:r>
            <a:rPr lang="en-GB" sz="1100">
              <a:solidFill>
                <a:schemeClr val="dk1"/>
              </a:solidFill>
              <a:effectLst/>
              <a:latin typeface="+mn-lt"/>
              <a:ea typeface="+mn-ea"/>
              <a:cs typeface="+mn-cs"/>
            </a:rPr>
            <a:t>Sussex Community NHS Foundation Trust Healthy</a:t>
          </a:r>
          <a:r>
            <a:rPr lang="en-GB" sz="1100" baseline="0">
              <a:solidFill>
                <a:schemeClr val="dk1"/>
              </a:solidFill>
              <a:effectLst/>
              <a:latin typeface="+mn-lt"/>
              <a:ea typeface="+mn-ea"/>
              <a:cs typeface="+mn-cs"/>
            </a:rPr>
            <a:t> Child Programme Team </a:t>
          </a:r>
          <a:r>
            <a:rPr lang="en-GB" sz="1100">
              <a:solidFill>
                <a:schemeClr val="dk1"/>
              </a:solidFill>
              <a:effectLst/>
              <a:latin typeface="+mn-lt"/>
              <a:ea typeface="+mn-ea"/>
              <a:cs typeface="+mn-cs"/>
            </a:rPr>
            <a:t>has achieved UNICEF UK Baby Friendly Initiative Stage 2. This is a national kite-mark scheme; with a set of standards for organisations to meet that ensure they provide good support for breastfeeding and appropriate introduction of solids, through training all staff and ensuring a breastfeeding friendly environment.  This will help to make sure families are provided with consistent information about breastfeeding and healthy eating. </a:t>
          </a:r>
        </a:p>
      </xdr:txBody>
    </xdr:sp>
    <xdr:clientData/>
  </xdr:twoCellAnchor>
  <xdr:twoCellAnchor editAs="oneCell">
    <xdr:from>
      <xdr:col>19</xdr:col>
      <xdr:colOff>47625</xdr:colOff>
      <xdr:row>30</xdr:row>
      <xdr:rowOff>171450</xdr:rowOff>
    </xdr:from>
    <xdr:to>
      <xdr:col>22</xdr:col>
      <xdr:colOff>4250</xdr:colOff>
      <xdr:row>32</xdr:row>
      <xdr:rowOff>83049</xdr:rowOff>
    </xdr:to>
    <xdr:sp macro="" textlink="">
      <xdr:nvSpPr>
        <xdr:cNvPr id="29" name="TextBox 28">
          <a:hlinkClick xmlns:r="http://schemas.openxmlformats.org/officeDocument/2006/relationships" r:id="rId7"/>
        </xdr:cNvPr>
        <xdr:cNvSpPr txBox="1"/>
      </xdr:nvSpPr>
      <xdr:spPr>
        <a:xfrm>
          <a:off x="9477375" y="4581525"/>
          <a:ext cx="1322783" cy="2925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100" u="sng">
              <a:solidFill>
                <a:schemeClr val="bg1"/>
              </a:solidFill>
            </a:rPr>
            <a:t>back to top</a:t>
          </a:r>
        </a:p>
      </xdr:txBody>
    </xdr:sp>
    <xdr:clientData/>
  </xdr:twoCellAnchor>
  <xdr:twoCellAnchor editAs="oneCell">
    <xdr:from>
      <xdr:col>19</xdr:col>
      <xdr:colOff>57150</xdr:colOff>
      <xdr:row>92</xdr:row>
      <xdr:rowOff>180975</xdr:rowOff>
    </xdr:from>
    <xdr:to>
      <xdr:col>22</xdr:col>
      <xdr:colOff>8333</xdr:colOff>
      <xdr:row>94</xdr:row>
      <xdr:rowOff>92574</xdr:rowOff>
    </xdr:to>
    <xdr:sp macro="" textlink="">
      <xdr:nvSpPr>
        <xdr:cNvPr id="30" name="TextBox 29">
          <a:hlinkClick xmlns:r="http://schemas.openxmlformats.org/officeDocument/2006/relationships" r:id="rId7"/>
        </xdr:cNvPr>
        <xdr:cNvSpPr txBox="1"/>
      </xdr:nvSpPr>
      <xdr:spPr>
        <a:xfrm>
          <a:off x="9486900" y="10487025"/>
          <a:ext cx="1322783" cy="2925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100" u="sng">
              <a:solidFill>
                <a:schemeClr val="bg1"/>
              </a:solidFill>
            </a:rPr>
            <a:t>back to top</a:t>
          </a:r>
        </a:p>
      </xdr:txBody>
    </xdr:sp>
    <xdr:clientData/>
  </xdr:twoCellAnchor>
  <xdr:twoCellAnchor editAs="oneCell">
    <xdr:from>
      <xdr:col>2</xdr:col>
      <xdr:colOff>5439</xdr:colOff>
      <xdr:row>132</xdr:row>
      <xdr:rowOff>147109</xdr:rowOff>
    </xdr:from>
    <xdr:to>
      <xdr:col>21</xdr:col>
      <xdr:colOff>104379</xdr:colOff>
      <xdr:row>134</xdr:row>
      <xdr:rowOff>65323</xdr:rowOff>
    </xdr:to>
    <xdr:grpSp>
      <xdr:nvGrpSpPr>
        <xdr:cNvPr id="15" name="Group 14"/>
        <xdr:cNvGrpSpPr/>
      </xdr:nvGrpSpPr>
      <xdr:grpSpPr>
        <a:xfrm>
          <a:off x="214989" y="30684259"/>
          <a:ext cx="10576440" cy="299214"/>
          <a:chOff x="219752" y="16256265"/>
          <a:chExt cx="10659783" cy="299214"/>
        </a:xfrm>
      </xdr:grpSpPr>
      <xdr:sp macro="" textlink="">
        <xdr:nvSpPr>
          <xdr:cNvPr id="24" name="Rectangle 23"/>
          <xdr:cNvSpPr/>
        </xdr:nvSpPr>
        <xdr:spPr>
          <a:xfrm>
            <a:off x="219752" y="16256265"/>
            <a:ext cx="10659783" cy="285750"/>
          </a:xfrm>
          <a:prstGeom prst="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t"/>
          <a:lstStyle/>
          <a:p>
            <a:pPr algn="l"/>
            <a:r>
              <a:rPr lang="en-GB" sz="1100" b="1"/>
              <a:t>Childhood</a:t>
            </a:r>
            <a:r>
              <a:rPr lang="en-GB" sz="1100" b="1" baseline="0"/>
              <a:t> Obesity (Ofsted KPI)</a:t>
            </a:r>
          </a:p>
          <a:p>
            <a:pPr algn="l"/>
            <a:endParaRPr lang="en-GB" sz="1100" b="1"/>
          </a:p>
        </xdr:txBody>
      </xdr:sp>
      <xdr:sp macro="" textlink="">
        <xdr:nvSpPr>
          <xdr:cNvPr id="27" name="TextBox 26">
            <a:hlinkClick xmlns:r="http://schemas.openxmlformats.org/officeDocument/2006/relationships" r:id="rId7"/>
          </xdr:cNvPr>
          <xdr:cNvSpPr txBox="1"/>
        </xdr:nvSpPr>
        <xdr:spPr>
          <a:xfrm>
            <a:off x="9549078" y="16262880"/>
            <a:ext cx="1329662" cy="292599"/>
          </a:xfrm>
          <a:prstGeom prst="rect">
            <a:avLst/>
          </a:prstGeom>
          <a:noFill/>
          <a:ln>
            <a:noFill/>
          </a:ln>
        </xdr:spPr>
        <xdr:style>
          <a:lnRef idx="0">
            <a:schemeClr val="accent1"/>
          </a:lnRef>
          <a:fillRef idx="3">
            <a:schemeClr val="accent1"/>
          </a:fillRef>
          <a:effectRef idx="3">
            <a:schemeClr val="accent1"/>
          </a:effectRef>
          <a:fontRef idx="minor">
            <a:schemeClr val="lt1"/>
          </a:fontRef>
        </xdr:style>
        <xdr:txBody>
          <a:bodyPr vertOverflow="clip" horzOverflow="clip" wrap="square" rtlCol="0" anchor="t"/>
          <a:lstStyle/>
          <a:p>
            <a:pPr algn="ctr"/>
            <a:r>
              <a:rPr lang="en-GB" sz="1100" u="sng">
                <a:solidFill>
                  <a:schemeClr val="bg1"/>
                </a:solidFill>
              </a:rPr>
              <a:t>back to top</a:t>
            </a:r>
          </a:p>
        </xdr:txBody>
      </xdr:sp>
    </xdr:grpSp>
    <xdr:clientData/>
  </xdr:twoCellAnchor>
  <xdr:twoCellAnchor editAs="oneCell">
    <xdr:from>
      <xdr:col>2</xdr:col>
      <xdr:colOff>498474</xdr:colOff>
      <xdr:row>135</xdr:row>
      <xdr:rowOff>32810</xdr:rowOff>
    </xdr:from>
    <xdr:to>
      <xdr:col>20</xdr:col>
      <xdr:colOff>353330</xdr:colOff>
      <xdr:row>152</xdr:row>
      <xdr:rowOff>0</xdr:rowOff>
    </xdr:to>
    <xdr:sp macro="" textlink="">
      <xdr:nvSpPr>
        <xdr:cNvPr id="28" name="Rectangle 27"/>
        <xdr:cNvSpPr/>
      </xdr:nvSpPr>
      <xdr:spPr>
        <a:xfrm>
          <a:off x="708024" y="18987560"/>
          <a:ext cx="9617981" cy="3110440"/>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r>
            <a:rPr lang="en-GB" sz="1200" b="1">
              <a:solidFill>
                <a:schemeClr val="dk1"/>
              </a:solidFill>
              <a:effectLst/>
              <a:latin typeface="+mn-lt"/>
              <a:ea typeface="+mn-ea"/>
              <a:cs typeface="+mn-cs"/>
            </a:rPr>
            <a:t>Why is childhood obesity</a:t>
          </a:r>
          <a:r>
            <a:rPr lang="en-GB" sz="1200" b="1" baseline="0">
              <a:solidFill>
                <a:schemeClr val="dk1"/>
              </a:solidFill>
              <a:effectLst/>
              <a:latin typeface="+mn-lt"/>
              <a:ea typeface="+mn-ea"/>
              <a:cs typeface="+mn-cs"/>
            </a:rPr>
            <a:t> </a:t>
          </a:r>
          <a:r>
            <a:rPr lang="en-GB" sz="1200" b="1">
              <a:solidFill>
                <a:schemeClr val="dk1"/>
              </a:solidFill>
              <a:effectLst/>
              <a:latin typeface="+mn-lt"/>
              <a:ea typeface="+mn-ea"/>
              <a:cs typeface="+mn-cs"/>
            </a:rPr>
            <a:t>important?</a:t>
          </a:r>
        </a:p>
        <a:p>
          <a:endParaRPr lang="en-GB" sz="800">
            <a:effectLst/>
          </a:endParaRPr>
        </a:p>
        <a:p>
          <a:r>
            <a:rPr lang="en-GB" sz="1100">
              <a:solidFill>
                <a:schemeClr val="dk1"/>
              </a:solidFill>
              <a:effectLst/>
              <a:latin typeface="+mn-lt"/>
              <a:ea typeface="+mn-ea"/>
              <a:cs typeface="+mn-cs"/>
            </a:rPr>
            <a:t>Overweight and obese children are more likely to become obese adults and have a higher risk of mortality, disability and morbidity in </a:t>
          </a:r>
        </a:p>
        <a:p>
          <a:r>
            <a:rPr lang="en-GB" sz="1100">
              <a:solidFill>
                <a:schemeClr val="dk1"/>
              </a:solidFill>
              <a:effectLst/>
              <a:latin typeface="+mn-lt"/>
              <a:ea typeface="+mn-ea"/>
              <a:cs typeface="+mn-cs"/>
            </a:rPr>
            <a:t>adulthood. Metabolic changes such as raised blood pressure and cholesterol may be seen in obese children and teenagers. Childhood </a:t>
          </a:r>
        </a:p>
        <a:p>
          <a:r>
            <a:rPr lang="en-GB" sz="1100">
              <a:solidFill>
                <a:schemeClr val="dk1"/>
              </a:solidFill>
              <a:effectLst/>
              <a:latin typeface="+mn-lt"/>
              <a:ea typeface="+mn-ea"/>
              <a:cs typeface="+mn-cs"/>
            </a:rPr>
            <a:t>obesity is linked to psychological problems such as low self-esteem, anxiety and depression which are often seen by children themselves</a:t>
          </a:r>
        </a:p>
        <a:p>
          <a:r>
            <a:rPr lang="en-GB" sz="1100">
              <a:solidFill>
                <a:schemeClr val="dk1"/>
              </a:solidFill>
              <a:effectLst/>
              <a:latin typeface="+mn-lt"/>
              <a:ea typeface="+mn-ea"/>
              <a:cs typeface="+mn-cs"/>
            </a:rPr>
            <a:t> as the most serious effects.</a:t>
          </a:r>
        </a:p>
        <a:p>
          <a:endParaRPr lang="en-GB" sz="800" b="0">
            <a:solidFill>
              <a:schemeClr val="dk1"/>
            </a:solidFill>
            <a:effectLst/>
            <a:latin typeface="+mn-lt"/>
            <a:ea typeface="+mn-ea"/>
            <a:cs typeface="+mn-cs"/>
          </a:endParaRPr>
        </a:p>
        <a:p>
          <a:r>
            <a:rPr lang="en-GB" sz="1200" b="1">
              <a:solidFill>
                <a:schemeClr val="dk1"/>
              </a:solidFill>
              <a:effectLst/>
              <a:latin typeface="+mn-lt"/>
              <a:ea typeface="+mn-ea"/>
              <a:cs typeface="+mn-cs"/>
            </a:rPr>
            <a:t>Rational</a:t>
          </a:r>
          <a:r>
            <a:rPr lang="en-GB" sz="1200" b="1" baseline="0">
              <a:solidFill>
                <a:schemeClr val="dk1"/>
              </a:solidFill>
              <a:effectLst/>
              <a:latin typeface="+mn-lt"/>
              <a:ea typeface="+mn-ea"/>
              <a:cs typeface="+mn-cs"/>
            </a:rPr>
            <a:t>e for the Indicator:</a:t>
          </a:r>
        </a:p>
        <a:p>
          <a:endParaRPr lang="en-GB" sz="800">
            <a:effectLst/>
          </a:endParaRPr>
        </a:p>
        <a:p>
          <a:r>
            <a:rPr lang="en-GB" sz="1100" b="0">
              <a:solidFill>
                <a:schemeClr val="dk1"/>
              </a:solidFill>
              <a:effectLst/>
              <a:latin typeface="+mn-lt"/>
              <a:ea typeface="+mn-ea"/>
              <a:cs typeface="+mn-cs"/>
            </a:rPr>
            <a:t>Levels of obesity among reception year and year 6 pupils are rising nationally. This indicator helps Children and Family Centres to monitor local trends and provide appropriate support for families.</a:t>
          </a:r>
        </a:p>
        <a:p>
          <a:endParaRPr lang="en-GB" sz="800" b="0">
            <a:solidFill>
              <a:schemeClr val="dk1"/>
            </a:solidFill>
            <a:effectLst/>
            <a:latin typeface="+mn-lt"/>
            <a:ea typeface="+mn-ea"/>
            <a:cs typeface="+mn-cs"/>
          </a:endParaRPr>
        </a:p>
        <a:p>
          <a:r>
            <a:rPr lang="en-GB" sz="1200" b="1">
              <a:solidFill>
                <a:schemeClr val="dk1"/>
              </a:solidFill>
              <a:effectLst/>
              <a:latin typeface="+mn-lt"/>
              <a:ea typeface="+mn-ea"/>
              <a:cs typeface="+mn-cs"/>
            </a:rPr>
            <a:t>What helps?</a:t>
          </a:r>
        </a:p>
        <a:p>
          <a:endParaRPr lang="en-GB" sz="800">
            <a:effectLst/>
          </a:endParaRPr>
        </a:p>
        <a:p>
          <a:r>
            <a:rPr lang="en-GB" sz="1100">
              <a:solidFill>
                <a:schemeClr val="dk1"/>
              </a:solidFill>
              <a:effectLst/>
              <a:latin typeface="+mn-lt"/>
              <a:ea typeface="+mn-ea"/>
              <a:cs typeface="+mn-cs"/>
            </a:rPr>
            <a:t>The Children’s Workforce can help to reduce obesity by promoting healthy eating and lifestyles, supporting families to modify dietary intake where appropriate, encouraging active play and promoting non-sedentary family activities. Early identification of those at risk of becoming overweight and obese is key with early intervention and appropriate referral to healthy eating programmes </a:t>
          </a:r>
          <a:endParaRPr lang="en-GB" sz="800">
            <a:effectLst/>
          </a:endParaRPr>
        </a:p>
      </xdr:txBody>
    </xdr:sp>
    <xdr:clientData/>
  </xdr:twoCellAnchor>
  <xdr:twoCellAnchor editAs="oneCell">
    <xdr:from>
      <xdr:col>2</xdr:col>
      <xdr:colOff>3058</xdr:colOff>
      <xdr:row>158</xdr:row>
      <xdr:rowOff>132821</xdr:rowOff>
    </xdr:from>
    <xdr:to>
      <xdr:col>21</xdr:col>
      <xdr:colOff>101998</xdr:colOff>
      <xdr:row>160</xdr:row>
      <xdr:rowOff>51035</xdr:rowOff>
    </xdr:to>
    <xdr:grpSp>
      <xdr:nvGrpSpPr>
        <xdr:cNvPr id="31" name="Group 30"/>
        <xdr:cNvGrpSpPr/>
      </xdr:nvGrpSpPr>
      <xdr:grpSpPr>
        <a:xfrm>
          <a:off x="212608" y="36337346"/>
          <a:ext cx="10576440" cy="299214"/>
          <a:chOff x="219752" y="16256265"/>
          <a:chExt cx="10659783" cy="299214"/>
        </a:xfrm>
      </xdr:grpSpPr>
      <xdr:sp macro="" textlink="">
        <xdr:nvSpPr>
          <xdr:cNvPr id="32" name="Rectangle 31"/>
          <xdr:cNvSpPr/>
        </xdr:nvSpPr>
        <xdr:spPr>
          <a:xfrm>
            <a:off x="219752" y="16256265"/>
            <a:ext cx="10659783" cy="285750"/>
          </a:xfrm>
          <a:prstGeom prst="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t"/>
          <a:lstStyle/>
          <a:p>
            <a:pPr algn="l"/>
            <a:r>
              <a:rPr lang="en-GB" sz="1100" b="1"/>
              <a:t>Reception</a:t>
            </a:r>
            <a:endParaRPr lang="en-GB" sz="1100" b="1" baseline="0"/>
          </a:p>
          <a:p>
            <a:pPr algn="l"/>
            <a:endParaRPr lang="en-GB" sz="1100" b="1"/>
          </a:p>
        </xdr:txBody>
      </xdr:sp>
      <xdr:sp macro="" textlink="">
        <xdr:nvSpPr>
          <xdr:cNvPr id="33" name="TextBox 32">
            <a:hlinkClick xmlns:r="http://schemas.openxmlformats.org/officeDocument/2006/relationships" r:id="rId7"/>
          </xdr:cNvPr>
          <xdr:cNvSpPr txBox="1"/>
        </xdr:nvSpPr>
        <xdr:spPr>
          <a:xfrm>
            <a:off x="9549078" y="16262880"/>
            <a:ext cx="1329662" cy="292599"/>
          </a:xfrm>
          <a:prstGeom prst="rect">
            <a:avLst/>
          </a:prstGeom>
          <a:noFill/>
          <a:ln>
            <a:noFill/>
          </a:ln>
        </xdr:spPr>
        <xdr:style>
          <a:lnRef idx="0">
            <a:schemeClr val="accent1"/>
          </a:lnRef>
          <a:fillRef idx="3">
            <a:schemeClr val="accent1"/>
          </a:fillRef>
          <a:effectRef idx="3">
            <a:schemeClr val="accent1"/>
          </a:effectRef>
          <a:fontRef idx="minor">
            <a:schemeClr val="lt1"/>
          </a:fontRef>
        </xdr:style>
        <xdr:txBody>
          <a:bodyPr vertOverflow="clip" horzOverflow="clip" wrap="square" rtlCol="0" anchor="t"/>
          <a:lstStyle/>
          <a:p>
            <a:pPr algn="ctr"/>
            <a:r>
              <a:rPr lang="en-GB" sz="1100" u="sng">
                <a:solidFill>
                  <a:schemeClr val="bg1"/>
                </a:solidFill>
              </a:rPr>
              <a:t>back to top</a:t>
            </a:r>
          </a:p>
        </xdr:txBody>
      </xdr:sp>
    </xdr:grpSp>
    <xdr:clientData/>
  </xdr:twoCellAnchor>
  <xdr:twoCellAnchor editAs="oneCell">
    <xdr:from>
      <xdr:col>2</xdr:col>
      <xdr:colOff>2116</xdr:colOff>
      <xdr:row>220</xdr:row>
      <xdr:rowOff>0</xdr:rowOff>
    </xdr:from>
    <xdr:to>
      <xdr:col>22</xdr:col>
      <xdr:colOff>6999</xdr:colOff>
      <xdr:row>221</xdr:row>
      <xdr:rowOff>120620</xdr:rowOff>
    </xdr:to>
    <xdr:grpSp>
      <xdr:nvGrpSpPr>
        <xdr:cNvPr id="34" name="Group 33"/>
        <xdr:cNvGrpSpPr/>
      </xdr:nvGrpSpPr>
      <xdr:grpSpPr>
        <a:xfrm>
          <a:off x="211666" y="47996475"/>
          <a:ext cx="10596683" cy="301595"/>
          <a:chOff x="219752" y="16256265"/>
          <a:chExt cx="10659783" cy="299214"/>
        </a:xfrm>
      </xdr:grpSpPr>
      <xdr:sp macro="" textlink="">
        <xdr:nvSpPr>
          <xdr:cNvPr id="35" name="Rectangle 34"/>
          <xdr:cNvSpPr/>
        </xdr:nvSpPr>
        <xdr:spPr>
          <a:xfrm>
            <a:off x="219752" y="16256265"/>
            <a:ext cx="10659783" cy="285750"/>
          </a:xfrm>
          <a:prstGeom prst="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t"/>
          <a:lstStyle/>
          <a:p>
            <a:pPr algn="l"/>
            <a:r>
              <a:rPr lang="en-GB" sz="1100" b="1"/>
              <a:t>Year 6</a:t>
            </a:r>
            <a:endParaRPr lang="en-GB" sz="1100" b="1" baseline="0"/>
          </a:p>
          <a:p>
            <a:pPr algn="l"/>
            <a:endParaRPr lang="en-GB" sz="1100" b="1"/>
          </a:p>
        </xdr:txBody>
      </xdr:sp>
      <xdr:sp macro="" textlink="">
        <xdr:nvSpPr>
          <xdr:cNvPr id="36" name="TextBox 35">
            <a:hlinkClick xmlns:r="http://schemas.openxmlformats.org/officeDocument/2006/relationships" r:id="rId7"/>
          </xdr:cNvPr>
          <xdr:cNvSpPr txBox="1"/>
        </xdr:nvSpPr>
        <xdr:spPr>
          <a:xfrm>
            <a:off x="9549078" y="16262880"/>
            <a:ext cx="1329662" cy="2925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100" u="sng">
                <a:solidFill>
                  <a:schemeClr val="bg1"/>
                </a:solidFill>
              </a:rPr>
              <a:t>back to top</a:t>
            </a:r>
          </a:p>
        </xdr:txBody>
      </xdr:sp>
    </xdr:grpSp>
    <xdr:clientData/>
  </xdr:twoCellAnchor>
  <xdr:twoCellAnchor editAs="oneCell">
    <xdr:from>
      <xdr:col>2</xdr:col>
      <xdr:colOff>2116</xdr:colOff>
      <xdr:row>282</xdr:row>
      <xdr:rowOff>0</xdr:rowOff>
    </xdr:from>
    <xdr:to>
      <xdr:col>22</xdr:col>
      <xdr:colOff>6999</xdr:colOff>
      <xdr:row>283</xdr:row>
      <xdr:rowOff>120620</xdr:rowOff>
    </xdr:to>
    <xdr:grpSp>
      <xdr:nvGrpSpPr>
        <xdr:cNvPr id="37" name="Group 36"/>
        <xdr:cNvGrpSpPr/>
      </xdr:nvGrpSpPr>
      <xdr:grpSpPr>
        <a:xfrm>
          <a:off x="211666" y="59702700"/>
          <a:ext cx="10596683" cy="301595"/>
          <a:chOff x="219752" y="16256265"/>
          <a:chExt cx="10659783" cy="299214"/>
        </a:xfrm>
      </xdr:grpSpPr>
      <xdr:sp macro="" textlink="">
        <xdr:nvSpPr>
          <xdr:cNvPr id="38" name="Rectangle 37"/>
          <xdr:cNvSpPr/>
        </xdr:nvSpPr>
        <xdr:spPr>
          <a:xfrm>
            <a:off x="219752" y="16256265"/>
            <a:ext cx="10659783" cy="285750"/>
          </a:xfrm>
          <a:prstGeom prst="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t"/>
          <a:lstStyle/>
          <a:p>
            <a:pPr algn="l"/>
            <a:r>
              <a:rPr lang="en-GB" sz="1100" b="1"/>
              <a:t>Reception</a:t>
            </a:r>
            <a:r>
              <a:rPr lang="en-GB" sz="1100" b="1" baseline="0"/>
              <a:t> and </a:t>
            </a:r>
            <a:r>
              <a:rPr lang="en-GB" sz="1100" b="1"/>
              <a:t>Year 6</a:t>
            </a:r>
            <a:endParaRPr lang="en-GB" sz="1100" b="1" baseline="0"/>
          </a:p>
          <a:p>
            <a:pPr algn="l"/>
            <a:endParaRPr lang="en-GB" sz="1100" b="1"/>
          </a:p>
        </xdr:txBody>
      </xdr:sp>
      <xdr:sp macro="" textlink="">
        <xdr:nvSpPr>
          <xdr:cNvPr id="39" name="TextBox 38">
            <a:hlinkClick xmlns:r="http://schemas.openxmlformats.org/officeDocument/2006/relationships" r:id="rId7"/>
          </xdr:cNvPr>
          <xdr:cNvSpPr txBox="1"/>
        </xdr:nvSpPr>
        <xdr:spPr>
          <a:xfrm>
            <a:off x="9549078" y="16262880"/>
            <a:ext cx="1329662" cy="2925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100" u="sng">
                <a:solidFill>
                  <a:schemeClr val="bg1"/>
                </a:solidFill>
              </a:rPr>
              <a:t>back to top</a:t>
            </a:r>
          </a:p>
        </xdr:txBody>
      </xdr:sp>
    </xdr:grpSp>
    <xdr:clientData/>
  </xdr:twoCellAnchor>
  <xdr:twoCellAnchor editAs="oneCell">
    <xdr:from>
      <xdr:col>2</xdr:col>
      <xdr:colOff>1058</xdr:colOff>
      <xdr:row>320</xdr:row>
      <xdr:rowOff>176213</xdr:rowOff>
    </xdr:from>
    <xdr:to>
      <xdr:col>22</xdr:col>
      <xdr:colOff>5941</xdr:colOff>
      <xdr:row>322</xdr:row>
      <xdr:rowOff>118239</xdr:rowOff>
    </xdr:to>
    <xdr:grpSp>
      <xdr:nvGrpSpPr>
        <xdr:cNvPr id="40" name="Group 39"/>
        <xdr:cNvGrpSpPr/>
      </xdr:nvGrpSpPr>
      <xdr:grpSpPr>
        <a:xfrm>
          <a:off x="210608" y="67032188"/>
          <a:ext cx="10596683" cy="303976"/>
          <a:chOff x="219752" y="16256265"/>
          <a:chExt cx="10659783" cy="299214"/>
        </a:xfrm>
      </xdr:grpSpPr>
      <xdr:sp macro="" textlink="">
        <xdr:nvSpPr>
          <xdr:cNvPr id="41" name="Rectangle 40"/>
          <xdr:cNvSpPr/>
        </xdr:nvSpPr>
        <xdr:spPr>
          <a:xfrm>
            <a:off x="219752" y="16256265"/>
            <a:ext cx="10659783" cy="285750"/>
          </a:xfrm>
          <a:prstGeom prst="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t"/>
          <a:lstStyle/>
          <a:p>
            <a:pPr algn="l"/>
            <a:r>
              <a:rPr lang="en-GB" sz="1100" b="1"/>
              <a:t>Improving</a:t>
            </a:r>
            <a:r>
              <a:rPr lang="en-GB" sz="1100" b="1" baseline="0"/>
              <a:t> the Oral Health of Children</a:t>
            </a:r>
          </a:p>
          <a:p>
            <a:pPr algn="l"/>
            <a:endParaRPr lang="en-GB" sz="1100" b="1"/>
          </a:p>
        </xdr:txBody>
      </xdr:sp>
      <xdr:sp macro="" textlink="">
        <xdr:nvSpPr>
          <xdr:cNvPr id="42" name="TextBox 41">
            <a:hlinkClick xmlns:r="http://schemas.openxmlformats.org/officeDocument/2006/relationships" r:id="rId7"/>
          </xdr:cNvPr>
          <xdr:cNvSpPr txBox="1"/>
        </xdr:nvSpPr>
        <xdr:spPr>
          <a:xfrm>
            <a:off x="9549078" y="16262880"/>
            <a:ext cx="1329662" cy="2925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100" u="sng">
                <a:solidFill>
                  <a:schemeClr val="bg1"/>
                </a:solidFill>
              </a:rPr>
              <a:t>back to top</a:t>
            </a:r>
          </a:p>
        </xdr:txBody>
      </xdr:sp>
    </xdr:grpSp>
    <xdr:clientData/>
  </xdr:twoCellAnchor>
  <xdr:twoCellAnchor editAs="oneCell">
    <xdr:from>
      <xdr:col>3</xdr:col>
      <xdr:colOff>0</xdr:colOff>
      <xdr:row>324</xdr:row>
      <xdr:rowOff>59531</xdr:rowOff>
    </xdr:from>
    <xdr:to>
      <xdr:col>20</xdr:col>
      <xdr:colOff>390637</xdr:colOff>
      <xdr:row>336</xdr:row>
      <xdr:rowOff>47626</xdr:rowOff>
    </xdr:to>
    <xdr:sp macro="" textlink="">
      <xdr:nvSpPr>
        <xdr:cNvPr id="43" name="Rectangle 42"/>
        <xdr:cNvSpPr/>
      </xdr:nvSpPr>
      <xdr:spPr>
        <a:xfrm>
          <a:off x="740833" y="43641698"/>
          <a:ext cx="9566387" cy="2147095"/>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r>
            <a:rPr lang="en-GB" sz="1200" b="1">
              <a:solidFill>
                <a:schemeClr val="dk1"/>
              </a:solidFill>
              <a:effectLst/>
              <a:latin typeface="+mn-lt"/>
              <a:ea typeface="+mn-ea"/>
              <a:cs typeface="+mn-cs"/>
            </a:rPr>
            <a:t>Why is oral health</a:t>
          </a:r>
          <a:r>
            <a:rPr lang="en-GB" sz="1200" b="1" baseline="0">
              <a:solidFill>
                <a:schemeClr val="dk1"/>
              </a:solidFill>
              <a:effectLst/>
              <a:latin typeface="+mn-lt"/>
              <a:ea typeface="+mn-ea"/>
              <a:cs typeface="+mn-cs"/>
            </a:rPr>
            <a:t> </a:t>
          </a:r>
          <a:r>
            <a:rPr lang="en-GB" sz="1200" b="1">
              <a:solidFill>
                <a:schemeClr val="dk1"/>
              </a:solidFill>
              <a:effectLst/>
              <a:latin typeface="+mn-lt"/>
              <a:ea typeface="+mn-ea"/>
              <a:cs typeface="+mn-cs"/>
            </a:rPr>
            <a:t>important?</a:t>
          </a:r>
        </a:p>
        <a:p>
          <a:endParaRPr lang="en-GB" sz="800">
            <a:effectLst/>
          </a:endParaRPr>
        </a:p>
        <a:p>
          <a:r>
            <a:rPr lang="en-GB" sz="1100">
              <a:solidFill>
                <a:schemeClr val="dk1"/>
              </a:solidFill>
              <a:effectLst/>
              <a:latin typeface="+mn-lt"/>
              <a:ea typeface="+mn-ea"/>
              <a:cs typeface="+mn-cs"/>
            </a:rPr>
            <a:t>Poor oral health in children is caused by poor diet, poor oral hygiene and lack of exposure to fluoride.  Children from socially disadvantaged groups experience disproportionately high levels of oral health problems.	</a:t>
          </a:r>
        </a:p>
        <a:p>
          <a:endParaRPr lang="en-GB" sz="800" b="0">
            <a:solidFill>
              <a:schemeClr val="dk1"/>
            </a:solidFill>
            <a:effectLst/>
            <a:latin typeface="+mn-lt"/>
            <a:ea typeface="+mn-ea"/>
            <a:cs typeface="+mn-cs"/>
          </a:endParaRPr>
        </a:p>
        <a:p>
          <a:r>
            <a:rPr lang="en-GB" sz="1200" b="1" baseline="0">
              <a:solidFill>
                <a:schemeClr val="dk1"/>
              </a:solidFill>
              <a:effectLst/>
              <a:latin typeface="+mn-lt"/>
              <a:ea typeface="+mn-ea"/>
              <a:cs typeface="+mn-cs"/>
            </a:rPr>
            <a:t>Indicators:</a:t>
          </a:r>
        </a:p>
        <a:p>
          <a:endParaRPr lang="en-GB" sz="800">
            <a:effectLst/>
          </a:endParaRPr>
        </a:p>
        <a:p>
          <a:pPr lvl="1"/>
          <a:r>
            <a:rPr lang="en-GB" sz="1100" b="0">
              <a:solidFill>
                <a:schemeClr val="dk1"/>
              </a:solidFill>
              <a:effectLst/>
              <a:latin typeface="+mn-lt"/>
              <a:ea typeface="+mn-ea"/>
              <a:cs typeface="+mn-cs"/>
            </a:rPr>
            <a:t>1. Number of decayed</a:t>
          </a:r>
          <a:r>
            <a:rPr lang="en-GB" sz="1100" b="0" baseline="0">
              <a:solidFill>
                <a:schemeClr val="dk1"/>
              </a:solidFill>
              <a:effectLst/>
              <a:latin typeface="+mn-lt"/>
              <a:ea typeface="+mn-ea"/>
              <a:cs typeface="+mn-cs"/>
            </a:rPr>
            <a:t> , missing or filled teeth</a:t>
          </a:r>
        </a:p>
        <a:p>
          <a:pPr lvl="1"/>
          <a:r>
            <a:rPr lang="en-GB" sz="1100" b="0" baseline="0">
              <a:solidFill>
                <a:schemeClr val="dk1"/>
              </a:solidFill>
              <a:effectLst/>
              <a:latin typeface="+mn-lt"/>
              <a:ea typeface="+mn-ea"/>
              <a:cs typeface="+mn-cs"/>
            </a:rPr>
            <a:t>2. Year on year improvements in numbers of child patients seen by NHS dentists		</a:t>
          </a:r>
          <a:r>
            <a:rPr lang="en-GB" sz="1100" b="1" baseline="0">
              <a:solidFill>
                <a:schemeClr val="dk1"/>
              </a:solidFill>
              <a:effectLst/>
              <a:latin typeface="+mn-lt"/>
              <a:ea typeface="+mn-ea"/>
              <a:cs typeface="+mn-cs"/>
            </a:rPr>
            <a:t>tbc</a:t>
          </a:r>
        </a:p>
        <a:p>
          <a:pPr lvl="1"/>
          <a:r>
            <a:rPr lang="en-GB" sz="1100" b="0" baseline="0">
              <a:solidFill>
                <a:schemeClr val="dk1"/>
              </a:solidFill>
              <a:effectLst/>
              <a:latin typeface="+mn-lt"/>
              <a:ea typeface="+mn-ea"/>
              <a:cs typeface="+mn-cs"/>
            </a:rPr>
            <a:t>3. Sales of toothbrushes and toothpaste in community shops remain constant or improved	</a:t>
          </a:r>
          <a:r>
            <a:rPr lang="en-GB" sz="1100" b="1" baseline="0">
              <a:solidFill>
                <a:schemeClr val="dk1"/>
              </a:solidFill>
              <a:effectLst/>
              <a:latin typeface="+mn-lt"/>
              <a:ea typeface="+mn-ea"/>
              <a:cs typeface="+mn-cs"/>
            </a:rPr>
            <a:t>tbc</a:t>
          </a:r>
        </a:p>
        <a:p>
          <a:pPr lvl="1"/>
          <a:r>
            <a:rPr lang="en-GB" sz="1100" b="0" baseline="0">
              <a:solidFill>
                <a:schemeClr val="dk1"/>
              </a:solidFill>
              <a:effectLst/>
              <a:latin typeface="+mn-lt"/>
              <a:ea typeface="+mn-ea"/>
              <a:cs typeface="+mn-cs"/>
            </a:rPr>
            <a:t>4. All relevant staff are trained in the West Sussex Oral Health Toolkit			</a:t>
          </a:r>
          <a:r>
            <a:rPr lang="en-GB" sz="1100" b="1" baseline="0">
              <a:solidFill>
                <a:schemeClr val="dk1"/>
              </a:solidFill>
              <a:effectLst/>
              <a:latin typeface="+mn-lt"/>
              <a:ea typeface="+mn-ea"/>
              <a:cs typeface="+mn-cs"/>
            </a:rPr>
            <a:t>tbc</a:t>
          </a:r>
        </a:p>
        <a:p>
          <a:endParaRPr lang="en-GB" sz="800" b="0">
            <a:solidFill>
              <a:schemeClr val="dk1"/>
            </a:solidFill>
            <a:effectLst/>
            <a:latin typeface="+mn-lt"/>
            <a:ea typeface="+mn-ea"/>
            <a:cs typeface="+mn-cs"/>
          </a:endParaRPr>
        </a:p>
        <a:p>
          <a:endParaRPr lang="en-GB" sz="800">
            <a:effectLst/>
          </a:endParaRPr>
        </a:p>
      </xdr:txBody>
    </xdr:sp>
    <xdr:clientData/>
  </xdr:twoCellAnchor>
  <xdr:twoCellAnchor editAs="oneCell">
    <xdr:from>
      <xdr:col>2</xdr:col>
      <xdr:colOff>4119</xdr:colOff>
      <xdr:row>337</xdr:row>
      <xdr:rowOff>173832</xdr:rowOff>
    </xdr:from>
    <xdr:to>
      <xdr:col>22</xdr:col>
      <xdr:colOff>3559</xdr:colOff>
      <xdr:row>339</xdr:row>
      <xdr:rowOff>115860</xdr:rowOff>
    </xdr:to>
    <xdr:grpSp>
      <xdr:nvGrpSpPr>
        <xdr:cNvPr id="44" name="Group 43"/>
        <xdr:cNvGrpSpPr/>
      </xdr:nvGrpSpPr>
      <xdr:grpSpPr>
        <a:xfrm>
          <a:off x="213669" y="70106382"/>
          <a:ext cx="10591240" cy="303978"/>
          <a:chOff x="219752" y="16256265"/>
          <a:chExt cx="10659783" cy="299214"/>
        </a:xfrm>
      </xdr:grpSpPr>
      <xdr:sp macro="" textlink="">
        <xdr:nvSpPr>
          <xdr:cNvPr id="45" name="Rectangle 44"/>
          <xdr:cNvSpPr/>
        </xdr:nvSpPr>
        <xdr:spPr>
          <a:xfrm>
            <a:off x="219752" y="16256265"/>
            <a:ext cx="10659783" cy="285750"/>
          </a:xfrm>
          <a:prstGeom prst="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t"/>
          <a:lstStyle/>
          <a:p>
            <a:pPr algn="l"/>
            <a:r>
              <a:rPr lang="en-GB" sz="1100" b="1"/>
              <a:t>Decayed,</a:t>
            </a:r>
            <a:r>
              <a:rPr lang="en-GB" sz="1100" b="1" baseline="0"/>
              <a:t> Missing or Filled Teeth</a:t>
            </a:r>
          </a:p>
          <a:p>
            <a:pPr algn="l"/>
            <a:endParaRPr lang="en-GB" sz="1100" b="1"/>
          </a:p>
        </xdr:txBody>
      </xdr:sp>
      <xdr:sp macro="" textlink="">
        <xdr:nvSpPr>
          <xdr:cNvPr id="46" name="TextBox 45">
            <a:hlinkClick xmlns:r="http://schemas.openxmlformats.org/officeDocument/2006/relationships" r:id="rId7"/>
          </xdr:cNvPr>
          <xdr:cNvSpPr txBox="1"/>
        </xdr:nvSpPr>
        <xdr:spPr>
          <a:xfrm>
            <a:off x="9549078" y="16262880"/>
            <a:ext cx="1329662" cy="2925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100" u="sng">
                <a:solidFill>
                  <a:schemeClr val="bg1"/>
                </a:solidFill>
              </a:rPr>
              <a:t>back to top</a:t>
            </a:r>
          </a:p>
        </xdr:txBody>
      </xdr:sp>
    </xdr:grpSp>
    <xdr:clientData/>
  </xdr:twoCellAnchor>
  <xdr:twoCellAnchor editAs="oneCell">
    <xdr:from>
      <xdr:col>3</xdr:col>
      <xdr:colOff>10584</xdr:colOff>
      <xdr:row>343</xdr:row>
      <xdr:rowOff>21167</xdr:rowOff>
    </xdr:from>
    <xdr:to>
      <xdr:col>20</xdr:col>
      <xdr:colOff>394606</xdr:colOff>
      <xdr:row>348</xdr:row>
      <xdr:rowOff>179917</xdr:rowOff>
    </xdr:to>
    <xdr:sp macro="" textlink="">
      <xdr:nvSpPr>
        <xdr:cNvPr id="47" name="Rectangle 46"/>
        <xdr:cNvSpPr/>
      </xdr:nvSpPr>
      <xdr:spPr>
        <a:xfrm>
          <a:off x="751417" y="47392167"/>
          <a:ext cx="9559772" cy="1111250"/>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r>
            <a:rPr lang="en-GB" sz="1200" b="1">
              <a:solidFill>
                <a:schemeClr val="dk1"/>
              </a:solidFill>
              <a:effectLst/>
              <a:latin typeface="+mn-lt"/>
              <a:ea typeface="+mn-ea"/>
              <a:cs typeface="+mn-cs"/>
            </a:rPr>
            <a:t>What helps?</a:t>
          </a:r>
        </a:p>
        <a:p>
          <a:endParaRPr lang="en-GB" sz="800">
            <a:effectLst/>
          </a:endParaRPr>
        </a:p>
        <a:p>
          <a:r>
            <a:rPr lang="en-GB" sz="1100">
              <a:solidFill>
                <a:schemeClr val="dk1"/>
              </a:solidFill>
              <a:effectLst/>
              <a:latin typeface="+mn-lt"/>
              <a:ea typeface="+mn-ea"/>
              <a:cs typeface="+mn-cs"/>
            </a:rPr>
            <a:t>The Children’s Workforce can support families to develop good oral hygiene from birth by promoting regular tooth-brushing, encouraging visits to the dentist, and advising parents to reduce sweets, sugary snacks and fizzy drinks.  Staff should proactively support families living in deprived areas because children living in those areas are more likely to have poor oral health.	</a:t>
          </a:r>
        </a:p>
      </xdr:txBody>
    </xdr:sp>
    <xdr:clientData/>
  </xdr:twoCellAnchor>
  <xdr:twoCellAnchor editAs="oneCell">
    <xdr:from>
      <xdr:col>1</xdr:col>
      <xdr:colOff>104775</xdr:colOff>
      <xdr:row>398</xdr:row>
      <xdr:rowOff>180975</xdr:rowOff>
    </xdr:from>
    <xdr:to>
      <xdr:col>22</xdr:col>
      <xdr:colOff>800</xdr:colOff>
      <xdr:row>400</xdr:row>
      <xdr:rowOff>103952</xdr:rowOff>
    </xdr:to>
    <xdr:grpSp>
      <xdr:nvGrpSpPr>
        <xdr:cNvPr id="48" name="Group 47"/>
        <xdr:cNvGrpSpPr/>
      </xdr:nvGrpSpPr>
      <xdr:grpSpPr>
        <a:xfrm>
          <a:off x="200025" y="87372825"/>
          <a:ext cx="10602125" cy="303977"/>
          <a:chOff x="219752" y="16256265"/>
          <a:chExt cx="10659783" cy="299214"/>
        </a:xfrm>
      </xdr:grpSpPr>
      <xdr:sp macro="" textlink="">
        <xdr:nvSpPr>
          <xdr:cNvPr id="49" name="Rectangle 48"/>
          <xdr:cNvSpPr/>
        </xdr:nvSpPr>
        <xdr:spPr>
          <a:xfrm>
            <a:off x="219752" y="16256265"/>
            <a:ext cx="10659783" cy="285750"/>
          </a:xfrm>
          <a:prstGeom prst="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t"/>
          <a:lstStyle/>
          <a:p>
            <a:pPr algn="l"/>
            <a:r>
              <a:rPr lang="en-GB" sz="1100" b="1"/>
              <a:t>Improving</a:t>
            </a:r>
            <a:r>
              <a:rPr lang="en-GB" sz="1100" b="1" baseline="0"/>
              <a:t> Children's Emotional Health and Wellbeing and Adult Mental Health (Ofsted KPI)</a:t>
            </a:r>
          </a:p>
          <a:p>
            <a:pPr algn="l"/>
            <a:endParaRPr lang="en-GB" sz="1100" b="1"/>
          </a:p>
        </xdr:txBody>
      </xdr:sp>
      <xdr:sp macro="" textlink="">
        <xdr:nvSpPr>
          <xdr:cNvPr id="50" name="TextBox 49">
            <a:hlinkClick xmlns:r="http://schemas.openxmlformats.org/officeDocument/2006/relationships" r:id="rId7"/>
          </xdr:cNvPr>
          <xdr:cNvSpPr txBox="1"/>
        </xdr:nvSpPr>
        <xdr:spPr>
          <a:xfrm>
            <a:off x="9549078" y="16262880"/>
            <a:ext cx="1329662" cy="2925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100" u="sng">
                <a:solidFill>
                  <a:schemeClr val="bg1"/>
                </a:solidFill>
              </a:rPr>
              <a:t>back to top</a:t>
            </a:r>
          </a:p>
        </xdr:txBody>
      </xdr:sp>
    </xdr:grpSp>
    <xdr:clientData/>
  </xdr:twoCellAnchor>
  <xdr:twoCellAnchor editAs="oneCell">
    <xdr:from>
      <xdr:col>2</xdr:col>
      <xdr:colOff>485775</xdr:colOff>
      <xdr:row>401</xdr:row>
      <xdr:rowOff>180974</xdr:rowOff>
    </xdr:from>
    <xdr:to>
      <xdr:col>20</xdr:col>
      <xdr:colOff>343012</xdr:colOff>
      <xdr:row>426</xdr:row>
      <xdr:rowOff>47625</xdr:rowOff>
    </xdr:to>
    <xdr:sp macro="" textlink="">
      <xdr:nvSpPr>
        <xdr:cNvPr id="51" name="Rectangle 50">
          <a:hlinkClick xmlns:r="http://schemas.openxmlformats.org/officeDocument/2006/relationships" r:id="rId8"/>
        </xdr:cNvPr>
        <xdr:cNvSpPr/>
      </xdr:nvSpPr>
      <xdr:spPr>
        <a:xfrm>
          <a:off x="695325" y="56035574"/>
          <a:ext cx="9620362" cy="4629151"/>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r>
            <a:rPr lang="en-GB" sz="1200" b="1">
              <a:solidFill>
                <a:schemeClr val="dk1"/>
              </a:solidFill>
              <a:effectLst/>
              <a:latin typeface="+mn-lt"/>
              <a:ea typeface="+mn-ea"/>
              <a:cs typeface="+mn-cs"/>
            </a:rPr>
            <a:t>Why is emotional wellbeing important?</a:t>
          </a:r>
        </a:p>
        <a:p>
          <a:endParaRPr lang="en-GB" sz="800">
            <a:effectLst/>
          </a:endParaRPr>
        </a:p>
        <a:p>
          <a:r>
            <a:rPr lang="en-GB" sz="1100">
              <a:solidFill>
                <a:schemeClr val="dk1"/>
              </a:solidFill>
              <a:effectLst/>
              <a:latin typeface="+mn-lt"/>
              <a:ea typeface="+mn-ea"/>
              <a:cs typeface="+mn-cs"/>
            </a:rPr>
            <a:t>Strong bonding and attachment between parent or carer and infant supports the development of empathy, trust and wellbeing in the child, and builds resilience to adverse life events or circumstances. The mental health of adults can have a direct impact on the emotional health and wellbeing of children and young people in their care.  See the </a:t>
          </a:r>
          <a:r>
            <a:rPr lang="en-GB" sz="1100" u="sng">
              <a:solidFill>
                <a:srgbClr val="191EE1"/>
              </a:solidFill>
              <a:effectLst/>
              <a:latin typeface="+mn-lt"/>
              <a:ea typeface="+mn-ea"/>
              <a:cs typeface="+mn-cs"/>
            </a:rPr>
            <a:t>Early</a:t>
          </a:r>
          <a:r>
            <a:rPr lang="en-GB" sz="1100" u="sng" baseline="0">
              <a:solidFill>
                <a:srgbClr val="191EE1"/>
              </a:solidFill>
              <a:effectLst/>
              <a:latin typeface="+mn-lt"/>
              <a:ea typeface="+mn-ea"/>
              <a:cs typeface="+mn-cs"/>
            </a:rPr>
            <a:t> Years High Impact Areas </a:t>
          </a:r>
          <a:r>
            <a:rPr lang="en-GB" sz="1100" baseline="0">
              <a:solidFill>
                <a:schemeClr val="dk1"/>
              </a:solidFill>
              <a:effectLst/>
              <a:latin typeface="+mn-lt"/>
              <a:ea typeface="+mn-ea"/>
              <a:cs typeface="+mn-cs"/>
            </a:rPr>
            <a:t>for further information on emotional health and wellbeing of children and their parents.</a:t>
          </a:r>
          <a:endParaRPr lang="en-GB" sz="1100">
            <a:solidFill>
              <a:schemeClr val="dk1"/>
            </a:solidFill>
            <a:effectLst/>
            <a:latin typeface="+mn-lt"/>
            <a:ea typeface="+mn-ea"/>
            <a:cs typeface="+mn-cs"/>
          </a:endParaRPr>
        </a:p>
        <a:p>
          <a:endParaRPr lang="en-GB" sz="800" b="0">
            <a:solidFill>
              <a:schemeClr val="dk1"/>
            </a:solidFill>
            <a:effectLst/>
            <a:latin typeface="+mn-lt"/>
            <a:ea typeface="+mn-ea"/>
            <a:cs typeface="+mn-cs"/>
          </a:endParaRPr>
        </a:p>
        <a:p>
          <a:r>
            <a:rPr lang="en-GB" sz="1200" b="1" baseline="0">
              <a:solidFill>
                <a:schemeClr val="dk1"/>
              </a:solidFill>
              <a:effectLst/>
              <a:latin typeface="+mn-lt"/>
              <a:ea typeface="+mn-ea"/>
              <a:cs typeface="+mn-cs"/>
            </a:rPr>
            <a:t>What helps?</a:t>
          </a:r>
        </a:p>
        <a:p>
          <a:endParaRPr lang="en-GB" sz="800" b="1" baseline="0">
            <a:solidFill>
              <a:schemeClr val="dk1"/>
            </a:solidFill>
            <a:effectLst/>
            <a:latin typeface="+mn-lt"/>
            <a:ea typeface="+mn-ea"/>
            <a:cs typeface="+mn-cs"/>
          </a:endParaRPr>
        </a:p>
        <a:p>
          <a:r>
            <a:rPr lang="en-GB" sz="1100">
              <a:solidFill>
                <a:schemeClr val="dk1"/>
              </a:solidFill>
              <a:effectLst/>
              <a:latin typeface="+mn-lt"/>
              <a:ea typeface="+mn-ea"/>
              <a:cs typeface="+mn-cs"/>
            </a:rPr>
            <a:t>The Children’s Workforce can play an important role in the effective delivery of attachment focused parenting programmes and supporting parents and carers with mental health problems with their family and parenting responsibilities. The perinatal mental health pathways will support appropriate referral to services. Children and Family Centres can also provide a non-stigmatising venue for counselling and other services.</a:t>
          </a:r>
        </a:p>
        <a:p>
          <a:endParaRPr lang="en-GB" sz="800" b="1" baseline="0">
            <a:solidFill>
              <a:schemeClr val="dk1"/>
            </a:solidFill>
            <a:effectLst/>
            <a:latin typeface="+mn-lt"/>
            <a:ea typeface="+mn-ea"/>
            <a:cs typeface="+mn-cs"/>
          </a:endParaRPr>
        </a:p>
        <a:p>
          <a:r>
            <a:rPr lang="en-GB" sz="1200" b="1" baseline="0">
              <a:solidFill>
                <a:schemeClr val="dk1"/>
              </a:solidFill>
              <a:effectLst/>
              <a:latin typeface="+mn-lt"/>
              <a:ea typeface="+mn-ea"/>
              <a:cs typeface="+mn-cs"/>
            </a:rPr>
            <a:t>Indicators:</a:t>
          </a:r>
        </a:p>
        <a:p>
          <a:endParaRPr lang="en-GB" sz="800">
            <a:effectLst/>
          </a:endParaRPr>
        </a:p>
        <a:p>
          <a:pPr lvl="1"/>
          <a:r>
            <a:rPr lang="en-GB" sz="1100" b="0">
              <a:solidFill>
                <a:schemeClr val="dk1"/>
              </a:solidFill>
              <a:effectLst/>
              <a:latin typeface="+mn-lt"/>
              <a:ea typeface="+mn-ea"/>
              <a:cs typeface="+mn-cs"/>
            </a:rPr>
            <a:t>1. Effectiveness of child and adolescent mental health (CAMHS)				</a:t>
          </a:r>
          <a:r>
            <a:rPr lang="en-GB" sz="1100" b="0" baseline="0">
              <a:solidFill>
                <a:schemeClr val="dk1"/>
              </a:solidFill>
              <a:effectLst/>
              <a:latin typeface="+mn-lt"/>
              <a:ea typeface="+mn-ea"/>
              <a:cs typeface="+mn-cs"/>
            </a:rPr>
            <a:t>         </a:t>
          </a:r>
          <a:r>
            <a:rPr lang="en-GB" sz="1100" b="1" baseline="0">
              <a:solidFill>
                <a:schemeClr val="dk1"/>
              </a:solidFill>
              <a:effectLst/>
              <a:latin typeface="+mn-lt"/>
              <a:ea typeface="+mn-ea"/>
              <a:cs typeface="+mn-cs"/>
            </a:rPr>
            <a:t>Not within this profile</a:t>
          </a:r>
          <a:endParaRPr lang="en-GB" sz="1100" b="1">
            <a:solidFill>
              <a:schemeClr val="dk1"/>
            </a:solidFill>
            <a:effectLst/>
            <a:latin typeface="+mn-lt"/>
            <a:ea typeface="+mn-ea"/>
            <a:cs typeface="+mn-cs"/>
          </a:endParaRPr>
        </a:p>
        <a:p>
          <a:pPr lvl="1"/>
          <a:r>
            <a:rPr lang="en-GB" sz="1100" b="0">
              <a:solidFill>
                <a:schemeClr val="dk1"/>
              </a:solidFill>
              <a:effectLst/>
              <a:latin typeface="+mn-lt"/>
              <a:ea typeface="+mn-ea"/>
              <a:cs typeface="+mn-cs"/>
            </a:rPr>
            <a:t>2.</a:t>
          </a:r>
          <a:r>
            <a:rPr lang="en-GB" sz="1100" b="0" baseline="0">
              <a:solidFill>
                <a:schemeClr val="dk1"/>
              </a:solidFill>
              <a:effectLst/>
              <a:latin typeface="+mn-lt"/>
              <a:ea typeface="+mn-ea"/>
              <a:cs typeface="+mn-cs"/>
            </a:rPr>
            <a:t> The achievement of children who have accessed services provided or commissioned by the centre, shown by the </a:t>
          </a:r>
        </a:p>
        <a:p>
          <a:pPr lvl="1"/>
          <a:r>
            <a:rPr lang="en-GB" sz="1100" b="0" baseline="0">
              <a:solidFill>
                <a:schemeClr val="dk1"/>
              </a:solidFill>
              <a:effectLst/>
              <a:latin typeface="+mn-lt"/>
              <a:ea typeface="+mn-ea"/>
              <a:cs typeface="+mn-cs"/>
            </a:rPr>
            <a:t>percentage of children attaining a Good Level of Development (GLD), which is children who have attained level two or</a:t>
          </a:r>
        </a:p>
        <a:p>
          <a:pPr lvl="1"/>
          <a:r>
            <a:rPr lang="en-GB" sz="1100" b="0" baseline="0">
              <a:solidFill>
                <a:schemeClr val="dk1"/>
              </a:solidFill>
              <a:effectLst/>
              <a:latin typeface="+mn-lt"/>
              <a:ea typeface="+mn-ea"/>
              <a:cs typeface="+mn-cs"/>
            </a:rPr>
            <a:t>more in all aspects of the Prime Areas of Learning, Literacy and Mathematics</a:t>
          </a:r>
        </a:p>
        <a:p>
          <a:pPr lvl="1"/>
          <a:r>
            <a:rPr lang="en-GB" sz="1100" b="0" baseline="0">
              <a:solidFill>
                <a:schemeClr val="dk1"/>
              </a:solidFill>
              <a:effectLst/>
              <a:latin typeface="+mn-lt"/>
              <a:ea typeface="+mn-ea"/>
              <a:cs typeface="+mn-cs"/>
            </a:rPr>
            <a:t>3. Number of people within a resource pool area accessing Solihull training (WSCC)			         </a:t>
          </a:r>
          <a:r>
            <a:rPr lang="en-GB" sz="1100" b="1" baseline="0">
              <a:solidFill>
                <a:schemeClr val="dk1"/>
              </a:solidFill>
              <a:effectLst/>
              <a:latin typeface="+mn-lt"/>
              <a:ea typeface="+mn-ea"/>
              <a:cs typeface="+mn-cs"/>
            </a:rPr>
            <a:t>Not within this profile</a:t>
          </a:r>
        </a:p>
        <a:p>
          <a:pPr lvl="1"/>
          <a:r>
            <a:rPr lang="en-GB" sz="1100" b="0" baseline="0">
              <a:solidFill>
                <a:schemeClr val="dk1"/>
              </a:solidFill>
              <a:effectLst/>
              <a:latin typeface="+mn-lt"/>
              <a:ea typeface="+mn-ea"/>
              <a:cs typeface="+mn-cs"/>
            </a:rPr>
            <a:t>4. 85% of mothers to be screened post-natally for post-natal depression</a:t>
          </a:r>
        </a:p>
        <a:p>
          <a:pPr lvl="1"/>
          <a:endParaRPr lang="en-GB" sz="1100" b="0" baseline="0">
            <a:solidFill>
              <a:schemeClr val="dk1"/>
            </a:solidFill>
            <a:effectLst/>
            <a:latin typeface="+mn-lt"/>
            <a:ea typeface="+mn-ea"/>
            <a:cs typeface="+mn-cs"/>
          </a:endParaRPr>
        </a:p>
        <a:p>
          <a:pPr lvl="0"/>
          <a:r>
            <a:rPr lang="en-GB" sz="1200" b="1">
              <a:solidFill>
                <a:schemeClr val="dk1"/>
              </a:solidFill>
              <a:effectLst/>
              <a:latin typeface="+mn-lt"/>
              <a:ea typeface="+mn-ea"/>
              <a:cs typeface="+mn-cs"/>
            </a:rPr>
            <a:t>Rationale for Indicators</a:t>
          </a:r>
        </a:p>
        <a:p>
          <a:endParaRPr lang="en-GB" sz="800">
            <a:effectLst/>
          </a:endParaRPr>
        </a:p>
        <a:p>
          <a:r>
            <a:rPr lang="en-GB" sz="1100">
              <a:effectLst/>
            </a:rPr>
            <a:t>Personal, social and emotional development, along with speech, language and communication are strong measures of developing empathy and resilience in children.  Low scores for either would indicate those children more likely to require intensive support.  All new mothers should be assessed by doctors, midwives and health visitors for PND.  Mothers who agree to a 6</a:t>
          </a:r>
          <a:r>
            <a:rPr lang="en-GB" sz="1100" baseline="0">
              <a:effectLst/>
            </a:rPr>
            <a:t> week post-natal</a:t>
          </a:r>
          <a:r>
            <a:rPr lang="en-GB" sz="1100">
              <a:effectLst/>
            </a:rPr>
            <a:t> visit from their Health Visitor are systematically assessed so that services can respond appropriately to local levels of need. West Sussex is using the Solihull and Five to Thrive approach to promote positive parenting skills, supporting both parent or carer and child.</a:t>
          </a:r>
        </a:p>
      </xdr:txBody>
    </xdr:sp>
    <xdr:clientData/>
  </xdr:twoCellAnchor>
  <xdr:twoCellAnchor editAs="oneCell">
    <xdr:from>
      <xdr:col>17</xdr:col>
      <xdr:colOff>85725</xdr:colOff>
      <xdr:row>414</xdr:row>
      <xdr:rowOff>152400</xdr:rowOff>
    </xdr:from>
    <xdr:to>
      <xdr:col>19</xdr:col>
      <xdr:colOff>38100</xdr:colOff>
      <xdr:row>417</xdr:row>
      <xdr:rowOff>28575</xdr:rowOff>
    </xdr:to>
    <xdr:sp macro="" textlink="">
      <xdr:nvSpPr>
        <xdr:cNvPr id="16" name="Rectangle 15"/>
        <xdr:cNvSpPr/>
      </xdr:nvSpPr>
      <xdr:spPr>
        <a:xfrm>
          <a:off x="8429625" y="57092850"/>
          <a:ext cx="1038225" cy="447675"/>
        </a:xfrm>
        <a:prstGeom prst="rect">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lang="en-GB" sz="1100" b="1"/>
            <a:t>OFSTED</a:t>
          </a:r>
          <a:r>
            <a:rPr lang="en-GB" sz="1100" b="1" baseline="0"/>
            <a:t> KPI</a:t>
          </a:r>
          <a:endParaRPr lang="en-GB" sz="1100" b="1"/>
        </a:p>
      </xdr:txBody>
    </xdr:sp>
    <xdr:clientData/>
  </xdr:twoCellAnchor>
  <xdr:twoCellAnchor editAs="oneCell">
    <xdr:from>
      <xdr:col>2</xdr:col>
      <xdr:colOff>0</xdr:colOff>
      <xdr:row>428</xdr:row>
      <xdr:rowOff>0</xdr:rowOff>
    </xdr:from>
    <xdr:to>
      <xdr:col>22</xdr:col>
      <xdr:colOff>4883</xdr:colOff>
      <xdr:row>429</xdr:row>
      <xdr:rowOff>123000</xdr:rowOff>
    </xdr:to>
    <xdr:grpSp>
      <xdr:nvGrpSpPr>
        <xdr:cNvPr id="52" name="Group 51"/>
        <xdr:cNvGrpSpPr/>
      </xdr:nvGrpSpPr>
      <xdr:grpSpPr>
        <a:xfrm>
          <a:off x="209550" y="92906850"/>
          <a:ext cx="10596683" cy="303975"/>
          <a:chOff x="219752" y="16256265"/>
          <a:chExt cx="10659783" cy="299214"/>
        </a:xfrm>
      </xdr:grpSpPr>
      <xdr:sp macro="" textlink="">
        <xdr:nvSpPr>
          <xdr:cNvPr id="53" name="Rectangle 52"/>
          <xdr:cNvSpPr/>
        </xdr:nvSpPr>
        <xdr:spPr>
          <a:xfrm>
            <a:off x="219752" y="16256265"/>
            <a:ext cx="10659783" cy="285750"/>
          </a:xfrm>
          <a:prstGeom prst="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t"/>
          <a:lstStyle/>
          <a:p>
            <a:pPr algn="l"/>
            <a:r>
              <a:rPr lang="en-GB" sz="1100" b="1"/>
              <a:t>Postnatal</a:t>
            </a:r>
            <a:r>
              <a:rPr lang="en-GB" sz="1100" b="1" baseline="0"/>
              <a:t> Depression</a:t>
            </a:r>
          </a:p>
          <a:p>
            <a:pPr algn="l"/>
            <a:endParaRPr lang="en-GB" sz="1100" b="1"/>
          </a:p>
        </xdr:txBody>
      </xdr:sp>
      <xdr:sp macro="" textlink="">
        <xdr:nvSpPr>
          <xdr:cNvPr id="54" name="TextBox 53">
            <a:hlinkClick xmlns:r="http://schemas.openxmlformats.org/officeDocument/2006/relationships" r:id="rId7"/>
          </xdr:cNvPr>
          <xdr:cNvSpPr txBox="1"/>
        </xdr:nvSpPr>
        <xdr:spPr>
          <a:xfrm>
            <a:off x="9549078" y="16262880"/>
            <a:ext cx="1329662" cy="2925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100" u="sng">
                <a:solidFill>
                  <a:schemeClr val="bg1"/>
                </a:solidFill>
              </a:rPr>
              <a:t>back to top</a:t>
            </a:r>
          </a:p>
        </xdr:txBody>
      </xdr:sp>
    </xdr:grpSp>
    <xdr:clientData/>
  </xdr:twoCellAnchor>
  <xdr:twoCellAnchor editAs="oneCell">
    <xdr:from>
      <xdr:col>2</xdr:col>
      <xdr:colOff>476250</xdr:colOff>
      <xdr:row>432</xdr:row>
      <xdr:rowOff>104775</xdr:rowOff>
    </xdr:from>
    <xdr:to>
      <xdr:col>20</xdr:col>
      <xdr:colOff>326872</xdr:colOff>
      <xdr:row>435</xdr:row>
      <xdr:rowOff>180975</xdr:rowOff>
    </xdr:to>
    <xdr:sp macro="" textlink="">
      <xdr:nvSpPr>
        <xdr:cNvPr id="55" name="Rectangle 54"/>
        <xdr:cNvSpPr/>
      </xdr:nvSpPr>
      <xdr:spPr>
        <a:xfrm>
          <a:off x="685800" y="67122675"/>
          <a:ext cx="9613747" cy="904875"/>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r>
            <a:rPr lang="en-GB" sz="1200" b="1">
              <a:solidFill>
                <a:schemeClr val="dk1"/>
              </a:solidFill>
              <a:effectLst/>
              <a:latin typeface="+mn-lt"/>
              <a:ea typeface="+mn-ea"/>
              <a:cs typeface="+mn-cs"/>
            </a:rPr>
            <a:t>What helps?</a:t>
          </a:r>
        </a:p>
        <a:p>
          <a:endParaRPr lang="en-GB" sz="800">
            <a:effectLst/>
          </a:endParaRPr>
        </a:p>
        <a:p>
          <a:r>
            <a:rPr lang="en-GB" sz="1100">
              <a:solidFill>
                <a:schemeClr val="dk1"/>
              </a:solidFill>
              <a:effectLst/>
              <a:latin typeface="+mn-lt"/>
              <a:ea typeface="+mn-ea"/>
              <a:cs typeface="+mn-cs"/>
            </a:rPr>
            <a:t>The Children's Workforce can encourage mothers to access social support from their families or other mothers, and by helping them to balance caring for a new baby with other aspects of their lives. They can help mothers who seek advice to access appropriate support through their Health Visitor, GP or Time to Talk service. </a:t>
          </a:r>
        </a:p>
      </xdr:txBody>
    </xdr:sp>
    <xdr:clientData/>
  </xdr:twoCellAnchor>
  <xdr:twoCellAnchor editAs="oneCell">
    <xdr:from>
      <xdr:col>2</xdr:col>
      <xdr:colOff>400050</xdr:colOff>
      <xdr:row>455</xdr:row>
      <xdr:rowOff>82622</xdr:rowOff>
    </xdr:from>
    <xdr:to>
      <xdr:col>20</xdr:col>
      <xdr:colOff>352425</xdr:colOff>
      <xdr:row>486</xdr:row>
      <xdr:rowOff>19046</xdr:rowOff>
    </xdr:to>
    <xdr:grpSp>
      <xdr:nvGrpSpPr>
        <xdr:cNvPr id="220" name="Group 353"/>
        <xdr:cNvGrpSpPr>
          <a:grpSpLocks/>
        </xdr:cNvGrpSpPr>
      </xdr:nvGrpSpPr>
      <xdr:grpSpPr bwMode="auto">
        <a:xfrm>
          <a:off x="609600" y="98942597"/>
          <a:ext cx="9715500" cy="5670474"/>
          <a:chOff x="35" y="7910"/>
          <a:chExt cx="900" cy="477"/>
        </a:xfrm>
      </xdr:grpSpPr>
      <xdr:sp macro="" textlink="">
        <xdr:nvSpPr>
          <xdr:cNvPr id="221" name="Text Box 312"/>
          <xdr:cNvSpPr txBox="1">
            <a:spLocks noChangeArrowheads="1"/>
          </xdr:cNvSpPr>
        </xdr:nvSpPr>
        <xdr:spPr bwMode="auto">
          <a:xfrm>
            <a:off x="35" y="8230"/>
            <a:ext cx="116" cy="94"/>
          </a:xfrm>
          <a:prstGeom prst="rect">
            <a:avLst/>
          </a:prstGeom>
          <a:solidFill>
            <a:srgbClr val="D3EBED"/>
          </a:solidFill>
          <a:ln w="3175">
            <a:solidFill>
              <a:srgbClr val="000000"/>
            </a:solidFill>
            <a:miter lim="800000"/>
            <a:headEnd/>
            <a:tailEnd/>
          </a:ln>
        </xdr:spPr>
        <xdr:txBody>
          <a:bodyPr vertOverflow="clip" wrap="square" lIns="91440" tIns="45720" rIns="91440" bIns="45720" anchor="t" upright="1"/>
          <a:lstStyle/>
          <a:p>
            <a:pPr algn="l" rtl="0">
              <a:lnSpc>
                <a:spcPts val="800"/>
              </a:lnSpc>
              <a:defRPr sz="1000"/>
            </a:pPr>
            <a:r>
              <a:rPr lang="en-GB" sz="800" b="0" i="0" u="none" strike="noStrike" baseline="0">
                <a:solidFill>
                  <a:srgbClr val="000000"/>
                </a:solidFill>
                <a:latin typeface="+mn-lt"/>
                <a:cs typeface="Calibri"/>
              </a:rPr>
              <a:t>12 week check .</a:t>
            </a:r>
          </a:p>
          <a:p>
            <a:pPr algn="l" rtl="0">
              <a:lnSpc>
                <a:spcPts val="800"/>
              </a:lnSpc>
              <a:defRPr sz="1000"/>
            </a:pPr>
            <a:r>
              <a:rPr lang="en-GB" sz="800" b="0" i="0" u="none" strike="noStrike" baseline="0">
                <a:solidFill>
                  <a:srgbClr val="000000"/>
                </a:solidFill>
                <a:latin typeface="+mn-lt"/>
                <a:cs typeface="Calibri"/>
              </a:rPr>
              <a:t>Women on database (with complete records)</a:t>
            </a:r>
          </a:p>
          <a:p>
            <a:pPr algn="l" rtl="0">
              <a:lnSpc>
                <a:spcPts val="900"/>
              </a:lnSpc>
              <a:defRPr sz="1000"/>
            </a:pPr>
            <a:r>
              <a:rPr lang="en-GB" sz="800" b="1" i="0" u="none" strike="noStrike" baseline="0">
                <a:solidFill>
                  <a:srgbClr val="0000FF"/>
                </a:solidFill>
                <a:latin typeface="+mn-lt"/>
                <a:cs typeface="Calibri"/>
              </a:rPr>
              <a:t>5,104</a:t>
            </a:r>
            <a:endParaRPr lang="en-GB" sz="800" b="0" i="0" u="none" strike="noStrike" baseline="0">
              <a:solidFill>
                <a:srgbClr val="000000"/>
              </a:solidFill>
              <a:latin typeface="+mn-lt"/>
              <a:cs typeface="Calibri"/>
            </a:endParaRPr>
          </a:p>
          <a:p>
            <a:pPr algn="l" rtl="0">
              <a:lnSpc>
                <a:spcPts val="1000"/>
              </a:lnSpc>
              <a:defRPr sz="1000"/>
            </a:pPr>
            <a:endParaRPr lang="en-GB" sz="1000" b="0" i="0" u="none" strike="noStrike" baseline="0">
              <a:solidFill>
                <a:srgbClr val="000000"/>
              </a:solidFill>
              <a:latin typeface="+mn-lt"/>
              <a:cs typeface="Calibri"/>
            </a:endParaRPr>
          </a:p>
        </xdr:txBody>
      </xdr:sp>
      <xdr:sp macro="" textlink="">
        <xdr:nvSpPr>
          <xdr:cNvPr id="222" name="Text Box 313"/>
          <xdr:cNvSpPr txBox="1">
            <a:spLocks noChangeArrowheads="1"/>
          </xdr:cNvSpPr>
        </xdr:nvSpPr>
        <xdr:spPr bwMode="auto">
          <a:xfrm>
            <a:off x="148" y="8147"/>
            <a:ext cx="92" cy="58"/>
          </a:xfrm>
          <a:prstGeom prst="rect">
            <a:avLst/>
          </a:prstGeom>
          <a:noFill/>
          <a:ln w="3175">
            <a:solidFill>
              <a:srgbClr val="000000"/>
            </a:solidFill>
            <a:miter lim="800000"/>
            <a:headEnd/>
            <a:tailEnd/>
          </a:ln>
          <a:extLst>
            <a:ext uri="{909E8E84-426E-40DD-AFC4-6F175D3DCCD1}">
              <a14:hiddenFill xmlns:a14="http://schemas.microsoft.com/office/drawing/2010/main">
                <a:solidFill>
                  <a:srgbClr val="D3EBED"/>
                </a:solidFill>
              </a14:hiddenFill>
            </a:ext>
          </a:extLst>
        </xdr:spPr>
        <xdr:txBody>
          <a:bodyPr vertOverflow="clip" wrap="square" lIns="91440" tIns="45720" rIns="91440" bIns="45720" anchor="t" upright="1"/>
          <a:lstStyle/>
          <a:p>
            <a:pPr algn="l" rtl="0">
              <a:lnSpc>
                <a:spcPts val="900"/>
              </a:lnSpc>
              <a:defRPr sz="1000"/>
            </a:pPr>
            <a:r>
              <a:rPr lang="en-GB" sz="800" b="0" i="0" u="none" strike="noStrike" baseline="0">
                <a:solidFill>
                  <a:srgbClr val="000000"/>
                </a:solidFill>
                <a:latin typeface="+mn-lt"/>
                <a:cs typeface="Calibri"/>
              </a:rPr>
              <a:t>Asked Whooley Screening Tool</a:t>
            </a:r>
          </a:p>
          <a:p>
            <a:pPr algn="l" rtl="0">
              <a:lnSpc>
                <a:spcPts val="1100"/>
              </a:lnSpc>
              <a:defRPr sz="1000"/>
            </a:pPr>
            <a:r>
              <a:rPr lang="en-GB" sz="800" b="1" i="0" u="none" strike="noStrike" baseline="0">
                <a:solidFill>
                  <a:srgbClr val="0000FF"/>
                </a:solidFill>
                <a:latin typeface="+mn-lt"/>
                <a:cs typeface="Calibri"/>
              </a:rPr>
              <a:t>5,048</a:t>
            </a:r>
            <a:endParaRPr lang="en-GB" sz="800" b="0" i="0" u="none" strike="noStrike" baseline="0">
              <a:solidFill>
                <a:srgbClr val="000000"/>
              </a:solidFill>
              <a:latin typeface="+mn-lt"/>
              <a:cs typeface="Calibri"/>
            </a:endParaRPr>
          </a:p>
          <a:p>
            <a:pPr algn="l" rtl="0">
              <a:lnSpc>
                <a:spcPts val="1100"/>
              </a:lnSpc>
              <a:defRPr sz="1000"/>
            </a:pPr>
            <a:endParaRPr lang="en-GB" sz="1000" b="0" i="0" u="none" strike="noStrike" baseline="0">
              <a:solidFill>
                <a:srgbClr val="000000"/>
              </a:solidFill>
              <a:latin typeface="+mn-lt"/>
              <a:cs typeface="Calibri"/>
            </a:endParaRPr>
          </a:p>
        </xdr:txBody>
      </xdr:sp>
      <xdr:sp macro="" textlink="">
        <xdr:nvSpPr>
          <xdr:cNvPr id="223" name="Line 314"/>
          <xdr:cNvSpPr>
            <a:spLocks noChangeShapeType="1"/>
          </xdr:cNvSpPr>
        </xdr:nvSpPr>
        <xdr:spPr bwMode="auto">
          <a:xfrm flipV="1">
            <a:off x="80" y="8185"/>
            <a:ext cx="0" cy="45"/>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224" name="Line 315"/>
          <xdr:cNvSpPr>
            <a:spLocks noChangeShapeType="1"/>
          </xdr:cNvSpPr>
        </xdr:nvSpPr>
        <xdr:spPr bwMode="auto">
          <a:xfrm>
            <a:off x="80" y="8185"/>
            <a:ext cx="61"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225" name="Text Box 316"/>
          <xdr:cNvSpPr txBox="1">
            <a:spLocks noChangeArrowheads="1"/>
          </xdr:cNvSpPr>
        </xdr:nvSpPr>
        <xdr:spPr bwMode="auto">
          <a:xfrm>
            <a:off x="277" y="8071"/>
            <a:ext cx="151" cy="62"/>
          </a:xfrm>
          <a:prstGeom prst="rect">
            <a:avLst/>
          </a:prstGeom>
          <a:noFill/>
          <a:ln w="3175">
            <a:solidFill>
              <a:srgbClr val="000000"/>
            </a:solidFill>
            <a:miter lim="800000"/>
            <a:headEnd/>
            <a:tailEnd/>
          </a:ln>
          <a:extLst>
            <a:ext uri="{909E8E84-426E-40DD-AFC4-6F175D3DCCD1}">
              <a14:hiddenFill xmlns:a14="http://schemas.microsoft.com/office/drawing/2010/main">
                <a:solidFill>
                  <a:srgbClr val="D3EBED"/>
                </a:solidFill>
              </a14:hiddenFill>
            </a:ext>
          </a:extLst>
        </xdr:spPr>
        <xdr:txBody>
          <a:bodyPr vertOverflow="clip" wrap="square" lIns="91440" tIns="45720" rIns="91440" bIns="45720" anchor="t" upright="1"/>
          <a:lstStyle/>
          <a:p>
            <a:pPr algn="l" rtl="0">
              <a:lnSpc>
                <a:spcPts val="800"/>
              </a:lnSpc>
              <a:defRPr sz="1000"/>
            </a:pPr>
            <a:r>
              <a:rPr lang="en-GB" sz="800" b="0" i="0" u="none" strike="noStrike" baseline="0">
                <a:solidFill>
                  <a:srgbClr val="000000"/>
                </a:solidFill>
                <a:latin typeface="+mn-lt"/>
                <a:cs typeface="Calibri"/>
              </a:rPr>
              <a:t>Answered ‘Yes’ on Woolley to Question 5 or Question 6</a:t>
            </a:r>
          </a:p>
          <a:p>
            <a:pPr algn="l" rtl="0">
              <a:lnSpc>
                <a:spcPts val="900"/>
              </a:lnSpc>
              <a:defRPr sz="1000"/>
            </a:pPr>
            <a:r>
              <a:rPr lang="en-GB" sz="800" b="1" i="0" u="none" strike="noStrike" baseline="0">
                <a:solidFill>
                  <a:srgbClr val="0000FF"/>
                </a:solidFill>
                <a:latin typeface="+mn-lt"/>
                <a:cs typeface="Calibri"/>
              </a:rPr>
              <a:t>614</a:t>
            </a:r>
            <a:endParaRPr lang="en-GB" sz="800" b="0" i="0" u="none" strike="noStrike" baseline="0">
              <a:solidFill>
                <a:srgbClr val="000000"/>
              </a:solidFill>
              <a:latin typeface="+mn-lt"/>
              <a:cs typeface="Calibri"/>
            </a:endParaRPr>
          </a:p>
          <a:p>
            <a:pPr algn="l" rtl="0">
              <a:lnSpc>
                <a:spcPts val="800"/>
              </a:lnSpc>
              <a:defRPr sz="1000"/>
            </a:pPr>
            <a:endParaRPr lang="en-GB" sz="800" b="0" i="0" u="none" strike="noStrike" baseline="0">
              <a:solidFill>
                <a:srgbClr val="000000"/>
              </a:solidFill>
              <a:latin typeface="+mn-lt"/>
              <a:cs typeface="Calibri"/>
            </a:endParaRPr>
          </a:p>
        </xdr:txBody>
      </xdr:sp>
      <xdr:sp macro="" textlink="">
        <xdr:nvSpPr>
          <xdr:cNvPr id="226" name="Text Box 317"/>
          <xdr:cNvSpPr txBox="1">
            <a:spLocks noChangeArrowheads="1"/>
          </xdr:cNvSpPr>
        </xdr:nvSpPr>
        <xdr:spPr bwMode="auto">
          <a:xfrm>
            <a:off x="269" y="8283"/>
            <a:ext cx="152" cy="56"/>
          </a:xfrm>
          <a:prstGeom prst="rect">
            <a:avLst/>
          </a:prstGeom>
          <a:noFill/>
          <a:ln w="3175">
            <a:solidFill>
              <a:srgbClr val="000000"/>
            </a:solidFill>
            <a:miter lim="800000"/>
            <a:headEnd/>
            <a:tailEnd/>
          </a:ln>
          <a:extLst>
            <a:ext uri="{909E8E84-426E-40DD-AFC4-6F175D3DCCD1}">
              <a14:hiddenFill xmlns:a14="http://schemas.microsoft.com/office/drawing/2010/main">
                <a:solidFill>
                  <a:srgbClr val="D3EBED"/>
                </a:solidFill>
              </a14:hiddenFill>
            </a:ext>
          </a:extLst>
        </xdr:spPr>
        <xdr:txBody>
          <a:bodyPr vertOverflow="clip" wrap="square" lIns="91440" tIns="45720" rIns="91440" bIns="45720" anchor="t" upright="1"/>
          <a:lstStyle/>
          <a:p>
            <a:pPr algn="l" rtl="0">
              <a:lnSpc>
                <a:spcPts val="900"/>
              </a:lnSpc>
              <a:defRPr sz="1000"/>
            </a:pPr>
            <a:r>
              <a:rPr lang="en-GB" sz="800" b="0" i="0" u="none" strike="noStrike" baseline="0">
                <a:solidFill>
                  <a:srgbClr val="000000"/>
                </a:solidFill>
                <a:latin typeface="+mn-lt"/>
                <a:cs typeface="Calibri"/>
              </a:rPr>
              <a:t>Answered ‘No’ on Whooley to Question 5 or Question 6</a:t>
            </a:r>
          </a:p>
          <a:p>
            <a:pPr algn="l" rtl="0">
              <a:lnSpc>
                <a:spcPts val="1100"/>
              </a:lnSpc>
              <a:defRPr sz="1000"/>
            </a:pPr>
            <a:r>
              <a:rPr lang="en-GB" sz="800" b="1" i="0" u="none" strike="noStrike" baseline="0">
                <a:solidFill>
                  <a:srgbClr val="0000FF"/>
                </a:solidFill>
                <a:latin typeface="+mn-lt"/>
                <a:cs typeface="Calibri"/>
              </a:rPr>
              <a:t>4,434</a:t>
            </a:r>
            <a:endParaRPr lang="en-GB" sz="800" b="0" i="0" u="none" strike="noStrike" baseline="0">
              <a:solidFill>
                <a:srgbClr val="000000"/>
              </a:solidFill>
              <a:latin typeface="+mn-lt"/>
              <a:cs typeface="Calibri"/>
            </a:endParaRPr>
          </a:p>
          <a:p>
            <a:pPr algn="l" rtl="0">
              <a:lnSpc>
                <a:spcPts val="1100"/>
              </a:lnSpc>
              <a:defRPr sz="1000"/>
            </a:pPr>
            <a:endParaRPr lang="en-GB" sz="1000" b="0" i="0" u="none" strike="noStrike" baseline="0">
              <a:solidFill>
                <a:srgbClr val="000000"/>
              </a:solidFill>
              <a:latin typeface="+mn-lt"/>
              <a:cs typeface="Calibri"/>
            </a:endParaRPr>
          </a:p>
        </xdr:txBody>
      </xdr:sp>
      <xdr:sp macro="" textlink="">
        <xdr:nvSpPr>
          <xdr:cNvPr id="227" name="Line 318"/>
          <xdr:cNvSpPr>
            <a:spLocks noChangeShapeType="1"/>
          </xdr:cNvSpPr>
        </xdr:nvSpPr>
        <xdr:spPr bwMode="auto">
          <a:xfrm>
            <a:off x="186" y="8101"/>
            <a:ext cx="91"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228" name="Line 319"/>
          <xdr:cNvSpPr>
            <a:spLocks noChangeShapeType="1"/>
          </xdr:cNvSpPr>
        </xdr:nvSpPr>
        <xdr:spPr bwMode="auto">
          <a:xfrm>
            <a:off x="186" y="8101"/>
            <a:ext cx="0" cy="46"/>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229" name="Line 320"/>
          <xdr:cNvSpPr>
            <a:spLocks noChangeShapeType="1"/>
          </xdr:cNvSpPr>
        </xdr:nvSpPr>
        <xdr:spPr bwMode="auto">
          <a:xfrm>
            <a:off x="179" y="8207"/>
            <a:ext cx="0" cy="106"/>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230" name="Line 321"/>
          <xdr:cNvSpPr>
            <a:spLocks noChangeShapeType="1"/>
          </xdr:cNvSpPr>
        </xdr:nvSpPr>
        <xdr:spPr bwMode="auto">
          <a:xfrm>
            <a:off x="179" y="8313"/>
            <a:ext cx="9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231" name="Text Box 322"/>
          <xdr:cNvSpPr txBox="1">
            <a:spLocks noChangeArrowheads="1"/>
          </xdr:cNvSpPr>
        </xdr:nvSpPr>
        <xdr:spPr bwMode="auto">
          <a:xfrm>
            <a:off x="466" y="8048"/>
            <a:ext cx="170" cy="45"/>
          </a:xfrm>
          <a:prstGeom prst="rect">
            <a:avLst/>
          </a:prstGeom>
          <a:noFill/>
          <a:ln w="3175">
            <a:solidFill>
              <a:srgbClr val="000000"/>
            </a:solidFill>
            <a:miter lim="800000"/>
            <a:headEnd/>
            <a:tailEnd/>
          </a:ln>
          <a:extLst>
            <a:ext uri="{909E8E84-426E-40DD-AFC4-6F175D3DCCD1}">
              <a14:hiddenFill xmlns:a14="http://schemas.microsoft.com/office/drawing/2010/main">
                <a:solidFill>
                  <a:srgbClr val="D3EBED"/>
                </a:solidFill>
              </a14:hiddenFill>
            </a:ext>
          </a:extLst>
        </xdr:spPr>
        <xdr:txBody>
          <a:bodyPr vertOverflow="clip" wrap="square" lIns="91440" tIns="45720" rIns="91440" bIns="45720" anchor="t" upright="1"/>
          <a:lstStyle/>
          <a:p>
            <a:pPr algn="l" rtl="0">
              <a:lnSpc>
                <a:spcPts val="900"/>
              </a:lnSpc>
              <a:defRPr sz="1000"/>
            </a:pPr>
            <a:r>
              <a:rPr lang="en-GB" sz="800" b="0" i="0" u="none" strike="noStrike" baseline="0">
                <a:solidFill>
                  <a:srgbClr val="000000"/>
                </a:solidFill>
                <a:latin typeface="+mn-lt"/>
                <a:cs typeface="Calibri"/>
              </a:rPr>
              <a:t>Screened using Edinburgh Tool</a:t>
            </a:r>
          </a:p>
          <a:p>
            <a:pPr algn="l" rtl="0">
              <a:lnSpc>
                <a:spcPts val="1000"/>
              </a:lnSpc>
              <a:defRPr sz="1000"/>
            </a:pPr>
            <a:r>
              <a:rPr lang="en-GB" sz="800" b="1" i="0" u="none" strike="noStrike" baseline="0">
                <a:solidFill>
                  <a:srgbClr val="0000FF"/>
                </a:solidFill>
                <a:latin typeface="+mn-lt"/>
                <a:cs typeface="Calibri"/>
              </a:rPr>
              <a:t>340</a:t>
            </a:r>
            <a:endParaRPr lang="en-GB" sz="800" b="0" i="0" u="none" strike="noStrike" baseline="0">
              <a:solidFill>
                <a:srgbClr val="000000"/>
              </a:solidFill>
              <a:latin typeface="+mn-lt"/>
              <a:cs typeface="Calibri"/>
            </a:endParaRPr>
          </a:p>
          <a:p>
            <a:pPr algn="l" rtl="0">
              <a:lnSpc>
                <a:spcPts val="1000"/>
              </a:lnSpc>
              <a:defRPr sz="1000"/>
            </a:pPr>
            <a:endParaRPr lang="en-GB" sz="1000" b="0" i="0" u="none" strike="noStrike" baseline="0">
              <a:solidFill>
                <a:srgbClr val="000000"/>
              </a:solidFill>
              <a:latin typeface="+mn-lt"/>
              <a:cs typeface="Calibri"/>
            </a:endParaRPr>
          </a:p>
        </xdr:txBody>
      </xdr:sp>
      <xdr:sp macro="" textlink="">
        <xdr:nvSpPr>
          <xdr:cNvPr id="232" name="Text Box 323"/>
          <xdr:cNvSpPr txBox="1">
            <a:spLocks noChangeArrowheads="1"/>
          </xdr:cNvSpPr>
        </xdr:nvSpPr>
        <xdr:spPr bwMode="auto">
          <a:xfrm>
            <a:off x="466" y="8109"/>
            <a:ext cx="170" cy="24"/>
          </a:xfrm>
          <a:prstGeom prst="rect">
            <a:avLst/>
          </a:prstGeom>
          <a:noFill/>
          <a:ln w="3175">
            <a:solidFill>
              <a:srgbClr val="000000"/>
            </a:solidFill>
            <a:miter lim="800000"/>
            <a:headEnd/>
            <a:tailEnd/>
          </a:ln>
          <a:extLst>
            <a:ext uri="{909E8E84-426E-40DD-AFC4-6F175D3DCCD1}">
              <a14:hiddenFill xmlns:a14="http://schemas.microsoft.com/office/drawing/2010/main">
                <a:solidFill>
                  <a:srgbClr val="D3EBED"/>
                </a:solidFill>
              </a14:hiddenFill>
            </a:ext>
          </a:extLst>
        </xdr:spPr>
        <xdr:txBody>
          <a:bodyPr vertOverflow="clip" wrap="square" lIns="91440" tIns="45720" rIns="91440" bIns="45720" anchor="t" upright="1"/>
          <a:lstStyle/>
          <a:p>
            <a:pPr algn="l" rtl="0">
              <a:lnSpc>
                <a:spcPts val="1000"/>
              </a:lnSpc>
              <a:defRPr sz="1000"/>
            </a:pPr>
            <a:r>
              <a:rPr lang="en-GB" sz="800" b="0" i="0" u="none" strike="noStrike" baseline="0">
                <a:solidFill>
                  <a:srgbClr val="000000"/>
                </a:solidFill>
                <a:latin typeface="+mn-lt"/>
                <a:cs typeface="Calibri"/>
              </a:rPr>
              <a:t>Not Screened </a:t>
            </a:r>
            <a:r>
              <a:rPr lang="en-GB" sz="800" b="1" i="0" u="none" strike="noStrike" baseline="0">
                <a:solidFill>
                  <a:srgbClr val="0000FF"/>
                </a:solidFill>
                <a:latin typeface="+mn-lt"/>
                <a:cs typeface="Calibri"/>
              </a:rPr>
              <a:t>274</a:t>
            </a:r>
            <a:endParaRPr lang="en-GB" sz="800" b="0" i="0" u="none" strike="noStrike" baseline="0">
              <a:solidFill>
                <a:srgbClr val="000000"/>
              </a:solidFill>
              <a:latin typeface="+mn-lt"/>
              <a:cs typeface="Calibri"/>
            </a:endParaRPr>
          </a:p>
          <a:p>
            <a:pPr algn="l" rtl="0">
              <a:lnSpc>
                <a:spcPts val="1000"/>
              </a:lnSpc>
              <a:defRPr sz="1000"/>
            </a:pPr>
            <a:endParaRPr lang="en-GB" sz="1000" b="0" i="0" u="none" strike="noStrike" baseline="0">
              <a:solidFill>
                <a:srgbClr val="000000"/>
              </a:solidFill>
              <a:latin typeface="+mn-lt"/>
              <a:cs typeface="Calibri"/>
            </a:endParaRPr>
          </a:p>
        </xdr:txBody>
      </xdr:sp>
      <xdr:sp macro="" textlink="">
        <xdr:nvSpPr>
          <xdr:cNvPr id="233" name="Line 324"/>
          <xdr:cNvSpPr>
            <a:spLocks noChangeShapeType="1"/>
          </xdr:cNvSpPr>
        </xdr:nvSpPr>
        <xdr:spPr bwMode="auto">
          <a:xfrm flipV="1">
            <a:off x="436" y="8086"/>
            <a:ext cx="23" cy="8"/>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234" name="Line 325"/>
          <xdr:cNvSpPr>
            <a:spLocks noChangeShapeType="1"/>
          </xdr:cNvSpPr>
        </xdr:nvSpPr>
        <xdr:spPr bwMode="auto">
          <a:xfrm>
            <a:off x="436" y="8109"/>
            <a:ext cx="23" cy="7"/>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235" name="Text Box 326"/>
          <xdr:cNvSpPr txBox="1">
            <a:spLocks noChangeArrowheads="1"/>
          </xdr:cNvSpPr>
        </xdr:nvSpPr>
        <xdr:spPr bwMode="auto">
          <a:xfrm>
            <a:off x="459" y="8253"/>
            <a:ext cx="173" cy="46"/>
          </a:xfrm>
          <a:prstGeom prst="rect">
            <a:avLst/>
          </a:prstGeom>
          <a:noFill/>
          <a:ln w="3175">
            <a:solidFill>
              <a:srgbClr val="000000"/>
            </a:solidFill>
            <a:miter lim="800000"/>
            <a:headEnd/>
            <a:tailEnd/>
          </a:ln>
          <a:extLst>
            <a:ext uri="{909E8E84-426E-40DD-AFC4-6F175D3DCCD1}">
              <a14:hiddenFill xmlns:a14="http://schemas.microsoft.com/office/drawing/2010/main">
                <a:solidFill>
                  <a:srgbClr val="D3EBED"/>
                </a:solidFill>
              </a14:hiddenFill>
            </a:ext>
          </a:extLst>
        </xdr:spPr>
        <xdr:txBody>
          <a:bodyPr vertOverflow="clip" wrap="square" lIns="91440" tIns="45720" rIns="91440" bIns="45720" anchor="t" upright="1"/>
          <a:lstStyle/>
          <a:p>
            <a:pPr algn="l" rtl="0">
              <a:lnSpc>
                <a:spcPts val="900"/>
              </a:lnSpc>
              <a:defRPr sz="1000"/>
            </a:pPr>
            <a:r>
              <a:rPr lang="en-GB" sz="800" b="0" i="0" u="none" strike="noStrike" baseline="0">
                <a:solidFill>
                  <a:srgbClr val="000000"/>
                </a:solidFill>
                <a:latin typeface="+mn-lt"/>
                <a:cs typeface="Calibri"/>
              </a:rPr>
              <a:t>Screened using Edinburgh Tool</a:t>
            </a:r>
          </a:p>
          <a:p>
            <a:pPr algn="l" rtl="0">
              <a:lnSpc>
                <a:spcPts val="1000"/>
              </a:lnSpc>
              <a:defRPr sz="1000"/>
            </a:pPr>
            <a:r>
              <a:rPr lang="en-GB" sz="800" b="1" i="0" u="none" strike="noStrike" baseline="0">
                <a:solidFill>
                  <a:srgbClr val="0000FF"/>
                </a:solidFill>
                <a:latin typeface="+mn-lt"/>
                <a:cs typeface="Calibri"/>
              </a:rPr>
              <a:t>233</a:t>
            </a:r>
            <a:endParaRPr lang="en-GB" sz="800" b="0" i="0" u="none" strike="noStrike" baseline="0">
              <a:solidFill>
                <a:srgbClr val="000000"/>
              </a:solidFill>
              <a:latin typeface="+mn-lt"/>
              <a:cs typeface="Calibri"/>
            </a:endParaRPr>
          </a:p>
          <a:p>
            <a:pPr algn="l" rtl="0">
              <a:lnSpc>
                <a:spcPts val="1000"/>
              </a:lnSpc>
              <a:defRPr sz="1000"/>
            </a:pPr>
            <a:endParaRPr lang="en-GB" sz="1000" b="0" i="0" u="none" strike="noStrike" baseline="0">
              <a:solidFill>
                <a:srgbClr val="000000"/>
              </a:solidFill>
              <a:latin typeface="+mn-lt"/>
              <a:cs typeface="Calibri"/>
            </a:endParaRPr>
          </a:p>
        </xdr:txBody>
      </xdr:sp>
      <xdr:sp macro="" textlink="">
        <xdr:nvSpPr>
          <xdr:cNvPr id="236" name="Text Box 327"/>
          <xdr:cNvSpPr txBox="1">
            <a:spLocks noChangeArrowheads="1"/>
          </xdr:cNvSpPr>
        </xdr:nvSpPr>
        <xdr:spPr bwMode="auto">
          <a:xfrm>
            <a:off x="459" y="8313"/>
            <a:ext cx="173" cy="27"/>
          </a:xfrm>
          <a:prstGeom prst="rect">
            <a:avLst/>
          </a:prstGeom>
          <a:noFill/>
          <a:ln w="3175">
            <a:solidFill>
              <a:srgbClr val="000000"/>
            </a:solidFill>
            <a:miter lim="800000"/>
            <a:headEnd/>
            <a:tailEnd/>
          </a:ln>
          <a:extLst>
            <a:ext uri="{909E8E84-426E-40DD-AFC4-6F175D3DCCD1}">
              <a14:hiddenFill xmlns:a14="http://schemas.microsoft.com/office/drawing/2010/main">
                <a:solidFill>
                  <a:srgbClr val="D3EBED"/>
                </a:solidFill>
              </a14:hiddenFill>
            </a:ext>
          </a:extLst>
        </xdr:spPr>
        <xdr:txBody>
          <a:bodyPr vertOverflow="clip" wrap="square" lIns="91440" tIns="45720" rIns="91440" bIns="45720" anchor="t" upright="1"/>
          <a:lstStyle/>
          <a:p>
            <a:pPr algn="l" rtl="0">
              <a:lnSpc>
                <a:spcPts val="1000"/>
              </a:lnSpc>
              <a:defRPr sz="1000"/>
            </a:pPr>
            <a:r>
              <a:rPr lang="en-GB" sz="800" b="0" i="0" u="none" strike="noStrike" baseline="0">
                <a:solidFill>
                  <a:srgbClr val="000000"/>
                </a:solidFill>
                <a:latin typeface="+mn-lt"/>
                <a:cs typeface="Calibri"/>
              </a:rPr>
              <a:t>Not Screened </a:t>
            </a:r>
            <a:r>
              <a:rPr lang="en-GB" sz="800" b="1" i="0" u="none" strike="noStrike" baseline="0">
                <a:solidFill>
                  <a:srgbClr val="0000FF"/>
                </a:solidFill>
                <a:latin typeface="+mn-lt"/>
                <a:cs typeface="Calibri"/>
              </a:rPr>
              <a:t>4,201</a:t>
            </a:r>
            <a:endParaRPr lang="en-GB" sz="800" b="0" i="0" u="none" strike="noStrike" baseline="0">
              <a:solidFill>
                <a:srgbClr val="000000"/>
              </a:solidFill>
              <a:latin typeface="+mn-lt"/>
              <a:cs typeface="Calibri"/>
            </a:endParaRPr>
          </a:p>
          <a:p>
            <a:pPr algn="l" rtl="0">
              <a:lnSpc>
                <a:spcPts val="1000"/>
              </a:lnSpc>
              <a:defRPr sz="1000"/>
            </a:pPr>
            <a:endParaRPr lang="en-GB" sz="1000" b="0" i="0" u="none" strike="noStrike" baseline="0">
              <a:solidFill>
                <a:srgbClr val="000000"/>
              </a:solidFill>
              <a:latin typeface="+mn-lt"/>
              <a:cs typeface="Calibri"/>
            </a:endParaRPr>
          </a:p>
        </xdr:txBody>
      </xdr:sp>
      <xdr:sp macro="" textlink="">
        <xdr:nvSpPr>
          <xdr:cNvPr id="237" name="Line 328"/>
          <xdr:cNvSpPr>
            <a:spLocks noChangeShapeType="1"/>
          </xdr:cNvSpPr>
        </xdr:nvSpPr>
        <xdr:spPr bwMode="auto">
          <a:xfrm flipV="1">
            <a:off x="428" y="8290"/>
            <a:ext cx="23" cy="8"/>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238" name="Line 329"/>
          <xdr:cNvSpPr>
            <a:spLocks noChangeShapeType="1"/>
          </xdr:cNvSpPr>
        </xdr:nvSpPr>
        <xdr:spPr bwMode="auto">
          <a:xfrm>
            <a:off x="428" y="8313"/>
            <a:ext cx="23" cy="8"/>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239" name="Line 330"/>
          <xdr:cNvSpPr>
            <a:spLocks noChangeShapeType="1"/>
          </xdr:cNvSpPr>
        </xdr:nvSpPr>
        <xdr:spPr bwMode="auto">
          <a:xfrm>
            <a:off x="784" y="8033"/>
            <a:ext cx="27"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240" name="Text Box 331"/>
          <xdr:cNvSpPr txBox="1">
            <a:spLocks noChangeArrowheads="1"/>
          </xdr:cNvSpPr>
        </xdr:nvSpPr>
        <xdr:spPr bwMode="auto">
          <a:xfrm>
            <a:off x="814" y="8139"/>
            <a:ext cx="121" cy="48"/>
          </a:xfrm>
          <a:prstGeom prst="rect">
            <a:avLst/>
          </a:prstGeom>
          <a:solidFill>
            <a:srgbClr xmlns:mc="http://schemas.openxmlformats.org/markup-compatibility/2006" xmlns:a14="http://schemas.microsoft.com/office/drawing/2010/main" val="FFFF00" mc:Ignorable="a14" a14:legacySpreadsheetColorIndex="13"/>
          </a:solidFill>
          <a:ln w="3175">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91440" tIns="45720" rIns="91440" bIns="45720" anchor="t" upright="1"/>
          <a:lstStyle/>
          <a:p>
            <a:pPr algn="l" rtl="0">
              <a:lnSpc>
                <a:spcPts val="900"/>
              </a:lnSpc>
              <a:defRPr sz="1000"/>
            </a:pPr>
            <a:r>
              <a:rPr lang="en-GB" sz="800" b="0" i="0" u="none" strike="noStrike" baseline="0">
                <a:solidFill>
                  <a:srgbClr val="000000"/>
                </a:solidFill>
                <a:latin typeface="+mn-lt"/>
                <a:cs typeface="Calibri"/>
              </a:rPr>
              <a:t>More help requested</a:t>
            </a:r>
          </a:p>
          <a:p>
            <a:pPr algn="l" rtl="0">
              <a:lnSpc>
                <a:spcPts val="1000"/>
              </a:lnSpc>
              <a:defRPr sz="1000"/>
            </a:pPr>
            <a:r>
              <a:rPr lang="en-GB" sz="800" b="1" i="0" u="none" strike="noStrike" baseline="0">
                <a:solidFill>
                  <a:srgbClr val="0000FF"/>
                </a:solidFill>
                <a:latin typeface="+mn-lt"/>
                <a:cs typeface="Calibri"/>
              </a:rPr>
              <a:t>87</a:t>
            </a:r>
            <a:endParaRPr lang="en-GB" sz="800" b="0" i="0" u="none" strike="noStrike" baseline="0">
              <a:solidFill>
                <a:srgbClr val="000000"/>
              </a:solidFill>
              <a:latin typeface="+mn-lt"/>
              <a:cs typeface="Calibri"/>
            </a:endParaRPr>
          </a:p>
          <a:p>
            <a:pPr algn="l" rtl="0">
              <a:lnSpc>
                <a:spcPts val="1000"/>
              </a:lnSpc>
              <a:defRPr sz="1000"/>
            </a:pPr>
            <a:endParaRPr lang="en-GB" sz="800" b="0" i="0" u="none" strike="noStrike" baseline="0">
              <a:solidFill>
                <a:srgbClr val="000000"/>
              </a:solidFill>
              <a:latin typeface="+mn-lt"/>
              <a:cs typeface="Calibri"/>
            </a:endParaRPr>
          </a:p>
        </xdr:txBody>
      </xdr:sp>
      <xdr:sp macro="" textlink="">
        <xdr:nvSpPr>
          <xdr:cNvPr id="241" name="Text Box 332"/>
          <xdr:cNvSpPr txBox="1">
            <a:spLocks noChangeArrowheads="1"/>
          </xdr:cNvSpPr>
        </xdr:nvSpPr>
        <xdr:spPr bwMode="auto">
          <a:xfrm>
            <a:off x="658" y="8003"/>
            <a:ext cx="127" cy="60"/>
          </a:xfrm>
          <a:prstGeom prst="rect">
            <a:avLst/>
          </a:prstGeom>
          <a:noFill/>
          <a:ln w="3175">
            <a:solidFill>
              <a:srgbClr val="000000"/>
            </a:solidFill>
            <a:miter lim="800000"/>
            <a:headEnd/>
            <a:tailEnd/>
          </a:ln>
          <a:extLst>
            <a:ext uri="{909E8E84-426E-40DD-AFC4-6F175D3DCCD1}">
              <a14:hiddenFill xmlns:a14="http://schemas.microsoft.com/office/drawing/2010/main">
                <a:solidFill>
                  <a:srgbClr val="D3EBED"/>
                </a:solidFill>
              </a14:hiddenFill>
            </a:ext>
          </a:extLst>
        </xdr:spPr>
        <xdr:txBody>
          <a:bodyPr vertOverflow="clip" wrap="square" lIns="91440" tIns="45720" rIns="91440" bIns="45720" anchor="t" upright="1"/>
          <a:lstStyle/>
          <a:p>
            <a:pPr algn="l" rtl="0">
              <a:lnSpc>
                <a:spcPts val="900"/>
              </a:lnSpc>
              <a:defRPr sz="1000"/>
            </a:pPr>
            <a:r>
              <a:rPr lang="en-GB" sz="800" b="0" i="0" u="none" strike="noStrike" baseline="0">
                <a:solidFill>
                  <a:srgbClr val="000000"/>
                </a:solidFill>
                <a:latin typeface="+mn-lt"/>
                <a:cs typeface="Calibri"/>
              </a:rPr>
              <a:t>Scored 10 or more on Edinburgh Tool</a:t>
            </a:r>
          </a:p>
          <a:p>
            <a:pPr algn="l" rtl="0">
              <a:lnSpc>
                <a:spcPts val="1100"/>
              </a:lnSpc>
              <a:defRPr sz="1000"/>
            </a:pPr>
            <a:r>
              <a:rPr lang="en-GB" sz="800" b="1" i="0" u="none" strike="noStrike" baseline="0">
                <a:solidFill>
                  <a:srgbClr val="0000FF"/>
                </a:solidFill>
                <a:latin typeface="+mn-lt"/>
                <a:cs typeface="Calibri"/>
              </a:rPr>
              <a:t>243</a:t>
            </a:r>
            <a:endParaRPr lang="en-GB" sz="800" b="0" i="0" u="none" strike="noStrike" baseline="0">
              <a:solidFill>
                <a:srgbClr val="000000"/>
              </a:solidFill>
              <a:latin typeface="+mn-lt"/>
              <a:cs typeface="Calibri"/>
            </a:endParaRPr>
          </a:p>
          <a:p>
            <a:pPr algn="l" rtl="0">
              <a:lnSpc>
                <a:spcPts val="1100"/>
              </a:lnSpc>
              <a:defRPr sz="1000"/>
            </a:pPr>
            <a:endParaRPr lang="en-GB" sz="800" b="0" i="0" u="none" strike="noStrike" baseline="0">
              <a:solidFill>
                <a:srgbClr val="000000"/>
              </a:solidFill>
              <a:latin typeface="+mn-lt"/>
              <a:cs typeface="Calibri"/>
            </a:endParaRPr>
          </a:p>
        </xdr:txBody>
      </xdr:sp>
      <xdr:sp macro="" textlink="">
        <xdr:nvSpPr>
          <xdr:cNvPr id="242" name="Text Box 333"/>
          <xdr:cNvSpPr txBox="1">
            <a:spLocks noChangeArrowheads="1"/>
          </xdr:cNvSpPr>
        </xdr:nvSpPr>
        <xdr:spPr bwMode="auto">
          <a:xfrm>
            <a:off x="658" y="8071"/>
            <a:ext cx="127" cy="62"/>
          </a:xfrm>
          <a:prstGeom prst="rect">
            <a:avLst/>
          </a:prstGeom>
          <a:noFill/>
          <a:ln w="3175">
            <a:solidFill>
              <a:srgbClr val="000000"/>
            </a:solidFill>
            <a:miter lim="800000"/>
            <a:headEnd/>
            <a:tailEnd/>
          </a:ln>
          <a:extLst>
            <a:ext uri="{909E8E84-426E-40DD-AFC4-6F175D3DCCD1}">
              <a14:hiddenFill xmlns:a14="http://schemas.microsoft.com/office/drawing/2010/main">
                <a:solidFill>
                  <a:srgbClr val="D3EBED"/>
                </a:solidFill>
              </a14:hiddenFill>
            </a:ext>
          </a:extLst>
        </xdr:spPr>
        <xdr:txBody>
          <a:bodyPr vertOverflow="clip" wrap="square" lIns="91440" tIns="45720" rIns="91440" bIns="45720" anchor="t" upright="1"/>
          <a:lstStyle/>
          <a:p>
            <a:pPr algn="l" rtl="0">
              <a:lnSpc>
                <a:spcPts val="900"/>
              </a:lnSpc>
              <a:defRPr sz="1000"/>
            </a:pPr>
            <a:r>
              <a:rPr lang="en-GB" sz="800" b="0" i="0" u="none" strike="noStrike" baseline="0">
                <a:solidFill>
                  <a:srgbClr val="000000"/>
                </a:solidFill>
                <a:latin typeface="+mn-lt"/>
                <a:cs typeface="Calibri"/>
              </a:rPr>
              <a:t>Less than 10 on Edinburgh Tool</a:t>
            </a:r>
          </a:p>
          <a:p>
            <a:pPr algn="l" rtl="0">
              <a:lnSpc>
                <a:spcPts val="1100"/>
              </a:lnSpc>
              <a:defRPr sz="1000"/>
            </a:pPr>
            <a:r>
              <a:rPr lang="en-GB" sz="800" b="1" i="0" u="none" strike="noStrike" baseline="0">
                <a:solidFill>
                  <a:srgbClr val="0000FF"/>
                </a:solidFill>
                <a:latin typeface="+mn-lt"/>
                <a:cs typeface="Calibri"/>
              </a:rPr>
              <a:t>97</a:t>
            </a:r>
            <a:endParaRPr lang="en-GB" sz="800" b="0" i="0" u="none" strike="noStrike" baseline="0">
              <a:solidFill>
                <a:srgbClr val="000000"/>
              </a:solidFill>
              <a:latin typeface="+mn-lt"/>
              <a:cs typeface="Calibri"/>
            </a:endParaRPr>
          </a:p>
          <a:p>
            <a:pPr algn="l" rtl="0">
              <a:lnSpc>
                <a:spcPts val="1100"/>
              </a:lnSpc>
              <a:defRPr sz="1000"/>
            </a:pPr>
            <a:endParaRPr lang="en-GB" sz="800" b="0" i="0" u="none" strike="noStrike" baseline="0">
              <a:solidFill>
                <a:srgbClr val="000000"/>
              </a:solidFill>
              <a:latin typeface="+mn-lt"/>
              <a:cs typeface="Calibri"/>
            </a:endParaRPr>
          </a:p>
        </xdr:txBody>
      </xdr:sp>
      <xdr:sp macro="" textlink="">
        <xdr:nvSpPr>
          <xdr:cNvPr id="243" name="Line 334"/>
          <xdr:cNvSpPr>
            <a:spLocks noChangeShapeType="1"/>
          </xdr:cNvSpPr>
        </xdr:nvSpPr>
        <xdr:spPr bwMode="auto">
          <a:xfrm flipV="1">
            <a:off x="632" y="8056"/>
            <a:ext cx="18" cy="8"/>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244" name="Line 335"/>
          <xdr:cNvSpPr>
            <a:spLocks noChangeShapeType="1"/>
          </xdr:cNvSpPr>
        </xdr:nvSpPr>
        <xdr:spPr bwMode="auto">
          <a:xfrm>
            <a:off x="632" y="8079"/>
            <a:ext cx="18" cy="7"/>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245" name="Text Box 336"/>
          <xdr:cNvSpPr txBox="1">
            <a:spLocks noChangeArrowheads="1"/>
          </xdr:cNvSpPr>
        </xdr:nvSpPr>
        <xdr:spPr bwMode="auto">
          <a:xfrm>
            <a:off x="810" y="8003"/>
            <a:ext cx="125" cy="48"/>
          </a:xfrm>
          <a:prstGeom prst="rect">
            <a:avLst/>
          </a:prstGeom>
          <a:solidFill>
            <a:srgbClr xmlns:mc="http://schemas.openxmlformats.org/markup-compatibility/2006" xmlns:a14="http://schemas.microsoft.com/office/drawing/2010/main" val="FFFF00" mc:Ignorable="a14" a14:legacySpreadsheetColorIndex="13"/>
          </a:solidFill>
          <a:ln w="3175">
            <a:solidFill>
              <a:srgbClr val="000000"/>
            </a:solidFill>
            <a:miter lim="800000"/>
            <a:headEnd/>
            <a:tailEnd/>
          </a:ln>
        </xdr:spPr>
        <xdr:txBody>
          <a:bodyPr vertOverflow="clip" wrap="square" lIns="91440" tIns="45720" rIns="91440" bIns="45720" anchor="t" upright="1"/>
          <a:lstStyle/>
          <a:p>
            <a:pPr algn="l" rtl="0">
              <a:lnSpc>
                <a:spcPts val="900"/>
              </a:lnSpc>
              <a:defRPr sz="1000"/>
            </a:pPr>
            <a:r>
              <a:rPr lang="en-GB" sz="800" b="0" i="0" u="none" strike="noStrike" baseline="0">
                <a:solidFill>
                  <a:srgbClr val="000000"/>
                </a:solidFill>
                <a:latin typeface="+mn-lt"/>
                <a:cs typeface="Calibri"/>
              </a:rPr>
              <a:t>More help requested</a:t>
            </a:r>
          </a:p>
          <a:p>
            <a:pPr algn="l" rtl="0">
              <a:lnSpc>
                <a:spcPts val="1000"/>
              </a:lnSpc>
              <a:defRPr sz="1000"/>
            </a:pPr>
            <a:r>
              <a:rPr lang="en-GB" sz="800" b="1" i="0" u="none" strike="noStrike" baseline="0">
                <a:solidFill>
                  <a:srgbClr val="0000FF"/>
                </a:solidFill>
                <a:latin typeface="+mn-lt"/>
                <a:cs typeface="Calibri"/>
              </a:rPr>
              <a:t>148</a:t>
            </a:r>
            <a:endParaRPr lang="en-GB" sz="800" b="0" i="0" u="none" strike="noStrike" baseline="0">
              <a:solidFill>
                <a:srgbClr val="000000"/>
              </a:solidFill>
              <a:latin typeface="+mn-lt"/>
              <a:cs typeface="Calibri"/>
            </a:endParaRPr>
          </a:p>
          <a:p>
            <a:pPr algn="l" rtl="0">
              <a:lnSpc>
                <a:spcPts val="1000"/>
              </a:lnSpc>
              <a:defRPr sz="1000"/>
            </a:pPr>
            <a:endParaRPr lang="en-GB" sz="1000" b="0" i="0" u="none" strike="noStrike" baseline="0">
              <a:solidFill>
                <a:srgbClr val="000000"/>
              </a:solidFill>
              <a:latin typeface="+mn-lt"/>
              <a:cs typeface="Calibri"/>
            </a:endParaRPr>
          </a:p>
        </xdr:txBody>
      </xdr:sp>
      <xdr:sp macro="" textlink="">
        <xdr:nvSpPr>
          <xdr:cNvPr id="246" name="Text Box 337"/>
          <xdr:cNvSpPr txBox="1">
            <a:spLocks noChangeArrowheads="1"/>
          </xdr:cNvSpPr>
        </xdr:nvSpPr>
        <xdr:spPr bwMode="auto">
          <a:xfrm>
            <a:off x="810" y="8071"/>
            <a:ext cx="125" cy="47"/>
          </a:xfrm>
          <a:prstGeom prst="rect">
            <a:avLst/>
          </a:prstGeom>
          <a:solidFill>
            <a:srgbClr xmlns:mc="http://schemas.openxmlformats.org/markup-compatibility/2006" xmlns:a14="http://schemas.microsoft.com/office/drawing/2010/main" val="FFFF00" mc:Ignorable="a14" a14:legacySpreadsheetColorIndex="13"/>
          </a:solidFill>
          <a:ln w="3175">
            <a:solidFill>
              <a:srgbClr val="000000"/>
            </a:solidFill>
            <a:miter lim="800000"/>
            <a:headEnd/>
            <a:tailEnd/>
          </a:ln>
        </xdr:spPr>
        <xdr:txBody>
          <a:bodyPr vertOverflow="clip" wrap="square" lIns="91440" tIns="45720" rIns="91440" bIns="45720" anchor="t" upright="1"/>
          <a:lstStyle/>
          <a:p>
            <a:pPr algn="l" rtl="0">
              <a:lnSpc>
                <a:spcPts val="900"/>
              </a:lnSpc>
              <a:defRPr sz="1000"/>
            </a:pPr>
            <a:r>
              <a:rPr lang="en-GB" sz="800" b="0" i="0" u="none" strike="noStrike" baseline="0">
                <a:solidFill>
                  <a:srgbClr val="000000"/>
                </a:solidFill>
                <a:latin typeface="+mn-lt"/>
                <a:cs typeface="Calibri"/>
              </a:rPr>
              <a:t>More help requested</a:t>
            </a:r>
          </a:p>
          <a:p>
            <a:pPr algn="l" rtl="0">
              <a:lnSpc>
                <a:spcPts val="1000"/>
              </a:lnSpc>
              <a:defRPr sz="1000"/>
            </a:pPr>
            <a:r>
              <a:rPr lang="en-GB" sz="800" b="1" i="0" u="none" strike="noStrike" baseline="0">
                <a:solidFill>
                  <a:srgbClr val="0000FF"/>
                </a:solidFill>
                <a:latin typeface="+mn-lt"/>
                <a:cs typeface="Calibri"/>
              </a:rPr>
              <a:t>29</a:t>
            </a:r>
            <a:endParaRPr lang="en-GB" sz="800" b="0" i="0" u="none" strike="noStrike" baseline="0">
              <a:solidFill>
                <a:srgbClr val="000000"/>
              </a:solidFill>
              <a:latin typeface="+mn-lt"/>
              <a:cs typeface="Calibri"/>
            </a:endParaRPr>
          </a:p>
          <a:p>
            <a:pPr algn="l" rtl="0">
              <a:lnSpc>
                <a:spcPts val="1000"/>
              </a:lnSpc>
              <a:defRPr sz="1000"/>
            </a:pPr>
            <a:endParaRPr lang="en-GB" sz="800" b="0" i="0" u="none" strike="noStrike" baseline="0">
              <a:solidFill>
                <a:srgbClr val="000000"/>
              </a:solidFill>
              <a:latin typeface="+mn-lt"/>
              <a:cs typeface="Calibri"/>
            </a:endParaRPr>
          </a:p>
        </xdr:txBody>
      </xdr:sp>
      <xdr:sp macro="" textlink="">
        <xdr:nvSpPr>
          <xdr:cNvPr id="247" name="Line 338"/>
          <xdr:cNvSpPr>
            <a:spLocks noChangeShapeType="1"/>
          </xdr:cNvSpPr>
        </xdr:nvSpPr>
        <xdr:spPr bwMode="auto">
          <a:xfrm>
            <a:off x="783" y="8101"/>
            <a:ext cx="27"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248" name="Line 339"/>
          <xdr:cNvSpPr>
            <a:spLocks noChangeShapeType="1"/>
          </xdr:cNvSpPr>
        </xdr:nvSpPr>
        <xdr:spPr bwMode="auto">
          <a:xfrm>
            <a:off x="632" y="8132"/>
            <a:ext cx="178" cy="37"/>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249" name="Text Box 340"/>
          <xdr:cNvSpPr txBox="1">
            <a:spLocks noChangeArrowheads="1"/>
          </xdr:cNvSpPr>
        </xdr:nvSpPr>
        <xdr:spPr bwMode="auto">
          <a:xfrm>
            <a:off x="658" y="8207"/>
            <a:ext cx="127" cy="63"/>
          </a:xfrm>
          <a:prstGeom prst="rect">
            <a:avLst/>
          </a:prstGeom>
          <a:noFill/>
          <a:ln w="3175">
            <a:solidFill>
              <a:srgbClr val="000000"/>
            </a:solidFill>
            <a:miter lim="800000"/>
            <a:headEnd/>
            <a:tailEnd/>
          </a:ln>
          <a:extLst>
            <a:ext uri="{909E8E84-426E-40DD-AFC4-6F175D3DCCD1}">
              <a14:hiddenFill xmlns:a14="http://schemas.microsoft.com/office/drawing/2010/main">
                <a:solidFill>
                  <a:srgbClr val="D3EBED"/>
                </a:solidFill>
              </a14:hiddenFill>
            </a:ext>
          </a:extLst>
        </xdr:spPr>
        <xdr:txBody>
          <a:bodyPr vertOverflow="clip" wrap="square" lIns="91440" tIns="45720" rIns="91440" bIns="45720" anchor="t" upright="1"/>
          <a:lstStyle/>
          <a:p>
            <a:pPr algn="l" rtl="0">
              <a:lnSpc>
                <a:spcPts val="900"/>
              </a:lnSpc>
              <a:defRPr sz="1000"/>
            </a:pPr>
            <a:r>
              <a:rPr lang="en-GB" sz="800" b="0" i="0" u="none" strike="noStrike" baseline="0">
                <a:solidFill>
                  <a:srgbClr val="000000"/>
                </a:solidFill>
                <a:latin typeface="+mn-lt"/>
                <a:cs typeface="Calibri"/>
              </a:rPr>
              <a:t>Scored 10 or more on Edinburgh Tool</a:t>
            </a:r>
          </a:p>
          <a:p>
            <a:pPr algn="l" rtl="0">
              <a:lnSpc>
                <a:spcPts val="1100"/>
              </a:lnSpc>
              <a:defRPr sz="1000"/>
            </a:pPr>
            <a:r>
              <a:rPr lang="en-GB" sz="800" b="1" i="0" u="none" strike="noStrike" baseline="0">
                <a:solidFill>
                  <a:srgbClr val="0000FF"/>
                </a:solidFill>
                <a:latin typeface="+mn-lt"/>
                <a:cs typeface="Calibri"/>
              </a:rPr>
              <a:t>243</a:t>
            </a:r>
            <a:endParaRPr lang="en-GB" sz="800" b="0" i="0" u="none" strike="noStrike" baseline="0">
              <a:solidFill>
                <a:srgbClr val="000000"/>
              </a:solidFill>
              <a:latin typeface="+mn-lt"/>
              <a:cs typeface="Calibri"/>
            </a:endParaRPr>
          </a:p>
          <a:p>
            <a:pPr algn="l" rtl="0">
              <a:lnSpc>
                <a:spcPts val="1100"/>
              </a:lnSpc>
              <a:defRPr sz="1000"/>
            </a:pPr>
            <a:endParaRPr lang="en-GB" sz="800" b="0" i="0" u="none" strike="noStrike" baseline="0">
              <a:solidFill>
                <a:srgbClr val="000000"/>
              </a:solidFill>
              <a:latin typeface="+mn-lt"/>
              <a:cs typeface="Calibri"/>
            </a:endParaRPr>
          </a:p>
        </xdr:txBody>
      </xdr:sp>
      <xdr:sp macro="" textlink="">
        <xdr:nvSpPr>
          <xdr:cNvPr id="250" name="Text Box 341"/>
          <xdr:cNvSpPr txBox="1">
            <a:spLocks noChangeArrowheads="1"/>
          </xdr:cNvSpPr>
        </xdr:nvSpPr>
        <xdr:spPr bwMode="auto">
          <a:xfrm>
            <a:off x="658" y="8275"/>
            <a:ext cx="127" cy="59"/>
          </a:xfrm>
          <a:prstGeom prst="rect">
            <a:avLst/>
          </a:prstGeom>
          <a:noFill/>
          <a:ln w="3175">
            <a:solidFill>
              <a:srgbClr val="000000"/>
            </a:solidFill>
            <a:miter lim="800000"/>
            <a:headEnd/>
            <a:tailEnd/>
          </a:ln>
          <a:extLst>
            <a:ext uri="{909E8E84-426E-40DD-AFC4-6F175D3DCCD1}">
              <a14:hiddenFill xmlns:a14="http://schemas.microsoft.com/office/drawing/2010/main">
                <a:solidFill>
                  <a:srgbClr val="D3EBED"/>
                </a:solidFill>
              </a14:hiddenFill>
            </a:ext>
          </a:extLst>
        </xdr:spPr>
        <xdr:txBody>
          <a:bodyPr vertOverflow="clip" wrap="square" lIns="91440" tIns="45720" rIns="91440" bIns="45720" anchor="t" upright="1"/>
          <a:lstStyle/>
          <a:p>
            <a:pPr algn="l" rtl="0">
              <a:lnSpc>
                <a:spcPts val="900"/>
              </a:lnSpc>
              <a:defRPr sz="1000"/>
            </a:pPr>
            <a:r>
              <a:rPr lang="en-GB" sz="800" b="0" i="0" u="none" strike="noStrike" baseline="0">
                <a:solidFill>
                  <a:srgbClr val="000000"/>
                </a:solidFill>
                <a:latin typeface="+mn-lt"/>
                <a:cs typeface="Calibri"/>
              </a:rPr>
              <a:t>Less than 10 on Edinburgh Tool</a:t>
            </a:r>
          </a:p>
          <a:p>
            <a:pPr algn="l" rtl="0">
              <a:lnSpc>
                <a:spcPts val="1100"/>
              </a:lnSpc>
              <a:defRPr sz="1000"/>
            </a:pPr>
            <a:r>
              <a:rPr lang="en-GB" sz="800" b="1" i="0" u="none" strike="noStrike" baseline="0">
                <a:solidFill>
                  <a:srgbClr val="0000FF"/>
                </a:solidFill>
                <a:latin typeface="+mn-lt"/>
                <a:cs typeface="Calibri"/>
              </a:rPr>
              <a:t>97</a:t>
            </a:r>
            <a:endParaRPr lang="en-GB" sz="800" b="0" i="0" u="none" strike="noStrike" baseline="0">
              <a:solidFill>
                <a:srgbClr val="000000"/>
              </a:solidFill>
              <a:latin typeface="+mn-lt"/>
              <a:cs typeface="Calibri"/>
            </a:endParaRPr>
          </a:p>
          <a:p>
            <a:pPr algn="l" rtl="0">
              <a:lnSpc>
                <a:spcPts val="1100"/>
              </a:lnSpc>
              <a:defRPr sz="1000"/>
            </a:pPr>
            <a:endParaRPr lang="en-GB" sz="800" b="0" i="0" u="none" strike="noStrike" baseline="0">
              <a:solidFill>
                <a:srgbClr val="000000"/>
              </a:solidFill>
              <a:latin typeface="+mn-lt"/>
              <a:cs typeface="Calibri"/>
            </a:endParaRPr>
          </a:p>
        </xdr:txBody>
      </xdr:sp>
      <xdr:sp macro="" textlink="">
        <xdr:nvSpPr>
          <xdr:cNvPr id="251" name="Line 342"/>
          <xdr:cNvSpPr>
            <a:spLocks noChangeShapeType="1"/>
          </xdr:cNvSpPr>
        </xdr:nvSpPr>
        <xdr:spPr bwMode="auto">
          <a:xfrm flipV="1">
            <a:off x="632" y="8253"/>
            <a:ext cx="18" cy="7"/>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252" name="Line 343"/>
          <xdr:cNvSpPr>
            <a:spLocks noChangeShapeType="1"/>
          </xdr:cNvSpPr>
        </xdr:nvSpPr>
        <xdr:spPr bwMode="auto">
          <a:xfrm>
            <a:off x="632" y="8283"/>
            <a:ext cx="18" cy="7"/>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253" name="Text Box 344"/>
          <xdr:cNvSpPr txBox="1">
            <a:spLocks noChangeArrowheads="1"/>
          </xdr:cNvSpPr>
        </xdr:nvSpPr>
        <xdr:spPr bwMode="auto">
          <a:xfrm>
            <a:off x="810" y="8207"/>
            <a:ext cx="125" cy="48"/>
          </a:xfrm>
          <a:prstGeom prst="rect">
            <a:avLst/>
          </a:prstGeom>
          <a:solidFill>
            <a:srgbClr xmlns:mc="http://schemas.openxmlformats.org/markup-compatibility/2006" xmlns:a14="http://schemas.microsoft.com/office/drawing/2010/main" val="FFFF00" mc:Ignorable="a14" a14:legacySpreadsheetColorIndex="13"/>
          </a:solidFill>
          <a:ln w="3175">
            <a:solidFill>
              <a:srgbClr val="000000"/>
            </a:solidFill>
            <a:miter lim="800000"/>
            <a:headEnd/>
            <a:tailEnd/>
          </a:ln>
        </xdr:spPr>
        <xdr:txBody>
          <a:bodyPr vertOverflow="clip" wrap="square" lIns="91440" tIns="45720" rIns="91440" bIns="45720" anchor="t" upright="1"/>
          <a:lstStyle/>
          <a:p>
            <a:pPr algn="l" rtl="0">
              <a:lnSpc>
                <a:spcPts val="900"/>
              </a:lnSpc>
              <a:defRPr sz="1000"/>
            </a:pPr>
            <a:r>
              <a:rPr lang="en-GB" sz="800" b="0" i="0" u="none" strike="noStrike" baseline="0">
                <a:solidFill>
                  <a:srgbClr val="000000"/>
                </a:solidFill>
                <a:latin typeface="+mn-lt"/>
                <a:cs typeface="Calibri"/>
              </a:rPr>
              <a:t>More help requested</a:t>
            </a:r>
          </a:p>
          <a:p>
            <a:pPr algn="l" rtl="0">
              <a:lnSpc>
                <a:spcPts val="1000"/>
              </a:lnSpc>
              <a:defRPr sz="1000"/>
            </a:pPr>
            <a:r>
              <a:rPr lang="en-GB" sz="800" b="1" i="0" u="none" strike="noStrike" baseline="0">
                <a:solidFill>
                  <a:srgbClr val="0000FF"/>
                </a:solidFill>
                <a:latin typeface="+mn-lt"/>
                <a:cs typeface="Calibri"/>
              </a:rPr>
              <a:t>2</a:t>
            </a:r>
            <a:endParaRPr lang="en-GB" sz="800" b="0" i="0" u="none" strike="noStrike" baseline="0">
              <a:solidFill>
                <a:srgbClr val="000000"/>
              </a:solidFill>
              <a:latin typeface="+mn-lt"/>
              <a:cs typeface="Calibri"/>
            </a:endParaRPr>
          </a:p>
          <a:p>
            <a:pPr algn="l" rtl="0">
              <a:lnSpc>
                <a:spcPts val="1000"/>
              </a:lnSpc>
              <a:defRPr sz="1000"/>
            </a:pPr>
            <a:endParaRPr lang="en-GB" sz="800" b="0" i="0" u="none" strike="noStrike" baseline="0">
              <a:solidFill>
                <a:srgbClr val="000000"/>
              </a:solidFill>
              <a:latin typeface="+mn-lt"/>
              <a:cs typeface="Calibri"/>
            </a:endParaRPr>
          </a:p>
        </xdr:txBody>
      </xdr:sp>
      <xdr:sp macro="" textlink="">
        <xdr:nvSpPr>
          <xdr:cNvPr id="254" name="Text Box 345"/>
          <xdr:cNvSpPr txBox="1">
            <a:spLocks noChangeArrowheads="1"/>
          </xdr:cNvSpPr>
        </xdr:nvSpPr>
        <xdr:spPr bwMode="auto">
          <a:xfrm>
            <a:off x="810" y="8275"/>
            <a:ext cx="125" cy="47"/>
          </a:xfrm>
          <a:prstGeom prst="rect">
            <a:avLst/>
          </a:prstGeom>
          <a:solidFill>
            <a:srgbClr xmlns:mc="http://schemas.openxmlformats.org/markup-compatibility/2006" xmlns:a14="http://schemas.microsoft.com/office/drawing/2010/main" val="FFFF00" mc:Ignorable="a14" a14:legacySpreadsheetColorIndex="13"/>
          </a:solidFill>
          <a:ln w="3175">
            <a:solidFill>
              <a:srgbClr val="000000"/>
            </a:solidFill>
            <a:miter lim="800000"/>
            <a:headEnd/>
            <a:tailEnd/>
          </a:ln>
        </xdr:spPr>
        <xdr:txBody>
          <a:bodyPr vertOverflow="clip" wrap="square" lIns="91440" tIns="45720" rIns="91440" bIns="45720" anchor="t" upright="1"/>
          <a:lstStyle/>
          <a:p>
            <a:pPr algn="l" rtl="0">
              <a:lnSpc>
                <a:spcPts val="900"/>
              </a:lnSpc>
              <a:defRPr sz="1000"/>
            </a:pPr>
            <a:r>
              <a:rPr lang="en-GB" sz="800" b="0" i="0" u="none" strike="noStrike" baseline="0">
                <a:solidFill>
                  <a:srgbClr val="000000"/>
                </a:solidFill>
                <a:latin typeface="+mn-lt"/>
                <a:cs typeface="Calibri"/>
              </a:rPr>
              <a:t>More help requested</a:t>
            </a:r>
            <a:endParaRPr lang="en-GB" sz="800" b="0" i="0" u="none" strike="noStrike" baseline="0">
              <a:solidFill>
                <a:srgbClr val="0000FF"/>
              </a:solidFill>
              <a:latin typeface="+mn-lt"/>
              <a:cs typeface="Calibri"/>
            </a:endParaRPr>
          </a:p>
          <a:p>
            <a:pPr algn="l" rtl="0">
              <a:lnSpc>
                <a:spcPts val="1000"/>
              </a:lnSpc>
              <a:defRPr sz="1000"/>
            </a:pPr>
            <a:r>
              <a:rPr lang="en-GB" sz="800" b="1" i="0" u="none" strike="noStrike" baseline="0">
                <a:solidFill>
                  <a:srgbClr val="0000FF"/>
                </a:solidFill>
                <a:latin typeface="+mn-lt"/>
                <a:cs typeface="Calibri"/>
              </a:rPr>
              <a:t>2</a:t>
            </a:r>
            <a:endParaRPr lang="en-GB" sz="800" b="0" i="0" u="none" strike="noStrike" baseline="0">
              <a:solidFill>
                <a:srgbClr val="000000"/>
              </a:solidFill>
              <a:latin typeface="+mn-lt"/>
              <a:cs typeface="Calibri"/>
            </a:endParaRPr>
          </a:p>
          <a:p>
            <a:pPr algn="l" rtl="0">
              <a:lnSpc>
                <a:spcPts val="1000"/>
              </a:lnSpc>
              <a:defRPr sz="1000"/>
            </a:pPr>
            <a:endParaRPr lang="en-GB" sz="800" b="0" i="0" u="none" strike="noStrike" baseline="0">
              <a:solidFill>
                <a:srgbClr val="000000"/>
              </a:solidFill>
              <a:latin typeface="+mn-lt"/>
              <a:cs typeface="Calibri"/>
            </a:endParaRPr>
          </a:p>
        </xdr:txBody>
      </xdr:sp>
      <xdr:sp macro="" textlink="">
        <xdr:nvSpPr>
          <xdr:cNvPr id="255" name="Line 346"/>
          <xdr:cNvSpPr>
            <a:spLocks noChangeShapeType="1"/>
          </xdr:cNvSpPr>
        </xdr:nvSpPr>
        <xdr:spPr bwMode="auto">
          <a:xfrm>
            <a:off x="783" y="8305"/>
            <a:ext cx="27"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256" name="Line 347"/>
          <xdr:cNvSpPr>
            <a:spLocks noChangeShapeType="1"/>
          </xdr:cNvSpPr>
        </xdr:nvSpPr>
        <xdr:spPr bwMode="auto">
          <a:xfrm>
            <a:off x="632" y="8336"/>
            <a:ext cx="181" cy="32"/>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257" name="Text Box 348"/>
          <xdr:cNvSpPr txBox="1">
            <a:spLocks noChangeArrowheads="1"/>
          </xdr:cNvSpPr>
        </xdr:nvSpPr>
        <xdr:spPr bwMode="auto">
          <a:xfrm>
            <a:off x="814" y="8343"/>
            <a:ext cx="120" cy="44"/>
          </a:xfrm>
          <a:prstGeom prst="rect">
            <a:avLst/>
          </a:prstGeom>
          <a:solidFill>
            <a:srgbClr xmlns:mc="http://schemas.openxmlformats.org/markup-compatibility/2006" xmlns:a14="http://schemas.microsoft.com/office/drawing/2010/main" val="FFFF00" mc:Ignorable="a14" a14:legacySpreadsheetColorIndex="13"/>
          </a:solidFill>
          <a:ln w="3175">
            <a:solidFill>
              <a:srgbClr val="000000"/>
            </a:solidFill>
            <a:miter lim="800000"/>
            <a:headEnd/>
            <a:tailEnd/>
          </a:ln>
        </xdr:spPr>
        <xdr:txBody>
          <a:bodyPr vertOverflow="clip" wrap="square" lIns="91440" tIns="45720" rIns="91440" bIns="45720" anchor="t" upright="1"/>
          <a:lstStyle/>
          <a:p>
            <a:pPr algn="l" rtl="0">
              <a:lnSpc>
                <a:spcPts val="900"/>
              </a:lnSpc>
              <a:defRPr sz="1000"/>
            </a:pPr>
            <a:r>
              <a:rPr lang="en-GB" sz="800" b="0" i="0" u="none" strike="noStrike" baseline="0">
                <a:solidFill>
                  <a:srgbClr val="000000"/>
                </a:solidFill>
                <a:latin typeface="+mn-lt"/>
                <a:cs typeface="Calibri"/>
              </a:rPr>
              <a:t>More help requested</a:t>
            </a:r>
          </a:p>
          <a:p>
            <a:pPr algn="l" rtl="0">
              <a:lnSpc>
                <a:spcPts val="1000"/>
              </a:lnSpc>
              <a:defRPr sz="1000"/>
            </a:pPr>
            <a:r>
              <a:rPr lang="en-GB" sz="800" b="1" i="0" u="none" strike="noStrike" baseline="0">
                <a:solidFill>
                  <a:srgbClr val="0000FF"/>
                </a:solidFill>
                <a:latin typeface="+mn-lt"/>
                <a:cs typeface="Calibri"/>
              </a:rPr>
              <a:t>5</a:t>
            </a:r>
            <a:endParaRPr lang="en-GB" sz="800" b="0" i="0" u="none" strike="noStrike" baseline="0">
              <a:solidFill>
                <a:srgbClr val="000000"/>
              </a:solidFill>
              <a:latin typeface="+mn-lt"/>
              <a:cs typeface="Calibri"/>
            </a:endParaRPr>
          </a:p>
          <a:p>
            <a:pPr algn="l" rtl="0">
              <a:lnSpc>
                <a:spcPts val="1000"/>
              </a:lnSpc>
              <a:defRPr sz="1000"/>
            </a:pPr>
            <a:endParaRPr lang="en-GB" sz="800" b="0" i="0" u="none" strike="noStrike" baseline="0">
              <a:solidFill>
                <a:srgbClr val="000000"/>
              </a:solidFill>
              <a:latin typeface="+mn-lt"/>
              <a:cs typeface="Calibri"/>
            </a:endParaRPr>
          </a:p>
        </xdr:txBody>
      </xdr:sp>
      <xdr:sp macro="" textlink="">
        <xdr:nvSpPr>
          <xdr:cNvPr id="258" name="Line 349"/>
          <xdr:cNvSpPr>
            <a:spLocks noChangeShapeType="1"/>
          </xdr:cNvSpPr>
        </xdr:nvSpPr>
        <xdr:spPr bwMode="auto">
          <a:xfrm>
            <a:off x="784" y="8230"/>
            <a:ext cx="27"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259" name="Text Box 350"/>
          <xdr:cNvSpPr txBox="1">
            <a:spLocks noChangeArrowheads="1"/>
          </xdr:cNvSpPr>
        </xdr:nvSpPr>
        <xdr:spPr bwMode="auto">
          <a:xfrm>
            <a:off x="121" y="7911"/>
            <a:ext cx="121" cy="66"/>
          </a:xfrm>
          <a:prstGeom prst="rect">
            <a:avLst/>
          </a:prstGeom>
          <a:solidFill>
            <a:srgbClr val="DDDDDD"/>
          </a:solidFill>
          <a:ln w="9525">
            <a:solidFill>
              <a:srgbClr val="000000"/>
            </a:solidFill>
            <a:miter lim="800000"/>
            <a:headEnd/>
            <a:tailEnd/>
          </a:ln>
        </xdr:spPr>
        <xdr:txBody>
          <a:bodyPr vertOverflow="clip" wrap="square" lIns="91440" tIns="45720" rIns="91440" bIns="45720" anchor="t" upright="1"/>
          <a:lstStyle/>
          <a:p>
            <a:pPr algn="l" rtl="0">
              <a:lnSpc>
                <a:spcPts val="1100"/>
              </a:lnSpc>
              <a:defRPr sz="1000"/>
            </a:pPr>
            <a:r>
              <a:rPr lang="en-GB" sz="1100" b="1" i="0" u="none" strike="noStrike" baseline="0">
                <a:solidFill>
                  <a:srgbClr val="0000FF"/>
                </a:solidFill>
                <a:latin typeface="+mn-lt"/>
                <a:cs typeface="Calibri"/>
              </a:rPr>
              <a:t>STEP 1</a:t>
            </a:r>
            <a:r>
              <a:rPr lang="en-GB" sz="1100" b="0" i="0" u="none" strike="noStrike" baseline="0">
                <a:solidFill>
                  <a:srgbClr val="0000FF"/>
                </a:solidFill>
                <a:latin typeface="+mn-lt"/>
                <a:cs typeface="Calibri"/>
              </a:rPr>
              <a:t> </a:t>
            </a:r>
          </a:p>
          <a:p>
            <a:pPr algn="l" rtl="0">
              <a:lnSpc>
                <a:spcPts val="1200"/>
              </a:lnSpc>
              <a:defRPr sz="1000"/>
            </a:pPr>
            <a:r>
              <a:rPr lang="en-GB" sz="1100" b="0" i="0" u="none" strike="noStrike" baseline="0">
                <a:solidFill>
                  <a:srgbClr val="000000"/>
                </a:solidFill>
                <a:latin typeface="+mn-lt"/>
                <a:cs typeface="Calibri"/>
              </a:rPr>
              <a:t>Women initially screened using the Whooley Tool.</a:t>
            </a:r>
            <a:endParaRPr lang="en-GB" sz="1200" b="0" i="0" u="none" strike="noStrike" baseline="0">
              <a:solidFill>
                <a:srgbClr val="0000FF"/>
              </a:solidFill>
              <a:latin typeface="+mn-lt"/>
              <a:cs typeface="Calibri"/>
            </a:endParaRPr>
          </a:p>
          <a:p>
            <a:pPr algn="l" rtl="0">
              <a:lnSpc>
                <a:spcPts val="1100"/>
              </a:lnSpc>
              <a:defRPr sz="1000"/>
            </a:pPr>
            <a:endParaRPr lang="en-GB" sz="1200" b="0" i="0" u="none" strike="noStrike" baseline="0">
              <a:solidFill>
                <a:srgbClr val="0000FF"/>
              </a:solidFill>
              <a:latin typeface="+mn-lt"/>
              <a:cs typeface="Calibri"/>
            </a:endParaRPr>
          </a:p>
        </xdr:txBody>
      </xdr:sp>
      <xdr:sp macro="" textlink="">
        <xdr:nvSpPr>
          <xdr:cNvPr id="260" name="Text Box 351"/>
          <xdr:cNvSpPr txBox="1">
            <a:spLocks noChangeArrowheads="1"/>
          </xdr:cNvSpPr>
        </xdr:nvSpPr>
        <xdr:spPr bwMode="auto">
          <a:xfrm>
            <a:off x="283" y="7910"/>
            <a:ext cx="340" cy="66"/>
          </a:xfrm>
          <a:prstGeom prst="rect">
            <a:avLst/>
          </a:prstGeom>
          <a:solidFill>
            <a:srgbClr val="DDDDDD"/>
          </a:solidFill>
          <a:ln w="9525">
            <a:solidFill>
              <a:srgbClr val="000000"/>
            </a:solidFill>
            <a:miter lim="800000"/>
            <a:headEnd/>
            <a:tailEnd/>
          </a:ln>
        </xdr:spPr>
        <xdr:txBody>
          <a:bodyPr vertOverflow="clip" wrap="square" lIns="91440" tIns="45720" rIns="91440" bIns="45720" anchor="t" upright="1"/>
          <a:lstStyle/>
          <a:p>
            <a:pPr algn="l" rtl="0">
              <a:defRPr sz="1000"/>
            </a:pPr>
            <a:r>
              <a:rPr lang="en-GB" sz="1100" b="1" i="0" u="none" strike="noStrike" baseline="0">
                <a:solidFill>
                  <a:srgbClr val="0000FF"/>
                </a:solidFill>
                <a:latin typeface="+mn-lt"/>
                <a:cs typeface="Calibri"/>
              </a:rPr>
              <a:t>STEP 2</a:t>
            </a:r>
          </a:p>
          <a:p>
            <a:pPr algn="l" rtl="0">
              <a:defRPr sz="1000"/>
            </a:pPr>
            <a:r>
              <a:rPr lang="en-GB" sz="1100" b="0" i="0" u="none" strike="noStrike" baseline="0">
                <a:solidFill>
                  <a:srgbClr val="000000"/>
                </a:solidFill>
                <a:latin typeface="+mn-lt"/>
                <a:cs typeface="Calibri"/>
              </a:rPr>
              <a:t>Following Whooley tool, women who have answered yes to either Q5 or Q6 offered to be screened using the Edinburgh Post Natal Depression Scale.</a:t>
            </a:r>
            <a:endParaRPr lang="en-GB" sz="1200" b="0" i="0" u="none" strike="noStrike" baseline="0">
              <a:solidFill>
                <a:srgbClr val="0000FF"/>
              </a:solidFill>
              <a:latin typeface="+mn-lt"/>
              <a:cs typeface="Calibri"/>
            </a:endParaRPr>
          </a:p>
          <a:p>
            <a:pPr algn="l" rtl="0">
              <a:lnSpc>
                <a:spcPts val="1400"/>
              </a:lnSpc>
              <a:defRPr sz="1000"/>
            </a:pPr>
            <a:endParaRPr lang="en-GB" sz="1200" b="0" i="0" u="none" strike="noStrike" baseline="0">
              <a:solidFill>
                <a:srgbClr val="0000FF"/>
              </a:solidFill>
              <a:latin typeface="+mn-lt"/>
              <a:cs typeface="Calibri"/>
            </a:endParaRPr>
          </a:p>
        </xdr:txBody>
      </xdr:sp>
    </xdr:grpSp>
    <xdr:clientData/>
  </xdr:twoCellAnchor>
  <xdr:twoCellAnchor editAs="oneCell">
    <xdr:from>
      <xdr:col>2</xdr:col>
      <xdr:colOff>514350</xdr:colOff>
      <xdr:row>445</xdr:row>
      <xdr:rowOff>16668</xdr:rowOff>
    </xdr:from>
    <xdr:to>
      <xdr:col>20</xdr:col>
      <xdr:colOff>364972</xdr:colOff>
      <xdr:row>454</xdr:row>
      <xdr:rowOff>45245</xdr:rowOff>
    </xdr:to>
    <xdr:sp macro="" textlink="">
      <xdr:nvSpPr>
        <xdr:cNvPr id="261" name="Rectangle 260"/>
        <xdr:cNvSpPr/>
      </xdr:nvSpPr>
      <xdr:spPr>
        <a:xfrm>
          <a:off x="728663" y="68799074"/>
          <a:ext cx="9697090" cy="1766888"/>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r>
            <a:rPr lang="en-GB" sz="1100">
              <a:effectLst/>
            </a:rPr>
            <a:t>The diagram below shows how women are currently being screened and identified for support via the </a:t>
          </a:r>
          <a:r>
            <a:rPr lang="en-GB" sz="1100" baseline="0">
              <a:effectLst/>
            </a:rPr>
            <a:t> 6 week </a:t>
          </a:r>
          <a:r>
            <a:rPr lang="en-GB" sz="1100">
              <a:effectLst/>
            </a:rPr>
            <a:t>check. The figures in blue represent the number of women at each stage of the process. Of the 5,104 women with recorded information, 5,048 had been screened using the Whooley questionnaire. The data showed that various paths had been followed with the screening tools, some women had no initial screening data but then had been assessed using the Edinburgh scale, some had identified using the Whooley but then not assessed using the Edinburgh tool.</a:t>
          </a:r>
        </a:p>
        <a:p>
          <a:endParaRPr lang="en-GB" sz="1100">
            <a:effectLst/>
          </a:endParaRPr>
        </a:p>
        <a:p>
          <a:r>
            <a:rPr lang="en-GB" sz="1100">
              <a:effectLst/>
            </a:rPr>
            <a:t>The data reflect the fact that the process by which women are identified as having, or being at risk of having, post natal depression is inconsistent across West Sussex. The information below relates to 5,100 women, this is compared to approximately 9,000 births.</a:t>
          </a:r>
        </a:p>
        <a:p>
          <a:endParaRPr lang="en-GB" sz="1100">
            <a:effectLst/>
          </a:endParaRPr>
        </a:p>
        <a:p>
          <a:r>
            <a:rPr lang="en-GB" sz="1100">
              <a:effectLst/>
            </a:rPr>
            <a:t>The diagram below shows that,of the women where the Woolley tool was used, 273 women requested more help.</a:t>
          </a:r>
        </a:p>
      </xdr:txBody>
    </xdr:sp>
    <xdr:clientData/>
  </xdr:twoCellAnchor>
  <xdr:twoCellAnchor editAs="oneCell">
    <xdr:from>
      <xdr:col>2</xdr:col>
      <xdr:colOff>0</xdr:colOff>
      <xdr:row>546</xdr:row>
      <xdr:rowOff>0</xdr:rowOff>
    </xdr:from>
    <xdr:to>
      <xdr:col>22</xdr:col>
      <xdr:colOff>4883</xdr:colOff>
      <xdr:row>547</xdr:row>
      <xdr:rowOff>113477</xdr:rowOff>
    </xdr:to>
    <xdr:grpSp>
      <xdr:nvGrpSpPr>
        <xdr:cNvPr id="262" name="Group 261"/>
        <xdr:cNvGrpSpPr/>
      </xdr:nvGrpSpPr>
      <xdr:grpSpPr>
        <a:xfrm>
          <a:off x="209550" y="115690650"/>
          <a:ext cx="10596683" cy="303977"/>
          <a:chOff x="219752" y="16256265"/>
          <a:chExt cx="10659783" cy="299214"/>
        </a:xfrm>
      </xdr:grpSpPr>
      <xdr:sp macro="" textlink="">
        <xdr:nvSpPr>
          <xdr:cNvPr id="263" name="Rectangle 262"/>
          <xdr:cNvSpPr/>
        </xdr:nvSpPr>
        <xdr:spPr>
          <a:xfrm>
            <a:off x="219752" y="16256265"/>
            <a:ext cx="10659783" cy="285750"/>
          </a:xfrm>
          <a:prstGeom prst="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t"/>
          <a:lstStyle/>
          <a:p>
            <a:pPr algn="l"/>
            <a:r>
              <a:rPr lang="en-GB" sz="1100" b="1"/>
              <a:t>Increasing uptake</a:t>
            </a:r>
            <a:r>
              <a:rPr lang="en-GB" sz="1100" b="1" baseline="0"/>
              <a:t> of smoking cessation services: Maternal Smoking</a:t>
            </a:r>
          </a:p>
          <a:p>
            <a:pPr algn="l"/>
            <a:endParaRPr lang="en-GB" sz="1100" b="1"/>
          </a:p>
        </xdr:txBody>
      </xdr:sp>
      <xdr:sp macro="" textlink="">
        <xdr:nvSpPr>
          <xdr:cNvPr id="264" name="TextBox 263">
            <a:hlinkClick xmlns:r="http://schemas.openxmlformats.org/officeDocument/2006/relationships" r:id="rId7"/>
          </xdr:cNvPr>
          <xdr:cNvSpPr txBox="1"/>
        </xdr:nvSpPr>
        <xdr:spPr>
          <a:xfrm>
            <a:off x="9549078" y="16262880"/>
            <a:ext cx="1329662" cy="2925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100" u="sng">
                <a:solidFill>
                  <a:schemeClr val="bg1"/>
                </a:solidFill>
              </a:rPr>
              <a:t>back to top</a:t>
            </a:r>
          </a:p>
        </xdr:txBody>
      </xdr:sp>
    </xdr:grpSp>
    <xdr:clientData/>
  </xdr:twoCellAnchor>
  <xdr:twoCellAnchor editAs="oneCell">
    <xdr:from>
      <xdr:col>2</xdr:col>
      <xdr:colOff>466725</xdr:colOff>
      <xdr:row>549</xdr:row>
      <xdr:rowOff>1</xdr:rowOff>
    </xdr:from>
    <xdr:to>
      <xdr:col>20</xdr:col>
      <xdr:colOff>323962</xdr:colOff>
      <xdr:row>561</xdr:row>
      <xdr:rowOff>85725</xdr:rowOff>
    </xdr:to>
    <xdr:sp macro="" textlink="">
      <xdr:nvSpPr>
        <xdr:cNvPr id="265" name="Rectangle 264"/>
        <xdr:cNvSpPr/>
      </xdr:nvSpPr>
      <xdr:spPr>
        <a:xfrm>
          <a:off x="676275" y="94945201"/>
          <a:ext cx="9620362" cy="2371724"/>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r>
            <a:rPr lang="en-GB" sz="1200" b="1">
              <a:solidFill>
                <a:schemeClr val="dk1"/>
              </a:solidFill>
              <a:effectLst/>
              <a:latin typeface="+mn-lt"/>
              <a:ea typeface="+mn-ea"/>
              <a:cs typeface="+mn-cs"/>
            </a:rPr>
            <a:t>Why is maternal smoking important?</a:t>
          </a:r>
        </a:p>
        <a:p>
          <a:endParaRPr lang="en-GB" sz="800">
            <a:effectLst/>
          </a:endParaRPr>
        </a:p>
        <a:p>
          <a:r>
            <a:rPr lang="en-GB" sz="1100" b="0">
              <a:solidFill>
                <a:schemeClr val="dk1"/>
              </a:solidFill>
              <a:effectLst/>
              <a:latin typeface="+mn-lt"/>
              <a:ea typeface="+mn-ea"/>
              <a:cs typeface="+mn-cs"/>
            </a:rPr>
            <a:t>Exposure to second-hand smoke among children is associated with Sudden Infant Death Syndrome and doubles the risk of children getting chest illnesses, including pneumonia, croup and bronchitis, plus more ear infections, wheezing and asthma. They also have three times the risk of getting lung cancer in later life compared with children who live with non-smokers. </a:t>
          </a:r>
        </a:p>
        <a:p>
          <a:endParaRPr lang="en-GB" sz="800" b="0" baseline="0">
            <a:solidFill>
              <a:schemeClr val="dk1"/>
            </a:solidFill>
            <a:effectLst/>
            <a:latin typeface="+mn-lt"/>
            <a:ea typeface="+mn-ea"/>
            <a:cs typeface="+mn-cs"/>
          </a:endParaRPr>
        </a:p>
        <a:p>
          <a:pPr lvl="0"/>
          <a:r>
            <a:rPr lang="en-GB" sz="1200" b="1">
              <a:solidFill>
                <a:schemeClr val="dk1"/>
              </a:solidFill>
              <a:effectLst/>
              <a:latin typeface="+mn-lt"/>
              <a:ea typeface="+mn-ea"/>
              <a:cs typeface="+mn-cs"/>
            </a:rPr>
            <a:t>Rationale for the Indicator</a:t>
          </a:r>
        </a:p>
        <a:p>
          <a:endParaRPr lang="en-GB" sz="800">
            <a:effectLst/>
          </a:endParaRPr>
        </a:p>
        <a:p>
          <a:r>
            <a:rPr lang="en-GB" sz="1100">
              <a:effectLst/>
            </a:rPr>
            <a:t>Smoking status among new mothers is collected at the health visitor</a:t>
          </a:r>
          <a:r>
            <a:rPr lang="en-GB" sz="1100" baseline="0">
              <a:effectLst/>
            </a:rPr>
            <a:t> </a:t>
          </a:r>
          <a:r>
            <a:rPr lang="en-GB" sz="1100">
              <a:effectLst/>
            </a:rPr>
            <a:t>check.</a:t>
          </a:r>
        </a:p>
        <a:p>
          <a:endParaRPr lang="en-GB" sz="800">
            <a:effectLst/>
          </a:endParaRPr>
        </a:p>
        <a:p>
          <a:r>
            <a:rPr lang="en-GB" sz="1200" b="1" baseline="0">
              <a:solidFill>
                <a:schemeClr val="dk1"/>
              </a:solidFill>
              <a:effectLst/>
              <a:latin typeface="+mn-lt"/>
              <a:ea typeface="+mn-ea"/>
              <a:cs typeface="+mn-cs"/>
            </a:rPr>
            <a:t>What helps?</a:t>
          </a:r>
        </a:p>
        <a:p>
          <a:endParaRPr lang="en-GB" sz="800">
            <a:effectLst/>
          </a:endParaRPr>
        </a:p>
        <a:p>
          <a:r>
            <a:rPr lang="en-GB" sz="1100">
              <a:effectLst/>
            </a:rPr>
            <a:t>The Children’s Workforce target the most disadvantaged communities, who are also more likely to smoke. They offer an ideal setting for parents to access NHS smoking cessation advice and support.</a:t>
          </a:r>
        </a:p>
      </xdr:txBody>
    </xdr:sp>
    <xdr:clientData/>
  </xdr:twoCellAnchor>
  <xdr:twoCellAnchor editAs="oneCell">
    <xdr:from>
      <xdr:col>2</xdr:col>
      <xdr:colOff>0</xdr:colOff>
      <xdr:row>679</xdr:row>
      <xdr:rowOff>0</xdr:rowOff>
    </xdr:from>
    <xdr:to>
      <xdr:col>22</xdr:col>
      <xdr:colOff>4883</xdr:colOff>
      <xdr:row>680</xdr:row>
      <xdr:rowOff>113477</xdr:rowOff>
    </xdr:to>
    <xdr:grpSp>
      <xdr:nvGrpSpPr>
        <xdr:cNvPr id="266" name="Group 265"/>
        <xdr:cNvGrpSpPr/>
      </xdr:nvGrpSpPr>
      <xdr:grpSpPr>
        <a:xfrm>
          <a:off x="209550" y="145341975"/>
          <a:ext cx="10596683" cy="303977"/>
          <a:chOff x="219752" y="16256265"/>
          <a:chExt cx="10659783" cy="299214"/>
        </a:xfrm>
      </xdr:grpSpPr>
      <xdr:sp macro="" textlink="">
        <xdr:nvSpPr>
          <xdr:cNvPr id="267" name="Rectangle 266"/>
          <xdr:cNvSpPr/>
        </xdr:nvSpPr>
        <xdr:spPr>
          <a:xfrm>
            <a:off x="219752" y="16256265"/>
            <a:ext cx="10659783" cy="285750"/>
          </a:xfrm>
          <a:prstGeom prst="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t"/>
          <a:lstStyle/>
          <a:p>
            <a:pPr algn="l"/>
            <a:r>
              <a:rPr lang="en-GB" sz="1100" b="1"/>
              <a:t>Improving</a:t>
            </a:r>
            <a:r>
              <a:rPr lang="en-GB" sz="1100" b="1" baseline="0"/>
              <a:t> coverage for all childhood immunisations</a:t>
            </a:r>
          </a:p>
          <a:p>
            <a:pPr algn="l"/>
            <a:endParaRPr lang="en-GB" sz="1100" b="1"/>
          </a:p>
        </xdr:txBody>
      </xdr:sp>
      <xdr:sp macro="" textlink="">
        <xdr:nvSpPr>
          <xdr:cNvPr id="268" name="TextBox 267">
            <a:hlinkClick xmlns:r="http://schemas.openxmlformats.org/officeDocument/2006/relationships" r:id="rId7"/>
          </xdr:cNvPr>
          <xdr:cNvSpPr txBox="1"/>
        </xdr:nvSpPr>
        <xdr:spPr>
          <a:xfrm>
            <a:off x="9549078" y="16262880"/>
            <a:ext cx="1329662" cy="2925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100" u="sng">
                <a:solidFill>
                  <a:schemeClr val="bg1"/>
                </a:solidFill>
              </a:rPr>
              <a:t>back to top</a:t>
            </a:r>
          </a:p>
        </xdr:txBody>
      </xdr:sp>
    </xdr:grpSp>
    <xdr:clientData/>
  </xdr:twoCellAnchor>
  <xdr:twoCellAnchor editAs="oneCell">
    <xdr:from>
      <xdr:col>2</xdr:col>
      <xdr:colOff>466725</xdr:colOff>
      <xdr:row>681</xdr:row>
      <xdr:rowOff>180975</xdr:rowOff>
    </xdr:from>
    <xdr:to>
      <xdr:col>20</xdr:col>
      <xdr:colOff>323962</xdr:colOff>
      <xdr:row>699</xdr:row>
      <xdr:rowOff>152401</xdr:rowOff>
    </xdr:to>
    <xdr:sp macro="" textlink="">
      <xdr:nvSpPr>
        <xdr:cNvPr id="269" name="Rectangle 268"/>
        <xdr:cNvSpPr/>
      </xdr:nvSpPr>
      <xdr:spPr>
        <a:xfrm>
          <a:off x="676275" y="83019900"/>
          <a:ext cx="9620362" cy="3400426"/>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r>
            <a:rPr lang="en-GB" sz="1200" b="1">
              <a:solidFill>
                <a:schemeClr val="dk1"/>
              </a:solidFill>
              <a:effectLst/>
              <a:latin typeface="+mn-lt"/>
              <a:ea typeface="+mn-ea"/>
              <a:cs typeface="+mn-cs"/>
            </a:rPr>
            <a:t>Why are childhood</a:t>
          </a:r>
          <a:r>
            <a:rPr lang="en-GB" sz="1200" b="1" baseline="0">
              <a:solidFill>
                <a:schemeClr val="dk1"/>
              </a:solidFill>
              <a:effectLst/>
              <a:latin typeface="+mn-lt"/>
              <a:ea typeface="+mn-ea"/>
              <a:cs typeface="+mn-cs"/>
            </a:rPr>
            <a:t> immunisations important?</a:t>
          </a:r>
          <a:endParaRPr lang="en-GB" sz="1200" b="1">
            <a:solidFill>
              <a:schemeClr val="dk1"/>
            </a:solidFill>
            <a:effectLst/>
            <a:latin typeface="+mn-lt"/>
            <a:ea typeface="+mn-ea"/>
            <a:cs typeface="+mn-cs"/>
          </a:endParaRPr>
        </a:p>
        <a:p>
          <a:endParaRPr lang="en-GB" sz="800">
            <a:effectLst/>
          </a:endParaRPr>
        </a:p>
        <a:p>
          <a:r>
            <a:rPr lang="en-GB" sz="1100">
              <a:effectLst/>
            </a:rPr>
            <a:t>Immunisations are an extremely effective way of protecting children against infectious diseases including diphtheria, tetanus, whooping cough, polio, meningitis, pneumonia, measles, rubella mumps, rotavirus and influenza.  Good coverage makes outbreaks of infectious disease less likely to happen. There may be some children who cannot be immunised for medical or other reasons and high coverage in the rest of the population helps to protect them.</a:t>
          </a:r>
        </a:p>
        <a:p>
          <a:pPr lvl="0"/>
          <a:endParaRPr lang="en-GB" sz="800" b="1">
            <a:solidFill>
              <a:schemeClr val="dk1"/>
            </a:solidFill>
            <a:effectLst/>
            <a:latin typeface="+mn-lt"/>
            <a:ea typeface="+mn-ea"/>
            <a:cs typeface="+mn-cs"/>
          </a:endParaRPr>
        </a:p>
        <a:p>
          <a:pPr lvl="0"/>
          <a:r>
            <a:rPr lang="en-GB" sz="1200" b="1">
              <a:solidFill>
                <a:schemeClr val="dk1"/>
              </a:solidFill>
              <a:effectLst/>
              <a:latin typeface="+mn-lt"/>
              <a:ea typeface="+mn-ea"/>
              <a:cs typeface="+mn-cs"/>
            </a:rPr>
            <a:t>Indicator</a:t>
          </a:r>
        </a:p>
        <a:p>
          <a:pPr lvl="0"/>
          <a:endParaRPr lang="en-GB" sz="800" b="0">
            <a:solidFill>
              <a:schemeClr val="dk1"/>
            </a:solidFill>
            <a:effectLst/>
            <a:latin typeface="+mn-lt"/>
            <a:ea typeface="+mn-ea"/>
            <a:cs typeface="+mn-cs"/>
          </a:endParaRPr>
        </a:p>
        <a:p>
          <a:pPr lvl="0"/>
          <a:r>
            <a:rPr lang="en-GB" sz="1100" b="0">
              <a:solidFill>
                <a:schemeClr val="dk1"/>
              </a:solidFill>
              <a:effectLst/>
              <a:latin typeface="+mn-lt"/>
              <a:ea typeface="+mn-ea"/>
              <a:cs typeface="+mn-cs"/>
            </a:rPr>
            <a:t>To achieve a 95% coverage rates across all childhood immunisations (DH)</a:t>
          </a:r>
        </a:p>
        <a:p>
          <a:pPr lvl="0"/>
          <a:endParaRPr lang="en-GB" sz="800" b="0">
            <a:solidFill>
              <a:schemeClr val="dk1"/>
            </a:solidFill>
            <a:effectLst/>
            <a:latin typeface="+mn-lt"/>
            <a:ea typeface="+mn-ea"/>
            <a:cs typeface="+mn-cs"/>
          </a:endParaRPr>
        </a:p>
        <a:p>
          <a:pPr lvl="0"/>
          <a:r>
            <a:rPr lang="en-GB" sz="1200" b="1">
              <a:solidFill>
                <a:schemeClr val="dk1"/>
              </a:solidFill>
              <a:effectLst/>
              <a:latin typeface="+mn-lt"/>
              <a:ea typeface="+mn-ea"/>
              <a:cs typeface="+mn-cs"/>
            </a:rPr>
            <a:t>Rationale for the Indicator</a:t>
          </a:r>
        </a:p>
        <a:p>
          <a:endParaRPr lang="en-GB" sz="800">
            <a:effectLst/>
          </a:endParaRPr>
        </a:p>
        <a:p>
          <a:r>
            <a:rPr lang="en-GB" sz="1100">
              <a:effectLst/>
            </a:rPr>
            <a:t>The indicator helps the Children's Workforce</a:t>
          </a:r>
          <a:r>
            <a:rPr lang="en-GB" sz="1100" baseline="0">
              <a:effectLst/>
            </a:rPr>
            <a:t> </a:t>
          </a:r>
          <a:r>
            <a:rPr lang="en-GB" sz="1100">
              <a:effectLst/>
            </a:rPr>
            <a:t>to identify groups of children who may have lower coverage and provide them with appropriate advice and information.</a:t>
          </a:r>
        </a:p>
        <a:p>
          <a:endParaRPr lang="en-GB" sz="800">
            <a:effectLst/>
          </a:endParaRPr>
        </a:p>
        <a:p>
          <a:r>
            <a:rPr lang="en-GB" sz="1200" b="1" baseline="0">
              <a:solidFill>
                <a:schemeClr val="dk1"/>
              </a:solidFill>
              <a:effectLst/>
              <a:latin typeface="+mn-lt"/>
              <a:ea typeface="+mn-ea"/>
              <a:cs typeface="+mn-cs"/>
            </a:rPr>
            <a:t>What helps?</a:t>
          </a:r>
        </a:p>
        <a:p>
          <a:endParaRPr lang="en-GB" sz="800">
            <a:effectLst/>
          </a:endParaRPr>
        </a:p>
        <a:p>
          <a:r>
            <a:rPr lang="en-GB" sz="1100">
              <a:effectLst/>
            </a:rPr>
            <a:t>The Children’s Workforce work with Sussex Community NHS  Foundation Trust Immunisation Team to ensure all staff are up to date with training and are confident in providing appropriate advice. They can provide information to parents and provide a setting for some of the immunisation programme to be delivered thereby improving access. </a:t>
          </a:r>
        </a:p>
      </xdr:txBody>
    </xdr:sp>
    <xdr:clientData/>
  </xdr:twoCellAnchor>
  <xdr:twoCellAnchor editAs="oneCell">
    <xdr:from>
      <xdr:col>2</xdr:col>
      <xdr:colOff>0</xdr:colOff>
      <xdr:row>715</xdr:row>
      <xdr:rowOff>133350</xdr:rowOff>
    </xdr:from>
    <xdr:to>
      <xdr:col>22</xdr:col>
      <xdr:colOff>4883</xdr:colOff>
      <xdr:row>717</xdr:row>
      <xdr:rowOff>56327</xdr:rowOff>
    </xdr:to>
    <xdr:grpSp>
      <xdr:nvGrpSpPr>
        <xdr:cNvPr id="270" name="Group 269"/>
        <xdr:cNvGrpSpPr/>
      </xdr:nvGrpSpPr>
      <xdr:grpSpPr>
        <a:xfrm>
          <a:off x="209550" y="155876625"/>
          <a:ext cx="10596683" cy="303977"/>
          <a:chOff x="219752" y="16256265"/>
          <a:chExt cx="10659783" cy="299214"/>
        </a:xfrm>
      </xdr:grpSpPr>
      <xdr:sp macro="" textlink="">
        <xdr:nvSpPr>
          <xdr:cNvPr id="271" name="Rectangle 270"/>
          <xdr:cNvSpPr/>
        </xdr:nvSpPr>
        <xdr:spPr>
          <a:xfrm>
            <a:off x="219752" y="16256265"/>
            <a:ext cx="10659783" cy="285750"/>
          </a:xfrm>
          <a:prstGeom prst="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t"/>
          <a:lstStyle/>
          <a:p>
            <a:pPr algn="l"/>
            <a:r>
              <a:rPr lang="en-GB" sz="1100" b="1"/>
              <a:t>Age 1 </a:t>
            </a:r>
            <a:r>
              <a:rPr lang="en-GB" sz="1100" b="1" baseline="0"/>
              <a:t> - </a:t>
            </a:r>
            <a:r>
              <a:rPr lang="en-GB" sz="1100" b="1"/>
              <a:t>children that had</a:t>
            </a:r>
            <a:r>
              <a:rPr lang="en-GB" sz="1100" b="1" baseline="0"/>
              <a:t> their 1st birthday within 2014/15 or 2015/16</a:t>
            </a:r>
          </a:p>
          <a:p>
            <a:pPr algn="l"/>
            <a:endParaRPr lang="en-GB" sz="1100" b="1"/>
          </a:p>
        </xdr:txBody>
      </xdr:sp>
      <xdr:sp macro="" textlink="">
        <xdr:nvSpPr>
          <xdr:cNvPr id="272" name="TextBox 271">
            <a:hlinkClick xmlns:r="http://schemas.openxmlformats.org/officeDocument/2006/relationships" r:id="rId7"/>
          </xdr:cNvPr>
          <xdr:cNvSpPr txBox="1"/>
        </xdr:nvSpPr>
        <xdr:spPr>
          <a:xfrm>
            <a:off x="9549078" y="16262880"/>
            <a:ext cx="1329662" cy="2925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100" u="sng">
                <a:solidFill>
                  <a:schemeClr val="bg1"/>
                </a:solidFill>
              </a:rPr>
              <a:t>back to top</a:t>
            </a:r>
          </a:p>
        </xdr:txBody>
      </xdr:sp>
    </xdr:grpSp>
    <xdr:clientData/>
  </xdr:twoCellAnchor>
  <xdr:twoCellAnchor editAs="oneCell">
    <xdr:from>
      <xdr:col>1</xdr:col>
      <xdr:colOff>104775</xdr:colOff>
      <xdr:row>733</xdr:row>
      <xdr:rowOff>154402</xdr:rowOff>
    </xdr:from>
    <xdr:to>
      <xdr:col>22</xdr:col>
      <xdr:colOff>800</xdr:colOff>
      <xdr:row>735</xdr:row>
      <xdr:rowOff>72987</xdr:rowOff>
    </xdr:to>
    <xdr:grpSp>
      <xdr:nvGrpSpPr>
        <xdr:cNvPr id="273" name="Group 272"/>
        <xdr:cNvGrpSpPr/>
      </xdr:nvGrpSpPr>
      <xdr:grpSpPr>
        <a:xfrm>
          <a:off x="200025" y="159336202"/>
          <a:ext cx="10602125" cy="299585"/>
          <a:chOff x="219752" y="16344276"/>
          <a:chExt cx="10659783" cy="292599"/>
        </a:xfrm>
      </xdr:grpSpPr>
      <xdr:sp macro="" textlink="">
        <xdr:nvSpPr>
          <xdr:cNvPr id="274" name="Rectangle 273"/>
          <xdr:cNvSpPr/>
        </xdr:nvSpPr>
        <xdr:spPr>
          <a:xfrm>
            <a:off x="219752" y="16349291"/>
            <a:ext cx="10659783" cy="285750"/>
          </a:xfrm>
          <a:prstGeom prst="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t"/>
          <a:lstStyle/>
          <a:p>
            <a:pPr algn="l"/>
            <a:r>
              <a:rPr lang="en-GB" sz="1100" b="1"/>
              <a:t>Age 2 Cohort (children that had</a:t>
            </a:r>
            <a:r>
              <a:rPr lang="en-GB" sz="1100" b="1" baseline="0"/>
              <a:t> their 2nd birthday within 2014/15 or 2015/16)</a:t>
            </a:r>
          </a:p>
          <a:p>
            <a:pPr algn="l"/>
            <a:endParaRPr lang="en-GB" sz="1100" b="1"/>
          </a:p>
        </xdr:txBody>
      </xdr:sp>
      <xdr:sp macro="" textlink="">
        <xdr:nvSpPr>
          <xdr:cNvPr id="275" name="TextBox 274">
            <a:hlinkClick xmlns:r="http://schemas.openxmlformats.org/officeDocument/2006/relationships" r:id="rId7"/>
          </xdr:cNvPr>
          <xdr:cNvSpPr txBox="1"/>
        </xdr:nvSpPr>
        <xdr:spPr>
          <a:xfrm>
            <a:off x="9549078" y="16344276"/>
            <a:ext cx="1329662" cy="2925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100" u="sng">
                <a:solidFill>
                  <a:schemeClr val="bg1"/>
                </a:solidFill>
              </a:rPr>
              <a:t>back to top</a:t>
            </a:r>
          </a:p>
        </xdr:txBody>
      </xdr:sp>
    </xdr:grpSp>
    <xdr:clientData/>
  </xdr:twoCellAnchor>
  <xdr:twoCellAnchor editAs="oneCell">
    <xdr:from>
      <xdr:col>2</xdr:col>
      <xdr:colOff>0</xdr:colOff>
      <xdr:row>761</xdr:row>
      <xdr:rowOff>142875</xdr:rowOff>
    </xdr:from>
    <xdr:to>
      <xdr:col>22</xdr:col>
      <xdr:colOff>4883</xdr:colOff>
      <xdr:row>763</xdr:row>
      <xdr:rowOff>65851</xdr:rowOff>
    </xdr:to>
    <xdr:grpSp>
      <xdr:nvGrpSpPr>
        <xdr:cNvPr id="276" name="Group 275"/>
        <xdr:cNvGrpSpPr/>
      </xdr:nvGrpSpPr>
      <xdr:grpSpPr>
        <a:xfrm>
          <a:off x="209550" y="164849175"/>
          <a:ext cx="10596683" cy="303976"/>
          <a:chOff x="219752" y="16256265"/>
          <a:chExt cx="10659783" cy="299214"/>
        </a:xfrm>
      </xdr:grpSpPr>
      <xdr:sp macro="" textlink="">
        <xdr:nvSpPr>
          <xdr:cNvPr id="277" name="Rectangle 276"/>
          <xdr:cNvSpPr/>
        </xdr:nvSpPr>
        <xdr:spPr>
          <a:xfrm>
            <a:off x="219752" y="16256265"/>
            <a:ext cx="10659783" cy="285750"/>
          </a:xfrm>
          <a:prstGeom prst="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t"/>
          <a:lstStyle/>
          <a:p>
            <a:pPr algn="l"/>
            <a:r>
              <a:rPr lang="en-GB" sz="1100" b="1"/>
              <a:t>Age 5 Cohort (children that had</a:t>
            </a:r>
            <a:r>
              <a:rPr lang="en-GB" sz="1100" b="1" baseline="0"/>
              <a:t> their 5th birthday within 2014/15 or 2015/16)</a:t>
            </a:r>
          </a:p>
          <a:p>
            <a:pPr algn="l"/>
            <a:endParaRPr lang="en-GB" sz="1100" b="1"/>
          </a:p>
        </xdr:txBody>
      </xdr:sp>
      <xdr:sp macro="" textlink="">
        <xdr:nvSpPr>
          <xdr:cNvPr id="278" name="TextBox 277">
            <a:hlinkClick xmlns:r="http://schemas.openxmlformats.org/officeDocument/2006/relationships" r:id="rId7"/>
          </xdr:cNvPr>
          <xdr:cNvSpPr txBox="1"/>
        </xdr:nvSpPr>
        <xdr:spPr>
          <a:xfrm>
            <a:off x="9549078" y="16262880"/>
            <a:ext cx="1329662" cy="2925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100" u="sng">
                <a:solidFill>
                  <a:schemeClr val="bg1"/>
                </a:solidFill>
              </a:rPr>
              <a:t>back to top</a:t>
            </a:r>
          </a:p>
        </xdr:txBody>
      </xdr:sp>
    </xdr:grpSp>
    <xdr:clientData/>
  </xdr:twoCellAnchor>
  <xdr:twoCellAnchor editAs="oneCell">
    <xdr:from>
      <xdr:col>2</xdr:col>
      <xdr:colOff>0</xdr:colOff>
      <xdr:row>801</xdr:row>
      <xdr:rowOff>0</xdr:rowOff>
    </xdr:from>
    <xdr:to>
      <xdr:col>22</xdr:col>
      <xdr:colOff>4883</xdr:colOff>
      <xdr:row>802</xdr:row>
      <xdr:rowOff>123001</xdr:rowOff>
    </xdr:to>
    <xdr:grpSp>
      <xdr:nvGrpSpPr>
        <xdr:cNvPr id="279" name="Group 278"/>
        <xdr:cNvGrpSpPr/>
      </xdr:nvGrpSpPr>
      <xdr:grpSpPr>
        <a:xfrm>
          <a:off x="209550" y="172488225"/>
          <a:ext cx="10596683" cy="303976"/>
          <a:chOff x="219752" y="16256265"/>
          <a:chExt cx="10659783" cy="299214"/>
        </a:xfrm>
      </xdr:grpSpPr>
      <xdr:sp macro="" textlink="">
        <xdr:nvSpPr>
          <xdr:cNvPr id="280" name="Rectangle 279"/>
          <xdr:cNvSpPr/>
        </xdr:nvSpPr>
        <xdr:spPr>
          <a:xfrm>
            <a:off x="219752" y="16256265"/>
            <a:ext cx="10659783" cy="285750"/>
          </a:xfrm>
          <a:prstGeom prst="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t"/>
          <a:lstStyle/>
          <a:p>
            <a:pPr algn="l"/>
            <a:r>
              <a:rPr lang="en-GB" sz="1100" b="1"/>
              <a:t>Hospital Admissions (Ofsted KPI)</a:t>
            </a:r>
            <a:endParaRPr lang="en-GB" sz="1100" b="1" baseline="0"/>
          </a:p>
          <a:p>
            <a:pPr algn="l"/>
            <a:endParaRPr lang="en-GB" sz="1100" b="1"/>
          </a:p>
        </xdr:txBody>
      </xdr:sp>
      <xdr:sp macro="" textlink="">
        <xdr:nvSpPr>
          <xdr:cNvPr id="281" name="TextBox 280">
            <a:hlinkClick xmlns:r="http://schemas.openxmlformats.org/officeDocument/2006/relationships" r:id="rId7"/>
          </xdr:cNvPr>
          <xdr:cNvSpPr txBox="1"/>
        </xdr:nvSpPr>
        <xdr:spPr>
          <a:xfrm>
            <a:off x="9549078" y="16262880"/>
            <a:ext cx="1329662" cy="2925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100" u="sng">
                <a:solidFill>
                  <a:schemeClr val="bg1"/>
                </a:solidFill>
              </a:rPr>
              <a:t>back to top</a:t>
            </a:r>
          </a:p>
        </xdr:txBody>
      </xdr:sp>
    </xdr:grpSp>
    <xdr:clientData/>
  </xdr:twoCellAnchor>
  <xdr:twoCellAnchor editAs="oneCell">
    <xdr:from>
      <xdr:col>3</xdr:col>
      <xdr:colOff>0</xdr:colOff>
      <xdr:row>804</xdr:row>
      <xdr:rowOff>4080</xdr:rowOff>
    </xdr:from>
    <xdr:to>
      <xdr:col>20</xdr:col>
      <xdr:colOff>390637</xdr:colOff>
      <xdr:row>834</xdr:row>
      <xdr:rowOff>0</xdr:rowOff>
    </xdr:to>
    <xdr:sp macro="" textlink="">
      <xdr:nvSpPr>
        <xdr:cNvPr id="282" name="Rectangle 281"/>
        <xdr:cNvSpPr/>
      </xdr:nvSpPr>
      <xdr:spPr>
        <a:xfrm>
          <a:off x="742950" y="171558855"/>
          <a:ext cx="9620362" cy="5425170"/>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lvl="0"/>
          <a:r>
            <a:rPr lang="en-GB" sz="1200" b="1">
              <a:solidFill>
                <a:schemeClr val="dk1"/>
              </a:solidFill>
              <a:effectLst/>
              <a:latin typeface="+mn-lt"/>
              <a:ea typeface="+mn-ea"/>
              <a:cs typeface="+mn-cs"/>
            </a:rPr>
            <a:t>Why</a:t>
          </a:r>
          <a:r>
            <a:rPr lang="en-GB" sz="1200" b="1" baseline="0">
              <a:solidFill>
                <a:schemeClr val="dk1"/>
              </a:solidFill>
              <a:effectLst/>
              <a:latin typeface="+mn-lt"/>
              <a:ea typeface="+mn-ea"/>
              <a:cs typeface="+mn-cs"/>
            </a:rPr>
            <a:t> is it important to monitor hospital admissions?</a:t>
          </a:r>
        </a:p>
        <a:p>
          <a:pPr lvl="0"/>
          <a:endParaRPr lang="en-GB" sz="800" b="1">
            <a:solidFill>
              <a:schemeClr val="dk1"/>
            </a:solidFill>
            <a:effectLst/>
            <a:latin typeface="+mn-lt"/>
            <a:ea typeface="+mn-ea"/>
            <a:cs typeface="+mn-cs"/>
          </a:endParaRPr>
        </a:p>
        <a:p>
          <a:pPr lvl="0"/>
          <a:r>
            <a:rPr lang="en-GB" sz="1100" b="0">
              <a:solidFill>
                <a:schemeClr val="dk1"/>
              </a:solidFill>
              <a:effectLst/>
              <a:latin typeface="+mn-lt"/>
              <a:ea typeface="+mn-ea"/>
              <a:cs typeface="+mn-cs"/>
            </a:rPr>
            <a:t>Unintentional injury is a leading cause of death and illness among children and causes more children to be admitted to hospital than any other reason. Each year in the UK, unintentional injury results in approximately two million children visiting accident and emergency departments. Children from the poorest UK families are 13 times more likely to die in an accident and are also more likely to be admitted to hospital with accidental injuries.</a:t>
          </a:r>
        </a:p>
        <a:p>
          <a:pPr lvl="0"/>
          <a:endParaRPr lang="en-GB" sz="800" b="0">
            <a:solidFill>
              <a:schemeClr val="dk1"/>
            </a:solidFill>
            <a:effectLst/>
            <a:latin typeface="+mn-lt"/>
            <a:ea typeface="+mn-ea"/>
            <a:cs typeface="+mn-cs"/>
          </a:endParaRPr>
        </a:p>
        <a:p>
          <a:pPr lvl="0"/>
          <a:r>
            <a:rPr lang="en-GB" sz="1200" b="1">
              <a:solidFill>
                <a:schemeClr val="dk1"/>
              </a:solidFill>
              <a:effectLst/>
              <a:latin typeface="+mn-lt"/>
              <a:ea typeface="+mn-ea"/>
              <a:cs typeface="+mn-cs"/>
            </a:rPr>
            <a:t>What</a:t>
          </a:r>
          <a:r>
            <a:rPr lang="en-GB" sz="1200" b="1" baseline="0">
              <a:solidFill>
                <a:schemeClr val="dk1"/>
              </a:solidFill>
              <a:effectLst/>
              <a:latin typeface="+mn-lt"/>
              <a:ea typeface="+mn-ea"/>
              <a:cs typeface="+mn-cs"/>
            </a:rPr>
            <a:t> helps?</a:t>
          </a:r>
        </a:p>
        <a:p>
          <a:pPr lvl="0"/>
          <a:endParaRPr lang="en-GB" sz="800" b="1">
            <a:solidFill>
              <a:schemeClr val="dk1"/>
            </a:solidFill>
            <a:effectLst/>
            <a:latin typeface="+mn-lt"/>
            <a:ea typeface="+mn-ea"/>
            <a:cs typeface="+mn-cs"/>
          </a:endParaRPr>
        </a:p>
        <a:p>
          <a:pPr lvl="0"/>
          <a:r>
            <a:rPr lang="en-GB" sz="1100" b="0">
              <a:solidFill>
                <a:schemeClr val="dk1"/>
              </a:solidFill>
              <a:effectLst/>
              <a:latin typeface="+mn-lt"/>
              <a:ea typeface="+mn-ea"/>
              <a:cs typeface="+mn-cs"/>
            </a:rPr>
            <a:t>Many unintentional injuries and related deaths are preventable. Children and Family Centres provide a hub for the Children’s Workforce and parents to work together to improve safety of children. Healthy</a:t>
          </a:r>
          <a:r>
            <a:rPr lang="en-GB" sz="1100" b="0" baseline="0">
              <a:solidFill>
                <a:schemeClr val="dk1"/>
              </a:solidFill>
              <a:effectLst/>
              <a:latin typeface="+mn-lt"/>
              <a:ea typeface="+mn-ea"/>
              <a:cs typeface="+mn-cs"/>
            </a:rPr>
            <a:t> Child Programme </a:t>
          </a:r>
          <a:r>
            <a:rPr lang="en-GB" sz="1100" b="0">
              <a:solidFill>
                <a:schemeClr val="dk1"/>
              </a:solidFill>
              <a:effectLst/>
              <a:latin typeface="+mn-lt"/>
              <a:ea typeface="+mn-ea"/>
              <a:cs typeface="+mn-cs"/>
            </a:rPr>
            <a:t>teams have a key role in accident prevention because of their extensive knowledge of child development. They can help families understand the real risks to children’s safety, by raising awareness of the practical steps parents can take to prevent serious injury and in identifying effective home safety equipment. </a:t>
          </a:r>
        </a:p>
        <a:p>
          <a:pPr lvl="0"/>
          <a:endParaRPr lang="en-GB" sz="800" b="1">
            <a:solidFill>
              <a:schemeClr val="dk1"/>
            </a:solidFill>
            <a:effectLst/>
            <a:latin typeface="+mn-lt"/>
            <a:ea typeface="+mn-ea"/>
            <a:cs typeface="+mn-cs"/>
          </a:endParaRPr>
        </a:p>
        <a:p>
          <a:pPr lvl="0"/>
          <a:r>
            <a:rPr lang="en-GB" sz="1200" b="1">
              <a:solidFill>
                <a:schemeClr val="dk1"/>
              </a:solidFill>
              <a:effectLst/>
              <a:latin typeface="+mn-lt"/>
              <a:ea typeface="+mn-ea"/>
              <a:cs typeface="+mn-cs"/>
            </a:rPr>
            <a:t>Indicator</a:t>
          </a:r>
        </a:p>
        <a:p>
          <a:pPr lvl="0"/>
          <a:endParaRPr lang="en-GB" sz="800" b="0">
            <a:solidFill>
              <a:schemeClr val="dk1"/>
            </a:solidFill>
            <a:effectLst/>
            <a:latin typeface="+mn-lt"/>
            <a:ea typeface="+mn-ea"/>
            <a:cs typeface="+mn-cs"/>
          </a:endParaRPr>
        </a:p>
        <a:p>
          <a:pPr lvl="0"/>
          <a:r>
            <a:rPr lang="en-GB" sz="1100" b="0">
              <a:solidFill>
                <a:schemeClr val="dk1"/>
              </a:solidFill>
              <a:effectLst/>
              <a:latin typeface="+mn-lt"/>
              <a:ea typeface="+mn-ea"/>
              <a:cs typeface="+mn-cs"/>
            </a:rPr>
            <a:t>Hospital admissions due to injury of</a:t>
          </a:r>
          <a:r>
            <a:rPr lang="en-GB" sz="1100" b="0" baseline="0">
              <a:solidFill>
                <a:schemeClr val="dk1"/>
              </a:solidFill>
              <a:effectLst/>
              <a:latin typeface="+mn-lt"/>
              <a:ea typeface="+mn-ea"/>
              <a:cs typeface="+mn-cs"/>
            </a:rPr>
            <a:t> children aged 5 and </a:t>
          </a:r>
          <a:r>
            <a:rPr lang="en-GB" sz="1100" b="0" baseline="0">
              <a:solidFill>
                <a:sysClr val="windowText" lastClr="000000"/>
              </a:solidFill>
              <a:effectLst/>
              <a:latin typeface="+mn-lt"/>
              <a:ea typeface="+mn-ea"/>
              <a:cs typeface="+mn-cs"/>
            </a:rPr>
            <a:t>under 2010/11 to 2014/15.</a:t>
          </a:r>
          <a:endParaRPr lang="en-GB" sz="1100" b="0">
            <a:solidFill>
              <a:sysClr val="windowText" lastClr="000000"/>
            </a:solidFill>
            <a:effectLst/>
            <a:latin typeface="+mn-lt"/>
            <a:ea typeface="+mn-ea"/>
            <a:cs typeface="+mn-cs"/>
          </a:endParaRPr>
        </a:p>
        <a:p>
          <a:pPr lvl="0"/>
          <a:endParaRPr lang="en-GB" sz="800" b="0">
            <a:solidFill>
              <a:schemeClr val="dk1"/>
            </a:solidFill>
            <a:effectLst/>
            <a:latin typeface="+mn-lt"/>
            <a:ea typeface="+mn-ea"/>
            <a:cs typeface="+mn-cs"/>
          </a:endParaRPr>
        </a:p>
        <a:p>
          <a:r>
            <a:rPr lang="en-GB" sz="1200" b="1">
              <a:effectLst/>
            </a:rPr>
            <a:t>How is the indicator</a:t>
          </a:r>
          <a:r>
            <a:rPr lang="en-GB" sz="1200" b="1" baseline="0">
              <a:effectLst/>
            </a:rPr>
            <a:t> defined?</a:t>
          </a:r>
        </a:p>
        <a:p>
          <a:endParaRPr lang="en-GB" sz="800" b="0">
            <a:effectLst/>
          </a:endParaRPr>
        </a:p>
        <a:p>
          <a:r>
            <a:rPr lang="en-GB" sz="1100" b="0">
              <a:effectLst/>
            </a:rPr>
            <a:t>Hospital admissions caused by unintentional and deliberate injuries in children (aged 0-4 years) Crude rate per 1,000 0-4 year olds</a:t>
          </a:r>
        </a:p>
        <a:p>
          <a:endParaRPr lang="en-GB" sz="800">
            <a:effectLst/>
          </a:endParaRPr>
        </a:p>
        <a:p>
          <a:r>
            <a:rPr lang="en-GB" sz="1200" b="1" baseline="0">
              <a:solidFill>
                <a:schemeClr val="dk1"/>
              </a:solidFill>
              <a:effectLst/>
              <a:latin typeface="+mn-lt"/>
              <a:ea typeface="+mn-ea"/>
              <a:cs typeface="+mn-cs"/>
            </a:rPr>
            <a:t>How accurate and complete is the data?</a:t>
          </a:r>
        </a:p>
        <a:p>
          <a:endParaRPr lang="en-GB" sz="800" b="1" baseline="0">
            <a:solidFill>
              <a:schemeClr val="dk1"/>
            </a:solidFill>
            <a:effectLst/>
            <a:latin typeface="+mn-lt"/>
            <a:ea typeface="+mn-ea"/>
            <a:cs typeface="+mn-cs"/>
          </a:endParaRPr>
        </a:p>
        <a:p>
          <a:r>
            <a:rPr lang="en-GB" sz="1100">
              <a:effectLst/>
            </a:rPr>
            <a:t>HES inpatient data and ONS population statistics are generally considered to be complete and robust. However, there may be a question regarding the quality of external cause coding.</a:t>
          </a:r>
        </a:p>
        <a:p>
          <a:endParaRPr lang="en-GB" sz="800">
            <a:effectLst/>
          </a:endParaRPr>
        </a:p>
        <a:p>
          <a:r>
            <a:rPr lang="en-GB" sz="1200" b="1">
              <a:effectLst/>
            </a:rPr>
            <a:t>Are</a:t>
          </a:r>
          <a:r>
            <a:rPr lang="en-GB" sz="1200" b="1" baseline="0">
              <a:effectLst/>
            </a:rPr>
            <a:t> there any other caveats/problems/weaknesses?</a:t>
          </a:r>
        </a:p>
        <a:p>
          <a:endParaRPr lang="en-GB" sz="800" b="0">
            <a:effectLst/>
          </a:endParaRPr>
        </a:p>
        <a:p>
          <a:pPr lvl="1"/>
          <a:r>
            <a:rPr lang="en-GB" sz="1100" b="0">
              <a:effectLst/>
            </a:rPr>
            <a:t>1. There may be differences in admission thresholds.</a:t>
          </a:r>
        </a:p>
        <a:p>
          <a:pPr lvl="1"/>
          <a:r>
            <a:rPr lang="en-GB" sz="1100" b="0">
              <a:effectLst/>
            </a:rPr>
            <a:t>2. There may be variation between Trusts in the way hospital admissions are coded. There may be variation in data recording completeness. Injury information could potentially be missing in the admission episode record but added instead to a subsequent episode record.</a:t>
          </a:r>
        </a:p>
        <a:p>
          <a:pPr lvl="1"/>
          <a:r>
            <a:rPr lang="en-GB" sz="1100" b="0">
              <a:effectLst/>
            </a:rPr>
            <a:t>3. The Injury Profiles indicator is based on finished admissions, whereas the Child Profiles indicator is based on episodes. The Injury Profiles indicator is based on emergency admissions only, whereas the Child Profiles indicator includes all admission methods.</a:t>
          </a:r>
        </a:p>
        <a:p>
          <a:endParaRPr lang="en-GB" sz="1100">
            <a:effectLst/>
          </a:endParaRPr>
        </a:p>
      </xdr:txBody>
    </xdr:sp>
    <xdr:clientData/>
  </xdr:twoCellAnchor>
  <xdr:twoCellAnchor editAs="oneCell">
    <xdr:from>
      <xdr:col>18</xdr:col>
      <xdr:colOff>142875</xdr:colOff>
      <xdr:row>816</xdr:row>
      <xdr:rowOff>0</xdr:rowOff>
    </xdr:from>
    <xdr:to>
      <xdr:col>20</xdr:col>
      <xdr:colOff>76200</xdr:colOff>
      <xdr:row>818</xdr:row>
      <xdr:rowOff>85724</xdr:rowOff>
    </xdr:to>
    <xdr:sp macro="" textlink="">
      <xdr:nvSpPr>
        <xdr:cNvPr id="283" name="Rectangle 282"/>
        <xdr:cNvSpPr/>
      </xdr:nvSpPr>
      <xdr:spPr>
        <a:xfrm>
          <a:off x="9029700" y="115890675"/>
          <a:ext cx="1019175" cy="447674"/>
        </a:xfrm>
        <a:prstGeom prst="rect">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lang="en-GB" sz="1100" b="1"/>
            <a:t>OFSTED</a:t>
          </a:r>
          <a:r>
            <a:rPr lang="en-GB" sz="1100" b="1" baseline="0"/>
            <a:t> KPI</a:t>
          </a:r>
          <a:endParaRPr lang="en-GB" sz="1100" b="1"/>
        </a:p>
      </xdr:txBody>
    </xdr:sp>
    <xdr:clientData/>
  </xdr:twoCellAnchor>
  <xdr:twoCellAnchor editAs="oneCell">
    <xdr:from>
      <xdr:col>1</xdr:col>
      <xdr:colOff>104775</xdr:colOff>
      <xdr:row>835</xdr:row>
      <xdr:rowOff>76200</xdr:rowOff>
    </xdr:from>
    <xdr:to>
      <xdr:col>22</xdr:col>
      <xdr:colOff>800</xdr:colOff>
      <xdr:row>837</xdr:row>
      <xdr:rowOff>18226</xdr:rowOff>
    </xdr:to>
    <xdr:grpSp>
      <xdr:nvGrpSpPr>
        <xdr:cNvPr id="284" name="Group 283"/>
        <xdr:cNvGrpSpPr/>
      </xdr:nvGrpSpPr>
      <xdr:grpSpPr>
        <a:xfrm>
          <a:off x="200025" y="178717575"/>
          <a:ext cx="10602125" cy="303976"/>
          <a:chOff x="219752" y="16256265"/>
          <a:chExt cx="10659783" cy="299214"/>
        </a:xfrm>
      </xdr:grpSpPr>
      <xdr:sp macro="" textlink="">
        <xdr:nvSpPr>
          <xdr:cNvPr id="285" name="Rectangle 284"/>
          <xdr:cNvSpPr/>
        </xdr:nvSpPr>
        <xdr:spPr>
          <a:xfrm>
            <a:off x="219752" y="16256265"/>
            <a:ext cx="10659783" cy="285750"/>
          </a:xfrm>
          <a:prstGeom prst="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t"/>
          <a:lstStyle/>
          <a:p>
            <a:pPr algn="l"/>
            <a:r>
              <a:rPr lang="en-GB" sz="1100" b="1"/>
              <a:t>Emergency</a:t>
            </a:r>
            <a:r>
              <a:rPr lang="en-GB" sz="1100" b="1" baseline="0"/>
              <a:t> </a:t>
            </a:r>
            <a:r>
              <a:rPr lang="en-GB" sz="1100" b="1"/>
              <a:t>Admissions 2014/15</a:t>
            </a:r>
            <a:endParaRPr lang="en-GB" sz="1100" b="1" baseline="0"/>
          </a:p>
          <a:p>
            <a:pPr algn="l"/>
            <a:endParaRPr lang="en-GB" sz="1100" b="1"/>
          </a:p>
        </xdr:txBody>
      </xdr:sp>
      <xdr:sp macro="" textlink="">
        <xdr:nvSpPr>
          <xdr:cNvPr id="286" name="TextBox 285">
            <a:hlinkClick xmlns:r="http://schemas.openxmlformats.org/officeDocument/2006/relationships" r:id="rId7"/>
          </xdr:cNvPr>
          <xdr:cNvSpPr txBox="1"/>
        </xdr:nvSpPr>
        <xdr:spPr>
          <a:xfrm>
            <a:off x="9549078" y="16262880"/>
            <a:ext cx="1329662" cy="2925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100" u="sng">
                <a:solidFill>
                  <a:schemeClr val="bg1"/>
                </a:solidFill>
              </a:rPr>
              <a:t>back to top</a:t>
            </a:r>
          </a:p>
        </xdr:txBody>
      </xdr:sp>
    </xdr:grpSp>
    <xdr:clientData/>
  </xdr:twoCellAnchor>
  <xdr:twoCellAnchor editAs="oneCell">
    <xdr:from>
      <xdr:col>2</xdr:col>
      <xdr:colOff>485774</xdr:colOff>
      <xdr:row>854</xdr:row>
      <xdr:rowOff>180975</xdr:rowOff>
    </xdr:from>
    <xdr:to>
      <xdr:col>19</xdr:col>
      <xdr:colOff>514349</xdr:colOff>
      <xdr:row>871</xdr:row>
      <xdr:rowOff>19051</xdr:rowOff>
    </xdr:to>
    <xdr:graphicFrame macro="">
      <xdr:nvGraphicFramePr>
        <xdr:cNvPr id="23" name="Chart 2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2</xdr:col>
      <xdr:colOff>504825</xdr:colOff>
      <xdr:row>73</xdr:row>
      <xdr:rowOff>180975</xdr:rowOff>
    </xdr:from>
    <xdr:to>
      <xdr:col>20</xdr:col>
      <xdr:colOff>647700</xdr:colOff>
      <xdr:row>91</xdr:row>
      <xdr:rowOff>161925</xdr:rowOff>
    </xdr:to>
    <xdr:graphicFrame macro="">
      <xdr:nvGraphicFramePr>
        <xdr:cNvPr id="18" name="Chart 1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oneCell">
    <xdr:from>
      <xdr:col>2</xdr:col>
      <xdr:colOff>0</xdr:colOff>
      <xdr:row>285</xdr:row>
      <xdr:rowOff>0</xdr:rowOff>
    </xdr:from>
    <xdr:to>
      <xdr:col>22</xdr:col>
      <xdr:colOff>5441</xdr:colOff>
      <xdr:row>300</xdr:row>
      <xdr:rowOff>177044</xdr:rowOff>
    </xdr:to>
    <xdr:graphicFrame macro="">
      <xdr:nvGraphicFramePr>
        <xdr:cNvPr id="56" name="Chart 5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editAs="oneCell">
    <xdr:from>
      <xdr:col>2</xdr:col>
      <xdr:colOff>0</xdr:colOff>
      <xdr:row>302</xdr:row>
      <xdr:rowOff>135238</xdr:rowOff>
    </xdr:from>
    <xdr:to>
      <xdr:col>22</xdr:col>
      <xdr:colOff>0</xdr:colOff>
      <xdr:row>319</xdr:row>
      <xdr:rowOff>0</xdr:rowOff>
    </xdr:to>
    <xdr:graphicFrame macro="">
      <xdr:nvGraphicFramePr>
        <xdr:cNvPr id="129" name="Chart 12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editAs="oneCell">
    <xdr:from>
      <xdr:col>3</xdr:col>
      <xdr:colOff>0</xdr:colOff>
      <xdr:row>283</xdr:row>
      <xdr:rowOff>154781</xdr:rowOff>
    </xdr:from>
    <xdr:to>
      <xdr:col>7</xdr:col>
      <xdr:colOff>202407</xdr:colOff>
      <xdr:row>285</xdr:row>
      <xdr:rowOff>0</xdr:rowOff>
    </xdr:to>
    <xdr:sp macro="" textlink="">
      <xdr:nvSpPr>
        <xdr:cNvPr id="57" name="TextBox 56"/>
        <xdr:cNvSpPr txBox="1"/>
      </xdr:nvSpPr>
      <xdr:spPr>
        <a:xfrm>
          <a:off x="742950" y="47160656"/>
          <a:ext cx="2374107" cy="32146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400" b="1"/>
            <a:t>Reception</a:t>
          </a:r>
        </a:p>
      </xdr:txBody>
    </xdr:sp>
    <xdr:clientData/>
  </xdr:twoCellAnchor>
  <xdr:twoCellAnchor editAs="oneCell">
    <xdr:from>
      <xdr:col>2</xdr:col>
      <xdr:colOff>455270</xdr:colOff>
      <xdr:row>301</xdr:row>
      <xdr:rowOff>13152</xdr:rowOff>
    </xdr:from>
    <xdr:to>
      <xdr:col>7</xdr:col>
      <xdr:colOff>141665</xdr:colOff>
      <xdr:row>302</xdr:row>
      <xdr:rowOff>147145</xdr:rowOff>
    </xdr:to>
    <xdr:sp macro="" textlink="">
      <xdr:nvSpPr>
        <xdr:cNvPr id="131" name="TextBox 130"/>
        <xdr:cNvSpPr txBox="1"/>
      </xdr:nvSpPr>
      <xdr:spPr>
        <a:xfrm>
          <a:off x="666937" y="50463902"/>
          <a:ext cx="2374561" cy="32449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400" b="1"/>
            <a:t>Year 6:</a:t>
          </a:r>
        </a:p>
      </xdr:txBody>
    </xdr:sp>
    <xdr:clientData/>
  </xdr:twoCellAnchor>
  <xdr:twoCellAnchor editAs="oneCell">
    <xdr:from>
      <xdr:col>3</xdr:col>
      <xdr:colOff>30427</xdr:colOff>
      <xdr:row>577</xdr:row>
      <xdr:rowOff>88898</xdr:rowOff>
    </xdr:from>
    <xdr:to>
      <xdr:col>19</xdr:col>
      <xdr:colOff>478102</xdr:colOff>
      <xdr:row>590</xdr:row>
      <xdr:rowOff>96154</xdr:rowOff>
    </xdr:to>
    <xdr:graphicFrame macro="">
      <xdr:nvGraphicFramePr>
        <xdr:cNvPr id="59" name="Chart 5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mc:AlternateContent xmlns:mc="http://schemas.openxmlformats.org/markup-compatibility/2006">
    <mc:Choice xmlns:a14="http://schemas.microsoft.com/office/drawing/2010/main" Requires="a14">
      <xdr:twoCellAnchor editAs="oneCell">
        <xdr:from>
          <xdr:col>6</xdr:col>
          <xdr:colOff>371475</xdr:colOff>
          <xdr:row>4</xdr:row>
          <xdr:rowOff>180975</xdr:rowOff>
        </xdr:from>
        <xdr:to>
          <xdr:col>12</xdr:col>
          <xdr:colOff>247650</xdr:colOff>
          <xdr:row>6</xdr:row>
          <xdr:rowOff>66675</xdr:rowOff>
        </xdr:to>
        <xdr:sp macro="" textlink="">
          <xdr:nvSpPr>
            <xdr:cNvPr id="5122" name="Drop Down 2" hidden="1">
              <a:extLst>
                <a:ext uri="{63B3BB69-23CF-44E3-9099-C40C66FF867C}">
                  <a14:compatExt spid="_x0000_s512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371475</xdr:colOff>
          <xdr:row>6</xdr:row>
          <xdr:rowOff>161925</xdr:rowOff>
        </xdr:from>
        <xdr:to>
          <xdr:col>12</xdr:col>
          <xdr:colOff>247650</xdr:colOff>
          <xdr:row>8</xdr:row>
          <xdr:rowOff>47625</xdr:rowOff>
        </xdr:to>
        <xdr:sp macro="" textlink="">
          <xdr:nvSpPr>
            <xdr:cNvPr id="5123" name="Drop Down 3" hidden="1">
              <a:extLst>
                <a:ext uri="{63B3BB69-23CF-44E3-9099-C40C66FF867C}">
                  <a14:compatExt spid="_x0000_s5123"/>
                </a:ext>
              </a:extLst>
            </xdr:cNvPr>
            <xdr:cNvSpPr/>
          </xdr:nvSpPr>
          <xdr:spPr>
            <a:xfrm>
              <a:off x="0" y="0"/>
              <a:ext cx="0" cy="0"/>
            </a:xfrm>
            <a:prstGeom prst="rect">
              <a:avLst/>
            </a:prstGeom>
          </xdr:spPr>
        </xdr:sp>
        <xdr:clientData/>
      </xdr:twoCellAnchor>
    </mc:Choice>
    <mc:Fallback/>
  </mc:AlternateContent>
  <xdr:twoCellAnchor editAs="oneCell">
    <xdr:from>
      <xdr:col>13</xdr:col>
      <xdr:colOff>126210</xdr:colOff>
      <xdr:row>4</xdr:row>
      <xdr:rowOff>178594</xdr:rowOff>
    </xdr:from>
    <xdr:to>
      <xdr:col>14</xdr:col>
      <xdr:colOff>126211</xdr:colOff>
      <xdr:row>6</xdr:row>
      <xdr:rowOff>111919</xdr:rowOff>
    </xdr:to>
    <xdr:sp macro="" textlink="">
      <xdr:nvSpPr>
        <xdr:cNvPr id="132" name="Left Arrow 131"/>
        <xdr:cNvSpPr/>
      </xdr:nvSpPr>
      <xdr:spPr>
        <a:xfrm>
          <a:off x="6353179" y="964407"/>
          <a:ext cx="547688" cy="314325"/>
        </a:xfrm>
        <a:prstGeom prst="leftArrow">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t"/>
        <a:lstStyle/>
        <a:p>
          <a:pPr algn="l"/>
          <a:endParaRPr lang="en-GB" sz="1100"/>
        </a:p>
      </xdr:txBody>
    </xdr:sp>
    <xdr:clientData/>
  </xdr:twoCellAnchor>
  <xdr:twoCellAnchor editAs="oneCell">
    <xdr:from>
      <xdr:col>14</xdr:col>
      <xdr:colOff>135735</xdr:colOff>
      <xdr:row>5</xdr:row>
      <xdr:rowOff>16670</xdr:rowOff>
    </xdr:from>
    <xdr:to>
      <xdr:col>20</xdr:col>
      <xdr:colOff>697709</xdr:colOff>
      <xdr:row>6</xdr:row>
      <xdr:rowOff>83344</xdr:rowOff>
    </xdr:to>
    <xdr:sp macro="" textlink="">
      <xdr:nvSpPr>
        <xdr:cNvPr id="133" name="TextBox 132"/>
        <xdr:cNvSpPr txBox="1"/>
      </xdr:nvSpPr>
      <xdr:spPr>
        <a:xfrm>
          <a:off x="6910391" y="992983"/>
          <a:ext cx="3848099" cy="2571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solidFill>
            </a:rPr>
            <a:t>Your current</a:t>
          </a:r>
          <a:r>
            <a:rPr lang="en-GB" sz="1100" b="1" baseline="0">
              <a:solidFill>
                <a:schemeClr val="bg1"/>
              </a:solidFill>
            </a:rPr>
            <a:t> selection</a:t>
          </a:r>
          <a:endParaRPr lang="en-GB" sz="1100" b="1">
            <a:solidFill>
              <a:schemeClr val="bg1"/>
            </a:solidFill>
          </a:endParaRPr>
        </a:p>
      </xdr:txBody>
    </xdr:sp>
    <xdr:clientData/>
  </xdr:twoCellAnchor>
  <xdr:twoCellAnchor editAs="oneCell">
    <xdr:from>
      <xdr:col>13</xdr:col>
      <xdr:colOff>123829</xdr:colOff>
      <xdr:row>6</xdr:row>
      <xdr:rowOff>116681</xdr:rowOff>
    </xdr:from>
    <xdr:to>
      <xdr:col>14</xdr:col>
      <xdr:colOff>123830</xdr:colOff>
      <xdr:row>8</xdr:row>
      <xdr:rowOff>50006</xdr:rowOff>
    </xdr:to>
    <xdr:sp macro="" textlink="">
      <xdr:nvSpPr>
        <xdr:cNvPr id="134" name="Left Arrow 133"/>
        <xdr:cNvSpPr/>
      </xdr:nvSpPr>
      <xdr:spPr>
        <a:xfrm>
          <a:off x="6350798" y="1283494"/>
          <a:ext cx="547688" cy="314325"/>
        </a:xfrm>
        <a:prstGeom prst="leftArrow">
          <a:avLst/>
        </a:prstGeom>
      </xdr:spPr>
      <xdr:style>
        <a:lnRef idx="0">
          <a:schemeClr val="accent4"/>
        </a:lnRef>
        <a:fillRef idx="3">
          <a:schemeClr val="accent4"/>
        </a:fillRef>
        <a:effectRef idx="3">
          <a:schemeClr val="accent4"/>
        </a:effectRef>
        <a:fontRef idx="minor">
          <a:schemeClr val="lt1"/>
        </a:fontRef>
      </xdr:style>
      <xdr:txBody>
        <a:bodyPr vertOverflow="clip" horzOverflow="clip" rtlCol="0" anchor="t"/>
        <a:lstStyle/>
        <a:p>
          <a:pPr algn="l"/>
          <a:endParaRPr lang="en-GB" sz="1100"/>
        </a:p>
      </xdr:txBody>
    </xdr:sp>
    <xdr:clientData/>
  </xdr:twoCellAnchor>
  <xdr:twoCellAnchor editAs="oneCell">
    <xdr:from>
      <xdr:col>14</xdr:col>
      <xdr:colOff>133355</xdr:colOff>
      <xdr:row>6</xdr:row>
      <xdr:rowOff>145256</xdr:rowOff>
    </xdr:from>
    <xdr:to>
      <xdr:col>17</xdr:col>
      <xdr:colOff>361954</xdr:colOff>
      <xdr:row>8</xdr:row>
      <xdr:rowOff>21431</xdr:rowOff>
    </xdr:to>
    <xdr:sp macro="" textlink="">
      <xdr:nvSpPr>
        <xdr:cNvPr id="135" name="TextBox 134"/>
        <xdr:cNvSpPr txBox="1"/>
      </xdr:nvSpPr>
      <xdr:spPr>
        <a:xfrm>
          <a:off x="6908011" y="1312069"/>
          <a:ext cx="1871662"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solidFill>
            </a:rPr>
            <a:t>Your current selection</a:t>
          </a:r>
        </a:p>
      </xdr:txBody>
    </xdr:sp>
    <xdr:clientData/>
  </xdr:twoCellAnchor>
  <xdr:twoCellAnchor editAs="oneCell">
    <xdr:from>
      <xdr:col>2</xdr:col>
      <xdr:colOff>0</xdr:colOff>
      <xdr:row>874</xdr:row>
      <xdr:rowOff>0</xdr:rowOff>
    </xdr:from>
    <xdr:to>
      <xdr:col>22</xdr:col>
      <xdr:colOff>10325</xdr:colOff>
      <xdr:row>875</xdr:row>
      <xdr:rowOff>123001</xdr:rowOff>
    </xdr:to>
    <xdr:grpSp>
      <xdr:nvGrpSpPr>
        <xdr:cNvPr id="136" name="Group 135"/>
        <xdr:cNvGrpSpPr/>
      </xdr:nvGrpSpPr>
      <xdr:grpSpPr>
        <a:xfrm>
          <a:off x="209550" y="186204225"/>
          <a:ext cx="10602125" cy="303976"/>
          <a:chOff x="219752" y="16256265"/>
          <a:chExt cx="10659783" cy="299214"/>
        </a:xfrm>
      </xdr:grpSpPr>
      <xdr:sp macro="" textlink="">
        <xdr:nvSpPr>
          <xdr:cNvPr id="137" name="Rectangle 136"/>
          <xdr:cNvSpPr/>
        </xdr:nvSpPr>
        <xdr:spPr>
          <a:xfrm>
            <a:off x="219752" y="16256265"/>
            <a:ext cx="10659783" cy="285750"/>
          </a:xfrm>
          <a:prstGeom prst="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t"/>
          <a:lstStyle/>
          <a:p>
            <a:pPr algn="l"/>
            <a:r>
              <a:rPr lang="en-GB" sz="1100" b="1"/>
              <a:t>Sudden Infant Death</a:t>
            </a:r>
            <a:r>
              <a:rPr lang="en-GB" sz="1100" b="1" baseline="0"/>
              <a:t> Syndrome </a:t>
            </a:r>
          </a:p>
          <a:p>
            <a:pPr algn="l"/>
            <a:endParaRPr lang="en-GB" sz="1100" b="1"/>
          </a:p>
        </xdr:txBody>
      </xdr:sp>
      <xdr:sp macro="" textlink="">
        <xdr:nvSpPr>
          <xdr:cNvPr id="138" name="TextBox 137">
            <a:hlinkClick xmlns:r="http://schemas.openxmlformats.org/officeDocument/2006/relationships" r:id="rId7"/>
          </xdr:cNvPr>
          <xdr:cNvSpPr txBox="1"/>
        </xdr:nvSpPr>
        <xdr:spPr>
          <a:xfrm>
            <a:off x="9549078" y="16262880"/>
            <a:ext cx="1329662" cy="2925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100" u="sng">
                <a:solidFill>
                  <a:schemeClr val="bg1"/>
                </a:solidFill>
              </a:rPr>
              <a:t>back to top</a:t>
            </a:r>
          </a:p>
        </xdr:txBody>
      </xdr:sp>
    </xdr:grpSp>
    <xdr:clientData/>
  </xdr:twoCellAnchor>
  <xdr:twoCellAnchor editAs="oneCell">
    <xdr:from>
      <xdr:col>3</xdr:col>
      <xdr:colOff>0</xdr:colOff>
      <xdr:row>876</xdr:row>
      <xdr:rowOff>175531</xdr:rowOff>
    </xdr:from>
    <xdr:to>
      <xdr:col>20</xdr:col>
      <xdr:colOff>390637</xdr:colOff>
      <xdr:row>911</xdr:row>
      <xdr:rowOff>123825</xdr:rowOff>
    </xdr:to>
    <xdr:sp macro="" textlink="">
      <xdr:nvSpPr>
        <xdr:cNvPr id="139" name="Rectangle 138">
          <a:hlinkClick xmlns:r="http://schemas.openxmlformats.org/officeDocument/2006/relationships" r:id="rId14"/>
        </xdr:cNvPr>
        <xdr:cNvSpPr/>
      </xdr:nvSpPr>
      <xdr:spPr>
        <a:xfrm>
          <a:off x="742950" y="126886606"/>
          <a:ext cx="9620362" cy="6282420"/>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lvl="0"/>
          <a:r>
            <a:rPr lang="en-GB" sz="1200" b="1">
              <a:solidFill>
                <a:schemeClr val="dk1"/>
              </a:solidFill>
              <a:effectLst/>
              <a:latin typeface="+mn-lt"/>
              <a:ea typeface="+mn-ea"/>
              <a:cs typeface="+mn-cs"/>
            </a:rPr>
            <a:t>Why</a:t>
          </a:r>
          <a:r>
            <a:rPr lang="en-GB" sz="1200" b="1" baseline="0">
              <a:solidFill>
                <a:schemeClr val="dk1"/>
              </a:solidFill>
              <a:effectLst/>
              <a:latin typeface="+mn-lt"/>
              <a:ea typeface="+mn-ea"/>
              <a:cs typeface="+mn-cs"/>
            </a:rPr>
            <a:t> is it important to monitor unexplained and sudden infant deaths?</a:t>
          </a:r>
        </a:p>
        <a:p>
          <a:pPr lvl="0"/>
          <a:endParaRPr lang="en-GB" sz="800" b="1">
            <a:solidFill>
              <a:schemeClr val="dk1"/>
            </a:solidFill>
            <a:effectLst/>
            <a:latin typeface="+mn-lt"/>
            <a:ea typeface="+mn-ea"/>
            <a:cs typeface="+mn-cs"/>
          </a:endParaRPr>
        </a:p>
        <a:p>
          <a:pPr lvl="0"/>
          <a:r>
            <a:rPr lang="en-GB" sz="1100" b="0">
              <a:solidFill>
                <a:schemeClr val="dk1"/>
              </a:solidFill>
              <a:effectLst/>
              <a:latin typeface="+mn-lt"/>
              <a:ea typeface="+mn-ea"/>
              <a:cs typeface="+mn-cs"/>
            </a:rPr>
            <a:t>Sudden infant death</a:t>
          </a:r>
          <a:r>
            <a:rPr lang="en-GB" sz="1100" b="0" baseline="0">
              <a:solidFill>
                <a:schemeClr val="dk1"/>
              </a:solidFill>
              <a:effectLst/>
              <a:latin typeface="+mn-lt"/>
              <a:ea typeface="+mn-ea"/>
              <a:cs typeface="+mn-cs"/>
            </a:rPr>
            <a:t> syndrome (SIDS) - previously known as cot death - is the sudden, unexpected and unexplained death of an apparently well baby. Around 200-300 sudden infant deaths occur in England and Wales each year. The main risk factors for unexplained infant death include: the baby's sex, birthweight, maternal age, parental marital status and socio-economic classification. In addition, other risk factors include sleeping position and sleep environments, not breastfeeding, temperature and tobacco smoke exposure. See the ONS statistical bulletin on </a:t>
          </a:r>
          <a:r>
            <a:rPr lang="en-GB" sz="1100" b="0" u="sng" baseline="0">
              <a:solidFill>
                <a:srgbClr val="191EE1"/>
              </a:solidFill>
              <a:effectLst/>
              <a:latin typeface="+mn-lt"/>
              <a:ea typeface="+mn-ea"/>
              <a:cs typeface="+mn-cs"/>
            </a:rPr>
            <a:t>Unexplained Deaths in Infancy </a:t>
          </a:r>
          <a:r>
            <a:rPr lang="en-GB" sz="1100" b="0" baseline="0">
              <a:solidFill>
                <a:schemeClr val="dk1"/>
              </a:solidFill>
              <a:effectLst/>
              <a:latin typeface="+mn-lt"/>
              <a:ea typeface="+mn-ea"/>
              <a:cs typeface="+mn-cs"/>
            </a:rPr>
            <a:t>for further information.</a:t>
          </a:r>
        </a:p>
        <a:p>
          <a:pPr lvl="0"/>
          <a:endParaRPr lang="en-GB" sz="800" b="0">
            <a:solidFill>
              <a:schemeClr val="dk1"/>
            </a:solidFill>
            <a:effectLst/>
            <a:latin typeface="+mn-lt"/>
            <a:ea typeface="+mn-ea"/>
            <a:cs typeface="+mn-cs"/>
          </a:endParaRPr>
        </a:p>
        <a:p>
          <a:pPr lvl="0"/>
          <a:r>
            <a:rPr lang="en-GB" sz="1200" b="1">
              <a:solidFill>
                <a:schemeClr val="dk1"/>
              </a:solidFill>
              <a:effectLst/>
              <a:latin typeface="+mn-lt"/>
              <a:ea typeface="+mn-ea"/>
              <a:cs typeface="+mn-cs"/>
            </a:rPr>
            <a:t>What helps?</a:t>
          </a:r>
        </a:p>
        <a:p>
          <a:pPr lvl="0"/>
          <a:endParaRPr lang="en-GB" sz="800" b="1">
            <a:solidFill>
              <a:schemeClr val="dk1"/>
            </a:solidFill>
            <a:effectLst/>
            <a:latin typeface="+mn-lt"/>
            <a:ea typeface="+mn-ea"/>
            <a:cs typeface="+mn-cs"/>
          </a:endParaRPr>
        </a:p>
        <a:p>
          <a:pPr lvl="0"/>
          <a:r>
            <a:rPr lang="en-GB" sz="1100" b="0">
              <a:solidFill>
                <a:schemeClr val="dk1"/>
              </a:solidFill>
              <a:effectLst/>
              <a:latin typeface="+mn-lt"/>
              <a:ea typeface="+mn-ea"/>
              <a:cs typeface="+mn-cs"/>
            </a:rPr>
            <a:t>There is no advice that guarantees the prevention of SIDS  but all  parents and carers should be informed that by following the safer sleep advice, it is possible to significantly lower the chance of this tragedy occurring.</a:t>
          </a:r>
        </a:p>
        <a:p>
          <a:pPr lvl="0"/>
          <a:r>
            <a:rPr lang="en-GB" sz="1100" b="0">
              <a:solidFill>
                <a:schemeClr val="dk1"/>
              </a:solidFill>
              <a:effectLst/>
              <a:latin typeface="+mn-lt"/>
              <a:ea typeface="+mn-ea"/>
              <a:cs typeface="+mn-cs"/>
            </a:rPr>
            <a:t>It is important for the Children’s Workforce working with parents and carers during the antenatal and postnatal periods to target them by discussing the Lullaby Trust safer sleep message. It is essential that all professionals in touch with parents and carers and visiting the family home make sure that the messages are understood by them, and do not assume that someone else has already offered leaflets, etc. Staff are encouraged to revisit the safer sleep advice for example if the mode of feeding changes from breast to bottle or around holiday times.</a:t>
          </a:r>
        </a:p>
        <a:p>
          <a:pPr lvl="0"/>
          <a:endParaRPr lang="en-GB" sz="800" b="1">
            <a:solidFill>
              <a:schemeClr val="dk1"/>
            </a:solidFill>
            <a:effectLst/>
            <a:latin typeface="+mn-lt"/>
            <a:ea typeface="+mn-ea"/>
            <a:cs typeface="+mn-cs"/>
          </a:endParaRPr>
        </a:p>
        <a:p>
          <a:pPr lvl="0"/>
          <a:r>
            <a:rPr lang="en-GB" sz="1200" b="1">
              <a:solidFill>
                <a:schemeClr val="dk1"/>
              </a:solidFill>
              <a:effectLst/>
              <a:latin typeface="+mn-lt"/>
              <a:ea typeface="+mn-ea"/>
              <a:cs typeface="+mn-cs"/>
            </a:rPr>
            <a:t>Indicator</a:t>
          </a:r>
        </a:p>
        <a:p>
          <a:pPr lvl="0"/>
          <a:endParaRPr lang="en-GB" sz="800" b="0">
            <a:solidFill>
              <a:schemeClr val="dk1"/>
            </a:solidFill>
            <a:effectLst/>
            <a:latin typeface="+mn-lt"/>
            <a:ea typeface="+mn-ea"/>
            <a:cs typeface="+mn-cs"/>
          </a:endParaRPr>
        </a:p>
        <a:p>
          <a:pPr lvl="0"/>
          <a:r>
            <a:rPr lang="en-GB" sz="1100" b="0">
              <a:solidFill>
                <a:schemeClr val="dk1"/>
              </a:solidFill>
              <a:effectLst/>
              <a:latin typeface="+mn-lt"/>
              <a:ea typeface="+mn-ea"/>
              <a:cs typeface="+mn-cs"/>
            </a:rPr>
            <a:t>The ONS summarises</a:t>
          </a:r>
          <a:r>
            <a:rPr lang="en-GB" sz="1100" b="0" baseline="0">
              <a:solidFill>
                <a:schemeClr val="dk1"/>
              </a:solidFill>
              <a:effectLst/>
              <a:latin typeface="+mn-lt"/>
              <a:ea typeface="+mn-ea"/>
              <a:cs typeface="+mn-cs"/>
            </a:rPr>
            <a:t> regional and local data on the number and rate of unexplained deaths of infants under the age of 1 year. This includes sudden infant deaths, and unascertained deaths as recorded on the death certificate.</a:t>
          </a:r>
          <a:endParaRPr lang="en-GB" sz="1100" b="0">
            <a:solidFill>
              <a:sysClr val="windowText" lastClr="000000"/>
            </a:solidFill>
            <a:effectLst/>
            <a:latin typeface="+mn-lt"/>
            <a:ea typeface="+mn-ea"/>
            <a:cs typeface="+mn-cs"/>
          </a:endParaRPr>
        </a:p>
        <a:p>
          <a:pPr lvl="0"/>
          <a:endParaRPr lang="en-GB" sz="800" b="0">
            <a:solidFill>
              <a:schemeClr val="dk1"/>
            </a:solidFill>
            <a:effectLst/>
            <a:latin typeface="+mn-lt"/>
            <a:ea typeface="+mn-ea"/>
            <a:cs typeface="+mn-cs"/>
          </a:endParaRPr>
        </a:p>
        <a:p>
          <a:r>
            <a:rPr lang="en-GB" sz="1200" b="1">
              <a:effectLst/>
            </a:rPr>
            <a:t>How is the indicator</a:t>
          </a:r>
          <a:r>
            <a:rPr lang="en-GB" sz="1200" b="1" baseline="0">
              <a:effectLst/>
            </a:rPr>
            <a:t> defined?</a:t>
          </a:r>
        </a:p>
        <a:p>
          <a:endParaRPr lang="en-GB" sz="800" b="0">
            <a:effectLst/>
          </a:endParaRPr>
        </a:p>
        <a:p>
          <a:r>
            <a:rPr lang="en-GB" sz="1100" b="0">
              <a:effectLst/>
            </a:rPr>
            <a:t>Crude rate of unexplained deaths per 1,000 live births. </a:t>
          </a:r>
        </a:p>
        <a:p>
          <a:endParaRPr lang="en-GB" sz="800">
            <a:effectLst/>
          </a:endParaRPr>
        </a:p>
        <a:p>
          <a:r>
            <a:rPr lang="en-GB" sz="1200" b="1" baseline="0">
              <a:solidFill>
                <a:schemeClr val="dk1"/>
              </a:solidFill>
              <a:effectLst/>
              <a:latin typeface="+mn-lt"/>
              <a:ea typeface="+mn-ea"/>
              <a:cs typeface="+mn-cs"/>
            </a:rPr>
            <a:t>How accurate and complete is the data?</a:t>
          </a:r>
        </a:p>
        <a:p>
          <a:endParaRPr lang="en-GB" sz="800" b="1" baseline="0">
            <a:solidFill>
              <a:schemeClr val="dk1"/>
            </a:solidFill>
            <a:effectLst/>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GB" sz="1100" b="0">
              <a:solidFill>
                <a:schemeClr val="dk1"/>
              </a:solidFill>
              <a:effectLst/>
              <a:latin typeface="+mn-lt"/>
              <a:ea typeface="+mn-ea"/>
              <a:cs typeface="+mn-cs"/>
            </a:rPr>
            <a:t>The number of unexplained</a:t>
          </a:r>
          <a:r>
            <a:rPr lang="en-GB" sz="1100" b="0" baseline="0">
              <a:solidFill>
                <a:schemeClr val="dk1"/>
              </a:solidFill>
              <a:effectLst/>
              <a:latin typeface="+mn-lt"/>
              <a:ea typeface="+mn-ea"/>
              <a:cs typeface="+mn-cs"/>
            </a:rPr>
            <a:t> deaths for each CFC are very small so it is not possible to calculate rates at this level. Data is instead presented by the local authority of the selected CFC. In addition, d</a:t>
          </a:r>
          <a:r>
            <a:rPr lang="en-GB" sz="1100">
              <a:effectLst/>
            </a:rPr>
            <a:t>ue</a:t>
          </a:r>
          <a:r>
            <a:rPr lang="en-GB" sz="1100" baseline="0">
              <a:effectLst/>
            </a:rPr>
            <a:t> to a small number of counts, data are pooled across all available years (2005-2014).</a:t>
          </a:r>
        </a:p>
        <a:p>
          <a:endParaRPr lang="en-GB" sz="800">
            <a:effectLst/>
          </a:endParaRPr>
        </a:p>
        <a:p>
          <a:r>
            <a:rPr lang="en-GB" sz="1200" b="1">
              <a:effectLst/>
            </a:rPr>
            <a:t>Are</a:t>
          </a:r>
          <a:r>
            <a:rPr lang="en-GB" sz="1200" b="1" baseline="0">
              <a:effectLst/>
            </a:rPr>
            <a:t> there any other caveats/problems/weaknesses?</a:t>
          </a:r>
        </a:p>
        <a:p>
          <a:endParaRPr lang="en-GB" sz="800" b="0">
            <a:effectLst/>
          </a:endParaRPr>
        </a:p>
        <a:p>
          <a:pPr lvl="1"/>
          <a:r>
            <a:rPr lang="en-GB" sz="1100" b="0">
              <a:effectLst/>
            </a:rPr>
            <a:t>1. Small numbers makes</a:t>
          </a:r>
          <a:r>
            <a:rPr lang="en-GB" sz="1100" b="0" baseline="0">
              <a:effectLst/>
            </a:rPr>
            <a:t> this data volatile. This should be interpreted with caution.</a:t>
          </a:r>
        </a:p>
        <a:p>
          <a:pPr lvl="1"/>
          <a:r>
            <a:rPr lang="en-GB" sz="1100" b="0" baseline="0">
              <a:effectLst/>
            </a:rPr>
            <a:t>2. Unexplained infant deaths include "SIDs" (</a:t>
          </a:r>
          <a:r>
            <a:rPr lang="en-GB" sz="1100" b="0" baseline="0">
              <a:solidFill>
                <a:schemeClr val="dk1"/>
              </a:solidFill>
              <a:effectLst/>
              <a:latin typeface="+mn-lt"/>
              <a:ea typeface="+mn-ea"/>
              <a:cs typeface="+mn-cs"/>
            </a:rPr>
            <a:t>ICD-10 code R95 - any mention of sudden infant death, cot death, SIDs crib death or similar term on death certificate) </a:t>
          </a:r>
          <a:r>
            <a:rPr lang="en-GB" sz="1100" b="0" baseline="0">
              <a:effectLst/>
            </a:rPr>
            <a:t>and "unascertained deaths" (</a:t>
          </a:r>
          <a:r>
            <a:rPr lang="en-GB" sz="1100" b="0" baseline="0">
              <a:solidFill>
                <a:schemeClr val="dk1"/>
              </a:solidFill>
              <a:effectLst/>
              <a:latin typeface="+mn-lt"/>
              <a:ea typeface="+mn-ea"/>
              <a:cs typeface="+mn-cs"/>
            </a:rPr>
            <a:t>ICD-10 code R99 - other ill-defined and unspecified causes of mortality)</a:t>
          </a:r>
          <a:r>
            <a:rPr lang="en-GB" sz="1100" b="0" baseline="0">
              <a:effectLst/>
            </a:rPr>
            <a:t>. "Unascertained deaths"  are used by pathologists when the death does not fulfil the criteria used for SIDs and there is doubt about its cause, so it is possible that this measure overinflates the true number of SIDs. However, due to evidence that these terms are often used interchangably, both cause groups are included.</a:t>
          </a:r>
        </a:p>
        <a:p>
          <a:pPr lvl="1"/>
          <a:r>
            <a:rPr lang="en-GB" sz="1100" b="0" baseline="0">
              <a:effectLst/>
            </a:rPr>
            <a:t>3. Data for 2014 are currently provisional.</a:t>
          </a:r>
          <a:endParaRPr lang="en-GB" sz="1100">
            <a:effectLst/>
          </a:endParaRPr>
        </a:p>
      </xdr:txBody>
    </xdr:sp>
    <xdr:clientData/>
  </xdr:twoCellAnchor>
  <xdr:twoCellAnchor editAs="oneCell">
    <xdr:from>
      <xdr:col>17</xdr:col>
      <xdr:colOff>447675</xdr:colOff>
      <xdr:row>1</xdr:row>
      <xdr:rowOff>19050</xdr:rowOff>
    </xdr:from>
    <xdr:to>
      <xdr:col>20</xdr:col>
      <xdr:colOff>676275</xdr:colOff>
      <xdr:row>2</xdr:row>
      <xdr:rowOff>47625</xdr:rowOff>
    </xdr:to>
    <xdr:sp macro="" textlink="">
      <xdr:nvSpPr>
        <xdr:cNvPr id="140" name="Rectangle 139">
          <a:hlinkClick xmlns:r="http://schemas.openxmlformats.org/officeDocument/2006/relationships" r:id="rId15"/>
        </xdr:cNvPr>
        <xdr:cNvSpPr/>
      </xdr:nvSpPr>
      <xdr:spPr>
        <a:xfrm>
          <a:off x="8791575" y="209550"/>
          <a:ext cx="1857375" cy="247650"/>
        </a:xfrm>
        <a:prstGeom prst="rect">
          <a:avLst/>
        </a:prstGeom>
      </xdr:spPr>
      <xdr:style>
        <a:lnRef idx="0">
          <a:schemeClr val="accent5"/>
        </a:lnRef>
        <a:fillRef idx="3">
          <a:schemeClr val="accent5"/>
        </a:fillRef>
        <a:effectRef idx="3">
          <a:schemeClr val="accent5"/>
        </a:effectRef>
        <a:fontRef idx="minor">
          <a:schemeClr val="lt1"/>
        </a:fontRef>
      </xdr:style>
      <xdr:txBody>
        <a:bodyPr vertOverflow="clip" horzOverflow="clip" rtlCol="0" anchor="t"/>
        <a:lstStyle/>
        <a:p>
          <a:pPr algn="ctr"/>
          <a:r>
            <a:rPr lang="en-GB" sz="1100"/>
            <a:t>Go</a:t>
          </a:r>
          <a:r>
            <a:rPr lang="en-GB" sz="1100" baseline="0"/>
            <a:t> to the data</a:t>
          </a:r>
          <a:endParaRPr lang="en-GB" sz="1100"/>
        </a:p>
      </xdr:txBody>
    </xdr:sp>
    <xdr:clientData/>
  </xdr:twoCellAnchor>
  <xdr:twoCellAnchor editAs="oneCell">
    <xdr:from>
      <xdr:col>18</xdr:col>
      <xdr:colOff>0</xdr:colOff>
      <xdr:row>137</xdr:row>
      <xdr:rowOff>0</xdr:rowOff>
    </xdr:from>
    <xdr:to>
      <xdr:col>19</xdr:col>
      <xdr:colOff>495300</xdr:colOff>
      <xdr:row>139</xdr:row>
      <xdr:rowOff>71967</xdr:rowOff>
    </xdr:to>
    <xdr:sp macro="" textlink="">
      <xdr:nvSpPr>
        <xdr:cNvPr id="141" name="Rectangle 140"/>
        <xdr:cNvSpPr/>
      </xdr:nvSpPr>
      <xdr:spPr>
        <a:xfrm>
          <a:off x="8886825" y="19335750"/>
          <a:ext cx="1038225" cy="452967"/>
        </a:xfrm>
        <a:prstGeom prst="rect">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lang="en-GB" sz="1100" b="1"/>
            <a:t>OFSTED</a:t>
          </a:r>
          <a:r>
            <a:rPr lang="en-GB" sz="1100" b="1" baseline="0"/>
            <a:t> KPI</a:t>
          </a:r>
          <a:endParaRPr lang="en-GB" sz="1100" b="1"/>
        </a:p>
      </xdr:txBody>
    </xdr:sp>
    <xdr:clientData/>
  </xdr:twoCellAnchor>
  <xdr:twoCellAnchor editAs="oneCell">
    <xdr:from>
      <xdr:col>18</xdr:col>
      <xdr:colOff>0</xdr:colOff>
      <xdr:row>13</xdr:row>
      <xdr:rowOff>123825</xdr:rowOff>
    </xdr:from>
    <xdr:to>
      <xdr:col>19</xdr:col>
      <xdr:colOff>495300</xdr:colOff>
      <xdr:row>16</xdr:row>
      <xdr:rowOff>0</xdr:rowOff>
    </xdr:to>
    <xdr:sp macro="" textlink="">
      <xdr:nvSpPr>
        <xdr:cNvPr id="142" name="Rectangle 141"/>
        <xdr:cNvSpPr/>
      </xdr:nvSpPr>
      <xdr:spPr>
        <a:xfrm>
          <a:off x="8886825" y="2628900"/>
          <a:ext cx="1038225" cy="447675"/>
        </a:xfrm>
        <a:prstGeom prst="rect">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lang="en-GB" sz="1100" b="1"/>
            <a:t>OFSTED</a:t>
          </a:r>
          <a:r>
            <a:rPr lang="en-GB" sz="1100" b="1" baseline="0"/>
            <a:t> KPI</a:t>
          </a:r>
          <a:endParaRPr lang="en-GB" sz="1100" b="1"/>
        </a:p>
      </xdr:txBody>
    </xdr:sp>
    <xdr:clientData/>
  </xdr:twoCellAnchor>
  <xdr:twoCellAnchor editAs="oneCell">
    <xdr:from>
      <xdr:col>2</xdr:col>
      <xdr:colOff>0</xdr:colOff>
      <xdr:row>937</xdr:row>
      <xdr:rowOff>0</xdr:rowOff>
    </xdr:from>
    <xdr:to>
      <xdr:col>22</xdr:col>
      <xdr:colOff>10325</xdr:colOff>
      <xdr:row>938</xdr:row>
      <xdr:rowOff>113477</xdr:rowOff>
    </xdr:to>
    <xdr:grpSp>
      <xdr:nvGrpSpPr>
        <xdr:cNvPr id="143" name="Group 142"/>
        <xdr:cNvGrpSpPr/>
      </xdr:nvGrpSpPr>
      <xdr:grpSpPr>
        <a:xfrm>
          <a:off x="209550" y="197843775"/>
          <a:ext cx="10602125" cy="303977"/>
          <a:chOff x="219752" y="16256265"/>
          <a:chExt cx="10659783" cy="299214"/>
        </a:xfrm>
      </xdr:grpSpPr>
      <xdr:sp macro="" textlink="">
        <xdr:nvSpPr>
          <xdr:cNvPr id="144" name="Rectangle 143"/>
          <xdr:cNvSpPr/>
        </xdr:nvSpPr>
        <xdr:spPr>
          <a:xfrm>
            <a:off x="219752" y="16256265"/>
            <a:ext cx="10659783" cy="285750"/>
          </a:xfrm>
          <a:prstGeom prst="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t"/>
          <a:lstStyle/>
          <a:p>
            <a:pPr algn="l"/>
            <a:r>
              <a:rPr lang="en-GB" sz="1100" b="1"/>
              <a:t>Speech</a:t>
            </a:r>
            <a:r>
              <a:rPr lang="en-GB" sz="1100" b="1" baseline="0"/>
              <a:t>, Language and Communication Needs </a:t>
            </a:r>
          </a:p>
          <a:p>
            <a:pPr algn="l"/>
            <a:endParaRPr lang="en-GB" sz="1100" b="1"/>
          </a:p>
        </xdr:txBody>
      </xdr:sp>
      <xdr:sp macro="" textlink="">
        <xdr:nvSpPr>
          <xdr:cNvPr id="145" name="TextBox 144">
            <a:hlinkClick xmlns:r="http://schemas.openxmlformats.org/officeDocument/2006/relationships" r:id="rId7"/>
          </xdr:cNvPr>
          <xdr:cNvSpPr txBox="1"/>
        </xdr:nvSpPr>
        <xdr:spPr>
          <a:xfrm>
            <a:off x="9549078" y="16262880"/>
            <a:ext cx="1329662" cy="2925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100" u="sng">
                <a:solidFill>
                  <a:schemeClr val="bg1"/>
                </a:solidFill>
              </a:rPr>
              <a:t>back to top</a:t>
            </a:r>
          </a:p>
        </xdr:txBody>
      </xdr:sp>
    </xdr:grpSp>
    <xdr:clientData/>
  </xdr:twoCellAnchor>
  <xdr:twoCellAnchor editAs="oneCell">
    <xdr:from>
      <xdr:col>2</xdr:col>
      <xdr:colOff>514350</xdr:colOff>
      <xdr:row>940</xdr:row>
      <xdr:rowOff>38099</xdr:rowOff>
    </xdr:from>
    <xdr:to>
      <xdr:col>20</xdr:col>
      <xdr:colOff>371587</xdr:colOff>
      <xdr:row>958</xdr:row>
      <xdr:rowOff>9525</xdr:rowOff>
    </xdr:to>
    <xdr:sp macro="" textlink="">
      <xdr:nvSpPr>
        <xdr:cNvPr id="146" name="Rectangle 145">
          <a:hlinkClick xmlns:r="http://schemas.openxmlformats.org/officeDocument/2006/relationships" r:id="rId16"/>
        </xdr:cNvPr>
        <xdr:cNvSpPr/>
      </xdr:nvSpPr>
      <xdr:spPr>
        <a:xfrm>
          <a:off x="723900" y="138407774"/>
          <a:ext cx="9620362" cy="3400426"/>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Why improving children’s speech language and communication is important?</a:t>
          </a:r>
        </a:p>
        <a:p>
          <a:pPr marL="0" marR="0" lvl="0" indent="0" defTabSz="914400" eaLnBrk="1" fontAlgn="auto" latinLnBrk="0" hangingPunct="1">
            <a:lnSpc>
              <a:spcPct val="100000"/>
            </a:lnSpc>
            <a:spcBef>
              <a:spcPts val="0"/>
            </a:spcBef>
            <a:spcAft>
              <a:spcPts val="0"/>
            </a:spcAft>
            <a:buClrTx/>
            <a:buSzTx/>
            <a:buFontTx/>
            <a:buNone/>
            <a:tabLst/>
            <a:defRPr/>
          </a:pPr>
          <a:endParaRPr lang="en-GB" sz="1050" b="1">
            <a:solidFill>
              <a:schemeClr val="dk1"/>
            </a:solidFill>
            <a:effectLst/>
            <a:latin typeface="+mn-lt"/>
            <a:ea typeface="+mn-ea"/>
            <a:cs typeface="+mn-cs"/>
          </a:endParaRPr>
        </a:p>
        <a:p>
          <a:r>
            <a:rPr lang="en-GB" sz="1100">
              <a:solidFill>
                <a:schemeClr val="dk1"/>
              </a:solidFill>
              <a:effectLst/>
              <a:latin typeface="+mn-lt"/>
              <a:ea typeface="+mn-ea"/>
              <a:cs typeface="+mn-cs"/>
            </a:rPr>
            <a:t>The ability to communicate is an essential life skill for all children and young people and it underpins a child’s social, emotional and educational development.</a:t>
          </a:r>
          <a:r>
            <a:rPr lang="en-GB" sz="1100" i="1">
              <a:solidFill>
                <a:schemeClr val="dk1"/>
              </a:solidFill>
              <a:effectLst/>
              <a:latin typeface="+mn-lt"/>
              <a:ea typeface="+mn-ea"/>
              <a:cs typeface="+mn-cs"/>
            </a:rPr>
            <a:t> </a:t>
          </a:r>
          <a:r>
            <a:rPr lang="en-GB" sz="1100">
              <a:solidFill>
                <a:schemeClr val="dk1"/>
              </a:solidFill>
              <a:effectLst/>
              <a:latin typeface="+mn-lt"/>
              <a:ea typeface="+mn-ea"/>
              <a:cs typeface="+mn-cs"/>
            </a:rPr>
            <a:t>It is estimated that 23% of children and young people aged 0-19 in West Sussex have speech, language and communication needs (SLCN), with increased prevalence in the most deprived areas.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long-term social and economic costs of not addressing SLCN within the child population are highlighted in the Bercow Report (Department for Education 2008). Poor language and communication skills amongst young people in the youth justice system and the potential links between poor communications skills, poor academic attainment and numbers of young people who are not in education, training or employment are also raised.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What helps?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a:solidFill>
              <a:schemeClr val="dk1"/>
            </a:solidFill>
            <a:effectLst/>
            <a:latin typeface="+mn-lt"/>
            <a:ea typeface="+mn-ea"/>
            <a:cs typeface="+mn-cs"/>
          </a:endParaRPr>
        </a:p>
        <a:p>
          <a:r>
            <a:rPr lang="en-GB" sz="1100">
              <a:solidFill>
                <a:schemeClr val="dk1"/>
              </a:solidFill>
              <a:effectLst/>
              <a:latin typeface="+mn-lt"/>
              <a:ea typeface="+mn-ea"/>
              <a:cs typeface="+mn-cs"/>
            </a:rPr>
            <a:t>Early identification and intervention through effective joint working means recognising a child’s difficulty as early as possible. If a child receives the right help early on they have a better chance of tackling problems, communicating well and making progress. If a child does not benefit from early intervention, there are multiple risks of lower educational attainment,  behavioural problems, emotional and psychological difficulties, poorer employment prospects and challenges to mental health.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With training and support from specialist speech and language therapists, the Children’s Workforce are ideally placed to support parents and promote the need to enhance the communication skills of all children.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a:solidFill>
              <a:schemeClr val="dk1"/>
            </a:solidFill>
            <a:effectLst/>
            <a:latin typeface="+mn-lt"/>
            <a:ea typeface="+mn-ea"/>
            <a:cs typeface="+mn-cs"/>
          </a:endParaRPr>
        </a:p>
        <a:p>
          <a:pPr lvl="0"/>
          <a:endParaRPr lang="en-GB" sz="1100">
            <a:effectLst/>
          </a:endParaRPr>
        </a:p>
      </xdr:txBody>
    </xdr:sp>
    <xdr:clientData/>
  </xdr:twoCellAnchor>
  <xdr:twoCellAnchor editAs="oneCell">
    <xdr:from>
      <xdr:col>2</xdr:col>
      <xdr:colOff>0</xdr:colOff>
      <xdr:row>437</xdr:row>
      <xdr:rowOff>0</xdr:rowOff>
    </xdr:from>
    <xdr:to>
      <xdr:col>22</xdr:col>
      <xdr:colOff>4883</xdr:colOff>
      <xdr:row>438</xdr:row>
      <xdr:rowOff>113475</xdr:rowOff>
    </xdr:to>
    <xdr:grpSp>
      <xdr:nvGrpSpPr>
        <xdr:cNvPr id="147" name="Group 146"/>
        <xdr:cNvGrpSpPr/>
      </xdr:nvGrpSpPr>
      <xdr:grpSpPr>
        <a:xfrm>
          <a:off x="209550" y="95373825"/>
          <a:ext cx="10596683" cy="303975"/>
          <a:chOff x="219752" y="16256265"/>
          <a:chExt cx="10659783" cy="299214"/>
        </a:xfrm>
      </xdr:grpSpPr>
      <xdr:sp macro="" textlink="">
        <xdr:nvSpPr>
          <xdr:cNvPr id="148" name="Rectangle 147"/>
          <xdr:cNvSpPr/>
        </xdr:nvSpPr>
        <xdr:spPr>
          <a:xfrm>
            <a:off x="219752" y="16256265"/>
            <a:ext cx="10659783" cy="285750"/>
          </a:xfrm>
          <a:prstGeom prst="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t"/>
          <a:lstStyle/>
          <a:p>
            <a:pPr algn="l"/>
            <a:r>
              <a:rPr lang="en-GB" sz="1100" b="1"/>
              <a:t>Postnatal</a:t>
            </a:r>
            <a:r>
              <a:rPr lang="en-GB" sz="1100" b="1" baseline="0"/>
              <a:t> Depression (2011 data)</a:t>
            </a:r>
          </a:p>
          <a:p>
            <a:pPr algn="l"/>
            <a:endParaRPr lang="en-GB" sz="1100" b="1"/>
          </a:p>
        </xdr:txBody>
      </xdr:sp>
      <xdr:sp macro="" textlink="">
        <xdr:nvSpPr>
          <xdr:cNvPr id="149" name="TextBox 148">
            <a:hlinkClick xmlns:r="http://schemas.openxmlformats.org/officeDocument/2006/relationships" r:id="rId7"/>
          </xdr:cNvPr>
          <xdr:cNvSpPr txBox="1"/>
        </xdr:nvSpPr>
        <xdr:spPr>
          <a:xfrm>
            <a:off x="9549078" y="16262880"/>
            <a:ext cx="1329662" cy="2925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100" u="sng">
                <a:solidFill>
                  <a:schemeClr val="bg1"/>
                </a:solidFill>
              </a:rPr>
              <a:t>back to top</a:t>
            </a:r>
          </a:p>
        </xdr:txBody>
      </xdr:sp>
    </xdr:grpSp>
    <xdr:clientData/>
  </xdr:twoCellAnchor>
  <xdr:twoCellAnchor editAs="oneCell">
    <xdr:from>
      <xdr:col>2</xdr:col>
      <xdr:colOff>0</xdr:colOff>
      <xdr:row>487</xdr:row>
      <xdr:rowOff>47625</xdr:rowOff>
    </xdr:from>
    <xdr:to>
      <xdr:col>22</xdr:col>
      <xdr:colOff>4883</xdr:colOff>
      <xdr:row>488</xdr:row>
      <xdr:rowOff>170626</xdr:rowOff>
    </xdr:to>
    <xdr:grpSp>
      <xdr:nvGrpSpPr>
        <xdr:cNvPr id="150" name="Group 149"/>
        <xdr:cNvGrpSpPr/>
      </xdr:nvGrpSpPr>
      <xdr:grpSpPr>
        <a:xfrm>
          <a:off x="209550" y="104822625"/>
          <a:ext cx="10596683" cy="303976"/>
          <a:chOff x="219752" y="16256265"/>
          <a:chExt cx="10659783" cy="299214"/>
        </a:xfrm>
      </xdr:grpSpPr>
      <xdr:sp macro="" textlink="">
        <xdr:nvSpPr>
          <xdr:cNvPr id="151" name="Rectangle 150"/>
          <xdr:cNvSpPr/>
        </xdr:nvSpPr>
        <xdr:spPr>
          <a:xfrm>
            <a:off x="219752" y="16256265"/>
            <a:ext cx="10659783" cy="285750"/>
          </a:xfrm>
          <a:prstGeom prst="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t"/>
          <a:lstStyle/>
          <a:p>
            <a:pPr algn="l"/>
            <a:r>
              <a:rPr lang="en-GB" sz="1100" b="1"/>
              <a:t>Postnatal</a:t>
            </a:r>
            <a:r>
              <a:rPr lang="en-GB" sz="1100" b="1" baseline="0"/>
              <a:t> Depression (2014 data)</a:t>
            </a:r>
          </a:p>
          <a:p>
            <a:pPr algn="l"/>
            <a:endParaRPr lang="en-GB" sz="1100" b="1"/>
          </a:p>
        </xdr:txBody>
      </xdr:sp>
      <xdr:sp macro="" textlink="">
        <xdr:nvSpPr>
          <xdr:cNvPr id="152" name="TextBox 151">
            <a:hlinkClick xmlns:r="http://schemas.openxmlformats.org/officeDocument/2006/relationships" r:id="rId7"/>
          </xdr:cNvPr>
          <xdr:cNvSpPr txBox="1"/>
        </xdr:nvSpPr>
        <xdr:spPr>
          <a:xfrm>
            <a:off x="9549078" y="16262880"/>
            <a:ext cx="1329662" cy="2925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100" u="sng">
                <a:solidFill>
                  <a:schemeClr val="bg1"/>
                </a:solidFill>
              </a:rPr>
              <a:t>back to top</a:t>
            </a:r>
          </a:p>
        </xdr:txBody>
      </xdr:sp>
    </xdr:grpSp>
    <xdr:clientData/>
  </xdr:twoCellAnchor>
  <xdr:twoCellAnchor editAs="oneCell">
    <xdr:from>
      <xdr:col>3</xdr:col>
      <xdr:colOff>0</xdr:colOff>
      <xdr:row>496</xdr:row>
      <xdr:rowOff>0</xdr:rowOff>
    </xdr:from>
    <xdr:to>
      <xdr:col>20</xdr:col>
      <xdr:colOff>384022</xdr:colOff>
      <xdr:row>505</xdr:row>
      <xdr:rowOff>133352</xdr:rowOff>
    </xdr:to>
    <xdr:sp macro="" textlink="">
      <xdr:nvSpPr>
        <xdr:cNvPr id="153" name="Rectangle 152"/>
        <xdr:cNvSpPr/>
      </xdr:nvSpPr>
      <xdr:spPr>
        <a:xfrm>
          <a:off x="742950" y="82981800"/>
          <a:ext cx="9613747" cy="1762126"/>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r>
            <a:rPr lang="en-GB" sz="1100">
              <a:effectLst/>
            </a:rPr>
            <a:t>The diagram below shows how women are currently being screened and identified for support via the </a:t>
          </a:r>
          <a:r>
            <a:rPr lang="en-GB" sz="1100" baseline="0">
              <a:effectLst/>
            </a:rPr>
            <a:t> health visitor </a:t>
          </a:r>
          <a:r>
            <a:rPr lang="en-GB" sz="1100">
              <a:effectLst/>
            </a:rPr>
            <a:t>check. The figures in blue represent the number of women at each stage of the process. Of the 4,353 women with recorded information, 4,329 had been screened using the Whooley questionnaire. Similarly</a:t>
          </a:r>
          <a:r>
            <a:rPr lang="en-GB" sz="1100" baseline="0">
              <a:effectLst/>
            </a:rPr>
            <a:t> to 2011 data, </a:t>
          </a:r>
          <a:r>
            <a:rPr lang="en-GB" sz="1100">
              <a:effectLst/>
            </a:rPr>
            <a:t>various paths had been followed with the screening tools</a:t>
          </a:r>
          <a:r>
            <a:rPr lang="en-GB" sz="1100" baseline="0">
              <a:effectLst/>
            </a:rPr>
            <a:t>. A smally number of </a:t>
          </a:r>
          <a:r>
            <a:rPr lang="en-GB" sz="1100">
              <a:effectLst/>
            </a:rPr>
            <a:t>women had no initial screening data but then had been assessed using the Edinburgh scale, some had been</a:t>
          </a:r>
          <a:r>
            <a:rPr lang="en-GB" sz="1100" baseline="0">
              <a:effectLst/>
            </a:rPr>
            <a:t> </a:t>
          </a:r>
          <a:r>
            <a:rPr lang="en-GB" sz="1100">
              <a:effectLst/>
            </a:rPr>
            <a:t>identified using the Whooley but then not assessed using the Edinburgh tool.</a:t>
          </a:r>
        </a:p>
        <a:p>
          <a:endParaRPr lang="en-GB" sz="1100">
            <a:effectLst/>
          </a:endParaRPr>
        </a:p>
        <a:p>
          <a:r>
            <a:rPr lang="en-GB" sz="1100">
              <a:effectLst/>
            </a:rPr>
            <a:t>The data reflect the fact that the process by which women are identified as having, or being at risk of having, post natal depression is inconsistent across West Sussex. The information below relates to 4,350</a:t>
          </a:r>
          <a:r>
            <a:rPr lang="en-GB" sz="1100" baseline="0">
              <a:effectLst/>
            </a:rPr>
            <a:t> </a:t>
          </a:r>
          <a:r>
            <a:rPr lang="en-GB" sz="1100">
              <a:effectLst/>
            </a:rPr>
            <a:t>women, this is compared to approximately 8,700 births.</a:t>
          </a:r>
        </a:p>
        <a:p>
          <a:endParaRPr lang="en-GB" sz="1100">
            <a:effectLst/>
          </a:endParaRPr>
        </a:p>
        <a:p>
          <a:r>
            <a:rPr lang="en-GB" sz="1100">
              <a:effectLst/>
            </a:rPr>
            <a:t>The diagram below shows that,of the women where the Whooley tool was used, 138</a:t>
          </a:r>
          <a:r>
            <a:rPr lang="en-GB" sz="1100" baseline="0">
              <a:effectLst/>
            </a:rPr>
            <a:t> </a:t>
          </a:r>
          <a:r>
            <a:rPr lang="en-GB" sz="1100">
              <a:effectLst/>
            </a:rPr>
            <a:t>women requested more help.</a:t>
          </a:r>
        </a:p>
      </xdr:txBody>
    </xdr:sp>
    <xdr:clientData/>
  </xdr:twoCellAnchor>
  <xdr:twoCellAnchor>
    <xdr:from>
      <xdr:col>2</xdr:col>
      <xdr:colOff>323850</xdr:colOff>
      <xdr:row>506</xdr:row>
      <xdr:rowOff>161925</xdr:rowOff>
    </xdr:from>
    <xdr:to>
      <xdr:col>20</xdr:col>
      <xdr:colOff>486406</xdr:colOff>
      <xdr:row>538</xdr:row>
      <xdr:rowOff>0</xdr:rowOff>
    </xdr:to>
    <xdr:grpSp>
      <xdr:nvGrpSpPr>
        <xdr:cNvPr id="154" name="Group 153"/>
        <xdr:cNvGrpSpPr/>
      </xdr:nvGrpSpPr>
      <xdr:grpSpPr>
        <a:xfrm>
          <a:off x="533400" y="108423075"/>
          <a:ext cx="9925681" cy="5629275"/>
          <a:chOff x="9525" y="-78793"/>
          <a:chExt cx="9925936" cy="5820817"/>
        </a:xfrm>
      </xdr:grpSpPr>
      <xdr:sp macro="" textlink="">
        <xdr:nvSpPr>
          <xdr:cNvPr id="155" name="Text Box 13"/>
          <xdr:cNvSpPr txBox="1"/>
        </xdr:nvSpPr>
        <xdr:spPr>
          <a:xfrm>
            <a:off x="7187610" y="2849525"/>
            <a:ext cx="933450" cy="428625"/>
          </a:xfrm>
          <a:prstGeom prst="rect">
            <a:avLst/>
          </a:prstGeom>
          <a:solidFill>
            <a:sysClr val="window" lastClr="FFFFFF"/>
          </a:solidFill>
          <a:ln w="6350">
            <a:solidFill>
              <a:prstClr val="black"/>
            </a:solidFill>
          </a:ln>
          <a:effectLst/>
        </xdr:spPr>
        <xdr:txBody>
          <a:bodyPr rot="0" spcFirstLastPara="0" vert="horz" wrap="square" lIns="91440" tIns="45720" rIns="91440" bIns="45720" numCol="1" spcCol="0" rtlCol="0" fromWordArt="0" anchor="t" anchorCtr="0" forceAA="0" compatLnSpc="1">
            <a:prstTxWarp prst="textNoShape">
              <a:avLst/>
            </a:prstTxWarp>
            <a:noAutofit/>
          </a:bodyPr>
          <a:lstStyle/>
          <a:p>
            <a:pPr>
              <a:lnSpc>
                <a:spcPct val="115000"/>
              </a:lnSpc>
              <a:spcAft>
                <a:spcPts val="0"/>
              </a:spcAft>
            </a:pPr>
            <a:r>
              <a:rPr lang="en-GB" sz="1100">
                <a:effectLst/>
                <a:latin typeface="Calibri"/>
                <a:ea typeface="Calibri"/>
                <a:cs typeface="Times New Roman"/>
              </a:rPr>
              <a:t>Less than 10</a:t>
            </a:r>
          </a:p>
          <a:p>
            <a:pPr>
              <a:lnSpc>
                <a:spcPct val="115000"/>
              </a:lnSpc>
              <a:spcAft>
                <a:spcPts val="1000"/>
              </a:spcAft>
            </a:pPr>
            <a:r>
              <a:rPr lang="en-GB" sz="1200" b="1">
                <a:solidFill>
                  <a:srgbClr val="191EE1"/>
                </a:solidFill>
                <a:effectLst/>
                <a:latin typeface="Calibri"/>
                <a:ea typeface="Calibri"/>
                <a:cs typeface="Times New Roman"/>
              </a:rPr>
              <a:t>44</a:t>
            </a:r>
            <a:endParaRPr lang="en-GB" sz="1100">
              <a:solidFill>
                <a:srgbClr val="191EE1"/>
              </a:solidFill>
              <a:effectLst/>
              <a:latin typeface="Calibri"/>
              <a:ea typeface="Calibri"/>
              <a:cs typeface="Times New Roman"/>
            </a:endParaRPr>
          </a:p>
          <a:p>
            <a:pPr>
              <a:lnSpc>
                <a:spcPct val="115000"/>
              </a:lnSpc>
              <a:spcAft>
                <a:spcPts val="1000"/>
              </a:spcAft>
            </a:pPr>
            <a:r>
              <a:rPr lang="en-GB" sz="1100">
                <a:effectLst/>
                <a:latin typeface="Calibri"/>
                <a:ea typeface="Calibri"/>
                <a:cs typeface="Times New Roman"/>
              </a:rPr>
              <a:t> </a:t>
            </a:r>
          </a:p>
        </xdr:txBody>
      </xdr:sp>
      <xdr:sp macro="" textlink="">
        <xdr:nvSpPr>
          <xdr:cNvPr id="156" name="Text Box 14"/>
          <xdr:cNvSpPr txBox="1"/>
        </xdr:nvSpPr>
        <xdr:spPr>
          <a:xfrm>
            <a:off x="7187610" y="2200939"/>
            <a:ext cx="933450" cy="495300"/>
          </a:xfrm>
          <a:prstGeom prst="rect">
            <a:avLst/>
          </a:prstGeom>
          <a:solidFill>
            <a:sysClr val="window" lastClr="FFFFFF"/>
          </a:solidFill>
          <a:ln w="6350">
            <a:solidFill>
              <a:prstClr val="black"/>
            </a:solidFill>
          </a:ln>
          <a:effectLst/>
        </xdr:spPr>
        <xdr:txBody>
          <a:bodyPr rot="0" spcFirstLastPara="0" vert="horz" wrap="square" lIns="91440" tIns="45720" rIns="91440" bIns="45720" numCol="1" spcCol="0" rtlCol="0" fromWordArt="0" anchor="t" anchorCtr="0" forceAA="0" compatLnSpc="1">
            <a:prstTxWarp prst="textNoShape">
              <a:avLst/>
            </a:prstTxWarp>
            <a:noAutofit/>
          </a:bodyPr>
          <a:lstStyle/>
          <a:p>
            <a:pPr>
              <a:lnSpc>
                <a:spcPct val="115000"/>
              </a:lnSpc>
              <a:spcAft>
                <a:spcPts val="0"/>
              </a:spcAft>
            </a:pPr>
            <a:r>
              <a:rPr lang="en-GB" sz="1100">
                <a:effectLst/>
                <a:latin typeface="Calibri"/>
                <a:ea typeface="Calibri"/>
                <a:cs typeface="Times New Roman"/>
              </a:rPr>
              <a:t>10 or more</a:t>
            </a:r>
          </a:p>
          <a:p>
            <a:pPr>
              <a:lnSpc>
                <a:spcPct val="115000"/>
              </a:lnSpc>
              <a:spcAft>
                <a:spcPts val="0"/>
              </a:spcAft>
            </a:pPr>
            <a:r>
              <a:rPr lang="en-GB" sz="1200" b="1">
                <a:solidFill>
                  <a:srgbClr val="191EE1"/>
                </a:solidFill>
                <a:effectLst/>
                <a:latin typeface="Calibri"/>
                <a:ea typeface="Calibri"/>
                <a:cs typeface="Times New Roman"/>
              </a:rPr>
              <a:t>16</a:t>
            </a:r>
            <a:endParaRPr lang="en-GB" sz="1100">
              <a:solidFill>
                <a:srgbClr val="191EE1"/>
              </a:solidFill>
              <a:effectLst/>
              <a:latin typeface="Calibri"/>
              <a:ea typeface="Calibri"/>
              <a:cs typeface="Times New Roman"/>
            </a:endParaRPr>
          </a:p>
          <a:p>
            <a:pPr>
              <a:lnSpc>
                <a:spcPct val="115000"/>
              </a:lnSpc>
              <a:spcAft>
                <a:spcPts val="1000"/>
              </a:spcAft>
            </a:pPr>
            <a:r>
              <a:rPr lang="en-GB" sz="1100">
                <a:effectLst/>
                <a:latin typeface="Calibri"/>
                <a:ea typeface="Calibri"/>
                <a:cs typeface="Times New Roman"/>
              </a:rPr>
              <a:t> </a:t>
            </a:r>
          </a:p>
        </xdr:txBody>
      </xdr:sp>
      <xdr:grpSp>
        <xdr:nvGrpSpPr>
          <xdr:cNvPr id="157" name="Group 156"/>
          <xdr:cNvGrpSpPr/>
        </xdr:nvGrpSpPr>
        <xdr:grpSpPr>
          <a:xfrm>
            <a:off x="9525" y="-78793"/>
            <a:ext cx="9925936" cy="5820817"/>
            <a:chOff x="9525" y="-78793"/>
            <a:chExt cx="9925936" cy="5820817"/>
          </a:xfrm>
        </xdr:grpSpPr>
        <xdr:grpSp>
          <xdr:nvGrpSpPr>
            <xdr:cNvPr id="158" name="Group 157"/>
            <xdr:cNvGrpSpPr/>
          </xdr:nvGrpSpPr>
          <xdr:grpSpPr>
            <a:xfrm>
              <a:off x="191386" y="350874"/>
              <a:ext cx="9744075" cy="5391150"/>
              <a:chOff x="0" y="0"/>
              <a:chExt cx="9744075" cy="5391150"/>
            </a:xfrm>
          </xdr:grpSpPr>
          <xdr:sp macro="" textlink="">
            <xdr:nvSpPr>
              <xdr:cNvPr id="163" name="Text Box 2"/>
              <xdr:cNvSpPr txBox="1"/>
            </xdr:nvSpPr>
            <xdr:spPr>
              <a:xfrm>
                <a:off x="7000875" y="4238625"/>
                <a:ext cx="933450" cy="466725"/>
              </a:xfrm>
              <a:prstGeom prst="rect">
                <a:avLst/>
              </a:prstGeom>
              <a:solidFill>
                <a:sysClr val="window" lastClr="FFFFFF"/>
              </a:solidFill>
              <a:ln w="6350">
                <a:solidFill>
                  <a:prstClr val="black"/>
                </a:solidFill>
              </a:ln>
              <a:effectLst/>
            </xdr:spPr>
            <xdr:txBody>
              <a:bodyPr rot="0" spcFirstLastPara="0" vert="horz" wrap="square" lIns="91440" tIns="45720" rIns="91440" bIns="45720" numCol="1" spcCol="0" rtlCol="0" fromWordArt="0" anchor="t" anchorCtr="0" forceAA="0" compatLnSpc="1">
                <a:prstTxWarp prst="textNoShape">
                  <a:avLst/>
                </a:prstTxWarp>
                <a:noAutofit/>
              </a:bodyPr>
              <a:lstStyle/>
              <a:p>
                <a:pPr>
                  <a:lnSpc>
                    <a:spcPct val="115000"/>
                  </a:lnSpc>
                  <a:spcAft>
                    <a:spcPts val="0"/>
                  </a:spcAft>
                </a:pPr>
                <a:r>
                  <a:rPr lang="en-GB" sz="1100">
                    <a:effectLst/>
                    <a:latin typeface="Calibri"/>
                    <a:ea typeface="Calibri"/>
                    <a:cs typeface="Times New Roman"/>
                  </a:rPr>
                  <a:t>Less than 10</a:t>
                </a:r>
              </a:p>
              <a:p>
                <a:pPr>
                  <a:lnSpc>
                    <a:spcPct val="115000"/>
                  </a:lnSpc>
                  <a:spcAft>
                    <a:spcPts val="1000"/>
                  </a:spcAft>
                </a:pPr>
                <a:r>
                  <a:rPr lang="en-GB" sz="1200" b="1">
                    <a:solidFill>
                      <a:srgbClr val="191EE1"/>
                    </a:solidFill>
                    <a:effectLst/>
                    <a:latin typeface="Calibri"/>
                    <a:ea typeface="Calibri"/>
                    <a:cs typeface="Times New Roman"/>
                  </a:rPr>
                  <a:t>1</a:t>
                </a:r>
                <a:endParaRPr lang="en-GB" sz="1100">
                  <a:solidFill>
                    <a:srgbClr val="191EE1"/>
                  </a:solidFill>
                  <a:effectLst/>
                  <a:latin typeface="Calibri"/>
                  <a:ea typeface="Calibri"/>
                  <a:cs typeface="Times New Roman"/>
                </a:endParaRPr>
              </a:p>
              <a:p>
                <a:pPr>
                  <a:lnSpc>
                    <a:spcPct val="115000"/>
                  </a:lnSpc>
                  <a:spcAft>
                    <a:spcPts val="1000"/>
                  </a:spcAft>
                </a:pPr>
                <a:r>
                  <a:rPr lang="en-GB" sz="1100">
                    <a:effectLst/>
                    <a:latin typeface="Calibri"/>
                    <a:ea typeface="Calibri"/>
                    <a:cs typeface="Times New Roman"/>
                  </a:rPr>
                  <a:t> </a:t>
                </a:r>
              </a:p>
            </xdr:txBody>
          </xdr:sp>
          <xdr:sp macro="" textlink="">
            <xdr:nvSpPr>
              <xdr:cNvPr id="164" name="Text Box 12"/>
              <xdr:cNvSpPr txBox="1"/>
            </xdr:nvSpPr>
            <xdr:spPr>
              <a:xfrm>
                <a:off x="7000875" y="3638550"/>
                <a:ext cx="962025" cy="438150"/>
              </a:xfrm>
              <a:prstGeom prst="rect">
                <a:avLst/>
              </a:prstGeom>
              <a:solidFill>
                <a:sysClr val="window" lastClr="FFFFFF"/>
              </a:solidFill>
              <a:ln w="6350">
                <a:solidFill>
                  <a:prstClr val="black"/>
                </a:solidFill>
              </a:ln>
              <a:effectLst/>
            </xdr:spPr>
            <xdr:txBody>
              <a:bodyPr rot="0" spcFirstLastPara="0" vert="horz" wrap="square" lIns="91440" tIns="45720" rIns="91440" bIns="45720" numCol="1" spcCol="0" rtlCol="0" fromWordArt="0" anchor="t" anchorCtr="0" forceAA="0" compatLnSpc="1">
                <a:prstTxWarp prst="textNoShape">
                  <a:avLst/>
                </a:prstTxWarp>
                <a:noAutofit/>
              </a:bodyPr>
              <a:lstStyle/>
              <a:p>
                <a:pPr>
                  <a:lnSpc>
                    <a:spcPct val="115000"/>
                  </a:lnSpc>
                  <a:spcAft>
                    <a:spcPts val="0"/>
                  </a:spcAft>
                </a:pPr>
                <a:r>
                  <a:rPr lang="en-GB" sz="1100">
                    <a:effectLst/>
                    <a:latin typeface="Calibri"/>
                    <a:ea typeface="Calibri"/>
                    <a:cs typeface="Times New Roman"/>
                  </a:rPr>
                  <a:t>10 or more</a:t>
                </a:r>
              </a:p>
              <a:p>
                <a:pPr>
                  <a:lnSpc>
                    <a:spcPct val="115000"/>
                  </a:lnSpc>
                  <a:spcAft>
                    <a:spcPts val="0"/>
                  </a:spcAft>
                </a:pPr>
                <a:r>
                  <a:rPr lang="en-GB" sz="1200" b="1">
                    <a:solidFill>
                      <a:srgbClr val="191EE1"/>
                    </a:solidFill>
                    <a:effectLst/>
                    <a:latin typeface="Calibri"/>
                    <a:ea typeface="Calibri"/>
                    <a:cs typeface="Times New Roman"/>
                  </a:rPr>
                  <a:t>2</a:t>
                </a:r>
                <a:endParaRPr lang="en-GB" sz="1100">
                  <a:solidFill>
                    <a:srgbClr val="191EE1"/>
                  </a:solidFill>
                  <a:effectLst/>
                  <a:latin typeface="Calibri"/>
                  <a:ea typeface="Calibri"/>
                  <a:cs typeface="Times New Roman"/>
                </a:endParaRPr>
              </a:p>
              <a:p>
                <a:pPr>
                  <a:lnSpc>
                    <a:spcPct val="115000"/>
                  </a:lnSpc>
                  <a:spcAft>
                    <a:spcPts val="1000"/>
                  </a:spcAft>
                </a:pPr>
                <a:r>
                  <a:rPr lang="en-GB" sz="1100">
                    <a:effectLst/>
                    <a:latin typeface="Calibri"/>
                    <a:ea typeface="Calibri"/>
                    <a:cs typeface="Times New Roman"/>
                  </a:rPr>
                  <a:t> </a:t>
                </a:r>
              </a:p>
            </xdr:txBody>
          </xdr:sp>
          <xdr:sp macro="" textlink="">
            <xdr:nvSpPr>
              <xdr:cNvPr id="165" name="Text Box 29"/>
              <xdr:cNvSpPr txBox="1"/>
            </xdr:nvSpPr>
            <xdr:spPr>
              <a:xfrm>
                <a:off x="8298440" y="3105150"/>
                <a:ext cx="1376795" cy="409575"/>
              </a:xfrm>
              <a:prstGeom prst="rect">
                <a:avLst/>
              </a:prstGeom>
              <a:solidFill>
                <a:sysClr val="window" lastClr="FFFFFF"/>
              </a:solidFill>
              <a:ln w="6350">
                <a:solidFill>
                  <a:prstClr val="black"/>
                </a:solidFill>
              </a:ln>
              <a:effectLst/>
            </xdr:spPr>
            <xdr:txBody>
              <a:bodyPr rot="0" spcFirstLastPara="0" vert="horz" wrap="square" lIns="91440" tIns="45720" rIns="91440" bIns="45720" numCol="1" spcCol="0" rtlCol="0" fromWordArt="0" anchor="t" anchorCtr="0" forceAA="0" compatLnSpc="1">
                <a:prstTxWarp prst="textNoShape">
                  <a:avLst/>
                </a:prstTxWarp>
                <a:noAutofit/>
              </a:bodyPr>
              <a:lstStyle/>
              <a:p>
                <a:pPr>
                  <a:lnSpc>
                    <a:spcPct val="115000"/>
                  </a:lnSpc>
                  <a:spcAft>
                    <a:spcPts val="0"/>
                  </a:spcAft>
                </a:pPr>
                <a:r>
                  <a:rPr lang="en-GB" sz="1100">
                    <a:effectLst/>
                    <a:latin typeface="Calibri"/>
                    <a:ea typeface="Calibri"/>
                    <a:cs typeface="Times New Roman"/>
                  </a:rPr>
                  <a:t>More help required</a:t>
                </a:r>
              </a:p>
              <a:p>
                <a:pPr>
                  <a:lnSpc>
                    <a:spcPct val="115000"/>
                  </a:lnSpc>
                  <a:spcAft>
                    <a:spcPts val="0"/>
                  </a:spcAft>
                </a:pPr>
                <a:r>
                  <a:rPr lang="en-GB" sz="1200" b="1">
                    <a:solidFill>
                      <a:srgbClr val="191EE1"/>
                    </a:solidFill>
                    <a:effectLst/>
                    <a:latin typeface="Calibri"/>
                    <a:ea typeface="Calibri"/>
                    <a:cs typeface="Times New Roman"/>
                  </a:rPr>
                  <a:t>0</a:t>
                </a:r>
                <a:endParaRPr lang="en-GB" sz="1100">
                  <a:solidFill>
                    <a:srgbClr val="191EE1"/>
                  </a:solidFill>
                  <a:effectLst/>
                  <a:latin typeface="Calibri"/>
                  <a:ea typeface="Calibri"/>
                  <a:cs typeface="Times New Roman"/>
                </a:endParaRPr>
              </a:p>
            </xdr:txBody>
          </xdr:sp>
          <xdr:sp macro="" textlink="">
            <xdr:nvSpPr>
              <xdr:cNvPr id="166" name="Text Box 30"/>
              <xdr:cNvSpPr txBox="1"/>
            </xdr:nvSpPr>
            <xdr:spPr>
              <a:xfrm>
                <a:off x="8286750" y="3638550"/>
                <a:ext cx="1333500" cy="438150"/>
              </a:xfrm>
              <a:prstGeom prst="rect">
                <a:avLst/>
              </a:prstGeom>
              <a:solidFill>
                <a:sysClr val="window" lastClr="FFFFFF"/>
              </a:solidFill>
              <a:ln w="6350">
                <a:solidFill>
                  <a:prstClr val="black"/>
                </a:solidFill>
              </a:ln>
              <a:effectLst/>
            </xdr:spPr>
            <xdr:txBody>
              <a:bodyPr rot="0" spcFirstLastPara="0" vert="horz" wrap="square" lIns="91440" tIns="45720" rIns="91440" bIns="45720" numCol="1" spcCol="0" rtlCol="0" fromWordArt="0" anchor="t" anchorCtr="0" forceAA="0" compatLnSpc="1">
                <a:prstTxWarp prst="textNoShape">
                  <a:avLst/>
                </a:prstTxWarp>
                <a:noAutofit/>
              </a:bodyPr>
              <a:lstStyle/>
              <a:p>
                <a:pPr>
                  <a:lnSpc>
                    <a:spcPct val="115000"/>
                  </a:lnSpc>
                  <a:spcAft>
                    <a:spcPts val="0"/>
                  </a:spcAft>
                </a:pPr>
                <a:r>
                  <a:rPr lang="en-GB" sz="1100">
                    <a:effectLst/>
                    <a:latin typeface="Calibri"/>
                    <a:ea typeface="Calibri"/>
                    <a:cs typeface="Times New Roman"/>
                  </a:rPr>
                  <a:t>More help required</a:t>
                </a:r>
              </a:p>
              <a:p>
                <a:pPr>
                  <a:lnSpc>
                    <a:spcPct val="115000"/>
                  </a:lnSpc>
                  <a:spcAft>
                    <a:spcPts val="0"/>
                  </a:spcAft>
                </a:pPr>
                <a:r>
                  <a:rPr lang="en-GB" sz="1200" b="1">
                    <a:solidFill>
                      <a:srgbClr val="191EE1"/>
                    </a:solidFill>
                    <a:effectLst/>
                    <a:latin typeface="Calibri"/>
                    <a:ea typeface="Calibri"/>
                    <a:cs typeface="Times New Roman"/>
                  </a:rPr>
                  <a:t>0</a:t>
                </a:r>
                <a:endParaRPr lang="en-GB" sz="1100">
                  <a:solidFill>
                    <a:srgbClr val="191EE1"/>
                  </a:solidFill>
                  <a:effectLst/>
                  <a:latin typeface="Calibri"/>
                  <a:ea typeface="Calibri"/>
                  <a:cs typeface="Times New Roman"/>
                </a:endParaRPr>
              </a:p>
            </xdr:txBody>
          </xdr:sp>
          <xdr:sp macro="" textlink="">
            <xdr:nvSpPr>
              <xdr:cNvPr id="167" name="Text Box 31"/>
              <xdr:cNvSpPr txBox="1"/>
            </xdr:nvSpPr>
            <xdr:spPr>
              <a:xfrm>
                <a:off x="8267700" y="4286250"/>
                <a:ext cx="1390650" cy="419100"/>
              </a:xfrm>
              <a:prstGeom prst="rect">
                <a:avLst/>
              </a:prstGeom>
              <a:solidFill>
                <a:sysClr val="window" lastClr="FFFFFF"/>
              </a:solidFill>
              <a:ln w="6350">
                <a:solidFill>
                  <a:prstClr val="black"/>
                </a:solidFill>
              </a:ln>
              <a:effectLst/>
            </xdr:spPr>
            <xdr:txBody>
              <a:bodyPr rot="0" spcFirstLastPara="0" vert="horz" wrap="square" lIns="91440" tIns="45720" rIns="91440" bIns="45720" numCol="1" spcCol="0" rtlCol="0" fromWordArt="0" anchor="t" anchorCtr="0" forceAA="0" compatLnSpc="1">
                <a:prstTxWarp prst="textNoShape">
                  <a:avLst/>
                </a:prstTxWarp>
                <a:noAutofit/>
              </a:bodyPr>
              <a:lstStyle/>
              <a:p>
                <a:pPr>
                  <a:lnSpc>
                    <a:spcPct val="115000"/>
                  </a:lnSpc>
                  <a:spcAft>
                    <a:spcPts val="0"/>
                  </a:spcAft>
                </a:pPr>
                <a:r>
                  <a:rPr lang="en-GB" sz="1100">
                    <a:effectLst/>
                    <a:latin typeface="Calibri"/>
                    <a:ea typeface="Calibri"/>
                    <a:cs typeface="Times New Roman"/>
                  </a:rPr>
                  <a:t>More help required</a:t>
                </a:r>
              </a:p>
              <a:p>
                <a:pPr>
                  <a:lnSpc>
                    <a:spcPct val="115000"/>
                  </a:lnSpc>
                  <a:spcAft>
                    <a:spcPts val="1000"/>
                  </a:spcAft>
                </a:pPr>
                <a:r>
                  <a:rPr lang="en-GB" sz="1200" b="1">
                    <a:solidFill>
                      <a:srgbClr val="191EE1"/>
                    </a:solidFill>
                    <a:effectLst/>
                    <a:latin typeface="Calibri"/>
                    <a:ea typeface="Calibri"/>
                    <a:cs typeface="Times New Roman"/>
                  </a:rPr>
                  <a:t>0</a:t>
                </a:r>
                <a:endParaRPr lang="en-GB" sz="1100">
                  <a:solidFill>
                    <a:srgbClr val="191EE1"/>
                  </a:solidFill>
                  <a:effectLst/>
                  <a:latin typeface="Calibri"/>
                  <a:ea typeface="Calibri"/>
                  <a:cs typeface="Times New Roman"/>
                </a:endParaRPr>
              </a:p>
            </xdr:txBody>
          </xdr:sp>
          <xdr:sp macro="" textlink="">
            <xdr:nvSpPr>
              <xdr:cNvPr id="168" name="Text Box 32"/>
              <xdr:cNvSpPr txBox="1"/>
            </xdr:nvSpPr>
            <xdr:spPr>
              <a:xfrm>
                <a:off x="8277225" y="4962525"/>
                <a:ext cx="1390650" cy="428625"/>
              </a:xfrm>
              <a:prstGeom prst="rect">
                <a:avLst/>
              </a:prstGeom>
              <a:solidFill>
                <a:sysClr val="window" lastClr="FFFFFF"/>
              </a:solidFill>
              <a:ln w="6350">
                <a:solidFill>
                  <a:prstClr val="black"/>
                </a:solidFill>
              </a:ln>
              <a:effectLst/>
            </xdr:spPr>
            <xdr:txBody>
              <a:bodyPr rot="0" spcFirstLastPara="0" vert="horz" wrap="square" lIns="91440" tIns="45720" rIns="91440" bIns="45720" numCol="1" spcCol="0" rtlCol="0" fromWordArt="0" anchor="t" anchorCtr="0" forceAA="0" compatLnSpc="1">
                <a:prstTxWarp prst="textNoShape">
                  <a:avLst/>
                </a:prstTxWarp>
                <a:noAutofit/>
              </a:bodyPr>
              <a:lstStyle/>
              <a:p>
                <a:pPr>
                  <a:lnSpc>
                    <a:spcPct val="115000"/>
                  </a:lnSpc>
                  <a:spcAft>
                    <a:spcPts val="0"/>
                  </a:spcAft>
                </a:pPr>
                <a:r>
                  <a:rPr lang="en-GB" sz="1100">
                    <a:effectLst/>
                    <a:latin typeface="Calibri"/>
                    <a:ea typeface="Calibri"/>
                    <a:cs typeface="Times New Roman"/>
                  </a:rPr>
                  <a:t>More help required</a:t>
                </a:r>
              </a:p>
              <a:p>
                <a:pPr>
                  <a:lnSpc>
                    <a:spcPct val="115000"/>
                  </a:lnSpc>
                  <a:spcAft>
                    <a:spcPts val="0"/>
                  </a:spcAft>
                </a:pPr>
                <a:r>
                  <a:rPr lang="en-GB" sz="1200" b="1">
                    <a:solidFill>
                      <a:srgbClr val="191EE1"/>
                    </a:solidFill>
                    <a:effectLst/>
                    <a:latin typeface="Calibri"/>
                    <a:ea typeface="Calibri"/>
                    <a:cs typeface="Times New Roman"/>
                  </a:rPr>
                  <a:t>0</a:t>
                </a:r>
                <a:endParaRPr lang="en-GB" sz="1100">
                  <a:solidFill>
                    <a:srgbClr val="191EE1"/>
                  </a:solidFill>
                  <a:effectLst/>
                  <a:latin typeface="Calibri"/>
                  <a:ea typeface="Calibri"/>
                  <a:cs typeface="Times New Roman"/>
                </a:endParaRPr>
              </a:p>
              <a:p>
                <a:pPr>
                  <a:lnSpc>
                    <a:spcPct val="115000"/>
                  </a:lnSpc>
                  <a:spcAft>
                    <a:spcPts val="1000"/>
                  </a:spcAft>
                </a:pPr>
                <a:r>
                  <a:rPr lang="en-GB" sz="1100">
                    <a:effectLst/>
                    <a:latin typeface="Calibri"/>
                    <a:ea typeface="Calibri"/>
                    <a:cs typeface="Times New Roman"/>
                  </a:rPr>
                  <a:t> </a:t>
                </a:r>
              </a:p>
            </xdr:txBody>
          </xdr:sp>
          <xdr:grpSp>
            <xdr:nvGrpSpPr>
              <xdr:cNvPr id="169" name="Group 168"/>
              <xdr:cNvGrpSpPr/>
            </xdr:nvGrpSpPr>
            <xdr:grpSpPr>
              <a:xfrm>
                <a:off x="0" y="304800"/>
                <a:ext cx="8286750" cy="5029200"/>
                <a:chOff x="0" y="0"/>
                <a:chExt cx="8286750" cy="5029200"/>
              </a:xfrm>
            </xdr:grpSpPr>
            <xdr:sp macro="" textlink="">
              <xdr:nvSpPr>
                <xdr:cNvPr id="184" name="Text Box 17"/>
                <xdr:cNvSpPr txBox="1"/>
              </xdr:nvSpPr>
              <xdr:spPr>
                <a:xfrm>
                  <a:off x="5362575" y="4543425"/>
                  <a:ext cx="1343025" cy="485775"/>
                </a:xfrm>
                <a:prstGeom prst="rect">
                  <a:avLst/>
                </a:prstGeom>
                <a:solidFill>
                  <a:sysClr val="window" lastClr="FFFFFF"/>
                </a:solidFill>
                <a:ln w="6350">
                  <a:solidFill>
                    <a:prstClr val="black"/>
                  </a:solidFill>
                </a:ln>
                <a:effectLst/>
              </xdr:spPr>
              <xdr:txBody>
                <a:bodyPr rot="0" spcFirstLastPara="0" vert="horz" wrap="square" lIns="91440" tIns="45720" rIns="91440" bIns="45720" numCol="1" spcCol="0" rtlCol="0" fromWordArt="0" anchor="t" anchorCtr="0" forceAA="0" compatLnSpc="1">
                  <a:prstTxWarp prst="textNoShape">
                    <a:avLst/>
                  </a:prstTxWarp>
                  <a:noAutofit/>
                </a:bodyPr>
                <a:lstStyle/>
                <a:p>
                  <a:pPr>
                    <a:lnSpc>
                      <a:spcPct val="115000"/>
                    </a:lnSpc>
                    <a:spcAft>
                      <a:spcPts val="0"/>
                    </a:spcAft>
                  </a:pPr>
                  <a:r>
                    <a:rPr lang="en-GB" sz="1100">
                      <a:effectLst/>
                      <a:latin typeface="Calibri"/>
                      <a:ea typeface="Calibri"/>
                      <a:cs typeface="Times New Roman"/>
                    </a:rPr>
                    <a:t>Not asked EPNDS</a:t>
                  </a:r>
                </a:p>
                <a:p>
                  <a:pPr>
                    <a:lnSpc>
                      <a:spcPct val="115000"/>
                    </a:lnSpc>
                    <a:spcAft>
                      <a:spcPts val="1000"/>
                    </a:spcAft>
                  </a:pPr>
                  <a:r>
                    <a:rPr lang="en-GB" sz="1200" b="1">
                      <a:solidFill>
                        <a:srgbClr val="191EE1"/>
                      </a:solidFill>
                      <a:effectLst/>
                      <a:latin typeface="Calibri"/>
                      <a:ea typeface="Calibri"/>
                      <a:cs typeface="Times New Roman"/>
                    </a:rPr>
                    <a:t>21</a:t>
                  </a:r>
                  <a:endParaRPr lang="en-GB" sz="1100">
                    <a:solidFill>
                      <a:srgbClr val="191EE1"/>
                    </a:solidFill>
                    <a:effectLst/>
                    <a:latin typeface="Calibri"/>
                    <a:ea typeface="Calibri"/>
                    <a:cs typeface="Times New Roman"/>
                  </a:endParaRPr>
                </a:p>
                <a:p>
                  <a:pPr>
                    <a:lnSpc>
                      <a:spcPct val="115000"/>
                    </a:lnSpc>
                    <a:spcAft>
                      <a:spcPts val="1000"/>
                    </a:spcAft>
                  </a:pPr>
                  <a:r>
                    <a:rPr lang="en-GB" sz="1100">
                      <a:effectLst/>
                      <a:latin typeface="Calibri"/>
                      <a:ea typeface="Calibri"/>
                      <a:cs typeface="Times New Roman"/>
                    </a:rPr>
                    <a:t> </a:t>
                  </a:r>
                </a:p>
              </xdr:txBody>
            </xdr:sp>
            <xdr:sp macro="" textlink="">
              <xdr:nvSpPr>
                <xdr:cNvPr id="185" name="Text Box 18"/>
                <xdr:cNvSpPr txBox="1"/>
              </xdr:nvSpPr>
              <xdr:spPr>
                <a:xfrm>
                  <a:off x="5362575" y="3609975"/>
                  <a:ext cx="1343025" cy="476250"/>
                </a:xfrm>
                <a:prstGeom prst="rect">
                  <a:avLst/>
                </a:prstGeom>
                <a:solidFill>
                  <a:sysClr val="window" lastClr="FFFFFF"/>
                </a:solidFill>
                <a:ln w="6350">
                  <a:solidFill>
                    <a:prstClr val="black"/>
                  </a:solidFill>
                </a:ln>
                <a:effectLst/>
              </xdr:spPr>
              <xdr:txBody>
                <a:bodyPr rot="0" spcFirstLastPara="0" vert="horz" wrap="square" lIns="91440" tIns="45720" rIns="91440" bIns="45720" numCol="1" spcCol="0" rtlCol="0" fromWordArt="0" anchor="t" anchorCtr="0" forceAA="0" compatLnSpc="1">
                  <a:prstTxWarp prst="textNoShape">
                    <a:avLst/>
                  </a:prstTxWarp>
                  <a:noAutofit/>
                </a:bodyPr>
                <a:lstStyle/>
                <a:p>
                  <a:pPr>
                    <a:lnSpc>
                      <a:spcPct val="115000"/>
                    </a:lnSpc>
                    <a:spcAft>
                      <a:spcPts val="0"/>
                    </a:spcAft>
                  </a:pPr>
                  <a:r>
                    <a:rPr lang="en-GB" sz="1100">
                      <a:effectLst/>
                      <a:latin typeface="Calibri"/>
                      <a:ea typeface="Calibri"/>
                      <a:cs typeface="Times New Roman"/>
                    </a:rPr>
                    <a:t>Asked EPNDS</a:t>
                  </a:r>
                </a:p>
                <a:p>
                  <a:pPr>
                    <a:lnSpc>
                      <a:spcPct val="115000"/>
                    </a:lnSpc>
                    <a:spcAft>
                      <a:spcPts val="0"/>
                    </a:spcAft>
                  </a:pPr>
                  <a:r>
                    <a:rPr lang="en-GB" sz="1200" b="1">
                      <a:solidFill>
                        <a:srgbClr val="191EE1"/>
                      </a:solidFill>
                      <a:effectLst/>
                      <a:latin typeface="Calibri"/>
                      <a:ea typeface="Calibri"/>
                      <a:cs typeface="Times New Roman"/>
                    </a:rPr>
                    <a:t>3</a:t>
                  </a:r>
                  <a:endParaRPr lang="en-GB" sz="1100">
                    <a:solidFill>
                      <a:srgbClr val="191EE1"/>
                    </a:solidFill>
                    <a:effectLst/>
                    <a:latin typeface="Calibri"/>
                    <a:ea typeface="Calibri"/>
                    <a:cs typeface="Times New Roman"/>
                  </a:endParaRPr>
                </a:p>
                <a:p>
                  <a:pPr>
                    <a:lnSpc>
                      <a:spcPct val="115000"/>
                    </a:lnSpc>
                    <a:spcAft>
                      <a:spcPts val="1000"/>
                    </a:spcAft>
                  </a:pPr>
                  <a:r>
                    <a:rPr lang="en-GB" sz="1100">
                      <a:effectLst/>
                      <a:latin typeface="Calibri"/>
                      <a:ea typeface="Calibri"/>
                      <a:cs typeface="Times New Roman"/>
                    </a:rPr>
                    <a:t> </a:t>
                  </a:r>
                </a:p>
              </xdr:txBody>
            </xdr:sp>
            <xdr:sp macro="" textlink="">
              <xdr:nvSpPr>
                <xdr:cNvPr id="186" name="Text Box 19"/>
                <xdr:cNvSpPr txBox="1"/>
              </xdr:nvSpPr>
              <xdr:spPr>
                <a:xfrm>
                  <a:off x="5314950" y="2800350"/>
                  <a:ext cx="1343025" cy="466725"/>
                </a:xfrm>
                <a:prstGeom prst="rect">
                  <a:avLst/>
                </a:prstGeom>
                <a:solidFill>
                  <a:sysClr val="window" lastClr="FFFFFF"/>
                </a:solidFill>
                <a:ln w="6350">
                  <a:solidFill>
                    <a:prstClr val="black"/>
                  </a:solidFill>
                </a:ln>
                <a:effectLst/>
              </xdr:spPr>
              <xdr:txBody>
                <a:bodyPr rot="0" spcFirstLastPara="0" vert="horz" wrap="square" lIns="91440" tIns="45720" rIns="91440" bIns="45720" numCol="1" spcCol="0" rtlCol="0" fromWordArt="0" anchor="t" anchorCtr="0" forceAA="0" compatLnSpc="1">
                  <a:prstTxWarp prst="textNoShape">
                    <a:avLst/>
                  </a:prstTxWarp>
                  <a:noAutofit/>
                </a:bodyPr>
                <a:lstStyle/>
                <a:p>
                  <a:pPr>
                    <a:lnSpc>
                      <a:spcPct val="115000"/>
                    </a:lnSpc>
                    <a:spcAft>
                      <a:spcPts val="0"/>
                    </a:spcAft>
                  </a:pPr>
                  <a:r>
                    <a:rPr lang="en-GB" sz="1100">
                      <a:effectLst/>
                      <a:latin typeface="Calibri"/>
                      <a:ea typeface="Calibri"/>
                      <a:cs typeface="Times New Roman"/>
                    </a:rPr>
                    <a:t>Not asked EPNDS</a:t>
                  </a:r>
                </a:p>
                <a:p>
                  <a:pPr>
                    <a:lnSpc>
                      <a:spcPct val="115000"/>
                    </a:lnSpc>
                    <a:spcAft>
                      <a:spcPts val="1000"/>
                    </a:spcAft>
                  </a:pPr>
                  <a:r>
                    <a:rPr lang="en-GB" sz="1200" b="1">
                      <a:solidFill>
                        <a:srgbClr val="191EE1"/>
                      </a:solidFill>
                      <a:effectLst/>
                      <a:latin typeface="Calibri"/>
                      <a:ea typeface="Calibri"/>
                      <a:cs typeface="Times New Roman"/>
                    </a:rPr>
                    <a:t>3885</a:t>
                  </a:r>
                  <a:endParaRPr lang="en-GB" sz="1100">
                    <a:solidFill>
                      <a:srgbClr val="191EE1"/>
                    </a:solidFill>
                    <a:effectLst/>
                    <a:latin typeface="Calibri"/>
                    <a:ea typeface="Calibri"/>
                    <a:cs typeface="Times New Roman"/>
                  </a:endParaRPr>
                </a:p>
                <a:p>
                  <a:pPr>
                    <a:lnSpc>
                      <a:spcPct val="115000"/>
                    </a:lnSpc>
                    <a:spcAft>
                      <a:spcPts val="0"/>
                    </a:spcAft>
                  </a:pPr>
                  <a:r>
                    <a:rPr lang="en-GB" sz="1100">
                      <a:effectLst/>
                      <a:latin typeface="Calibri"/>
                      <a:ea typeface="Calibri"/>
                      <a:cs typeface="Times New Roman"/>
                    </a:rPr>
                    <a:t> </a:t>
                  </a:r>
                </a:p>
              </xdr:txBody>
            </xdr:sp>
            <xdr:sp macro="" textlink="">
              <xdr:nvSpPr>
                <xdr:cNvPr id="187" name="Text Box 20"/>
                <xdr:cNvSpPr txBox="1"/>
              </xdr:nvSpPr>
              <xdr:spPr>
                <a:xfrm>
                  <a:off x="5314950" y="1933575"/>
                  <a:ext cx="1219200" cy="447675"/>
                </a:xfrm>
                <a:prstGeom prst="rect">
                  <a:avLst/>
                </a:prstGeom>
                <a:solidFill>
                  <a:sysClr val="window" lastClr="FFFFFF"/>
                </a:solidFill>
                <a:ln w="6350">
                  <a:solidFill>
                    <a:prstClr val="black"/>
                  </a:solidFill>
                </a:ln>
                <a:effectLst/>
              </xdr:spPr>
              <xdr:txBody>
                <a:bodyPr rot="0" spcFirstLastPara="0" vert="horz" wrap="square" lIns="91440" tIns="45720" rIns="91440" bIns="45720" numCol="1" spcCol="0" rtlCol="0" fromWordArt="0" anchor="t" anchorCtr="0" forceAA="0" compatLnSpc="1">
                  <a:prstTxWarp prst="textNoShape">
                    <a:avLst/>
                  </a:prstTxWarp>
                  <a:noAutofit/>
                </a:bodyPr>
                <a:lstStyle/>
                <a:p>
                  <a:pPr>
                    <a:lnSpc>
                      <a:spcPct val="115000"/>
                    </a:lnSpc>
                    <a:spcAft>
                      <a:spcPts val="0"/>
                    </a:spcAft>
                  </a:pPr>
                  <a:r>
                    <a:rPr lang="en-GB" sz="1100">
                      <a:effectLst/>
                      <a:latin typeface="Calibri"/>
                      <a:ea typeface="Calibri"/>
                      <a:cs typeface="Times New Roman"/>
                    </a:rPr>
                    <a:t>Asked EPNDS</a:t>
                  </a:r>
                </a:p>
                <a:p>
                  <a:pPr>
                    <a:lnSpc>
                      <a:spcPct val="115000"/>
                    </a:lnSpc>
                    <a:spcAft>
                      <a:spcPts val="0"/>
                    </a:spcAft>
                  </a:pPr>
                  <a:r>
                    <a:rPr lang="en-GB" sz="1200" b="1">
                      <a:solidFill>
                        <a:srgbClr val="191EE1"/>
                      </a:solidFill>
                      <a:effectLst/>
                      <a:latin typeface="Calibri"/>
                      <a:ea typeface="Calibri"/>
                      <a:cs typeface="Times New Roman"/>
                    </a:rPr>
                    <a:t>60</a:t>
                  </a:r>
                  <a:endParaRPr lang="en-GB" sz="1100">
                    <a:solidFill>
                      <a:srgbClr val="191EE1"/>
                    </a:solidFill>
                    <a:effectLst/>
                    <a:latin typeface="Calibri"/>
                    <a:ea typeface="Calibri"/>
                    <a:cs typeface="Times New Roman"/>
                  </a:endParaRPr>
                </a:p>
                <a:p>
                  <a:pPr>
                    <a:lnSpc>
                      <a:spcPct val="115000"/>
                    </a:lnSpc>
                    <a:spcAft>
                      <a:spcPts val="1000"/>
                    </a:spcAft>
                  </a:pPr>
                  <a:r>
                    <a:rPr lang="en-GB" sz="1100">
                      <a:effectLst/>
                      <a:latin typeface="Calibri"/>
                      <a:ea typeface="Calibri"/>
                      <a:cs typeface="Times New Roman"/>
                    </a:rPr>
                    <a:t> </a:t>
                  </a:r>
                </a:p>
              </xdr:txBody>
            </xdr:sp>
            <xdr:sp macro="" textlink="">
              <xdr:nvSpPr>
                <xdr:cNvPr id="188" name="Text Box 21"/>
                <xdr:cNvSpPr txBox="1"/>
              </xdr:nvSpPr>
              <xdr:spPr>
                <a:xfrm>
                  <a:off x="5314950" y="942975"/>
                  <a:ext cx="1343025" cy="466725"/>
                </a:xfrm>
                <a:prstGeom prst="rect">
                  <a:avLst/>
                </a:prstGeom>
                <a:solidFill>
                  <a:sysClr val="window" lastClr="FFFFFF"/>
                </a:solidFill>
                <a:ln w="6350">
                  <a:solidFill>
                    <a:prstClr val="black"/>
                  </a:solidFill>
                </a:ln>
                <a:effectLst/>
              </xdr:spPr>
              <xdr:txBody>
                <a:bodyPr rot="0" spcFirstLastPara="0" vert="horz" wrap="square" lIns="91440" tIns="45720" rIns="91440" bIns="45720" numCol="1" spcCol="0" rtlCol="0" fromWordArt="0" anchor="t" anchorCtr="0" forceAA="0" compatLnSpc="1">
                  <a:prstTxWarp prst="textNoShape">
                    <a:avLst/>
                  </a:prstTxWarp>
                  <a:noAutofit/>
                </a:bodyPr>
                <a:lstStyle/>
                <a:p>
                  <a:pPr>
                    <a:lnSpc>
                      <a:spcPct val="115000"/>
                    </a:lnSpc>
                    <a:spcAft>
                      <a:spcPts val="0"/>
                    </a:spcAft>
                  </a:pPr>
                  <a:r>
                    <a:rPr lang="en-GB" sz="1100">
                      <a:effectLst/>
                      <a:latin typeface="Calibri"/>
                      <a:ea typeface="Calibri"/>
                      <a:cs typeface="Times New Roman"/>
                    </a:rPr>
                    <a:t>Not asked EPNDS</a:t>
                  </a:r>
                </a:p>
                <a:p>
                  <a:pPr>
                    <a:lnSpc>
                      <a:spcPct val="115000"/>
                    </a:lnSpc>
                    <a:spcAft>
                      <a:spcPts val="1000"/>
                    </a:spcAft>
                  </a:pPr>
                  <a:r>
                    <a:rPr lang="en-GB" sz="1200" b="1">
                      <a:solidFill>
                        <a:srgbClr val="191EE1"/>
                      </a:solidFill>
                      <a:effectLst/>
                      <a:latin typeface="Calibri"/>
                      <a:ea typeface="Calibri"/>
                      <a:cs typeface="Times New Roman"/>
                    </a:rPr>
                    <a:t>187</a:t>
                  </a:r>
                  <a:endParaRPr lang="en-GB" sz="1100">
                    <a:solidFill>
                      <a:srgbClr val="191EE1"/>
                    </a:solidFill>
                    <a:effectLst/>
                    <a:latin typeface="Calibri"/>
                    <a:ea typeface="Calibri"/>
                    <a:cs typeface="Times New Roman"/>
                  </a:endParaRPr>
                </a:p>
              </xdr:txBody>
            </xdr:sp>
            <xdr:sp macro="" textlink="">
              <xdr:nvSpPr>
                <xdr:cNvPr id="189" name="Text Box 22"/>
                <xdr:cNvSpPr txBox="1"/>
              </xdr:nvSpPr>
              <xdr:spPr>
                <a:xfrm>
                  <a:off x="5314950" y="85725"/>
                  <a:ext cx="1343025" cy="447675"/>
                </a:xfrm>
                <a:prstGeom prst="rect">
                  <a:avLst/>
                </a:prstGeom>
                <a:solidFill>
                  <a:sysClr val="window" lastClr="FFFFFF"/>
                </a:solidFill>
                <a:ln w="6350">
                  <a:solidFill>
                    <a:prstClr val="black"/>
                  </a:solidFill>
                </a:ln>
                <a:effectLst/>
              </xdr:spPr>
              <xdr:txBody>
                <a:bodyPr rot="0" spcFirstLastPara="0" vert="horz" wrap="square" lIns="91440" tIns="45720" rIns="91440" bIns="45720" numCol="1" spcCol="0" rtlCol="0" fromWordArt="0" anchor="t" anchorCtr="0" forceAA="0" compatLnSpc="1">
                  <a:prstTxWarp prst="textNoShape">
                    <a:avLst/>
                  </a:prstTxWarp>
                  <a:noAutofit/>
                </a:bodyPr>
                <a:lstStyle/>
                <a:p>
                  <a:pPr>
                    <a:lnSpc>
                      <a:spcPct val="115000"/>
                    </a:lnSpc>
                    <a:spcAft>
                      <a:spcPts val="0"/>
                    </a:spcAft>
                  </a:pPr>
                  <a:r>
                    <a:rPr lang="en-GB" sz="1100">
                      <a:effectLst/>
                      <a:latin typeface="Calibri"/>
                      <a:ea typeface="Calibri"/>
                      <a:cs typeface="Times New Roman"/>
                    </a:rPr>
                    <a:t>Asked EPNDS</a:t>
                  </a:r>
                </a:p>
                <a:p>
                  <a:pPr>
                    <a:lnSpc>
                      <a:spcPct val="115000"/>
                    </a:lnSpc>
                    <a:spcAft>
                      <a:spcPts val="0"/>
                    </a:spcAft>
                  </a:pPr>
                  <a:r>
                    <a:rPr lang="en-GB" sz="1200" b="1">
                      <a:solidFill>
                        <a:srgbClr val="191EE1"/>
                      </a:solidFill>
                      <a:effectLst/>
                      <a:latin typeface="Calibri"/>
                      <a:ea typeface="Calibri"/>
                      <a:cs typeface="Times New Roman"/>
                    </a:rPr>
                    <a:t>197</a:t>
                  </a:r>
                  <a:endParaRPr lang="en-GB" sz="1100">
                    <a:solidFill>
                      <a:srgbClr val="191EE1"/>
                    </a:solidFill>
                    <a:effectLst/>
                    <a:latin typeface="Calibri"/>
                    <a:ea typeface="Calibri"/>
                    <a:cs typeface="Times New Roman"/>
                  </a:endParaRPr>
                </a:p>
                <a:p>
                  <a:pPr>
                    <a:lnSpc>
                      <a:spcPct val="115000"/>
                    </a:lnSpc>
                    <a:spcAft>
                      <a:spcPts val="1000"/>
                    </a:spcAft>
                  </a:pPr>
                  <a:r>
                    <a:rPr lang="en-GB" sz="1100">
                      <a:effectLst/>
                      <a:latin typeface="Calibri"/>
                      <a:ea typeface="Calibri"/>
                      <a:cs typeface="Times New Roman"/>
                    </a:rPr>
                    <a:t> </a:t>
                  </a:r>
                </a:p>
              </xdr:txBody>
            </xdr:sp>
            <xdr:sp macro="" textlink="">
              <xdr:nvSpPr>
                <xdr:cNvPr id="190" name="Text Box 25"/>
                <xdr:cNvSpPr txBox="1"/>
              </xdr:nvSpPr>
              <xdr:spPr>
                <a:xfrm>
                  <a:off x="3552825" y="457200"/>
                  <a:ext cx="1476375" cy="428625"/>
                </a:xfrm>
                <a:prstGeom prst="rect">
                  <a:avLst/>
                </a:prstGeom>
                <a:solidFill>
                  <a:sysClr val="window" lastClr="FFFFFF"/>
                </a:solidFill>
                <a:ln w="6350">
                  <a:solidFill>
                    <a:prstClr val="black"/>
                  </a:solidFill>
                </a:ln>
                <a:effectLst/>
              </xdr:spPr>
              <xdr:txBody>
                <a:bodyPr rot="0" spcFirstLastPara="0" vert="horz" wrap="square" lIns="91440" tIns="45720" rIns="91440" bIns="45720" numCol="1" spcCol="0" rtlCol="0" fromWordArt="0" anchor="t" anchorCtr="0" forceAA="0" compatLnSpc="1">
                  <a:prstTxWarp prst="textNoShape">
                    <a:avLst/>
                  </a:prstTxWarp>
                  <a:noAutofit/>
                </a:bodyPr>
                <a:lstStyle/>
                <a:p>
                  <a:pPr>
                    <a:lnSpc>
                      <a:spcPct val="115000"/>
                    </a:lnSpc>
                    <a:spcAft>
                      <a:spcPts val="0"/>
                    </a:spcAft>
                  </a:pPr>
                  <a:r>
                    <a:rPr lang="en-GB" sz="1100">
                      <a:effectLst/>
                      <a:latin typeface="Calibri"/>
                      <a:ea typeface="Calibri"/>
                      <a:cs typeface="Times New Roman"/>
                    </a:rPr>
                    <a:t>Yes to either question</a:t>
                  </a:r>
                </a:p>
                <a:p>
                  <a:pPr>
                    <a:lnSpc>
                      <a:spcPct val="115000"/>
                    </a:lnSpc>
                    <a:spcAft>
                      <a:spcPts val="0"/>
                    </a:spcAft>
                  </a:pPr>
                  <a:r>
                    <a:rPr lang="en-GB" sz="1200" b="1">
                      <a:solidFill>
                        <a:srgbClr val="191EE1"/>
                      </a:solidFill>
                      <a:effectLst/>
                      <a:latin typeface="Calibri"/>
                      <a:ea typeface="Calibri"/>
                      <a:cs typeface="Times New Roman"/>
                    </a:rPr>
                    <a:t>384</a:t>
                  </a:r>
                  <a:endParaRPr lang="en-GB" sz="1100">
                    <a:solidFill>
                      <a:srgbClr val="191EE1"/>
                    </a:solidFill>
                    <a:effectLst/>
                    <a:latin typeface="Calibri"/>
                    <a:ea typeface="Calibri"/>
                    <a:cs typeface="Times New Roman"/>
                  </a:endParaRPr>
                </a:p>
              </xdr:txBody>
            </xdr:sp>
            <xdr:grpSp>
              <xdr:nvGrpSpPr>
                <xdr:cNvPr id="191" name="Group 190"/>
                <xdr:cNvGrpSpPr/>
              </xdr:nvGrpSpPr>
              <xdr:grpSpPr>
                <a:xfrm>
                  <a:off x="0" y="1314450"/>
                  <a:ext cx="4914900" cy="3181350"/>
                  <a:chOff x="0" y="0"/>
                  <a:chExt cx="4914900" cy="3181350"/>
                </a:xfrm>
              </xdr:grpSpPr>
              <xdr:sp macro="" textlink="">
                <xdr:nvSpPr>
                  <xdr:cNvPr id="211" name="Text Box 1"/>
                  <xdr:cNvSpPr txBox="1"/>
                </xdr:nvSpPr>
                <xdr:spPr>
                  <a:xfrm>
                    <a:off x="0" y="876300"/>
                    <a:ext cx="1714500" cy="723900"/>
                  </a:xfrm>
                  <a:prstGeom prst="rect">
                    <a:avLst/>
                  </a:prstGeom>
                  <a:solidFill>
                    <a:schemeClr val="lt1"/>
                  </a:solidFill>
                  <a:ln w="6350">
                    <a:solidFill>
                      <a:prstClr val="black"/>
                    </a:solidFill>
                  </a:ln>
                  <a:effectLst/>
                </xdr:spPr>
                <xdr:style>
                  <a:lnRef idx="0">
                    <a:schemeClr val="accent1"/>
                  </a:lnRef>
                  <a:fillRef idx="0">
                    <a:schemeClr val="accent1"/>
                  </a:fillRef>
                  <a:effectRef idx="0">
                    <a:schemeClr val="accent1"/>
                  </a:effectRef>
                  <a:fontRef idx="minor">
                    <a:schemeClr val="dk1"/>
                  </a:fontRef>
                </xdr:style>
                <xdr:txBody>
                  <a:bodyPr rot="0" spcFirstLastPara="0" vert="horz" wrap="square" lIns="91440" tIns="45720" rIns="91440" bIns="45720" numCol="1" spcCol="0" rtlCol="0" fromWordArt="0" anchor="t" anchorCtr="0" forceAA="0" compatLnSpc="1">
                    <a:prstTxWarp prst="textNoShape">
                      <a:avLst/>
                    </a:prstTxWarp>
                    <a:noAutofit/>
                  </a:bodyPr>
                  <a:lstStyle/>
                  <a:p>
                    <a:pPr>
                      <a:lnSpc>
                        <a:spcPct val="115000"/>
                      </a:lnSpc>
                      <a:spcAft>
                        <a:spcPts val="0"/>
                      </a:spcAft>
                    </a:pPr>
                    <a:r>
                      <a:rPr lang="en-GB" sz="1100">
                        <a:effectLst/>
                        <a:ea typeface="Calibri"/>
                        <a:cs typeface="Times New Roman"/>
                      </a:rPr>
                      <a:t>Women with record in HV check database</a:t>
                    </a:r>
                  </a:p>
                  <a:p>
                    <a:pPr>
                      <a:lnSpc>
                        <a:spcPct val="115000"/>
                      </a:lnSpc>
                      <a:spcAft>
                        <a:spcPts val="0"/>
                      </a:spcAft>
                    </a:pPr>
                    <a:r>
                      <a:rPr lang="en-GB" sz="1200" b="1">
                        <a:solidFill>
                          <a:srgbClr val="191EE1"/>
                        </a:solidFill>
                        <a:effectLst/>
                        <a:ea typeface="Calibri"/>
                        <a:cs typeface="Times New Roman"/>
                      </a:rPr>
                      <a:t>4353</a:t>
                    </a:r>
                    <a:endParaRPr lang="en-GB" sz="1100">
                      <a:solidFill>
                        <a:srgbClr val="191EE1"/>
                      </a:solidFill>
                      <a:effectLst/>
                      <a:ea typeface="Calibri"/>
                      <a:cs typeface="Times New Roman"/>
                    </a:endParaRPr>
                  </a:p>
                  <a:p>
                    <a:pPr>
                      <a:lnSpc>
                        <a:spcPct val="115000"/>
                      </a:lnSpc>
                      <a:spcAft>
                        <a:spcPts val="1000"/>
                      </a:spcAft>
                    </a:pPr>
                    <a:r>
                      <a:rPr lang="en-GB" sz="1100">
                        <a:effectLst/>
                        <a:ea typeface="Calibri"/>
                        <a:cs typeface="Times New Roman"/>
                      </a:rPr>
                      <a:t> </a:t>
                    </a:r>
                  </a:p>
                  <a:p>
                    <a:pPr>
                      <a:lnSpc>
                        <a:spcPct val="115000"/>
                      </a:lnSpc>
                      <a:spcAft>
                        <a:spcPts val="1000"/>
                      </a:spcAft>
                    </a:pPr>
                    <a:r>
                      <a:rPr lang="en-GB" sz="1100">
                        <a:effectLst/>
                        <a:ea typeface="Calibri"/>
                        <a:cs typeface="Times New Roman"/>
                      </a:rPr>
                      <a:t> </a:t>
                    </a:r>
                  </a:p>
                </xdr:txBody>
              </xdr:sp>
              <xdr:sp macro="" textlink="">
                <xdr:nvSpPr>
                  <xdr:cNvPr id="212" name="Text Box 24"/>
                  <xdr:cNvSpPr txBox="1"/>
                </xdr:nvSpPr>
                <xdr:spPr>
                  <a:xfrm>
                    <a:off x="3409950" y="1019175"/>
                    <a:ext cx="1504950" cy="466725"/>
                  </a:xfrm>
                  <a:prstGeom prst="rect">
                    <a:avLst/>
                  </a:prstGeom>
                  <a:solidFill>
                    <a:sysClr val="window" lastClr="FFFFFF"/>
                  </a:solidFill>
                  <a:ln w="6350">
                    <a:solidFill>
                      <a:prstClr val="black"/>
                    </a:solidFill>
                  </a:ln>
                  <a:effectLst/>
                </xdr:spPr>
                <xdr:txBody>
                  <a:bodyPr rot="0" spcFirstLastPara="0" vert="horz" wrap="square" lIns="91440" tIns="45720" rIns="91440" bIns="45720" numCol="1" spcCol="0" rtlCol="0" fromWordArt="0" anchor="t" anchorCtr="0" forceAA="0" compatLnSpc="1">
                    <a:prstTxWarp prst="textNoShape">
                      <a:avLst/>
                    </a:prstTxWarp>
                    <a:noAutofit/>
                  </a:bodyPr>
                  <a:lstStyle/>
                  <a:p>
                    <a:pPr>
                      <a:lnSpc>
                        <a:spcPct val="115000"/>
                      </a:lnSpc>
                      <a:spcAft>
                        <a:spcPts val="0"/>
                      </a:spcAft>
                    </a:pPr>
                    <a:r>
                      <a:rPr lang="en-GB" sz="1100">
                        <a:effectLst/>
                        <a:latin typeface="Calibri"/>
                        <a:ea typeface="Calibri"/>
                        <a:cs typeface="Times New Roman"/>
                      </a:rPr>
                      <a:t>No to both questions</a:t>
                    </a:r>
                  </a:p>
                  <a:p>
                    <a:pPr>
                      <a:lnSpc>
                        <a:spcPct val="115000"/>
                      </a:lnSpc>
                      <a:spcAft>
                        <a:spcPts val="0"/>
                      </a:spcAft>
                    </a:pPr>
                    <a:r>
                      <a:rPr lang="en-GB" sz="1200" b="1">
                        <a:solidFill>
                          <a:srgbClr val="191EE1"/>
                        </a:solidFill>
                        <a:effectLst/>
                        <a:latin typeface="Calibri"/>
                        <a:ea typeface="Calibri"/>
                        <a:cs typeface="Times New Roman"/>
                      </a:rPr>
                      <a:t>3945</a:t>
                    </a:r>
                    <a:endParaRPr lang="en-GB" sz="1100">
                      <a:solidFill>
                        <a:srgbClr val="191EE1"/>
                      </a:solidFill>
                      <a:effectLst/>
                      <a:latin typeface="Calibri"/>
                      <a:ea typeface="Calibri"/>
                      <a:cs typeface="Times New Roman"/>
                    </a:endParaRPr>
                  </a:p>
                </xdr:txBody>
              </xdr:sp>
              <xdr:sp macro="" textlink="">
                <xdr:nvSpPr>
                  <xdr:cNvPr id="213" name="Text Box 26"/>
                  <xdr:cNvSpPr txBox="1"/>
                </xdr:nvSpPr>
                <xdr:spPr>
                  <a:xfrm>
                    <a:off x="1828800" y="2524125"/>
                    <a:ext cx="1990725" cy="657225"/>
                  </a:xfrm>
                  <a:prstGeom prst="rect">
                    <a:avLst/>
                  </a:prstGeom>
                  <a:solidFill>
                    <a:sysClr val="window" lastClr="FFFFFF"/>
                  </a:solidFill>
                  <a:ln w="6350">
                    <a:solidFill>
                      <a:prstClr val="black"/>
                    </a:solidFill>
                  </a:ln>
                  <a:effectLst/>
                </xdr:spPr>
                <xdr:txBody>
                  <a:bodyPr rot="0" spcFirstLastPara="0" vert="horz" wrap="square" lIns="91440" tIns="45720" rIns="91440" bIns="45720" numCol="1" spcCol="0" rtlCol="0" fromWordArt="0" anchor="t" anchorCtr="0" forceAA="0" compatLnSpc="1">
                    <a:prstTxWarp prst="textNoShape">
                      <a:avLst/>
                    </a:prstTxWarp>
                    <a:noAutofit/>
                  </a:bodyPr>
                  <a:lstStyle/>
                  <a:p>
                    <a:pPr>
                      <a:lnSpc>
                        <a:spcPct val="115000"/>
                      </a:lnSpc>
                      <a:spcAft>
                        <a:spcPts val="0"/>
                      </a:spcAft>
                    </a:pPr>
                    <a:r>
                      <a:rPr lang="en-GB" sz="1100">
                        <a:effectLst/>
                        <a:latin typeface="Calibri"/>
                        <a:ea typeface="Calibri"/>
                        <a:cs typeface="Times New Roman"/>
                      </a:rPr>
                      <a:t>Women not asked the Whooley screening questions</a:t>
                    </a:r>
                  </a:p>
                  <a:p>
                    <a:pPr>
                      <a:lnSpc>
                        <a:spcPct val="115000"/>
                      </a:lnSpc>
                      <a:spcAft>
                        <a:spcPts val="0"/>
                      </a:spcAft>
                    </a:pPr>
                    <a:r>
                      <a:rPr lang="en-GB" sz="1200" b="1">
                        <a:solidFill>
                          <a:srgbClr val="191EE1"/>
                        </a:solidFill>
                        <a:effectLst/>
                        <a:latin typeface="Calibri"/>
                        <a:ea typeface="Calibri"/>
                        <a:cs typeface="Times New Roman"/>
                      </a:rPr>
                      <a:t>24</a:t>
                    </a:r>
                    <a:endParaRPr lang="en-GB" sz="1100">
                      <a:solidFill>
                        <a:srgbClr val="191EE1"/>
                      </a:solidFill>
                      <a:effectLst/>
                      <a:latin typeface="Calibri"/>
                      <a:ea typeface="Calibri"/>
                      <a:cs typeface="Times New Roman"/>
                    </a:endParaRPr>
                  </a:p>
                  <a:p>
                    <a:pPr>
                      <a:lnSpc>
                        <a:spcPct val="115000"/>
                      </a:lnSpc>
                      <a:spcAft>
                        <a:spcPts val="1000"/>
                      </a:spcAft>
                    </a:pPr>
                    <a:r>
                      <a:rPr lang="en-GB" sz="1100">
                        <a:effectLst/>
                        <a:latin typeface="Calibri"/>
                        <a:ea typeface="Calibri"/>
                        <a:cs typeface="Times New Roman"/>
                      </a:rPr>
                      <a:t> </a:t>
                    </a:r>
                  </a:p>
                </xdr:txBody>
              </xdr:sp>
              <xdr:sp macro="" textlink="">
                <xdr:nvSpPr>
                  <xdr:cNvPr id="214" name="Text Box 27"/>
                  <xdr:cNvSpPr txBox="1"/>
                </xdr:nvSpPr>
                <xdr:spPr>
                  <a:xfrm>
                    <a:off x="1771650" y="0"/>
                    <a:ext cx="1876425" cy="638175"/>
                  </a:xfrm>
                  <a:prstGeom prst="rect">
                    <a:avLst/>
                  </a:prstGeom>
                  <a:solidFill>
                    <a:sysClr val="window" lastClr="FFFFFF"/>
                  </a:solidFill>
                  <a:ln w="6350">
                    <a:solidFill>
                      <a:prstClr val="black"/>
                    </a:solidFill>
                  </a:ln>
                  <a:effectLst/>
                </xdr:spPr>
                <xdr:txBody>
                  <a:bodyPr rot="0" spcFirstLastPara="0" vert="horz" wrap="square" lIns="91440" tIns="45720" rIns="91440" bIns="45720" numCol="1" spcCol="0" rtlCol="0" fromWordArt="0" anchor="t" anchorCtr="0" forceAA="0" compatLnSpc="1">
                    <a:prstTxWarp prst="textNoShape">
                      <a:avLst/>
                    </a:prstTxWarp>
                    <a:noAutofit/>
                  </a:bodyPr>
                  <a:lstStyle/>
                  <a:p>
                    <a:pPr>
                      <a:lnSpc>
                        <a:spcPct val="115000"/>
                      </a:lnSpc>
                      <a:spcAft>
                        <a:spcPts val="0"/>
                      </a:spcAft>
                    </a:pPr>
                    <a:r>
                      <a:rPr lang="en-GB" sz="1100">
                        <a:effectLst/>
                        <a:latin typeface="Calibri"/>
                        <a:ea typeface="Calibri"/>
                        <a:cs typeface="Times New Roman"/>
                      </a:rPr>
                      <a:t>Women asked the Whooley screening questions</a:t>
                    </a:r>
                  </a:p>
                  <a:p>
                    <a:pPr>
                      <a:lnSpc>
                        <a:spcPct val="115000"/>
                      </a:lnSpc>
                      <a:spcAft>
                        <a:spcPts val="0"/>
                      </a:spcAft>
                    </a:pPr>
                    <a:r>
                      <a:rPr lang="en-GB" sz="1100" b="1">
                        <a:solidFill>
                          <a:srgbClr val="191EE1"/>
                        </a:solidFill>
                        <a:effectLst/>
                        <a:latin typeface="Calibri"/>
                        <a:ea typeface="Calibri"/>
                        <a:cs typeface="Times New Roman"/>
                      </a:rPr>
                      <a:t>4329</a:t>
                    </a:r>
                    <a:endParaRPr lang="en-GB" sz="1100">
                      <a:solidFill>
                        <a:srgbClr val="191EE1"/>
                      </a:solidFill>
                      <a:effectLst/>
                      <a:latin typeface="Calibri"/>
                      <a:ea typeface="Calibri"/>
                      <a:cs typeface="Times New Roman"/>
                    </a:endParaRPr>
                  </a:p>
                </xdr:txBody>
              </xdr:sp>
            </xdr:grpSp>
            <xdr:cxnSp macro="">
              <xdr:nvCxnSpPr>
                <xdr:cNvPr id="192" name="Straight Arrow Connector 191"/>
                <xdr:cNvCxnSpPr/>
              </xdr:nvCxnSpPr>
              <xdr:spPr>
                <a:xfrm flipV="1">
                  <a:off x="1047750" y="1724026"/>
                  <a:ext cx="723900" cy="4667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xnSp macro="">
              <xdr:nvCxnSpPr>
                <xdr:cNvPr id="193" name="Straight Arrow Connector 192"/>
                <xdr:cNvCxnSpPr/>
              </xdr:nvCxnSpPr>
              <xdr:spPr>
                <a:xfrm>
                  <a:off x="1323975" y="2914650"/>
                  <a:ext cx="1162050" cy="9239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xnSp macro="">
              <xdr:nvCxnSpPr>
                <xdr:cNvPr id="194" name="Straight Arrow Connector 193"/>
                <xdr:cNvCxnSpPr/>
              </xdr:nvCxnSpPr>
              <xdr:spPr>
                <a:xfrm flipV="1">
                  <a:off x="3076575" y="885826"/>
                  <a:ext cx="571500" cy="4286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xnSp macro="">
              <xdr:nvCxnSpPr>
                <xdr:cNvPr id="195" name="Straight Arrow Connector 194"/>
                <xdr:cNvCxnSpPr/>
              </xdr:nvCxnSpPr>
              <xdr:spPr>
                <a:xfrm>
                  <a:off x="3257550" y="1952625"/>
                  <a:ext cx="447675" cy="3810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xnSp macro="">
              <xdr:nvCxnSpPr>
                <xdr:cNvPr id="196" name="Straight Arrow Connector 195"/>
                <xdr:cNvCxnSpPr/>
              </xdr:nvCxnSpPr>
              <xdr:spPr>
                <a:xfrm flipV="1">
                  <a:off x="4772025" y="276225"/>
                  <a:ext cx="542925" cy="18097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xnSp macro="">
              <xdr:nvCxnSpPr>
                <xdr:cNvPr id="197" name="Straight Arrow Connector 196"/>
                <xdr:cNvCxnSpPr/>
              </xdr:nvCxnSpPr>
              <xdr:spPr>
                <a:xfrm>
                  <a:off x="4572000" y="885825"/>
                  <a:ext cx="742950" cy="2667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xnSp macro="">
              <xdr:nvCxnSpPr>
                <xdr:cNvPr id="198" name="Straight Arrow Connector 197"/>
                <xdr:cNvCxnSpPr/>
              </xdr:nvCxnSpPr>
              <xdr:spPr>
                <a:xfrm flipV="1">
                  <a:off x="4714875" y="2038351"/>
                  <a:ext cx="600075" cy="29527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xnSp macro="">
              <xdr:nvCxnSpPr>
                <xdr:cNvPr id="199" name="Straight Arrow Connector 198"/>
                <xdr:cNvCxnSpPr/>
              </xdr:nvCxnSpPr>
              <xdr:spPr>
                <a:xfrm>
                  <a:off x="4772025" y="2800350"/>
                  <a:ext cx="542925" cy="21907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xnSp macro="">
              <xdr:nvCxnSpPr>
                <xdr:cNvPr id="200" name="Straight Arrow Connector 199"/>
                <xdr:cNvCxnSpPr/>
              </xdr:nvCxnSpPr>
              <xdr:spPr>
                <a:xfrm flipV="1">
                  <a:off x="3819525" y="3771901"/>
                  <a:ext cx="1543050" cy="1619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xnSp macro="">
              <xdr:nvCxnSpPr>
                <xdr:cNvPr id="201" name="Straight Arrow Connector 200"/>
                <xdr:cNvCxnSpPr/>
              </xdr:nvCxnSpPr>
              <xdr:spPr>
                <a:xfrm>
                  <a:off x="3819525" y="4400550"/>
                  <a:ext cx="1543050" cy="3905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xnSp macro="">
              <xdr:nvCxnSpPr>
                <xdr:cNvPr id="202" name="Straight Arrow Connector 201"/>
                <xdr:cNvCxnSpPr/>
              </xdr:nvCxnSpPr>
              <xdr:spPr>
                <a:xfrm flipV="1">
                  <a:off x="6657975" y="0"/>
                  <a:ext cx="400050" cy="18097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xnSp macro="">
              <xdr:nvCxnSpPr>
                <xdr:cNvPr id="203" name="Straight Arrow Connector 202"/>
                <xdr:cNvCxnSpPr/>
              </xdr:nvCxnSpPr>
              <xdr:spPr>
                <a:xfrm>
                  <a:off x="6657975" y="457200"/>
                  <a:ext cx="400050" cy="1238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xnSp macro="">
              <xdr:nvCxnSpPr>
                <xdr:cNvPr id="204" name="Straight Arrow Connector 203"/>
                <xdr:cNvCxnSpPr/>
              </xdr:nvCxnSpPr>
              <xdr:spPr>
                <a:xfrm flipV="1">
                  <a:off x="6534150" y="1809750"/>
                  <a:ext cx="466725" cy="3143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xnSp macro="">
              <xdr:nvCxnSpPr>
                <xdr:cNvPr id="205" name="Straight Arrow Connector 204"/>
                <xdr:cNvCxnSpPr/>
              </xdr:nvCxnSpPr>
              <xdr:spPr>
                <a:xfrm>
                  <a:off x="6534150" y="2266950"/>
                  <a:ext cx="466725" cy="1143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xnSp macro="">
              <xdr:nvCxnSpPr>
                <xdr:cNvPr id="206" name="Straight Arrow Connector 205"/>
                <xdr:cNvCxnSpPr/>
              </xdr:nvCxnSpPr>
              <xdr:spPr>
                <a:xfrm flipV="1">
                  <a:off x="6705600" y="3524251"/>
                  <a:ext cx="295275" cy="24765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xnSp macro="">
              <xdr:nvCxnSpPr>
                <xdr:cNvPr id="207" name="Straight Arrow Connector 206"/>
                <xdr:cNvCxnSpPr/>
              </xdr:nvCxnSpPr>
              <xdr:spPr>
                <a:xfrm>
                  <a:off x="6705600" y="3933825"/>
                  <a:ext cx="295275" cy="2000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xnSp macro="">
              <xdr:nvCxnSpPr>
                <xdr:cNvPr id="208" name="Straight Arrow Connector 207"/>
                <xdr:cNvCxnSpPr/>
              </xdr:nvCxnSpPr>
              <xdr:spPr>
                <a:xfrm>
                  <a:off x="6705600" y="4905375"/>
                  <a:ext cx="1581150" cy="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xnSp macro="">
              <xdr:nvCxnSpPr>
                <xdr:cNvPr id="209" name="Straight Arrow Connector 208"/>
                <xdr:cNvCxnSpPr/>
              </xdr:nvCxnSpPr>
              <xdr:spPr>
                <a:xfrm>
                  <a:off x="6657975" y="1152525"/>
                  <a:ext cx="1628775" cy="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xnSp macro="">
              <xdr:nvCxnSpPr>
                <xdr:cNvPr id="210" name="Straight Arrow Connector 209"/>
                <xdr:cNvCxnSpPr/>
              </xdr:nvCxnSpPr>
              <xdr:spPr>
                <a:xfrm>
                  <a:off x="6657975" y="3019425"/>
                  <a:ext cx="1571625" cy="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grpSp>
          <xdr:cxnSp macro="">
            <xdr:nvCxnSpPr>
              <xdr:cNvPr id="170" name="Straight Arrow Connector 169"/>
              <xdr:cNvCxnSpPr/>
            </xdr:nvCxnSpPr>
            <xdr:spPr>
              <a:xfrm>
                <a:off x="7962900" y="3829050"/>
                <a:ext cx="323850" cy="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xnSp macro="">
            <xdr:nvCxnSpPr>
              <xdr:cNvPr id="171" name="Straight Arrow Connector 170"/>
              <xdr:cNvCxnSpPr/>
            </xdr:nvCxnSpPr>
            <xdr:spPr>
              <a:xfrm>
                <a:off x="7934325" y="4438650"/>
                <a:ext cx="333375" cy="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grpSp>
            <xdr:nvGrpSpPr>
              <xdr:cNvPr id="172" name="Group 171"/>
              <xdr:cNvGrpSpPr/>
            </xdr:nvGrpSpPr>
            <xdr:grpSpPr>
              <a:xfrm>
                <a:off x="7058025" y="0"/>
                <a:ext cx="2686050" cy="2924175"/>
                <a:chOff x="0" y="0"/>
                <a:chExt cx="2686050" cy="2924175"/>
              </a:xfrm>
            </xdr:grpSpPr>
            <xdr:sp macro="" textlink="">
              <xdr:nvSpPr>
                <xdr:cNvPr id="173" name="Text Box 15"/>
                <xdr:cNvSpPr txBox="1"/>
              </xdr:nvSpPr>
              <xdr:spPr>
                <a:xfrm>
                  <a:off x="0" y="685800"/>
                  <a:ext cx="933450" cy="428625"/>
                </a:xfrm>
                <a:prstGeom prst="rect">
                  <a:avLst/>
                </a:prstGeom>
                <a:solidFill>
                  <a:sysClr val="window" lastClr="FFFFFF"/>
                </a:solidFill>
                <a:ln w="6350">
                  <a:solidFill>
                    <a:prstClr val="black"/>
                  </a:solidFill>
                </a:ln>
                <a:effectLst/>
              </xdr:spPr>
              <xdr:txBody>
                <a:bodyPr rot="0" spcFirstLastPara="0" vert="horz" wrap="square" lIns="91440" tIns="45720" rIns="91440" bIns="45720" numCol="1" spcCol="0" rtlCol="0" fromWordArt="0" anchor="t" anchorCtr="0" forceAA="0" compatLnSpc="1">
                  <a:prstTxWarp prst="textNoShape">
                    <a:avLst/>
                  </a:prstTxWarp>
                  <a:noAutofit/>
                </a:bodyPr>
                <a:lstStyle/>
                <a:p>
                  <a:pPr>
                    <a:lnSpc>
                      <a:spcPct val="115000"/>
                    </a:lnSpc>
                    <a:spcAft>
                      <a:spcPts val="0"/>
                    </a:spcAft>
                  </a:pPr>
                  <a:r>
                    <a:rPr lang="en-GB" sz="1100">
                      <a:effectLst/>
                      <a:latin typeface="Calibri"/>
                      <a:ea typeface="Calibri"/>
                      <a:cs typeface="Times New Roman"/>
                    </a:rPr>
                    <a:t>Less than 10</a:t>
                  </a:r>
                </a:p>
                <a:p>
                  <a:pPr>
                    <a:lnSpc>
                      <a:spcPct val="115000"/>
                    </a:lnSpc>
                    <a:spcAft>
                      <a:spcPts val="1000"/>
                    </a:spcAft>
                  </a:pPr>
                  <a:r>
                    <a:rPr lang="en-GB" sz="1200" b="1">
                      <a:solidFill>
                        <a:srgbClr val="191EE1"/>
                      </a:solidFill>
                      <a:effectLst/>
                      <a:latin typeface="Calibri"/>
                      <a:ea typeface="Calibri"/>
                      <a:cs typeface="Times New Roman"/>
                    </a:rPr>
                    <a:t>71</a:t>
                  </a:r>
                  <a:endParaRPr lang="en-GB" sz="1100">
                    <a:solidFill>
                      <a:srgbClr val="191EE1"/>
                    </a:solidFill>
                    <a:effectLst/>
                    <a:latin typeface="Calibri"/>
                    <a:ea typeface="Calibri"/>
                    <a:cs typeface="Times New Roman"/>
                  </a:endParaRPr>
                </a:p>
              </xdr:txBody>
            </xdr:sp>
            <xdr:sp macro="" textlink="">
              <xdr:nvSpPr>
                <xdr:cNvPr id="174" name="Text Box 16"/>
                <xdr:cNvSpPr txBox="1"/>
              </xdr:nvSpPr>
              <xdr:spPr>
                <a:xfrm>
                  <a:off x="0" y="0"/>
                  <a:ext cx="933450" cy="485775"/>
                </a:xfrm>
                <a:prstGeom prst="rect">
                  <a:avLst/>
                </a:prstGeom>
                <a:solidFill>
                  <a:sysClr val="window" lastClr="FFFFFF"/>
                </a:solidFill>
                <a:ln w="6350">
                  <a:solidFill>
                    <a:prstClr val="black"/>
                  </a:solidFill>
                </a:ln>
                <a:effectLst/>
              </xdr:spPr>
              <xdr:txBody>
                <a:bodyPr rot="0" spcFirstLastPara="0" vert="horz" wrap="square" lIns="91440" tIns="45720" rIns="91440" bIns="45720" numCol="1" spcCol="0" rtlCol="0" fromWordArt="0" anchor="t" anchorCtr="0" forceAA="0" compatLnSpc="1">
                  <a:prstTxWarp prst="textNoShape">
                    <a:avLst/>
                  </a:prstTxWarp>
                  <a:noAutofit/>
                </a:bodyPr>
                <a:lstStyle/>
                <a:p>
                  <a:pPr>
                    <a:lnSpc>
                      <a:spcPct val="115000"/>
                    </a:lnSpc>
                    <a:spcAft>
                      <a:spcPts val="0"/>
                    </a:spcAft>
                  </a:pPr>
                  <a:r>
                    <a:rPr lang="en-GB" sz="1100">
                      <a:effectLst/>
                      <a:latin typeface="Calibri"/>
                      <a:ea typeface="Calibri"/>
                      <a:cs typeface="Times New Roman"/>
                    </a:rPr>
                    <a:t>10 or more</a:t>
                  </a:r>
                </a:p>
                <a:p>
                  <a:pPr>
                    <a:lnSpc>
                      <a:spcPct val="115000"/>
                    </a:lnSpc>
                    <a:spcAft>
                      <a:spcPts val="0"/>
                    </a:spcAft>
                  </a:pPr>
                  <a:r>
                    <a:rPr lang="en-GB" sz="1200" b="1">
                      <a:solidFill>
                        <a:srgbClr val="191EE1"/>
                      </a:solidFill>
                      <a:effectLst/>
                      <a:latin typeface="Calibri"/>
                      <a:ea typeface="Calibri"/>
                      <a:cs typeface="Times New Roman"/>
                    </a:rPr>
                    <a:t>126</a:t>
                  </a:r>
                  <a:endParaRPr lang="en-GB" sz="1100">
                    <a:solidFill>
                      <a:srgbClr val="191EE1"/>
                    </a:solidFill>
                    <a:effectLst/>
                    <a:latin typeface="Calibri"/>
                    <a:ea typeface="Calibri"/>
                    <a:cs typeface="Times New Roman"/>
                  </a:endParaRPr>
                </a:p>
              </xdr:txBody>
            </xdr:sp>
            <xdr:sp macro="" textlink="">
              <xdr:nvSpPr>
                <xdr:cNvPr id="175" name="Text Box 28"/>
                <xdr:cNvSpPr txBox="1"/>
              </xdr:nvSpPr>
              <xdr:spPr>
                <a:xfrm>
                  <a:off x="1143000" y="2495550"/>
                  <a:ext cx="1457325" cy="428625"/>
                </a:xfrm>
                <a:prstGeom prst="rect">
                  <a:avLst/>
                </a:prstGeom>
                <a:solidFill>
                  <a:sysClr val="window" lastClr="FFFFFF"/>
                </a:solidFill>
                <a:ln w="6350">
                  <a:solidFill>
                    <a:prstClr val="black"/>
                  </a:solidFill>
                </a:ln>
                <a:effectLst/>
              </xdr:spPr>
              <xdr:txBody>
                <a:bodyPr rot="0" spcFirstLastPara="0" vert="horz" wrap="square" lIns="91440" tIns="45720" rIns="91440" bIns="45720" numCol="1" spcCol="0" rtlCol="0" fromWordArt="0" anchor="t" anchorCtr="0" forceAA="0" compatLnSpc="1">
                  <a:prstTxWarp prst="textNoShape">
                    <a:avLst/>
                  </a:prstTxWarp>
                  <a:noAutofit/>
                </a:bodyPr>
                <a:lstStyle/>
                <a:p>
                  <a:pPr>
                    <a:lnSpc>
                      <a:spcPct val="115000"/>
                    </a:lnSpc>
                    <a:spcAft>
                      <a:spcPts val="0"/>
                    </a:spcAft>
                  </a:pPr>
                  <a:r>
                    <a:rPr lang="en-GB" sz="1100">
                      <a:effectLst/>
                      <a:latin typeface="Calibri"/>
                      <a:ea typeface="Calibri"/>
                      <a:cs typeface="Times New Roman"/>
                    </a:rPr>
                    <a:t>More help required</a:t>
                  </a:r>
                </a:p>
                <a:p>
                  <a:pPr>
                    <a:lnSpc>
                      <a:spcPct val="115000"/>
                    </a:lnSpc>
                    <a:spcAft>
                      <a:spcPts val="0"/>
                    </a:spcAft>
                  </a:pPr>
                  <a:r>
                    <a:rPr lang="en-GB" sz="1200" b="1">
                      <a:solidFill>
                        <a:srgbClr val="191EE1"/>
                      </a:solidFill>
                      <a:effectLst/>
                      <a:latin typeface="Calibri"/>
                      <a:ea typeface="Calibri"/>
                      <a:cs typeface="Times New Roman"/>
                    </a:rPr>
                    <a:t>0</a:t>
                  </a:r>
                  <a:endParaRPr lang="en-GB" sz="1100">
                    <a:solidFill>
                      <a:srgbClr val="191EE1"/>
                    </a:solidFill>
                    <a:effectLst/>
                    <a:latin typeface="Calibri"/>
                    <a:ea typeface="Calibri"/>
                    <a:cs typeface="Times New Roman"/>
                  </a:endParaRPr>
                </a:p>
                <a:p>
                  <a:pPr>
                    <a:lnSpc>
                      <a:spcPct val="115000"/>
                    </a:lnSpc>
                    <a:spcAft>
                      <a:spcPts val="1000"/>
                    </a:spcAft>
                  </a:pPr>
                  <a:r>
                    <a:rPr lang="en-GB" sz="1100">
                      <a:effectLst/>
                      <a:latin typeface="Calibri"/>
                      <a:ea typeface="Calibri"/>
                      <a:cs typeface="Times New Roman"/>
                    </a:rPr>
                    <a:t> </a:t>
                  </a:r>
                </a:p>
                <a:p>
                  <a:pPr>
                    <a:lnSpc>
                      <a:spcPct val="115000"/>
                    </a:lnSpc>
                    <a:spcAft>
                      <a:spcPts val="0"/>
                    </a:spcAft>
                  </a:pPr>
                  <a:r>
                    <a:rPr lang="en-GB" sz="1100">
                      <a:effectLst/>
                      <a:latin typeface="Calibri"/>
                      <a:ea typeface="Calibri"/>
                      <a:cs typeface="Times New Roman"/>
                    </a:rPr>
                    <a:t> </a:t>
                  </a:r>
                </a:p>
              </xdr:txBody>
            </xdr:sp>
            <xdr:sp macro="" textlink="">
              <xdr:nvSpPr>
                <xdr:cNvPr id="176" name="Text Box 55"/>
                <xdr:cNvSpPr txBox="1"/>
              </xdr:nvSpPr>
              <xdr:spPr>
                <a:xfrm>
                  <a:off x="1171575" y="1914525"/>
                  <a:ext cx="1457325" cy="428625"/>
                </a:xfrm>
                <a:prstGeom prst="rect">
                  <a:avLst/>
                </a:prstGeom>
                <a:solidFill>
                  <a:sysClr val="window" lastClr="FFFFFF"/>
                </a:solidFill>
                <a:ln w="6350">
                  <a:solidFill>
                    <a:prstClr val="black"/>
                  </a:solidFill>
                </a:ln>
                <a:effectLst/>
              </xdr:spPr>
              <xdr:txBody>
                <a:bodyPr rot="0" spcFirstLastPara="0" vert="horz" wrap="square" lIns="91440" tIns="45720" rIns="91440" bIns="45720" numCol="1" spcCol="0" rtlCol="0" fromWordArt="0" anchor="t" anchorCtr="0" forceAA="0" compatLnSpc="1">
                  <a:prstTxWarp prst="textNoShape">
                    <a:avLst/>
                  </a:prstTxWarp>
                  <a:noAutofit/>
                </a:bodyPr>
                <a:lstStyle/>
                <a:p>
                  <a:pPr>
                    <a:lnSpc>
                      <a:spcPct val="115000"/>
                    </a:lnSpc>
                    <a:spcAft>
                      <a:spcPts val="0"/>
                    </a:spcAft>
                  </a:pPr>
                  <a:r>
                    <a:rPr lang="en-GB" sz="1100">
                      <a:effectLst/>
                      <a:latin typeface="Calibri"/>
                      <a:ea typeface="Calibri"/>
                      <a:cs typeface="Times New Roman"/>
                    </a:rPr>
                    <a:t>More help required</a:t>
                  </a:r>
                </a:p>
                <a:p>
                  <a:pPr>
                    <a:lnSpc>
                      <a:spcPct val="115000"/>
                    </a:lnSpc>
                    <a:spcAft>
                      <a:spcPts val="0"/>
                    </a:spcAft>
                  </a:pPr>
                  <a:r>
                    <a:rPr lang="en-GB" sz="1200" b="1">
                      <a:solidFill>
                        <a:srgbClr val="191EE1"/>
                      </a:solidFill>
                      <a:effectLst/>
                      <a:latin typeface="Calibri"/>
                      <a:ea typeface="Calibri"/>
                      <a:cs typeface="Times New Roman"/>
                    </a:rPr>
                    <a:t>14</a:t>
                  </a:r>
                  <a:endParaRPr lang="en-GB" sz="1100">
                    <a:solidFill>
                      <a:srgbClr val="191EE1"/>
                    </a:solidFill>
                    <a:effectLst/>
                    <a:latin typeface="Calibri"/>
                    <a:ea typeface="Calibri"/>
                    <a:cs typeface="Times New Roman"/>
                  </a:endParaRPr>
                </a:p>
                <a:p>
                  <a:pPr>
                    <a:lnSpc>
                      <a:spcPct val="115000"/>
                    </a:lnSpc>
                    <a:spcAft>
                      <a:spcPts val="1000"/>
                    </a:spcAft>
                  </a:pPr>
                  <a:r>
                    <a:rPr lang="en-GB" sz="1100">
                      <a:effectLst/>
                      <a:latin typeface="Calibri"/>
                      <a:ea typeface="Calibri"/>
                      <a:cs typeface="Times New Roman"/>
                    </a:rPr>
                    <a:t> </a:t>
                  </a:r>
                </a:p>
                <a:p>
                  <a:pPr>
                    <a:lnSpc>
                      <a:spcPct val="115000"/>
                    </a:lnSpc>
                    <a:spcAft>
                      <a:spcPts val="0"/>
                    </a:spcAft>
                  </a:pPr>
                  <a:r>
                    <a:rPr lang="en-GB" sz="1100">
                      <a:solidFill>
                        <a:srgbClr val="191EE1"/>
                      </a:solidFill>
                      <a:effectLst/>
                      <a:latin typeface="Calibri"/>
                      <a:ea typeface="Calibri"/>
                      <a:cs typeface="Times New Roman"/>
                    </a:rPr>
                    <a:t> </a:t>
                  </a:r>
                </a:p>
              </xdr:txBody>
            </xdr:sp>
            <xdr:sp macro="" textlink="">
              <xdr:nvSpPr>
                <xdr:cNvPr id="177" name="Text Box 56"/>
                <xdr:cNvSpPr txBox="1"/>
              </xdr:nvSpPr>
              <xdr:spPr>
                <a:xfrm>
                  <a:off x="1228725" y="1285875"/>
                  <a:ext cx="1457325" cy="428625"/>
                </a:xfrm>
                <a:prstGeom prst="rect">
                  <a:avLst/>
                </a:prstGeom>
                <a:solidFill>
                  <a:sysClr val="window" lastClr="FFFFFF"/>
                </a:solidFill>
                <a:ln w="6350">
                  <a:solidFill>
                    <a:prstClr val="black"/>
                  </a:solidFill>
                </a:ln>
                <a:effectLst/>
              </xdr:spPr>
              <xdr:txBody>
                <a:bodyPr rot="0" spcFirstLastPara="0" vert="horz" wrap="square" lIns="91440" tIns="45720" rIns="91440" bIns="45720" numCol="1" spcCol="0" rtlCol="0" fromWordArt="0" anchor="t" anchorCtr="0" forceAA="0" compatLnSpc="1">
                  <a:prstTxWarp prst="textNoShape">
                    <a:avLst/>
                  </a:prstTxWarp>
                  <a:noAutofit/>
                </a:bodyPr>
                <a:lstStyle/>
                <a:p>
                  <a:pPr>
                    <a:lnSpc>
                      <a:spcPct val="115000"/>
                    </a:lnSpc>
                    <a:spcAft>
                      <a:spcPts val="0"/>
                    </a:spcAft>
                  </a:pPr>
                  <a:r>
                    <a:rPr lang="en-GB" sz="1100">
                      <a:effectLst/>
                      <a:latin typeface="Calibri"/>
                      <a:ea typeface="Calibri"/>
                      <a:cs typeface="Times New Roman"/>
                    </a:rPr>
                    <a:t>More help required</a:t>
                  </a:r>
                </a:p>
                <a:p>
                  <a:pPr>
                    <a:lnSpc>
                      <a:spcPct val="115000"/>
                    </a:lnSpc>
                    <a:spcAft>
                      <a:spcPts val="0"/>
                    </a:spcAft>
                  </a:pPr>
                  <a:r>
                    <a:rPr lang="en-GB" sz="1200" b="1">
                      <a:solidFill>
                        <a:srgbClr val="191EE1"/>
                      </a:solidFill>
                      <a:effectLst/>
                      <a:latin typeface="Calibri"/>
                      <a:ea typeface="Calibri"/>
                      <a:cs typeface="Times New Roman"/>
                    </a:rPr>
                    <a:t>33</a:t>
                  </a:r>
                  <a:endParaRPr lang="en-GB" sz="1100">
                    <a:solidFill>
                      <a:srgbClr val="191EE1"/>
                    </a:solidFill>
                    <a:effectLst/>
                    <a:latin typeface="Calibri"/>
                    <a:ea typeface="Calibri"/>
                    <a:cs typeface="Times New Roman"/>
                  </a:endParaRPr>
                </a:p>
                <a:p>
                  <a:pPr>
                    <a:lnSpc>
                      <a:spcPct val="115000"/>
                    </a:lnSpc>
                    <a:spcAft>
                      <a:spcPts val="1000"/>
                    </a:spcAft>
                  </a:pPr>
                  <a:r>
                    <a:rPr lang="en-GB" sz="1100">
                      <a:effectLst/>
                      <a:latin typeface="Calibri"/>
                      <a:ea typeface="Calibri"/>
                      <a:cs typeface="Times New Roman"/>
                    </a:rPr>
                    <a:t> </a:t>
                  </a:r>
                </a:p>
                <a:p>
                  <a:pPr>
                    <a:lnSpc>
                      <a:spcPct val="115000"/>
                    </a:lnSpc>
                    <a:spcAft>
                      <a:spcPts val="0"/>
                    </a:spcAft>
                  </a:pPr>
                  <a:r>
                    <a:rPr lang="en-GB" sz="1100">
                      <a:effectLst/>
                      <a:latin typeface="Calibri"/>
                      <a:ea typeface="Calibri"/>
                      <a:cs typeface="Times New Roman"/>
                    </a:rPr>
                    <a:t> </a:t>
                  </a:r>
                </a:p>
              </xdr:txBody>
            </xdr:sp>
            <xdr:sp macro="" textlink="">
              <xdr:nvSpPr>
                <xdr:cNvPr id="178" name="Text Box 57"/>
                <xdr:cNvSpPr txBox="1"/>
              </xdr:nvSpPr>
              <xdr:spPr>
                <a:xfrm>
                  <a:off x="1228725" y="685800"/>
                  <a:ext cx="1457325" cy="428625"/>
                </a:xfrm>
                <a:prstGeom prst="rect">
                  <a:avLst/>
                </a:prstGeom>
                <a:solidFill>
                  <a:sysClr val="window" lastClr="FFFFFF"/>
                </a:solidFill>
                <a:ln w="6350">
                  <a:solidFill>
                    <a:prstClr val="black"/>
                  </a:solidFill>
                </a:ln>
                <a:effectLst/>
              </xdr:spPr>
              <xdr:txBody>
                <a:bodyPr rot="0" spcFirstLastPara="0" vert="horz" wrap="square" lIns="91440" tIns="45720" rIns="91440" bIns="45720" numCol="1" spcCol="0" rtlCol="0" fromWordArt="0" anchor="t" anchorCtr="0" forceAA="0" compatLnSpc="1">
                  <a:prstTxWarp prst="textNoShape">
                    <a:avLst/>
                  </a:prstTxWarp>
                  <a:noAutofit/>
                </a:bodyPr>
                <a:lstStyle/>
                <a:p>
                  <a:pPr>
                    <a:lnSpc>
                      <a:spcPct val="115000"/>
                    </a:lnSpc>
                    <a:spcAft>
                      <a:spcPts val="0"/>
                    </a:spcAft>
                  </a:pPr>
                  <a:r>
                    <a:rPr lang="en-GB" sz="1100">
                      <a:effectLst/>
                      <a:latin typeface="Calibri"/>
                      <a:ea typeface="Calibri"/>
                      <a:cs typeface="Times New Roman"/>
                    </a:rPr>
                    <a:t>More help required</a:t>
                  </a:r>
                </a:p>
                <a:p>
                  <a:pPr>
                    <a:lnSpc>
                      <a:spcPct val="115000"/>
                    </a:lnSpc>
                    <a:spcAft>
                      <a:spcPts val="0"/>
                    </a:spcAft>
                  </a:pPr>
                  <a:r>
                    <a:rPr lang="en-GB" sz="1200" b="1">
                      <a:solidFill>
                        <a:srgbClr val="191EE1"/>
                      </a:solidFill>
                      <a:effectLst/>
                      <a:latin typeface="Calibri"/>
                      <a:ea typeface="Calibri"/>
                      <a:cs typeface="Times New Roman"/>
                    </a:rPr>
                    <a:t>16</a:t>
                  </a:r>
                  <a:endParaRPr lang="en-GB" sz="1100">
                    <a:solidFill>
                      <a:srgbClr val="191EE1"/>
                    </a:solidFill>
                    <a:effectLst/>
                    <a:latin typeface="Calibri"/>
                    <a:ea typeface="Calibri"/>
                    <a:cs typeface="Times New Roman"/>
                  </a:endParaRPr>
                </a:p>
                <a:p>
                  <a:pPr>
                    <a:lnSpc>
                      <a:spcPct val="115000"/>
                    </a:lnSpc>
                    <a:spcAft>
                      <a:spcPts val="1000"/>
                    </a:spcAft>
                  </a:pPr>
                  <a:r>
                    <a:rPr lang="en-GB" sz="1100">
                      <a:effectLst/>
                      <a:latin typeface="Calibri"/>
                      <a:ea typeface="Calibri"/>
                      <a:cs typeface="Times New Roman"/>
                    </a:rPr>
                    <a:t> </a:t>
                  </a:r>
                </a:p>
                <a:p>
                  <a:pPr>
                    <a:lnSpc>
                      <a:spcPct val="115000"/>
                    </a:lnSpc>
                    <a:spcAft>
                      <a:spcPts val="0"/>
                    </a:spcAft>
                  </a:pPr>
                  <a:r>
                    <a:rPr lang="en-GB" sz="1100">
                      <a:effectLst/>
                      <a:latin typeface="Calibri"/>
                      <a:ea typeface="Calibri"/>
                      <a:cs typeface="Times New Roman"/>
                    </a:rPr>
                    <a:t> </a:t>
                  </a:r>
                </a:p>
              </xdr:txBody>
            </xdr:sp>
            <xdr:sp macro="" textlink="">
              <xdr:nvSpPr>
                <xdr:cNvPr id="179" name="Text Box 58"/>
                <xdr:cNvSpPr txBox="1"/>
              </xdr:nvSpPr>
              <xdr:spPr>
                <a:xfrm>
                  <a:off x="1209675" y="57150"/>
                  <a:ext cx="1457325" cy="428625"/>
                </a:xfrm>
                <a:prstGeom prst="rect">
                  <a:avLst/>
                </a:prstGeom>
                <a:solidFill>
                  <a:sysClr val="window" lastClr="FFFFFF"/>
                </a:solidFill>
                <a:ln w="6350">
                  <a:solidFill>
                    <a:prstClr val="black"/>
                  </a:solidFill>
                </a:ln>
                <a:effectLst/>
              </xdr:spPr>
              <xdr:txBody>
                <a:bodyPr rot="0" spcFirstLastPara="0" vert="horz" wrap="square" lIns="91440" tIns="45720" rIns="91440" bIns="45720" numCol="1" spcCol="0" rtlCol="0" fromWordArt="0" anchor="t" anchorCtr="0" forceAA="0" compatLnSpc="1">
                  <a:prstTxWarp prst="textNoShape">
                    <a:avLst/>
                  </a:prstTxWarp>
                  <a:noAutofit/>
                </a:bodyPr>
                <a:lstStyle/>
                <a:p>
                  <a:pPr>
                    <a:lnSpc>
                      <a:spcPct val="115000"/>
                    </a:lnSpc>
                    <a:spcAft>
                      <a:spcPts val="0"/>
                    </a:spcAft>
                  </a:pPr>
                  <a:r>
                    <a:rPr lang="en-GB" sz="1100">
                      <a:effectLst/>
                      <a:latin typeface="Calibri"/>
                      <a:ea typeface="Calibri"/>
                      <a:cs typeface="Times New Roman"/>
                    </a:rPr>
                    <a:t>More help required</a:t>
                  </a:r>
                </a:p>
                <a:p>
                  <a:pPr>
                    <a:lnSpc>
                      <a:spcPct val="115000"/>
                    </a:lnSpc>
                    <a:spcAft>
                      <a:spcPts val="0"/>
                    </a:spcAft>
                  </a:pPr>
                  <a:r>
                    <a:rPr lang="en-GB" sz="1200" b="1">
                      <a:solidFill>
                        <a:srgbClr val="191EE1"/>
                      </a:solidFill>
                      <a:effectLst/>
                      <a:latin typeface="Calibri"/>
                      <a:ea typeface="Calibri"/>
                      <a:cs typeface="Times New Roman"/>
                    </a:rPr>
                    <a:t>75</a:t>
                  </a:r>
                  <a:endParaRPr lang="en-GB" sz="1100">
                    <a:solidFill>
                      <a:srgbClr val="191EE1"/>
                    </a:solidFill>
                    <a:effectLst/>
                    <a:latin typeface="Calibri"/>
                    <a:ea typeface="Calibri"/>
                    <a:cs typeface="Times New Roman"/>
                  </a:endParaRPr>
                </a:p>
                <a:p>
                  <a:pPr>
                    <a:lnSpc>
                      <a:spcPct val="115000"/>
                    </a:lnSpc>
                    <a:spcAft>
                      <a:spcPts val="1000"/>
                    </a:spcAft>
                  </a:pPr>
                  <a:r>
                    <a:rPr lang="en-GB" sz="1100">
                      <a:effectLst/>
                      <a:latin typeface="Calibri"/>
                      <a:ea typeface="Calibri"/>
                      <a:cs typeface="Times New Roman"/>
                    </a:rPr>
                    <a:t> </a:t>
                  </a:r>
                </a:p>
                <a:p>
                  <a:pPr>
                    <a:lnSpc>
                      <a:spcPct val="115000"/>
                    </a:lnSpc>
                    <a:spcAft>
                      <a:spcPts val="0"/>
                    </a:spcAft>
                  </a:pPr>
                  <a:r>
                    <a:rPr lang="en-GB" sz="1100">
                      <a:effectLst/>
                      <a:latin typeface="Calibri"/>
                      <a:ea typeface="Calibri"/>
                      <a:cs typeface="Times New Roman"/>
                    </a:rPr>
                    <a:t> </a:t>
                  </a:r>
                </a:p>
              </xdr:txBody>
            </xdr:sp>
            <xdr:cxnSp macro="">
              <xdr:nvCxnSpPr>
                <xdr:cNvPr id="180" name="Straight Arrow Connector 179"/>
                <xdr:cNvCxnSpPr/>
              </xdr:nvCxnSpPr>
              <xdr:spPr>
                <a:xfrm>
                  <a:off x="933450" y="304800"/>
                  <a:ext cx="257175" cy="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xnSp macro="">
              <xdr:nvCxnSpPr>
                <xdr:cNvPr id="181" name="Straight Arrow Connector 180"/>
                <xdr:cNvCxnSpPr/>
              </xdr:nvCxnSpPr>
              <xdr:spPr>
                <a:xfrm>
                  <a:off x="933450" y="885825"/>
                  <a:ext cx="295275" cy="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xnSp macro="">
              <xdr:nvCxnSpPr>
                <xdr:cNvPr id="182" name="Straight Arrow Connector 181"/>
                <xdr:cNvCxnSpPr/>
              </xdr:nvCxnSpPr>
              <xdr:spPr>
                <a:xfrm>
                  <a:off x="876300" y="2114550"/>
                  <a:ext cx="304800" cy="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xnSp macro="">
              <xdr:nvCxnSpPr>
                <xdr:cNvPr id="183" name="Straight Arrow Connector 182"/>
                <xdr:cNvCxnSpPr/>
              </xdr:nvCxnSpPr>
              <xdr:spPr>
                <a:xfrm>
                  <a:off x="876300" y="2686050"/>
                  <a:ext cx="266700" cy="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grpSp>
        </xdr:grpSp>
        <xdr:grpSp>
          <xdr:nvGrpSpPr>
            <xdr:cNvPr id="159" name="Group 158"/>
            <xdr:cNvGrpSpPr/>
          </xdr:nvGrpSpPr>
          <xdr:grpSpPr>
            <a:xfrm>
              <a:off x="9525" y="-78793"/>
              <a:ext cx="8172450" cy="1466850"/>
              <a:chOff x="9525" y="-78793"/>
              <a:chExt cx="8172450" cy="1466850"/>
            </a:xfrm>
          </xdr:grpSpPr>
          <xdr:sp macro="" textlink="">
            <xdr:nvSpPr>
              <xdr:cNvPr id="160" name="Text Box 63"/>
              <xdr:cNvSpPr txBox="1"/>
            </xdr:nvSpPr>
            <xdr:spPr>
              <a:xfrm>
                <a:off x="9525" y="-78793"/>
                <a:ext cx="3505200" cy="1466850"/>
              </a:xfrm>
              <a:prstGeom prst="rect">
                <a:avLst/>
              </a:prstGeom>
              <a:solidFill>
                <a:schemeClr val="accent6">
                  <a:lumMod val="40000"/>
                  <a:lumOff val="60000"/>
                </a:schemeClr>
              </a:solidFill>
              <a:ln w="6350">
                <a:solidFill>
                  <a:prstClr val="black"/>
                </a:solidFill>
              </a:ln>
              <a:effectLst/>
            </xdr:spPr>
            <xdr:style>
              <a:lnRef idx="0">
                <a:schemeClr val="accent1"/>
              </a:lnRef>
              <a:fillRef idx="0">
                <a:schemeClr val="accent1"/>
              </a:fillRef>
              <a:effectRef idx="0">
                <a:schemeClr val="accent1"/>
              </a:effectRef>
              <a:fontRef idx="minor">
                <a:schemeClr val="dk1"/>
              </a:fontRef>
            </xdr:style>
            <xdr:txBody>
              <a:bodyPr rot="0" spcFirstLastPara="0" vert="horz" wrap="square" lIns="91440" tIns="45720" rIns="91440" bIns="45720" numCol="1" spcCol="0" rtlCol="0" fromWordArt="0" anchor="t" anchorCtr="0" forceAA="0" compatLnSpc="1">
                <a:prstTxWarp prst="textNoShape">
                  <a:avLst/>
                </a:prstTxWarp>
                <a:noAutofit/>
              </a:bodyPr>
              <a:lstStyle/>
              <a:p>
                <a:pPr>
                  <a:lnSpc>
                    <a:spcPct val="115000"/>
                  </a:lnSpc>
                  <a:spcAft>
                    <a:spcPts val="0"/>
                  </a:spcAft>
                </a:pPr>
                <a:r>
                  <a:rPr lang="en-GB" sz="1100">
                    <a:effectLst/>
                    <a:ea typeface="Calibri"/>
                    <a:cs typeface="Times New Roman"/>
                  </a:rPr>
                  <a:t>Whooley screening questions</a:t>
                </a:r>
              </a:p>
              <a:p>
                <a:pPr>
                  <a:lnSpc>
                    <a:spcPct val="115000"/>
                  </a:lnSpc>
                  <a:spcAft>
                    <a:spcPts val="0"/>
                  </a:spcAft>
                </a:pPr>
                <a:r>
                  <a:rPr lang="en-GB" sz="1100">
                    <a:effectLst/>
                    <a:ea typeface="Calibri"/>
                    <a:cs typeface="Times New Roman"/>
                  </a:rPr>
                  <a:t> </a:t>
                </a:r>
              </a:p>
              <a:p>
                <a:pPr>
                  <a:lnSpc>
                    <a:spcPct val="115000"/>
                  </a:lnSpc>
                  <a:spcAft>
                    <a:spcPts val="0"/>
                  </a:spcAft>
                </a:pPr>
                <a:r>
                  <a:rPr lang="en-GB" sz="1100">
                    <a:effectLst/>
                    <a:ea typeface="Calibri"/>
                    <a:cs typeface="Times New Roman"/>
                  </a:rPr>
                  <a:t>During the past month have you often been bothered by feeling down, depressed or hopeless?</a:t>
                </a:r>
              </a:p>
              <a:p>
                <a:pPr>
                  <a:lnSpc>
                    <a:spcPct val="115000"/>
                  </a:lnSpc>
                  <a:spcAft>
                    <a:spcPts val="0"/>
                  </a:spcAft>
                </a:pPr>
                <a:r>
                  <a:rPr lang="en-GB" sz="1100">
                    <a:effectLst/>
                    <a:ea typeface="Calibri"/>
                    <a:cs typeface="Times New Roman"/>
                  </a:rPr>
                  <a:t> </a:t>
                </a:r>
              </a:p>
              <a:p>
                <a:pPr>
                  <a:lnSpc>
                    <a:spcPct val="115000"/>
                  </a:lnSpc>
                  <a:spcAft>
                    <a:spcPts val="0"/>
                  </a:spcAft>
                </a:pPr>
                <a:r>
                  <a:rPr lang="en-GB" sz="1100">
                    <a:effectLst/>
                    <a:ea typeface="Calibri"/>
                    <a:cs typeface="Times New Roman"/>
                  </a:rPr>
                  <a:t>During the past month, have you often been bothered by having little interest or pleasure in doing things?</a:t>
                </a:r>
              </a:p>
            </xdr:txBody>
          </xdr:sp>
          <xdr:sp macro="" textlink="">
            <xdr:nvSpPr>
              <xdr:cNvPr id="161" name="Text Box 64"/>
              <xdr:cNvSpPr txBox="1"/>
            </xdr:nvSpPr>
            <xdr:spPr>
              <a:xfrm>
                <a:off x="4095750" y="-68944"/>
                <a:ext cx="2457450" cy="728833"/>
              </a:xfrm>
              <a:prstGeom prst="rect">
                <a:avLst/>
              </a:prstGeom>
              <a:solidFill>
                <a:schemeClr val="tx2">
                  <a:lumMod val="20000"/>
                  <a:lumOff val="80000"/>
                </a:schemeClr>
              </a:solidFill>
              <a:ln w="6350">
                <a:solidFill>
                  <a:prstClr val="black"/>
                </a:solidFill>
              </a:ln>
              <a:effectLst/>
            </xdr:spPr>
            <xdr:style>
              <a:lnRef idx="0">
                <a:schemeClr val="accent1"/>
              </a:lnRef>
              <a:fillRef idx="0">
                <a:schemeClr val="accent1"/>
              </a:fillRef>
              <a:effectRef idx="0">
                <a:schemeClr val="accent1"/>
              </a:effectRef>
              <a:fontRef idx="minor">
                <a:schemeClr val="dk1"/>
              </a:fontRef>
            </xdr:style>
            <xdr:txBody>
              <a:bodyPr rot="0" spcFirstLastPara="0" vert="horz" wrap="square" lIns="91440" tIns="45720" rIns="91440" bIns="45720" numCol="1" spcCol="0" rtlCol="0" fromWordArt="0" anchor="t" anchorCtr="0" forceAA="0" compatLnSpc="1">
                <a:prstTxWarp prst="textNoShape">
                  <a:avLst/>
                </a:prstTxWarp>
                <a:noAutofit/>
              </a:bodyPr>
              <a:lstStyle/>
              <a:p>
                <a:pPr>
                  <a:lnSpc>
                    <a:spcPct val="115000"/>
                  </a:lnSpc>
                  <a:spcAft>
                    <a:spcPts val="0"/>
                  </a:spcAft>
                </a:pPr>
                <a:r>
                  <a:rPr lang="en-GB" sz="1100">
                    <a:effectLst/>
                    <a:ea typeface="Calibri"/>
                    <a:cs typeface="Times New Roman"/>
                  </a:rPr>
                  <a:t>Edinburgh Postnatal Depression Scale</a:t>
                </a:r>
              </a:p>
            </xdr:txBody>
          </xdr:sp>
          <xdr:sp macro="" textlink="">
            <xdr:nvSpPr>
              <xdr:cNvPr id="162" name="Text Box 71"/>
              <xdr:cNvSpPr txBox="1"/>
            </xdr:nvSpPr>
            <xdr:spPr>
              <a:xfrm>
                <a:off x="7248525" y="-59095"/>
                <a:ext cx="933450" cy="257175"/>
              </a:xfrm>
              <a:prstGeom prst="rect">
                <a:avLst/>
              </a:prstGeom>
              <a:solidFill>
                <a:schemeClr val="tx2">
                  <a:lumMod val="20000"/>
                  <a:lumOff val="80000"/>
                </a:schemeClr>
              </a:solidFill>
              <a:ln w="6350">
                <a:solidFill>
                  <a:prstClr val="black"/>
                </a:solidFill>
              </a:ln>
              <a:effectLst/>
            </xdr:spPr>
            <xdr:style>
              <a:lnRef idx="0">
                <a:schemeClr val="accent1"/>
              </a:lnRef>
              <a:fillRef idx="0">
                <a:schemeClr val="accent1"/>
              </a:fillRef>
              <a:effectRef idx="0">
                <a:schemeClr val="accent1"/>
              </a:effectRef>
              <a:fontRef idx="minor">
                <a:schemeClr val="dk1"/>
              </a:fontRef>
            </xdr:style>
            <xdr:txBody>
              <a:bodyPr rot="0" spcFirstLastPara="0" vert="horz" wrap="square" lIns="91440" tIns="45720" rIns="91440" bIns="45720" numCol="1" spcCol="0" rtlCol="0" fromWordArt="0" anchor="t" anchorCtr="0" forceAA="0" compatLnSpc="1">
                <a:prstTxWarp prst="textNoShape">
                  <a:avLst/>
                </a:prstTxWarp>
                <a:noAutofit/>
              </a:bodyPr>
              <a:lstStyle/>
              <a:p>
                <a:pPr>
                  <a:lnSpc>
                    <a:spcPct val="115000"/>
                  </a:lnSpc>
                  <a:spcAft>
                    <a:spcPts val="1000"/>
                  </a:spcAft>
                </a:pPr>
                <a:r>
                  <a:rPr lang="en-GB" sz="1100">
                    <a:effectLst/>
                    <a:ea typeface="Calibri"/>
                    <a:cs typeface="Times New Roman"/>
                  </a:rPr>
                  <a:t>EPNDS score</a:t>
                </a:r>
              </a:p>
            </xdr:txBody>
          </xdr:sp>
        </xdr:grpSp>
      </xdr:grpSp>
    </xdr:grpSp>
    <xdr:clientData/>
  </xdr:twoCellAnchor>
  <mc:AlternateContent xmlns:mc="http://schemas.openxmlformats.org/markup-compatibility/2006">
    <mc:Choice xmlns:a14="http://schemas.microsoft.com/office/drawing/2010/main" Requires="a14">
      <xdr:twoCellAnchor>
        <xdr:from>
          <xdr:col>10</xdr:col>
          <xdr:colOff>76200</xdr:colOff>
          <xdr:row>508</xdr:row>
          <xdr:rowOff>38100</xdr:rowOff>
        </xdr:from>
        <xdr:to>
          <xdr:col>11</xdr:col>
          <xdr:colOff>504825</xdr:colOff>
          <xdr:row>511</xdr:row>
          <xdr:rowOff>133350</xdr:rowOff>
        </xdr:to>
        <xdr:sp macro="" textlink="">
          <xdr:nvSpPr>
            <xdr:cNvPr id="5124" name="Object 4" hidden="1">
              <a:extLst>
                <a:ext uri="{63B3BB69-23CF-44E3-9099-C40C66FF867C}">
                  <a14:compatExt spid="_x0000_s5124"/>
                </a:ext>
              </a:extLst>
            </xdr:cNvPr>
            <xdr:cNvSpPr/>
          </xdr:nvSpPr>
          <xdr:spPr>
            <a:xfrm>
              <a:off x="0" y="0"/>
              <a:ext cx="0" cy="0"/>
            </a:xfrm>
            <a:prstGeom prst="rect">
              <a:avLst/>
            </a:prstGeom>
          </xdr:spPr>
        </xdr:sp>
        <xdr:clientData/>
      </xdr:twoCellAnchor>
    </mc:Choice>
    <mc:Fallback/>
  </mc:AlternateContent>
  <xdr:twoCellAnchor editAs="oneCell">
    <xdr:from>
      <xdr:col>2</xdr:col>
      <xdr:colOff>0</xdr:colOff>
      <xdr:row>562</xdr:row>
      <xdr:rowOff>114300</xdr:rowOff>
    </xdr:from>
    <xdr:to>
      <xdr:col>22</xdr:col>
      <xdr:colOff>4883</xdr:colOff>
      <xdr:row>564</xdr:row>
      <xdr:rowOff>37277</xdr:rowOff>
    </xdr:to>
    <xdr:grpSp>
      <xdr:nvGrpSpPr>
        <xdr:cNvPr id="215" name="Group 214"/>
        <xdr:cNvGrpSpPr/>
      </xdr:nvGrpSpPr>
      <xdr:grpSpPr>
        <a:xfrm>
          <a:off x="209550" y="118852950"/>
          <a:ext cx="10596683" cy="303977"/>
          <a:chOff x="219752" y="16256265"/>
          <a:chExt cx="10659783" cy="299214"/>
        </a:xfrm>
      </xdr:grpSpPr>
      <xdr:sp macro="" textlink="">
        <xdr:nvSpPr>
          <xdr:cNvPr id="216" name="Rectangle 215"/>
          <xdr:cNvSpPr/>
        </xdr:nvSpPr>
        <xdr:spPr>
          <a:xfrm>
            <a:off x="219752" y="16256265"/>
            <a:ext cx="10659783" cy="285750"/>
          </a:xfrm>
          <a:prstGeom prst="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t"/>
          <a:lstStyle/>
          <a:p>
            <a:pPr algn="l"/>
            <a:r>
              <a:rPr lang="en-GB" sz="1100" b="1" baseline="0"/>
              <a:t>Maternal Smoking (2012 data)</a:t>
            </a:r>
          </a:p>
          <a:p>
            <a:pPr algn="l"/>
            <a:endParaRPr lang="en-GB" sz="1100" b="1"/>
          </a:p>
        </xdr:txBody>
      </xdr:sp>
      <xdr:sp macro="" textlink="">
        <xdr:nvSpPr>
          <xdr:cNvPr id="217" name="TextBox 216">
            <a:hlinkClick xmlns:r="http://schemas.openxmlformats.org/officeDocument/2006/relationships" r:id="rId7"/>
          </xdr:cNvPr>
          <xdr:cNvSpPr txBox="1"/>
        </xdr:nvSpPr>
        <xdr:spPr>
          <a:xfrm>
            <a:off x="9549078" y="16262880"/>
            <a:ext cx="1329662" cy="2925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100" u="sng">
                <a:solidFill>
                  <a:schemeClr val="bg1"/>
                </a:solidFill>
              </a:rPr>
              <a:t>back to top</a:t>
            </a:r>
          </a:p>
        </xdr:txBody>
      </xdr:sp>
    </xdr:grpSp>
    <xdr:clientData/>
  </xdr:twoCellAnchor>
  <xdr:twoCellAnchor editAs="oneCell">
    <xdr:from>
      <xdr:col>1</xdr:col>
      <xdr:colOff>104775</xdr:colOff>
      <xdr:row>591</xdr:row>
      <xdr:rowOff>161925</xdr:rowOff>
    </xdr:from>
    <xdr:to>
      <xdr:col>22</xdr:col>
      <xdr:colOff>800</xdr:colOff>
      <xdr:row>593</xdr:row>
      <xdr:rowOff>84902</xdr:rowOff>
    </xdr:to>
    <xdr:grpSp>
      <xdr:nvGrpSpPr>
        <xdr:cNvPr id="218" name="Group 217"/>
        <xdr:cNvGrpSpPr/>
      </xdr:nvGrpSpPr>
      <xdr:grpSpPr>
        <a:xfrm>
          <a:off x="200025" y="125444250"/>
          <a:ext cx="10602125" cy="303977"/>
          <a:chOff x="219752" y="16256265"/>
          <a:chExt cx="10659783" cy="299214"/>
        </a:xfrm>
      </xdr:grpSpPr>
      <xdr:sp macro="" textlink="">
        <xdr:nvSpPr>
          <xdr:cNvPr id="219" name="Rectangle 218"/>
          <xdr:cNvSpPr/>
        </xdr:nvSpPr>
        <xdr:spPr>
          <a:xfrm>
            <a:off x="219752" y="16256265"/>
            <a:ext cx="10659783" cy="285750"/>
          </a:xfrm>
          <a:prstGeom prst="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t"/>
          <a:lstStyle/>
          <a:p>
            <a:pPr algn="l"/>
            <a:r>
              <a:rPr lang="en-GB" sz="1100" b="1" baseline="0"/>
              <a:t>Maternal Smoking (2014 data)</a:t>
            </a:r>
          </a:p>
          <a:p>
            <a:pPr algn="l"/>
            <a:endParaRPr lang="en-GB" sz="1100" b="1"/>
          </a:p>
        </xdr:txBody>
      </xdr:sp>
      <xdr:sp macro="" textlink="">
        <xdr:nvSpPr>
          <xdr:cNvPr id="287" name="TextBox 286">
            <a:hlinkClick xmlns:r="http://schemas.openxmlformats.org/officeDocument/2006/relationships" r:id="rId7"/>
          </xdr:cNvPr>
          <xdr:cNvSpPr txBox="1"/>
        </xdr:nvSpPr>
        <xdr:spPr>
          <a:xfrm>
            <a:off x="9549078" y="16262880"/>
            <a:ext cx="1329662" cy="2925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100" u="sng">
                <a:solidFill>
                  <a:schemeClr val="bg1"/>
                </a:solidFill>
              </a:rPr>
              <a:t>back to top</a:t>
            </a:r>
          </a:p>
        </xdr:txBody>
      </xdr:sp>
    </xdr:grpSp>
    <xdr:clientData/>
  </xdr:twoCellAnchor>
  <xdr:twoCellAnchor>
    <xdr:from>
      <xdr:col>2</xdr:col>
      <xdr:colOff>523874</xdr:colOff>
      <xdr:row>617</xdr:row>
      <xdr:rowOff>57150</xdr:rowOff>
    </xdr:from>
    <xdr:to>
      <xdr:col>19</xdr:col>
      <xdr:colOff>57150</xdr:colOff>
      <xdr:row>633</xdr:row>
      <xdr:rowOff>171450</xdr:rowOff>
    </xdr:to>
    <xdr:graphicFrame macro="">
      <xdr:nvGraphicFramePr>
        <xdr:cNvPr id="19" name="Chart 1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editAs="oneCell">
    <xdr:from>
      <xdr:col>2</xdr:col>
      <xdr:colOff>0</xdr:colOff>
      <xdr:row>374</xdr:row>
      <xdr:rowOff>152400</xdr:rowOff>
    </xdr:from>
    <xdr:to>
      <xdr:col>22</xdr:col>
      <xdr:colOff>4882</xdr:colOff>
      <xdr:row>376</xdr:row>
      <xdr:rowOff>56328</xdr:rowOff>
    </xdr:to>
    <xdr:grpSp>
      <xdr:nvGrpSpPr>
        <xdr:cNvPr id="288" name="Group 287"/>
        <xdr:cNvGrpSpPr/>
      </xdr:nvGrpSpPr>
      <xdr:grpSpPr>
        <a:xfrm>
          <a:off x="209550" y="80200500"/>
          <a:ext cx="10596682" cy="303978"/>
          <a:chOff x="219752" y="16256265"/>
          <a:chExt cx="10659783" cy="299214"/>
        </a:xfrm>
      </xdr:grpSpPr>
      <xdr:sp macro="" textlink="">
        <xdr:nvSpPr>
          <xdr:cNvPr id="289" name="Rectangle 288"/>
          <xdr:cNvSpPr/>
        </xdr:nvSpPr>
        <xdr:spPr>
          <a:xfrm>
            <a:off x="219752" y="16256265"/>
            <a:ext cx="10659783" cy="285750"/>
          </a:xfrm>
          <a:prstGeom prst="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t"/>
          <a:lstStyle/>
          <a:p>
            <a:pPr algn="l"/>
            <a:r>
              <a:rPr lang="en-GB" sz="1100" b="1"/>
              <a:t>Hospital</a:t>
            </a:r>
            <a:r>
              <a:rPr lang="en-GB" sz="1100" b="1" baseline="0"/>
              <a:t> Admissions of Children Aged Under 5 for Teeth Extractions  - 2015/16 are </a:t>
            </a:r>
            <a:r>
              <a:rPr lang="en-GB" sz="1100" b="1" u="sng" baseline="0"/>
              <a:t>PRELIMINARY STATISTICS</a:t>
            </a:r>
          </a:p>
          <a:p>
            <a:pPr algn="l"/>
            <a:endParaRPr lang="en-GB" sz="1100" b="1"/>
          </a:p>
        </xdr:txBody>
      </xdr:sp>
      <xdr:sp macro="" textlink="">
        <xdr:nvSpPr>
          <xdr:cNvPr id="290" name="TextBox 289">
            <a:hlinkClick xmlns:r="http://schemas.openxmlformats.org/officeDocument/2006/relationships" r:id="rId7"/>
          </xdr:cNvPr>
          <xdr:cNvSpPr txBox="1"/>
        </xdr:nvSpPr>
        <xdr:spPr>
          <a:xfrm>
            <a:off x="9549078" y="16262880"/>
            <a:ext cx="1329662" cy="2925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100" u="sng">
                <a:solidFill>
                  <a:schemeClr val="bg1"/>
                </a:solidFill>
              </a:rPr>
              <a:t>back to top</a:t>
            </a:r>
          </a:p>
        </xdr:txBody>
      </xdr:sp>
    </xdr:grpSp>
    <xdr:clientData/>
  </xdr:twoCellAnchor>
  <xdr:twoCellAnchor editAs="oneCell">
    <xdr:from>
      <xdr:col>2</xdr:col>
      <xdr:colOff>0</xdr:colOff>
      <xdr:row>636</xdr:row>
      <xdr:rowOff>0</xdr:rowOff>
    </xdr:from>
    <xdr:to>
      <xdr:col>22</xdr:col>
      <xdr:colOff>15088</xdr:colOff>
      <xdr:row>637</xdr:row>
      <xdr:rowOff>113477</xdr:rowOff>
    </xdr:to>
    <xdr:grpSp>
      <xdr:nvGrpSpPr>
        <xdr:cNvPr id="291" name="Group 290"/>
        <xdr:cNvGrpSpPr/>
      </xdr:nvGrpSpPr>
      <xdr:grpSpPr>
        <a:xfrm>
          <a:off x="209550" y="134969250"/>
          <a:ext cx="10606888" cy="303977"/>
          <a:chOff x="219752" y="16256265"/>
          <a:chExt cx="10659783" cy="299214"/>
        </a:xfrm>
      </xdr:grpSpPr>
      <xdr:sp macro="" textlink="">
        <xdr:nvSpPr>
          <xdr:cNvPr id="292" name="Rectangle 291"/>
          <xdr:cNvSpPr/>
        </xdr:nvSpPr>
        <xdr:spPr>
          <a:xfrm>
            <a:off x="219752" y="16256265"/>
            <a:ext cx="10659783" cy="285750"/>
          </a:xfrm>
          <a:prstGeom prst="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t"/>
          <a:lstStyle/>
          <a:p>
            <a:pPr algn="l"/>
            <a:r>
              <a:rPr lang="en-GB" sz="1100" b="1" baseline="0"/>
              <a:t>Smoking at time of delivery (2015/16) - published data at local authority level</a:t>
            </a:r>
            <a:endParaRPr lang="en-GB" sz="1100" b="1"/>
          </a:p>
        </xdr:txBody>
      </xdr:sp>
      <xdr:sp macro="" textlink="">
        <xdr:nvSpPr>
          <xdr:cNvPr id="293" name="TextBox 292">
            <a:hlinkClick xmlns:r="http://schemas.openxmlformats.org/officeDocument/2006/relationships" r:id="rId7"/>
          </xdr:cNvPr>
          <xdr:cNvSpPr txBox="1"/>
        </xdr:nvSpPr>
        <xdr:spPr>
          <a:xfrm>
            <a:off x="9549078" y="16262880"/>
            <a:ext cx="1329662" cy="2925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100" u="sng">
                <a:solidFill>
                  <a:schemeClr val="bg1"/>
                </a:solidFill>
              </a:rPr>
              <a:t>back to top</a:t>
            </a:r>
          </a:p>
        </xdr:txBody>
      </xdr:sp>
    </xdr:grpSp>
    <xdr:clientData/>
  </xdr:twoCellAnchor>
  <xdr:twoCellAnchor>
    <xdr:from>
      <xdr:col>2</xdr:col>
      <xdr:colOff>489856</xdr:colOff>
      <xdr:row>662</xdr:row>
      <xdr:rowOff>108856</xdr:rowOff>
    </xdr:from>
    <xdr:to>
      <xdr:col>20</xdr:col>
      <xdr:colOff>68035</xdr:colOff>
      <xdr:row>676</xdr:row>
      <xdr:rowOff>119742</xdr:rowOff>
    </xdr:to>
    <xdr:graphicFrame macro="">
      <xdr:nvGraphicFramePr>
        <xdr:cNvPr id="295" name="Chart 29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1</xdr:colOff>
      <xdr:row>202</xdr:row>
      <xdr:rowOff>149038</xdr:rowOff>
    </xdr:from>
    <xdr:to>
      <xdr:col>20</xdr:col>
      <xdr:colOff>103426</xdr:colOff>
      <xdr:row>204</xdr:row>
      <xdr:rowOff>101412</xdr:rowOff>
    </xdr:to>
    <xdr:grpSp>
      <xdr:nvGrpSpPr>
        <xdr:cNvPr id="2" name="Group 1"/>
        <xdr:cNvGrpSpPr/>
      </xdr:nvGrpSpPr>
      <xdr:grpSpPr>
        <a:xfrm>
          <a:off x="95251" y="42106663"/>
          <a:ext cx="10800000" cy="314324"/>
          <a:chOff x="9524" y="6115049"/>
          <a:chExt cx="10963276" cy="314325"/>
        </a:xfrm>
      </xdr:grpSpPr>
      <xdr:sp macro="" textlink="">
        <xdr:nvSpPr>
          <xdr:cNvPr id="3" name="Round Same Side Corner Rectangle 2"/>
          <xdr:cNvSpPr/>
        </xdr:nvSpPr>
        <xdr:spPr>
          <a:xfrm flipV="1">
            <a:off x="9524" y="6124573"/>
            <a:ext cx="10958850" cy="238125"/>
          </a:xfrm>
          <a:prstGeom prst="round2SameRect">
            <a:avLst/>
          </a:prstGeom>
          <a:ln/>
        </xdr:spPr>
        <xdr:style>
          <a:lnRef idx="0">
            <a:schemeClr val="accent1"/>
          </a:lnRef>
          <a:fillRef idx="3">
            <a:schemeClr val="accent1"/>
          </a:fillRef>
          <a:effectRef idx="3">
            <a:schemeClr val="accent1"/>
          </a:effectRef>
          <a:fontRef idx="minor">
            <a:schemeClr val="lt1"/>
          </a:fontRef>
        </xdr:style>
        <xdr:txBody>
          <a:bodyPr vertOverflow="clip" horzOverflow="clip" rtlCol="0" anchor="t"/>
          <a:lstStyle/>
          <a:p>
            <a:pPr algn="l"/>
            <a:endParaRPr lang="en-GB" sz="1100"/>
          </a:p>
        </xdr:txBody>
      </xdr:sp>
      <xdr:sp macro="" textlink="$X$1">
        <xdr:nvSpPr>
          <xdr:cNvPr id="4" name="TextBox 3"/>
          <xdr:cNvSpPr txBox="1"/>
        </xdr:nvSpPr>
        <xdr:spPr>
          <a:xfrm>
            <a:off x="7357963" y="6115049"/>
            <a:ext cx="3614837"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fld id="{63B1BCF6-4FA2-4300-A41F-12861E9D32B9}" type="TxLink">
              <a:rPr lang="en-US" sz="1200" b="0" i="0" u="none" strike="noStrike">
                <a:solidFill>
                  <a:schemeClr val="bg1"/>
                </a:solidFill>
                <a:latin typeface="Calibri"/>
                <a:ea typeface="Verdana"/>
                <a:cs typeface="Calibri"/>
              </a:rPr>
              <a:pPr algn="r"/>
              <a:t>08:33AM Thursday 05 January 2017</a:t>
            </a:fld>
            <a:endParaRPr lang="en-GB" sz="1200" b="0">
              <a:solidFill>
                <a:schemeClr val="bg1"/>
              </a:solidFill>
            </a:endParaRPr>
          </a:p>
        </xdr:txBody>
      </xdr:sp>
    </xdr:grpSp>
    <xdr:clientData/>
  </xdr:twoCellAnchor>
  <xdr:twoCellAnchor editAs="oneCell">
    <xdr:from>
      <xdr:col>1</xdr:col>
      <xdr:colOff>0</xdr:colOff>
      <xdr:row>0</xdr:row>
      <xdr:rowOff>123825</xdr:rowOff>
    </xdr:from>
    <xdr:to>
      <xdr:col>20</xdr:col>
      <xdr:colOff>103425</xdr:colOff>
      <xdr:row>4</xdr:row>
      <xdr:rowOff>9525</xdr:rowOff>
    </xdr:to>
    <xdr:grpSp>
      <xdr:nvGrpSpPr>
        <xdr:cNvPr id="5" name="Group 4"/>
        <xdr:cNvGrpSpPr/>
      </xdr:nvGrpSpPr>
      <xdr:grpSpPr>
        <a:xfrm>
          <a:off x="95250" y="123825"/>
          <a:ext cx="10800000" cy="676275"/>
          <a:chOff x="95250" y="123825"/>
          <a:chExt cx="10803225" cy="666750"/>
        </a:xfrm>
      </xdr:grpSpPr>
      <xdr:sp macro="" textlink="">
        <xdr:nvSpPr>
          <xdr:cNvPr id="6" name="Round Same Side Corner Rectangle 5"/>
          <xdr:cNvSpPr/>
        </xdr:nvSpPr>
        <xdr:spPr>
          <a:xfrm>
            <a:off x="95250" y="123825"/>
            <a:ext cx="10800000" cy="666750"/>
          </a:xfrm>
          <a:prstGeom prst="round2SameRect">
            <a:avLst>
              <a:gd name="adj1" fmla="val 50000"/>
              <a:gd name="adj2" fmla="val 0"/>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lang="en-GB" sz="1000"/>
          </a:p>
        </xdr:txBody>
      </xdr:sp>
      <xdr:sp macro="" textlink="">
        <xdr:nvSpPr>
          <xdr:cNvPr id="7" name="Snip Single Corner Rectangle 6">
            <a:hlinkClick xmlns:r="http://schemas.openxmlformats.org/officeDocument/2006/relationships" r:id="rId1"/>
          </xdr:cNvPr>
          <xdr:cNvSpPr/>
        </xdr:nvSpPr>
        <xdr:spPr>
          <a:xfrm>
            <a:off x="104774" y="514350"/>
            <a:ext cx="1764000" cy="247649"/>
          </a:xfrm>
          <a:prstGeom prst="snip1Rect">
            <a:avLst>
              <a:gd name="adj" fmla="val 50000"/>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b"/>
          <a:lstStyle/>
          <a:p>
            <a:pPr algn="ctr"/>
            <a:r>
              <a:rPr lang="en-GB" sz="1000" b="0"/>
              <a:t>Population</a:t>
            </a:r>
          </a:p>
        </xdr:txBody>
      </xdr:sp>
      <xdr:sp macro="" textlink="">
        <xdr:nvSpPr>
          <xdr:cNvPr id="8" name="Snip Single Corner Rectangle 7">
            <a:hlinkClick xmlns:r="http://schemas.openxmlformats.org/officeDocument/2006/relationships" r:id="rId2"/>
          </xdr:cNvPr>
          <xdr:cNvSpPr/>
        </xdr:nvSpPr>
        <xdr:spPr>
          <a:xfrm>
            <a:off x="1910714" y="514350"/>
            <a:ext cx="1764000" cy="247649"/>
          </a:xfrm>
          <a:prstGeom prst="snip1Rect">
            <a:avLst>
              <a:gd name="adj" fmla="val 50000"/>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b"/>
          <a:lstStyle/>
          <a:p>
            <a:pPr algn="ctr"/>
            <a:r>
              <a:rPr lang="en-GB" sz="1000"/>
              <a:t>Family Structure</a:t>
            </a:r>
          </a:p>
        </xdr:txBody>
      </xdr:sp>
      <xdr:sp macro="" textlink="">
        <xdr:nvSpPr>
          <xdr:cNvPr id="9" name="Snip Single Corner Rectangle 8">
            <a:hlinkClick xmlns:r="http://schemas.openxmlformats.org/officeDocument/2006/relationships" r:id="rId3"/>
          </xdr:cNvPr>
          <xdr:cNvSpPr/>
        </xdr:nvSpPr>
        <xdr:spPr>
          <a:xfrm>
            <a:off x="3716654" y="514350"/>
            <a:ext cx="1764000" cy="247649"/>
          </a:xfrm>
          <a:prstGeom prst="snip1Rect">
            <a:avLst>
              <a:gd name="adj" fmla="val 50000"/>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b"/>
          <a:lstStyle/>
          <a:p>
            <a:pPr algn="ctr"/>
            <a:r>
              <a:rPr lang="en-GB" sz="1000"/>
              <a:t>Health Indicators</a:t>
            </a:r>
          </a:p>
        </xdr:txBody>
      </xdr:sp>
      <xdr:sp macro="" textlink="">
        <xdr:nvSpPr>
          <xdr:cNvPr id="10" name="Snip Single Corner Rectangle 9"/>
          <xdr:cNvSpPr/>
        </xdr:nvSpPr>
        <xdr:spPr>
          <a:xfrm>
            <a:off x="5522594" y="514350"/>
            <a:ext cx="1764000" cy="247649"/>
          </a:xfrm>
          <a:prstGeom prst="snip1Rect">
            <a:avLst>
              <a:gd name="adj" fmla="val 50000"/>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b"/>
          <a:lstStyle/>
          <a:p>
            <a:pPr algn="ctr"/>
            <a:r>
              <a:rPr lang="en-GB" sz="1100" b="1"/>
              <a:t>Births and Early Years</a:t>
            </a:r>
          </a:p>
        </xdr:txBody>
      </xdr:sp>
      <xdr:sp macro="" textlink="">
        <xdr:nvSpPr>
          <xdr:cNvPr id="11" name="Snip Single Corner Rectangle 10">
            <a:hlinkClick xmlns:r="http://schemas.openxmlformats.org/officeDocument/2006/relationships" r:id="rId4"/>
          </xdr:cNvPr>
          <xdr:cNvSpPr/>
        </xdr:nvSpPr>
        <xdr:spPr>
          <a:xfrm>
            <a:off x="7328534" y="514350"/>
            <a:ext cx="1764000" cy="247649"/>
          </a:xfrm>
          <a:prstGeom prst="snip1Rect">
            <a:avLst>
              <a:gd name="adj" fmla="val 50000"/>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b"/>
          <a:lstStyle/>
          <a:p>
            <a:pPr algn="ctr"/>
            <a:r>
              <a:rPr lang="en-GB" sz="1000"/>
              <a:t>Deprivation</a:t>
            </a:r>
          </a:p>
        </xdr:txBody>
      </xdr:sp>
      <xdr:sp macro="" textlink="">
        <xdr:nvSpPr>
          <xdr:cNvPr id="12" name="Snip Single Corner Rectangle 11">
            <a:hlinkClick xmlns:r="http://schemas.openxmlformats.org/officeDocument/2006/relationships" r:id="rId5"/>
          </xdr:cNvPr>
          <xdr:cNvSpPr/>
        </xdr:nvSpPr>
        <xdr:spPr>
          <a:xfrm>
            <a:off x="9134475" y="514350"/>
            <a:ext cx="1764000" cy="247649"/>
          </a:xfrm>
          <a:prstGeom prst="snip1Rect">
            <a:avLst>
              <a:gd name="adj" fmla="val 50000"/>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b"/>
          <a:lstStyle/>
          <a:p>
            <a:pPr algn="ctr"/>
            <a:r>
              <a:rPr lang="en-GB" sz="1000"/>
              <a:t>EYFS</a:t>
            </a:r>
          </a:p>
        </xdr:txBody>
      </xdr:sp>
      <xdr:cxnSp macro="">
        <xdr:nvCxnSpPr>
          <xdr:cNvPr id="13" name="Straight Connector 12"/>
          <xdr:cNvCxnSpPr/>
        </xdr:nvCxnSpPr>
        <xdr:spPr>
          <a:xfrm>
            <a:off x="95250" y="781050"/>
            <a:ext cx="10800000" cy="1"/>
          </a:xfrm>
          <a:prstGeom prst="line">
            <a:avLst/>
          </a:prstGeom>
        </xdr:spPr>
        <xdr:style>
          <a:lnRef idx="1">
            <a:schemeClr val="accent1"/>
          </a:lnRef>
          <a:fillRef idx="2">
            <a:schemeClr val="accent1"/>
          </a:fillRef>
          <a:effectRef idx="1">
            <a:schemeClr val="accent1"/>
          </a:effectRef>
          <a:fontRef idx="minor">
            <a:schemeClr val="dk1"/>
          </a:fontRef>
        </xdr:style>
      </xdr:cxnSp>
    </xdr:grpSp>
    <xdr:clientData/>
  </xdr:twoCellAnchor>
  <xdr:twoCellAnchor editAs="oneCell">
    <xdr:from>
      <xdr:col>2</xdr:col>
      <xdr:colOff>5419</xdr:colOff>
      <xdr:row>91</xdr:row>
      <xdr:rowOff>104775</xdr:rowOff>
    </xdr:from>
    <xdr:to>
      <xdr:col>20</xdr:col>
      <xdr:colOff>23069</xdr:colOff>
      <xdr:row>151</xdr:row>
      <xdr:rowOff>66675</xdr:rowOff>
    </xdr:to>
    <xdr:grpSp>
      <xdr:nvGrpSpPr>
        <xdr:cNvPr id="19" name="Group 18"/>
        <xdr:cNvGrpSpPr/>
      </xdr:nvGrpSpPr>
      <xdr:grpSpPr>
        <a:xfrm>
          <a:off x="205444" y="18983325"/>
          <a:ext cx="10609450" cy="12544425"/>
          <a:chOff x="178860" y="1004888"/>
          <a:chExt cx="10753797" cy="12345051"/>
        </a:xfrm>
      </xdr:grpSpPr>
      <xdr:sp macro="" textlink="">
        <xdr:nvSpPr>
          <xdr:cNvPr id="22" name="Rectangle 21"/>
          <xdr:cNvSpPr/>
        </xdr:nvSpPr>
        <xdr:spPr>
          <a:xfrm>
            <a:off x="652463" y="1766887"/>
            <a:ext cx="9748837" cy="3067051"/>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r>
              <a:rPr lang="en-GB" sz="1200" b="1">
                <a:solidFill>
                  <a:schemeClr val="dk1"/>
                </a:solidFill>
                <a:effectLst/>
                <a:latin typeface="+mn-lt"/>
                <a:ea typeface="+mn-ea"/>
                <a:cs typeface="+mn-cs"/>
              </a:rPr>
              <a:t>Why is teenage pregnancy important?</a:t>
            </a:r>
          </a:p>
          <a:p>
            <a:endParaRPr lang="en-GB" sz="800" b="1">
              <a:solidFill>
                <a:schemeClr val="dk1"/>
              </a:solidFill>
              <a:effectLst/>
              <a:latin typeface="+mn-lt"/>
              <a:ea typeface="+mn-ea"/>
              <a:cs typeface="+mn-cs"/>
            </a:endParaRPr>
          </a:p>
          <a:p>
            <a:r>
              <a:rPr lang="en-GB" sz="1100">
                <a:solidFill>
                  <a:schemeClr val="dk1"/>
                </a:solidFill>
                <a:effectLst/>
                <a:latin typeface="+mn-lt"/>
                <a:ea typeface="+mn-ea"/>
                <a:cs typeface="+mn-cs"/>
              </a:rPr>
              <a:t>Babies born to young women under 20 years have a 25% risk of a low birth weight, 41% higher risk of infant mortality and a 63% higher risk of experiencing child poverty. Mothers under 20 are much more likely to smoke throughout pregnancy and less likely to breastfeed. They are also at a higher risk of postnatal depression or subsequent poor mental health</a:t>
            </a:r>
          </a:p>
          <a:p>
            <a:endParaRPr lang="en-GB" sz="800" b="1">
              <a:solidFill>
                <a:schemeClr val="dk1"/>
              </a:solidFill>
              <a:effectLst/>
              <a:latin typeface="+mn-lt"/>
              <a:ea typeface="+mn-ea"/>
              <a:cs typeface="+mn-cs"/>
            </a:endParaRPr>
          </a:p>
          <a:p>
            <a:r>
              <a:rPr lang="en-GB" sz="1200" b="1">
                <a:solidFill>
                  <a:schemeClr val="dk1"/>
                </a:solidFill>
                <a:effectLst/>
                <a:latin typeface="+mn-lt"/>
                <a:ea typeface="+mn-ea"/>
                <a:cs typeface="+mn-cs"/>
              </a:rPr>
              <a:t>Rational</a:t>
            </a:r>
            <a:r>
              <a:rPr lang="en-GB" sz="1200" b="1" baseline="0">
                <a:solidFill>
                  <a:schemeClr val="dk1"/>
                </a:solidFill>
                <a:effectLst/>
                <a:latin typeface="+mn-lt"/>
                <a:ea typeface="+mn-ea"/>
                <a:cs typeface="+mn-cs"/>
              </a:rPr>
              <a:t>e for the Indicator:</a:t>
            </a:r>
          </a:p>
          <a:p>
            <a:endParaRPr lang="en-GB" sz="800">
              <a:effectLst/>
            </a:endParaRPr>
          </a:p>
          <a:p>
            <a:r>
              <a:rPr lang="en-GB" sz="1100" b="0">
                <a:solidFill>
                  <a:schemeClr val="dk1"/>
                </a:solidFill>
                <a:effectLst/>
                <a:latin typeface="+mn-lt"/>
                <a:ea typeface="+mn-ea"/>
                <a:cs typeface="+mn-cs"/>
              </a:rPr>
              <a:t>Teenage pregnancy is associated with deprivation and poverty and the overall rate in West Sussex, an affluent county, is low.  However there is variation around the county and children and family centres need to be aware of the needs of their local populations.  This indicator shows the number of teenage parents within the catchment area of the centre so that centres can ensure they have capacity to proactively provide appropriate support.</a:t>
            </a:r>
            <a:endParaRPr lang="en-GB">
              <a:effectLst/>
            </a:endParaRPr>
          </a:p>
          <a:p>
            <a:endParaRPr lang="en-GB" sz="1100" b="1">
              <a:solidFill>
                <a:schemeClr val="dk1"/>
              </a:solidFill>
              <a:effectLst/>
              <a:latin typeface="+mn-lt"/>
              <a:ea typeface="+mn-ea"/>
              <a:cs typeface="+mn-cs"/>
            </a:endParaRPr>
          </a:p>
          <a:p>
            <a:r>
              <a:rPr lang="en-GB" sz="1200" b="1">
                <a:solidFill>
                  <a:schemeClr val="dk1"/>
                </a:solidFill>
                <a:effectLst/>
                <a:latin typeface="+mn-lt"/>
                <a:ea typeface="+mn-ea"/>
                <a:cs typeface="+mn-cs"/>
              </a:rPr>
              <a:t>What helps?</a:t>
            </a:r>
          </a:p>
          <a:p>
            <a:endParaRPr lang="en-GB" sz="800">
              <a:effectLst/>
            </a:endParaRPr>
          </a:p>
          <a:p>
            <a:r>
              <a:rPr lang="en-GB" sz="1100">
                <a:solidFill>
                  <a:schemeClr val="dk1"/>
                </a:solidFill>
                <a:effectLst/>
                <a:latin typeface="+mn-lt"/>
                <a:ea typeface="+mn-ea"/>
                <a:cs typeface="+mn-cs"/>
              </a:rPr>
              <a:t>Young people need access to unbiased advice on pregnancy options and swift referral to antenatal care to identify other supportive services that may be required, for example enrolment on the Family Nurse Partnership Programme.  It is important that services are integrated to make sure that young parents don’t slip though the gaps. The Children's Workforce have an invaluable role in supporting young parents within a welcoming environment focussing on improving health, social and economic outcomes for them and their children and in preventing subsequent pregnancies.</a:t>
            </a:r>
            <a:endParaRPr lang="en-GB" sz="1100"/>
          </a:p>
        </xdr:txBody>
      </xdr:sp>
      <xdr:grpSp>
        <xdr:nvGrpSpPr>
          <xdr:cNvPr id="15" name="Group 14"/>
          <xdr:cNvGrpSpPr/>
        </xdr:nvGrpSpPr>
        <xdr:grpSpPr>
          <a:xfrm>
            <a:off x="178860" y="1004888"/>
            <a:ext cx="10728000" cy="561976"/>
            <a:chOff x="65918" y="904875"/>
            <a:chExt cx="10863836" cy="561976"/>
          </a:xfrm>
        </xdr:grpSpPr>
        <xdr:sp macro="" textlink="">
          <xdr:nvSpPr>
            <xdr:cNvPr id="16" name="TextBox 15"/>
            <xdr:cNvSpPr txBox="1"/>
          </xdr:nvSpPr>
          <xdr:spPr>
            <a:xfrm>
              <a:off x="95251" y="1190627"/>
              <a:ext cx="10362628" cy="27622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b="1"/>
                <a:t>Reducing</a:t>
              </a:r>
              <a:r>
                <a:rPr lang="en-GB" sz="1200" b="1" baseline="0"/>
                <a:t> Teenage Pregnancy and Supporting Teenage Parents</a:t>
              </a:r>
            </a:p>
            <a:p>
              <a:endParaRPr lang="en-GB" sz="400" b="1"/>
            </a:p>
            <a:p>
              <a:endParaRPr lang="en-GB" sz="400" b="1"/>
            </a:p>
            <a:p>
              <a:pPr lvl="1"/>
              <a:endParaRPr lang="en-GB" sz="1100" b="0"/>
            </a:p>
            <a:p>
              <a:pPr lvl="0"/>
              <a:endParaRPr lang="en-GB" sz="1100" b="0"/>
            </a:p>
          </xdr:txBody>
        </xdr:sp>
        <xdr:sp macro="" textlink="">
          <xdr:nvSpPr>
            <xdr:cNvPr id="17" name="Rectangle 16"/>
            <xdr:cNvSpPr/>
          </xdr:nvSpPr>
          <xdr:spPr>
            <a:xfrm>
              <a:off x="65918" y="904875"/>
              <a:ext cx="10863836" cy="285750"/>
            </a:xfrm>
            <a:prstGeom prst="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l"/>
              <a:r>
                <a:rPr lang="en-GB" sz="1100" b="1"/>
                <a:t>Pregnancy</a:t>
              </a:r>
            </a:p>
          </xdr:txBody>
        </xdr:sp>
      </xdr:grpSp>
      <xdr:cxnSp macro="">
        <xdr:nvCxnSpPr>
          <xdr:cNvPr id="20" name="Straight Connector 19"/>
          <xdr:cNvCxnSpPr/>
        </xdr:nvCxnSpPr>
        <xdr:spPr>
          <a:xfrm>
            <a:off x="300038" y="1528763"/>
            <a:ext cx="4672012" cy="0"/>
          </a:xfrm>
          <a:prstGeom prst="line">
            <a:avLst/>
          </a:prstGeom>
          <a:ln>
            <a:solidFill>
              <a:schemeClr val="tx2"/>
            </a:solidFill>
          </a:ln>
        </xdr:spPr>
        <xdr:style>
          <a:lnRef idx="2">
            <a:schemeClr val="accent4"/>
          </a:lnRef>
          <a:fillRef idx="0">
            <a:schemeClr val="accent4"/>
          </a:fillRef>
          <a:effectRef idx="1">
            <a:schemeClr val="accent4"/>
          </a:effectRef>
          <a:fontRef idx="minor">
            <a:schemeClr val="tx1"/>
          </a:fontRef>
        </xdr:style>
      </xdr:cxnSp>
      <xdr:sp macro="" textlink="">
        <xdr:nvSpPr>
          <xdr:cNvPr id="26" name="Rectangle 25"/>
          <xdr:cNvSpPr/>
        </xdr:nvSpPr>
        <xdr:spPr>
          <a:xfrm>
            <a:off x="204657" y="5195888"/>
            <a:ext cx="10728000" cy="285750"/>
          </a:xfrm>
          <a:prstGeom prst="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l"/>
            <a:r>
              <a:rPr lang="en-GB" sz="1100" b="1"/>
              <a:t>Teenage Conceptions 2004-2014</a:t>
            </a:r>
          </a:p>
        </xdr:txBody>
      </xdr:sp>
      <xdr:graphicFrame macro="">
        <xdr:nvGraphicFramePr>
          <xdr:cNvPr id="18" name="Chart 17"/>
          <xdr:cNvGraphicFramePr/>
        </xdr:nvGraphicFramePr>
        <xdr:xfrm>
          <a:off x="771952" y="10425371"/>
          <a:ext cx="9181517" cy="2924568"/>
        </xdr:xfrm>
        <a:graphic>
          <a:graphicData uri="http://schemas.openxmlformats.org/drawingml/2006/chart">
            <c:chart xmlns:c="http://schemas.openxmlformats.org/drawingml/2006/chart" xmlns:r="http://schemas.openxmlformats.org/officeDocument/2006/relationships" r:id="rId6"/>
          </a:graphicData>
        </a:graphic>
      </xdr:graphicFrame>
    </xdr:grpSp>
    <xdr:clientData/>
  </xdr:twoCellAnchor>
  <xdr:twoCellAnchor editAs="oneCell">
    <xdr:from>
      <xdr:col>2</xdr:col>
      <xdr:colOff>0</xdr:colOff>
      <xdr:row>9</xdr:row>
      <xdr:rowOff>45243</xdr:rowOff>
    </xdr:from>
    <xdr:to>
      <xdr:col>19</xdr:col>
      <xdr:colOff>135075</xdr:colOff>
      <xdr:row>10</xdr:row>
      <xdr:rowOff>140493</xdr:rowOff>
    </xdr:to>
    <xdr:sp macro="" textlink="">
      <xdr:nvSpPr>
        <xdr:cNvPr id="28" name="Rectangle 27"/>
        <xdr:cNvSpPr/>
      </xdr:nvSpPr>
      <xdr:spPr>
        <a:xfrm>
          <a:off x="202406" y="1783556"/>
          <a:ext cx="10660200" cy="285750"/>
        </a:xfrm>
        <a:prstGeom prst="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l"/>
          <a:r>
            <a:rPr lang="en-GB" sz="1100" b="1"/>
            <a:t>Births</a:t>
          </a:r>
        </a:p>
      </xdr:txBody>
    </xdr:sp>
    <xdr:clientData/>
  </xdr:twoCellAnchor>
  <xdr:twoCellAnchor editAs="oneCell">
    <xdr:from>
      <xdr:col>2</xdr:col>
      <xdr:colOff>0</xdr:colOff>
      <xdr:row>13</xdr:row>
      <xdr:rowOff>152400</xdr:rowOff>
    </xdr:from>
    <xdr:to>
      <xdr:col>19</xdr:col>
      <xdr:colOff>135075</xdr:colOff>
      <xdr:row>15</xdr:row>
      <xdr:rowOff>57150</xdr:rowOff>
    </xdr:to>
    <xdr:sp macro="" textlink="">
      <xdr:nvSpPr>
        <xdr:cNvPr id="29" name="Rectangle 28"/>
        <xdr:cNvSpPr/>
      </xdr:nvSpPr>
      <xdr:spPr>
        <a:xfrm>
          <a:off x="200025" y="1933575"/>
          <a:ext cx="10584000" cy="285750"/>
        </a:xfrm>
        <a:prstGeom prst="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l"/>
          <a:r>
            <a:rPr lang="en-GB" sz="1100" b="1"/>
            <a:t>All Births</a:t>
          </a:r>
        </a:p>
      </xdr:txBody>
    </xdr:sp>
    <xdr:clientData/>
  </xdr:twoCellAnchor>
  <xdr:twoCellAnchor editAs="oneCell">
    <xdr:from>
      <xdr:col>2</xdr:col>
      <xdr:colOff>9524</xdr:colOff>
      <xdr:row>17</xdr:row>
      <xdr:rowOff>76197</xdr:rowOff>
    </xdr:from>
    <xdr:to>
      <xdr:col>19</xdr:col>
      <xdr:colOff>104774</xdr:colOff>
      <xdr:row>27</xdr:row>
      <xdr:rowOff>114299</xdr:rowOff>
    </xdr:to>
    <xdr:sp macro="" textlink="">
      <xdr:nvSpPr>
        <xdr:cNvPr id="21" name="TextBox 20"/>
        <xdr:cNvSpPr txBox="1"/>
      </xdr:nvSpPr>
      <xdr:spPr>
        <a:xfrm>
          <a:off x="209549" y="3800472"/>
          <a:ext cx="10544175" cy="227647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t>Statistical Issues: </a:t>
          </a:r>
          <a:r>
            <a:rPr lang="en-GB" sz="1100" b="0"/>
            <a:t>The data</a:t>
          </a:r>
          <a:r>
            <a:rPr lang="en-GB" sz="1100" b="0" baseline="0"/>
            <a:t> presented for 2009 to 2013 was sourced directly from the Child Health Bureau.</a:t>
          </a:r>
          <a:r>
            <a:rPr lang="en-GB" sz="1100" b="0"/>
            <a:t> </a:t>
          </a:r>
          <a:r>
            <a:rPr lang="en-GB" sz="1100"/>
            <a:t>The full postcode of usual residence</a:t>
          </a:r>
          <a:r>
            <a:rPr lang="en-GB" sz="1100" baseline="0"/>
            <a:t> is required to allocate individual births to each CFC catchment area. </a:t>
          </a:r>
          <a:r>
            <a:rPr lang="en-GB" sz="1100"/>
            <a:t>As a result,</a:t>
          </a:r>
          <a:r>
            <a:rPr lang="en-GB" sz="1100" baseline="0"/>
            <a:t> there are</a:t>
          </a:r>
          <a:r>
            <a:rPr lang="en-GB" sz="1100"/>
            <a:t> a number of records where postcodes were incomplete or missing. This means that the total number of births reported for each CFC/CFC group is likely to be slightly lower than actually occurred.  This data</a:t>
          </a:r>
          <a:r>
            <a:rPr lang="en-GB" sz="1100" baseline="0"/>
            <a:t> may differ slightly from previous years due to changes in CFC catchment areas.  </a:t>
          </a:r>
        </a:p>
        <a:p>
          <a:endParaRPr lang="en-GB" sz="1100" baseline="0"/>
        </a:p>
        <a:p>
          <a:r>
            <a:rPr lang="en-GB" sz="1100" baseline="0"/>
            <a:t>Due to system changes - data for 2014 was not available.</a:t>
          </a:r>
        </a:p>
        <a:p>
          <a:endParaRPr lang="en-GB" sz="1100" baseline="0"/>
        </a:p>
        <a:p>
          <a:r>
            <a:rPr lang="en-GB" sz="1100" baseline="0"/>
            <a:t>The data presented for 2015 was sourced from SystmOne.  </a:t>
          </a:r>
          <a:r>
            <a:rPr lang="en-GB" sz="1100">
              <a:solidFill>
                <a:schemeClr val="dk1"/>
              </a:solidFill>
              <a:effectLst/>
              <a:latin typeface="+mn-lt"/>
              <a:ea typeface="+mn-ea"/>
              <a:cs typeface="+mn-cs"/>
            </a:rPr>
            <a:t>The full postcode of usual residence</a:t>
          </a:r>
          <a:r>
            <a:rPr lang="en-GB" sz="1100" baseline="0">
              <a:solidFill>
                <a:schemeClr val="dk1"/>
              </a:solidFill>
              <a:effectLst/>
              <a:latin typeface="+mn-lt"/>
              <a:ea typeface="+mn-ea"/>
              <a:cs typeface="+mn-cs"/>
            </a:rPr>
            <a:t> was replaced with lower super output areas by SCFT.  LSOAs were required to allocate individual births to each CFC catchment area. However, where records  of postcodes are incomplete or missing, LSOAs were unable to be assigned. Therefore the total number of births reported for each CFC/CFC group is </a:t>
          </a:r>
          <a:r>
            <a:rPr lang="en-GB" sz="1100" b="1" u="sng" baseline="0">
              <a:solidFill>
                <a:schemeClr val="dk1"/>
              </a:solidFill>
              <a:effectLst/>
              <a:latin typeface="+mn-lt"/>
              <a:ea typeface="+mn-ea"/>
              <a:cs typeface="+mn-cs"/>
            </a:rPr>
            <a:t>likely to fall below  the actual number.</a:t>
          </a:r>
          <a:r>
            <a:rPr lang="en-GB" sz="1100" baseline="0">
              <a:solidFill>
                <a:schemeClr val="dk1"/>
              </a:solidFill>
              <a:effectLst/>
              <a:latin typeface="+mn-lt"/>
              <a:ea typeface="+mn-ea"/>
              <a:cs typeface="+mn-cs"/>
            </a:rPr>
            <a:t> There are approximately  800 fewer births (10%) in the SystmOne extract than the ONS reports in their annual birth estimates.</a:t>
          </a:r>
          <a:endParaRPr lang="en-GB" sz="1100" baseline="0"/>
        </a:p>
        <a:p>
          <a:endParaRPr lang="en-GB" sz="400" baseline="0"/>
        </a:p>
        <a:p>
          <a:r>
            <a:rPr lang="en-GB" sz="1100" baseline="0"/>
            <a:t>Data for local authorities, West Sussex, the South East and England are sourced from the ONS Birth Summary Tables. The total for local authorities and West Sussex therefore, may differ from the total of births at CFC geographies.</a:t>
          </a:r>
        </a:p>
      </xdr:txBody>
    </xdr:sp>
    <xdr:clientData/>
  </xdr:twoCellAnchor>
  <xdr:twoCellAnchor editAs="oneCell">
    <xdr:from>
      <xdr:col>2</xdr:col>
      <xdr:colOff>447675</xdr:colOff>
      <xdr:row>11</xdr:row>
      <xdr:rowOff>161925</xdr:rowOff>
    </xdr:from>
    <xdr:to>
      <xdr:col>18</xdr:col>
      <xdr:colOff>153675</xdr:colOff>
      <xdr:row>12</xdr:row>
      <xdr:rowOff>342900</xdr:rowOff>
    </xdr:to>
    <xdr:sp macro="" textlink="">
      <xdr:nvSpPr>
        <xdr:cNvPr id="23" name="TextBox 22"/>
        <xdr:cNvSpPr txBox="1"/>
      </xdr:nvSpPr>
      <xdr:spPr>
        <a:xfrm>
          <a:off x="647700" y="1524000"/>
          <a:ext cx="9612000" cy="600075"/>
        </a:xfrm>
        <a:prstGeom prst="rect">
          <a:avLst/>
        </a:prstGeom>
        <a:ln/>
      </xdr:spPr>
      <xdr:style>
        <a:lnRef idx="1">
          <a:schemeClr val="accent1"/>
        </a:lnRef>
        <a:fillRef idx="2">
          <a:schemeClr val="accent1"/>
        </a:fillRef>
        <a:effectRef idx="1">
          <a:schemeClr val="accent1"/>
        </a:effectRef>
        <a:fontRef idx="minor">
          <a:schemeClr val="dk1"/>
        </a:fontRef>
      </xdr:style>
      <xdr:txBody>
        <a:bodyPr vertOverflow="clip" horzOverflow="clip" wrap="square" rtlCol="0" anchor="ctr"/>
        <a:lstStyle/>
        <a:p>
          <a:r>
            <a:rPr lang="en-GB" sz="1100"/>
            <a:t>Information on births at a local level can vary hugely. They are included in this profile to provide scale (approximate number of children per year) and general direction (increasing/decreasing) over a number of years. </a:t>
          </a:r>
        </a:p>
      </xdr:txBody>
    </xdr:sp>
    <xdr:clientData/>
  </xdr:twoCellAnchor>
  <xdr:twoCellAnchor editAs="oneCell">
    <xdr:from>
      <xdr:col>16</xdr:col>
      <xdr:colOff>542925</xdr:colOff>
      <xdr:row>91</xdr:row>
      <xdr:rowOff>104775</xdr:rowOff>
    </xdr:from>
    <xdr:to>
      <xdr:col>19</xdr:col>
      <xdr:colOff>141683</xdr:colOff>
      <xdr:row>93</xdr:row>
      <xdr:rowOff>11775</xdr:rowOff>
    </xdr:to>
    <xdr:sp macro="" textlink="">
      <xdr:nvSpPr>
        <xdr:cNvPr id="34" name="TextBox 33">
          <a:hlinkClick xmlns:r="http://schemas.openxmlformats.org/officeDocument/2006/relationships" r:id="rId7"/>
        </xdr:cNvPr>
        <xdr:cNvSpPr txBox="1"/>
      </xdr:nvSpPr>
      <xdr:spPr>
        <a:xfrm>
          <a:off x="9467850" y="17545050"/>
          <a:ext cx="1322783" cy="288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100" u="sng">
              <a:solidFill>
                <a:schemeClr val="bg1"/>
              </a:solidFill>
            </a:rPr>
            <a:t>back to top</a:t>
          </a:r>
        </a:p>
      </xdr:txBody>
    </xdr:sp>
    <xdr:clientData/>
  </xdr:twoCellAnchor>
  <xdr:twoCellAnchor editAs="oneCell">
    <xdr:from>
      <xdr:col>16</xdr:col>
      <xdr:colOff>542925</xdr:colOff>
      <xdr:row>113</xdr:row>
      <xdr:rowOff>180975</xdr:rowOff>
    </xdr:from>
    <xdr:to>
      <xdr:col>19</xdr:col>
      <xdr:colOff>141683</xdr:colOff>
      <xdr:row>115</xdr:row>
      <xdr:rowOff>87975</xdr:rowOff>
    </xdr:to>
    <xdr:sp macro="" textlink="">
      <xdr:nvSpPr>
        <xdr:cNvPr id="35" name="TextBox 34">
          <a:hlinkClick xmlns:r="http://schemas.openxmlformats.org/officeDocument/2006/relationships" r:id="rId7"/>
        </xdr:cNvPr>
        <xdr:cNvSpPr txBox="1"/>
      </xdr:nvSpPr>
      <xdr:spPr>
        <a:xfrm>
          <a:off x="9467850" y="22193250"/>
          <a:ext cx="1322783" cy="288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100" u="sng">
              <a:solidFill>
                <a:schemeClr val="bg1"/>
              </a:solidFill>
            </a:rPr>
            <a:t>back to top</a:t>
          </a:r>
        </a:p>
      </xdr:txBody>
    </xdr:sp>
    <xdr:clientData/>
  </xdr:twoCellAnchor>
  <xdr:twoCellAnchor editAs="oneCell">
    <xdr:from>
      <xdr:col>2</xdr:col>
      <xdr:colOff>0</xdr:colOff>
      <xdr:row>153</xdr:row>
      <xdr:rowOff>88106</xdr:rowOff>
    </xdr:from>
    <xdr:to>
      <xdr:col>19</xdr:col>
      <xdr:colOff>141683</xdr:colOff>
      <xdr:row>155</xdr:row>
      <xdr:rowOff>23682</xdr:rowOff>
    </xdr:to>
    <xdr:grpSp>
      <xdr:nvGrpSpPr>
        <xdr:cNvPr id="37" name="Group 36"/>
        <xdr:cNvGrpSpPr/>
      </xdr:nvGrpSpPr>
      <xdr:grpSpPr>
        <a:xfrm>
          <a:off x="200025" y="31911131"/>
          <a:ext cx="10590608" cy="297526"/>
          <a:chOff x="200025" y="6572250"/>
          <a:chExt cx="10590608" cy="297525"/>
        </a:xfrm>
      </xdr:grpSpPr>
      <xdr:sp macro="" textlink="">
        <xdr:nvSpPr>
          <xdr:cNvPr id="38" name="Rectangle 37"/>
          <xdr:cNvSpPr/>
        </xdr:nvSpPr>
        <xdr:spPr>
          <a:xfrm>
            <a:off x="200025" y="6572250"/>
            <a:ext cx="10584001" cy="285462"/>
          </a:xfrm>
          <a:prstGeom prst="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l"/>
            <a:r>
              <a:rPr lang="en-GB" sz="1100" b="1"/>
              <a:t>Low Birth Weight</a:t>
            </a:r>
          </a:p>
        </xdr:txBody>
      </xdr:sp>
      <xdr:sp macro="" textlink="">
        <xdr:nvSpPr>
          <xdr:cNvPr id="39" name="TextBox 38">
            <a:hlinkClick xmlns:r="http://schemas.openxmlformats.org/officeDocument/2006/relationships" r:id="rId7"/>
          </xdr:cNvPr>
          <xdr:cNvSpPr txBox="1"/>
        </xdr:nvSpPr>
        <xdr:spPr>
          <a:xfrm>
            <a:off x="9467850" y="6581775"/>
            <a:ext cx="1322783" cy="288000"/>
          </a:xfrm>
          <a:prstGeom prst="rect">
            <a:avLst/>
          </a:prstGeom>
          <a:noFill/>
          <a:ln>
            <a:noFill/>
          </a:ln>
        </xdr:spPr>
        <xdr:style>
          <a:lnRef idx="0">
            <a:schemeClr val="accent1"/>
          </a:lnRef>
          <a:fillRef idx="3">
            <a:schemeClr val="accent1"/>
          </a:fillRef>
          <a:effectRef idx="3">
            <a:schemeClr val="accent1"/>
          </a:effectRef>
          <a:fontRef idx="minor">
            <a:schemeClr val="lt1"/>
          </a:fontRef>
        </xdr:style>
        <xdr:txBody>
          <a:bodyPr vertOverflow="clip" horzOverflow="clip" wrap="square" rtlCol="0" anchor="t"/>
          <a:lstStyle/>
          <a:p>
            <a:pPr algn="ctr"/>
            <a:r>
              <a:rPr lang="en-GB" sz="1100" u="sng">
                <a:solidFill>
                  <a:schemeClr val="bg1"/>
                </a:solidFill>
              </a:rPr>
              <a:t>back to top</a:t>
            </a:r>
          </a:p>
        </xdr:txBody>
      </xdr:sp>
    </xdr:grpSp>
    <xdr:clientData/>
  </xdr:twoCellAnchor>
  <xdr:twoCellAnchor editAs="oneCell">
    <xdr:from>
      <xdr:col>2</xdr:col>
      <xdr:colOff>0</xdr:colOff>
      <xdr:row>43</xdr:row>
      <xdr:rowOff>104775</xdr:rowOff>
    </xdr:from>
    <xdr:to>
      <xdr:col>19</xdr:col>
      <xdr:colOff>133350</xdr:colOff>
      <xdr:row>47</xdr:row>
      <xdr:rowOff>104775</xdr:rowOff>
    </xdr:to>
    <xdr:sp macro="" textlink="">
      <xdr:nvSpPr>
        <xdr:cNvPr id="36" name="TextBox 35"/>
        <xdr:cNvSpPr txBox="1"/>
      </xdr:nvSpPr>
      <xdr:spPr>
        <a:xfrm>
          <a:off x="200025" y="8963025"/>
          <a:ext cx="10582275" cy="10001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t>Source: </a:t>
          </a:r>
          <a:r>
            <a:rPr lang="en-GB" sz="1100" b="0"/>
            <a:t>Birth</a:t>
          </a:r>
          <a:r>
            <a:rPr lang="en-GB" sz="1100" b="0" baseline="0"/>
            <a:t> Notification, ONS</a:t>
          </a:r>
        </a:p>
        <a:p>
          <a:endParaRPr lang="en-GB" sz="1100" b="1"/>
        </a:p>
        <a:p>
          <a:r>
            <a:rPr lang="en-GB" sz="1100" b="1"/>
            <a:t>Statistical Issues</a:t>
          </a:r>
          <a:r>
            <a:rPr lang="en-GB" sz="1100" b="0"/>
            <a:t>:  First time mothers under the age of 20 are a target group for the work of Family Nurse Partnerships. Not all maternity records used a "flag" for first time mothers under the age of 20, therefore the information provided below relates to </a:t>
          </a:r>
          <a:r>
            <a:rPr lang="en-GB" sz="1100" b="1" u="sng"/>
            <a:t>all </a:t>
          </a:r>
          <a:r>
            <a:rPr lang="en-GB" sz="1100" b="0" u="none" baseline="0"/>
            <a:t> mothers under the age of 20. The majority of these mothers will be first time mothers.  Data for 2014 was unavailable due to a change in systems. The caveats described above also apply here.</a:t>
          </a:r>
        </a:p>
      </xdr:txBody>
    </xdr:sp>
    <xdr:clientData/>
  </xdr:twoCellAnchor>
  <xdr:twoCellAnchor editAs="oneCell">
    <xdr:from>
      <xdr:col>1</xdr:col>
      <xdr:colOff>95250</xdr:colOff>
      <xdr:row>41</xdr:row>
      <xdr:rowOff>114300</xdr:rowOff>
    </xdr:from>
    <xdr:to>
      <xdr:col>19</xdr:col>
      <xdr:colOff>132158</xdr:colOff>
      <xdr:row>43</xdr:row>
      <xdr:rowOff>30825</xdr:rowOff>
    </xdr:to>
    <xdr:grpSp>
      <xdr:nvGrpSpPr>
        <xdr:cNvPr id="24" name="Group 23"/>
        <xdr:cNvGrpSpPr/>
      </xdr:nvGrpSpPr>
      <xdr:grpSpPr>
        <a:xfrm>
          <a:off x="190500" y="8782050"/>
          <a:ext cx="10590608" cy="297525"/>
          <a:chOff x="200025" y="6572250"/>
          <a:chExt cx="10590608" cy="297525"/>
        </a:xfrm>
      </xdr:grpSpPr>
      <xdr:sp macro="" textlink="">
        <xdr:nvSpPr>
          <xdr:cNvPr id="32" name="Rectangle 31"/>
          <xdr:cNvSpPr/>
        </xdr:nvSpPr>
        <xdr:spPr>
          <a:xfrm>
            <a:off x="200025" y="6572250"/>
            <a:ext cx="10584001" cy="285462"/>
          </a:xfrm>
          <a:prstGeom prst="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l"/>
            <a:r>
              <a:rPr lang="en-GB" sz="1100" b="1"/>
              <a:t>Estimated</a:t>
            </a:r>
            <a:r>
              <a:rPr lang="en-GB" sz="1100" b="1" baseline="0"/>
              <a:t> Number of Births to Mothers Under the Age of 20</a:t>
            </a:r>
            <a:endParaRPr lang="en-GB" sz="1100" b="1"/>
          </a:p>
        </xdr:txBody>
      </xdr:sp>
      <xdr:sp macro="" textlink="">
        <xdr:nvSpPr>
          <xdr:cNvPr id="33" name="TextBox 32">
            <a:hlinkClick xmlns:r="http://schemas.openxmlformats.org/officeDocument/2006/relationships" r:id="rId7"/>
          </xdr:cNvPr>
          <xdr:cNvSpPr txBox="1"/>
        </xdr:nvSpPr>
        <xdr:spPr>
          <a:xfrm>
            <a:off x="9467850" y="6581775"/>
            <a:ext cx="1322783" cy="288000"/>
          </a:xfrm>
          <a:prstGeom prst="rect">
            <a:avLst/>
          </a:prstGeom>
          <a:noFill/>
          <a:ln>
            <a:noFill/>
          </a:ln>
        </xdr:spPr>
        <xdr:style>
          <a:lnRef idx="0">
            <a:schemeClr val="accent1"/>
          </a:lnRef>
          <a:fillRef idx="3">
            <a:schemeClr val="accent1"/>
          </a:fillRef>
          <a:effectRef idx="3">
            <a:schemeClr val="accent1"/>
          </a:effectRef>
          <a:fontRef idx="minor">
            <a:schemeClr val="lt1"/>
          </a:fontRef>
        </xdr:style>
        <xdr:txBody>
          <a:bodyPr vertOverflow="clip" horzOverflow="clip" wrap="square" rtlCol="0" anchor="t"/>
          <a:lstStyle/>
          <a:p>
            <a:pPr algn="ctr"/>
            <a:r>
              <a:rPr lang="en-GB" sz="1100" u="sng">
                <a:solidFill>
                  <a:schemeClr val="bg1"/>
                </a:solidFill>
              </a:rPr>
              <a:t>back to top</a:t>
            </a:r>
          </a:p>
        </xdr:txBody>
      </xdr:sp>
    </xdr:grpSp>
    <xdr:clientData/>
  </xdr:twoCellAnchor>
  <xdr:twoCellAnchor editAs="oneCell">
    <xdr:from>
      <xdr:col>2</xdr:col>
      <xdr:colOff>213038</xdr:colOff>
      <xdr:row>58</xdr:row>
      <xdr:rowOff>161925</xdr:rowOff>
    </xdr:from>
    <xdr:to>
      <xdr:col>10</xdr:col>
      <xdr:colOff>323850</xdr:colOff>
      <xdr:row>73</xdr:row>
      <xdr:rowOff>40425</xdr:rowOff>
    </xdr:to>
    <xdr:graphicFrame macro="">
      <xdr:nvGraphicFramePr>
        <xdr:cNvPr id="25" name="Chart 2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10</xdr:col>
      <xdr:colOff>417825</xdr:colOff>
      <xdr:row>58</xdr:row>
      <xdr:rowOff>161925</xdr:rowOff>
    </xdr:from>
    <xdr:to>
      <xdr:col>18</xdr:col>
      <xdr:colOff>409575</xdr:colOff>
      <xdr:row>73</xdr:row>
      <xdr:rowOff>40425</xdr:rowOff>
    </xdr:to>
    <xdr:graphicFrame macro="">
      <xdr:nvGraphicFramePr>
        <xdr:cNvPr id="40" name="Chart 3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2</xdr:col>
      <xdr:colOff>0</xdr:colOff>
      <xdr:row>75</xdr:row>
      <xdr:rowOff>151336</xdr:rowOff>
    </xdr:from>
    <xdr:to>
      <xdr:col>19</xdr:col>
      <xdr:colOff>141683</xdr:colOff>
      <xdr:row>77</xdr:row>
      <xdr:rowOff>67861</xdr:rowOff>
    </xdr:to>
    <xdr:grpSp>
      <xdr:nvGrpSpPr>
        <xdr:cNvPr id="41" name="Group 40"/>
        <xdr:cNvGrpSpPr/>
      </xdr:nvGrpSpPr>
      <xdr:grpSpPr>
        <a:xfrm>
          <a:off x="200025" y="15534211"/>
          <a:ext cx="10590608" cy="297525"/>
          <a:chOff x="200025" y="6572250"/>
          <a:chExt cx="10590608" cy="297525"/>
        </a:xfrm>
      </xdr:grpSpPr>
      <xdr:sp macro="" textlink="">
        <xdr:nvSpPr>
          <xdr:cNvPr id="42" name="Rectangle 41"/>
          <xdr:cNvSpPr/>
        </xdr:nvSpPr>
        <xdr:spPr>
          <a:xfrm>
            <a:off x="200025" y="6572250"/>
            <a:ext cx="10584001" cy="285462"/>
          </a:xfrm>
          <a:prstGeom prst="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l"/>
            <a:r>
              <a:rPr lang="en-GB" sz="1100" b="1"/>
              <a:t>Estimation</a:t>
            </a:r>
            <a:r>
              <a:rPr lang="en-GB" sz="1100" b="1" baseline="0"/>
              <a:t> of the number of teenage mothers (&lt; 20 years) in the CFC catchment area</a:t>
            </a:r>
            <a:endParaRPr lang="en-GB" sz="1100" b="1"/>
          </a:p>
        </xdr:txBody>
      </xdr:sp>
      <xdr:sp macro="" textlink="">
        <xdr:nvSpPr>
          <xdr:cNvPr id="43" name="TextBox 42">
            <a:hlinkClick xmlns:r="http://schemas.openxmlformats.org/officeDocument/2006/relationships" r:id="rId7"/>
          </xdr:cNvPr>
          <xdr:cNvSpPr txBox="1"/>
        </xdr:nvSpPr>
        <xdr:spPr>
          <a:xfrm>
            <a:off x="9467850" y="6581775"/>
            <a:ext cx="1322783" cy="288000"/>
          </a:xfrm>
          <a:prstGeom prst="rect">
            <a:avLst/>
          </a:prstGeom>
          <a:noFill/>
          <a:ln>
            <a:noFill/>
          </a:ln>
        </xdr:spPr>
        <xdr:style>
          <a:lnRef idx="0">
            <a:schemeClr val="accent1"/>
          </a:lnRef>
          <a:fillRef idx="3">
            <a:schemeClr val="accent1"/>
          </a:fillRef>
          <a:effectRef idx="3">
            <a:schemeClr val="accent1"/>
          </a:effectRef>
          <a:fontRef idx="minor">
            <a:schemeClr val="lt1"/>
          </a:fontRef>
        </xdr:style>
        <xdr:txBody>
          <a:bodyPr vertOverflow="clip" horzOverflow="clip" wrap="square" rtlCol="0" anchor="t"/>
          <a:lstStyle/>
          <a:p>
            <a:pPr algn="ctr"/>
            <a:r>
              <a:rPr lang="en-GB" sz="1100" u="sng">
                <a:solidFill>
                  <a:schemeClr val="bg1"/>
                </a:solidFill>
              </a:rPr>
              <a:t>back to top</a:t>
            </a:r>
          </a:p>
        </xdr:txBody>
      </xdr:sp>
    </xdr:grpSp>
    <xdr:clientData/>
  </xdr:twoCellAnchor>
  <xdr:twoCellAnchor editAs="oneCell">
    <xdr:from>
      <xdr:col>2</xdr:col>
      <xdr:colOff>0</xdr:colOff>
      <xdr:row>78</xdr:row>
      <xdr:rowOff>57150</xdr:rowOff>
    </xdr:from>
    <xdr:to>
      <xdr:col>19</xdr:col>
      <xdr:colOff>95250</xdr:colOff>
      <xdr:row>81</xdr:row>
      <xdr:rowOff>142875</xdr:rowOff>
    </xdr:to>
    <xdr:sp macro="" textlink="">
      <xdr:nvSpPr>
        <xdr:cNvPr id="44" name="TextBox 43"/>
        <xdr:cNvSpPr txBox="1"/>
      </xdr:nvSpPr>
      <xdr:spPr>
        <a:xfrm>
          <a:off x="200025" y="13535025"/>
          <a:ext cx="10544175" cy="6572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t>Statistical Issues</a:t>
          </a:r>
          <a:r>
            <a:rPr lang="en-GB" sz="1100" b="0"/>
            <a:t>:  There is no reliable data source</a:t>
          </a:r>
          <a:r>
            <a:rPr lang="en-GB" sz="1100" b="0" baseline="0"/>
            <a:t> providing an estimate of the total number of teenage mothers in a CFC catchment area. The figures below relate to the total number of births mapped in an area where the mothers age was known, and the home postcodes at the time of birth was within the CFC catchment area. </a:t>
          </a:r>
          <a:r>
            <a:rPr lang="en-GB" sz="1100" b="1" u="sng" baseline="0"/>
            <a:t>This data should be used with caution. </a:t>
          </a:r>
          <a:r>
            <a:rPr lang="en-GB" sz="1100" b="0" u="none" baseline="0"/>
            <a:t>There may be some double counting of mothers (where women have a number of births in their teenage years) and this is likely  to be a fairly mobile population.</a:t>
          </a:r>
        </a:p>
        <a:p>
          <a:endParaRPr lang="en-GB" sz="1100" b="1" u="sng" baseline="0"/>
        </a:p>
      </xdr:txBody>
    </xdr:sp>
    <xdr:clientData/>
  </xdr:twoCellAnchor>
  <xdr:twoCellAnchor editAs="oneCell">
    <xdr:from>
      <xdr:col>2</xdr:col>
      <xdr:colOff>609600</xdr:colOff>
      <xdr:row>172</xdr:row>
      <xdr:rowOff>176212</xdr:rowOff>
    </xdr:from>
    <xdr:to>
      <xdr:col>14</xdr:col>
      <xdr:colOff>142875</xdr:colOff>
      <xdr:row>186</xdr:row>
      <xdr:rowOff>28575</xdr:rowOff>
    </xdr:to>
    <xdr:graphicFrame macro="">
      <xdr:nvGraphicFramePr>
        <xdr:cNvPr id="31" name="Chart 3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oneCell">
    <xdr:from>
      <xdr:col>2</xdr:col>
      <xdr:colOff>0</xdr:colOff>
      <xdr:row>188</xdr:row>
      <xdr:rowOff>78582</xdr:rowOff>
    </xdr:from>
    <xdr:to>
      <xdr:col>19</xdr:col>
      <xdr:colOff>141683</xdr:colOff>
      <xdr:row>190</xdr:row>
      <xdr:rowOff>14156</xdr:rowOff>
    </xdr:to>
    <xdr:grpSp>
      <xdr:nvGrpSpPr>
        <xdr:cNvPr id="45" name="Group 44"/>
        <xdr:cNvGrpSpPr/>
      </xdr:nvGrpSpPr>
      <xdr:grpSpPr>
        <a:xfrm>
          <a:off x="200025" y="38797707"/>
          <a:ext cx="10590608" cy="297524"/>
          <a:chOff x="200025" y="6572250"/>
          <a:chExt cx="10590608" cy="297525"/>
        </a:xfrm>
      </xdr:grpSpPr>
      <xdr:sp macro="" textlink="">
        <xdr:nvSpPr>
          <xdr:cNvPr id="46" name="Rectangle 45"/>
          <xdr:cNvSpPr/>
        </xdr:nvSpPr>
        <xdr:spPr>
          <a:xfrm>
            <a:off x="200025" y="6572250"/>
            <a:ext cx="10584001" cy="285462"/>
          </a:xfrm>
          <a:prstGeom prst="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l"/>
            <a:r>
              <a:rPr lang="en-GB" sz="1100" b="1"/>
              <a:t>Long</a:t>
            </a:r>
            <a:r>
              <a:rPr lang="en-GB" sz="1100" b="1" baseline="0"/>
              <a:t> term limiting illness </a:t>
            </a:r>
            <a:endParaRPr lang="en-GB" sz="1100" b="1"/>
          </a:p>
        </xdr:txBody>
      </xdr:sp>
      <xdr:sp macro="" textlink="">
        <xdr:nvSpPr>
          <xdr:cNvPr id="47" name="TextBox 46">
            <a:hlinkClick xmlns:r="http://schemas.openxmlformats.org/officeDocument/2006/relationships" r:id="rId7"/>
          </xdr:cNvPr>
          <xdr:cNvSpPr txBox="1"/>
        </xdr:nvSpPr>
        <xdr:spPr>
          <a:xfrm>
            <a:off x="9467850" y="6581775"/>
            <a:ext cx="1322783" cy="288000"/>
          </a:xfrm>
          <a:prstGeom prst="rect">
            <a:avLst/>
          </a:prstGeom>
          <a:noFill/>
          <a:ln>
            <a:noFill/>
          </a:ln>
        </xdr:spPr>
        <xdr:style>
          <a:lnRef idx="0">
            <a:schemeClr val="accent1"/>
          </a:lnRef>
          <a:fillRef idx="3">
            <a:schemeClr val="accent1"/>
          </a:fillRef>
          <a:effectRef idx="3">
            <a:schemeClr val="accent1"/>
          </a:effectRef>
          <a:fontRef idx="minor">
            <a:schemeClr val="lt1"/>
          </a:fontRef>
        </xdr:style>
        <xdr:txBody>
          <a:bodyPr vertOverflow="clip" horzOverflow="clip" wrap="square" rtlCol="0" anchor="t"/>
          <a:lstStyle/>
          <a:p>
            <a:pPr algn="ctr"/>
            <a:r>
              <a:rPr lang="en-GB" sz="1100" u="sng">
                <a:solidFill>
                  <a:schemeClr val="bg1"/>
                </a:solidFill>
              </a:rPr>
              <a:t>back to top</a:t>
            </a:r>
          </a:p>
        </xdr:txBody>
      </xdr:sp>
    </xdr:grpSp>
    <xdr:clientData/>
  </xdr:twoCellAnchor>
  <mc:AlternateContent xmlns:mc="http://schemas.openxmlformats.org/markup-compatibility/2006">
    <mc:Choice xmlns:a14="http://schemas.microsoft.com/office/drawing/2010/main" Requires="a14">
      <xdr:twoCellAnchor editAs="oneCell">
        <xdr:from>
          <xdr:col>6</xdr:col>
          <xdr:colOff>200025</xdr:colOff>
          <xdr:row>5</xdr:row>
          <xdr:rowOff>0</xdr:rowOff>
        </xdr:from>
        <xdr:to>
          <xdr:col>11</xdr:col>
          <xdr:colOff>152400</xdr:colOff>
          <xdr:row>6</xdr:row>
          <xdr:rowOff>76200</xdr:rowOff>
        </xdr:to>
        <xdr:sp macro="" textlink="">
          <xdr:nvSpPr>
            <xdr:cNvPr id="6148" name="Drop Down 4" hidden="1">
              <a:extLst>
                <a:ext uri="{63B3BB69-23CF-44E3-9099-C40C66FF867C}">
                  <a14:compatExt spid="_x0000_s614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200025</xdr:colOff>
          <xdr:row>6</xdr:row>
          <xdr:rowOff>161925</xdr:rowOff>
        </xdr:from>
        <xdr:to>
          <xdr:col>11</xdr:col>
          <xdr:colOff>152400</xdr:colOff>
          <xdr:row>8</xdr:row>
          <xdr:rowOff>47625</xdr:rowOff>
        </xdr:to>
        <xdr:sp macro="" textlink="">
          <xdr:nvSpPr>
            <xdr:cNvPr id="6149" name="Drop Down 5" hidden="1">
              <a:extLst>
                <a:ext uri="{63B3BB69-23CF-44E3-9099-C40C66FF867C}">
                  <a14:compatExt spid="_x0000_s6149"/>
                </a:ext>
              </a:extLst>
            </xdr:cNvPr>
            <xdr:cNvSpPr/>
          </xdr:nvSpPr>
          <xdr:spPr>
            <a:xfrm>
              <a:off x="0" y="0"/>
              <a:ext cx="0" cy="0"/>
            </a:xfrm>
            <a:prstGeom prst="rect">
              <a:avLst/>
            </a:prstGeom>
          </xdr:spPr>
        </xdr:sp>
        <xdr:clientData/>
      </xdr:twoCellAnchor>
    </mc:Choice>
    <mc:Fallback/>
  </mc:AlternateContent>
  <xdr:twoCellAnchor editAs="oneCell">
    <xdr:from>
      <xdr:col>11</xdr:col>
      <xdr:colOff>578641</xdr:colOff>
      <xdr:row>4</xdr:row>
      <xdr:rowOff>178595</xdr:rowOff>
    </xdr:from>
    <xdr:to>
      <xdr:col>12</xdr:col>
      <xdr:colOff>483391</xdr:colOff>
      <xdr:row>6</xdr:row>
      <xdr:rowOff>111920</xdr:rowOff>
    </xdr:to>
    <xdr:sp macro="" textlink="">
      <xdr:nvSpPr>
        <xdr:cNvPr id="55" name="Left Arrow 54"/>
        <xdr:cNvSpPr/>
      </xdr:nvSpPr>
      <xdr:spPr>
        <a:xfrm>
          <a:off x="6353172" y="964408"/>
          <a:ext cx="547688" cy="314325"/>
        </a:xfrm>
        <a:prstGeom prst="leftArrow">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t"/>
        <a:lstStyle/>
        <a:p>
          <a:pPr algn="l"/>
          <a:endParaRPr lang="en-GB" sz="1100"/>
        </a:p>
      </xdr:txBody>
    </xdr:sp>
    <xdr:clientData/>
  </xdr:twoCellAnchor>
  <xdr:twoCellAnchor editAs="oneCell">
    <xdr:from>
      <xdr:col>12</xdr:col>
      <xdr:colOff>492915</xdr:colOff>
      <xdr:row>5</xdr:row>
      <xdr:rowOff>16671</xdr:rowOff>
    </xdr:from>
    <xdr:to>
      <xdr:col>19</xdr:col>
      <xdr:colOff>30952</xdr:colOff>
      <xdr:row>6</xdr:row>
      <xdr:rowOff>83345</xdr:rowOff>
    </xdr:to>
    <xdr:sp macro="" textlink="">
      <xdr:nvSpPr>
        <xdr:cNvPr id="56" name="TextBox 55"/>
        <xdr:cNvSpPr txBox="1"/>
      </xdr:nvSpPr>
      <xdr:spPr>
        <a:xfrm>
          <a:off x="6910384" y="992984"/>
          <a:ext cx="3848099" cy="2571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solidFill>
            </a:rPr>
            <a:t>Your current</a:t>
          </a:r>
          <a:r>
            <a:rPr lang="en-GB" sz="1100" b="1" baseline="0">
              <a:solidFill>
                <a:schemeClr val="bg1"/>
              </a:solidFill>
            </a:rPr>
            <a:t> selection</a:t>
          </a:r>
          <a:endParaRPr lang="en-GB" sz="1100" b="1">
            <a:solidFill>
              <a:schemeClr val="bg1"/>
            </a:solidFill>
          </a:endParaRPr>
        </a:p>
      </xdr:txBody>
    </xdr:sp>
    <xdr:clientData/>
  </xdr:twoCellAnchor>
  <xdr:twoCellAnchor editAs="oneCell">
    <xdr:from>
      <xdr:col>11</xdr:col>
      <xdr:colOff>576260</xdr:colOff>
      <xdr:row>6</xdr:row>
      <xdr:rowOff>116682</xdr:rowOff>
    </xdr:from>
    <xdr:to>
      <xdr:col>12</xdr:col>
      <xdr:colOff>481010</xdr:colOff>
      <xdr:row>8</xdr:row>
      <xdr:rowOff>50007</xdr:rowOff>
    </xdr:to>
    <xdr:sp macro="" textlink="">
      <xdr:nvSpPr>
        <xdr:cNvPr id="57" name="Left Arrow 56"/>
        <xdr:cNvSpPr/>
      </xdr:nvSpPr>
      <xdr:spPr>
        <a:xfrm>
          <a:off x="6350791" y="1283495"/>
          <a:ext cx="547688" cy="314325"/>
        </a:xfrm>
        <a:prstGeom prst="leftArrow">
          <a:avLst/>
        </a:prstGeom>
      </xdr:spPr>
      <xdr:style>
        <a:lnRef idx="0">
          <a:schemeClr val="accent4"/>
        </a:lnRef>
        <a:fillRef idx="3">
          <a:schemeClr val="accent4"/>
        </a:fillRef>
        <a:effectRef idx="3">
          <a:schemeClr val="accent4"/>
        </a:effectRef>
        <a:fontRef idx="minor">
          <a:schemeClr val="lt1"/>
        </a:fontRef>
      </xdr:style>
      <xdr:txBody>
        <a:bodyPr vertOverflow="clip" horzOverflow="clip" rtlCol="0" anchor="t"/>
        <a:lstStyle/>
        <a:p>
          <a:pPr algn="l"/>
          <a:endParaRPr lang="en-GB" sz="1100"/>
        </a:p>
      </xdr:txBody>
    </xdr:sp>
    <xdr:clientData/>
  </xdr:twoCellAnchor>
  <xdr:twoCellAnchor editAs="oneCell">
    <xdr:from>
      <xdr:col>12</xdr:col>
      <xdr:colOff>490535</xdr:colOff>
      <xdr:row>6</xdr:row>
      <xdr:rowOff>145257</xdr:rowOff>
    </xdr:from>
    <xdr:to>
      <xdr:col>15</xdr:col>
      <xdr:colOff>433385</xdr:colOff>
      <xdr:row>8</xdr:row>
      <xdr:rowOff>21432</xdr:rowOff>
    </xdr:to>
    <xdr:sp macro="" textlink="">
      <xdr:nvSpPr>
        <xdr:cNvPr id="58" name="TextBox 57"/>
        <xdr:cNvSpPr txBox="1"/>
      </xdr:nvSpPr>
      <xdr:spPr>
        <a:xfrm>
          <a:off x="6908004" y="1312070"/>
          <a:ext cx="1871662"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solidFill>
            </a:rPr>
            <a:t>Your current selection</a:t>
          </a:r>
        </a:p>
      </xdr:txBody>
    </xdr:sp>
    <xdr:clientData/>
  </xdr:twoCellAnchor>
  <xdr:twoCellAnchor editAs="oneCell">
    <xdr:from>
      <xdr:col>15</xdr:col>
      <xdr:colOff>504825</xdr:colOff>
      <xdr:row>1</xdr:row>
      <xdr:rowOff>19050</xdr:rowOff>
    </xdr:from>
    <xdr:to>
      <xdr:col>19</xdr:col>
      <xdr:colOff>0</xdr:colOff>
      <xdr:row>2</xdr:row>
      <xdr:rowOff>47625</xdr:rowOff>
    </xdr:to>
    <xdr:sp macro="" textlink="">
      <xdr:nvSpPr>
        <xdr:cNvPr id="53" name="Rectangle 52">
          <a:hlinkClick xmlns:r="http://schemas.openxmlformats.org/officeDocument/2006/relationships" r:id="rId11"/>
        </xdr:cNvPr>
        <xdr:cNvSpPr/>
      </xdr:nvSpPr>
      <xdr:spPr>
        <a:xfrm>
          <a:off x="8791575" y="209550"/>
          <a:ext cx="1857375" cy="247650"/>
        </a:xfrm>
        <a:prstGeom prst="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t"/>
        <a:lstStyle/>
        <a:p>
          <a:pPr algn="ctr"/>
          <a:r>
            <a:rPr lang="en-GB" sz="1100"/>
            <a:t>Go</a:t>
          </a:r>
          <a:r>
            <a:rPr lang="en-GB" sz="1100" baseline="0"/>
            <a:t> to the data</a:t>
          </a:r>
          <a:endParaRPr lang="en-GB" sz="1100"/>
        </a:p>
      </xdr:txBody>
    </xdr:sp>
    <xdr:clientData/>
  </xdr:twoCellAnchor>
  <xdr:twoCellAnchor editAs="oneCell">
    <xdr:from>
      <xdr:col>2</xdr:col>
      <xdr:colOff>180975</xdr:colOff>
      <xdr:row>0</xdr:row>
      <xdr:rowOff>152400</xdr:rowOff>
    </xdr:from>
    <xdr:to>
      <xdr:col>11</xdr:col>
      <xdr:colOff>381081</xdr:colOff>
      <xdr:row>2</xdr:row>
      <xdr:rowOff>71301</xdr:rowOff>
    </xdr:to>
    <xdr:sp macro="" textlink="">
      <xdr:nvSpPr>
        <xdr:cNvPr id="54" name="TextBox 53"/>
        <xdr:cNvSpPr txBox="1"/>
      </xdr:nvSpPr>
      <xdr:spPr>
        <a:xfrm>
          <a:off x="381000" y="152400"/>
          <a:ext cx="5734131" cy="3284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400" b="1"/>
            <a:t>Children's Workforce Public Health Profiles : </a:t>
          </a:r>
          <a:r>
            <a:rPr lang="en-GB" sz="1400" b="0"/>
            <a:t>Birth and Early Years</a:t>
          </a:r>
        </a:p>
      </xdr:txBody>
    </xdr:sp>
    <xdr:clientData/>
  </xdr:twoCellAnchor>
</xdr:wsDr>
</file>

<file path=xl/drawings/drawing8.xml><?xml version="1.0" encoding="utf-8"?>
<xdr:wsDr xmlns:xdr="http://schemas.openxmlformats.org/drawingml/2006/spreadsheetDrawing" xmlns:a="http://schemas.openxmlformats.org/drawingml/2006/main">
  <xdr:twoCellAnchor editAs="oneCell">
    <xdr:from>
      <xdr:col>1</xdr:col>
      <xdr:colOff>0</xdr:colOff>
      <xdr:row>149</xdr:row>
      <xdr:rowOff>19050</xdr:rowOff>
    </xdr:from>
    <xdr:to>
      <xdr:col>18</xdr:col>
      <xdr:colOff>103426</xdr:colOff>
      <xdr:row>150</xdr:row>
      <xdr:rowOff>142875</xdr:rowOff>
    </xdr:to>
    <xdr:grpSp>
      <xdr:nvGrpSpPr>
        <xdr:cNvPr id="2" name="Group 1"/>
        <xdr:cNvGrpSpPr/>
      </xdr:nvGrpSpPr>
      <xdr:grpSpPr>
        <a:xfrm>
          <a:off x="95250" y="34585275"/>
          <a:ext cx="10800001" cy="314325"/>
          <a:chOff x="9524" y="6115049"/>
          <a:chExt cx="10963277" cy="314325"/>
        </a:xfrm>
      </xdr:grpSpPr>
      <xdr:sp macro="" textlink="">
        <xdr:nvSpPr>
          <xdr:cNvPr id="3" name="Round Same Side Corner Rectangle 2"/>
          <xdr:cNvSpPr/>
        </xdr:nvSpPr>
        <xdr:spPr>
          <a:xfrm flipV="1">
            <a:off x="9524" y="6124573"/>
            <a:ext cx="10958850" cy="238125"/>
          </a:xfrm>
          <a:prstGeom prst="round2SameRect">
            <a:avLst/>
          </a:prstGeom>
          <a:ln/>
        </xdr:spPr>
        <xdr:style>
          <a:lnRef idx="0">
            <a:schemeClr val="accent1"/>
          </a:lnRef>
          <a:fillRef idx="3">
            <a:schemeClr val="accent1"/>
          </a:fillRef>
          <a:effectRef idx="3">
            <a:schemeClr val="accent1"/>
          </a:effectRef>
          <a:fontRef idx="minor">
            <a:schemeClr val="lt1"/>
          </a:fontRef>
        </xdr:style>
        <xdr:txBody>
          <a:bodyPr vertOverflow="clip" horzOverflow="clip" rtlCol="0" anchor="t"/>
          <a:lstStyle/>
          <a:p>
            <a:pPr algn="l"/>
            <a:endParaRPr lang="en-GB" sz="1100"/>
          </a:p>
        </xdr:txBody>
      </xdr:sp>
      <xdr:sp macro="" textlink="$R$1">
        <xdr:nvSpPr>
          <xdr:cNvPr id="4" name="TextBox 3"/>
          <xdr:cNvSpPr txBox="1"/>
        </xdr:nvSpPr>
        <xdr:spPr>
          <a:xfrm>
            <a:off x="7377303" y="6115049"/>
            <a:ext cx="3595498"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fld id="{63B1BCF6-4FA2-4300-A41F-12861E9D32B9}" type="TxLink">
              <a:rPr lang="en-US" sz="1200" b="0" i="0" u="none" strike="noStrike">
                <a:solidFill>
                  <a:schemeClr val="bg1"/>
                </a:solidFill>
                <a:latin typeface="Calibri"/>
                <a:ea typeface="Verdana"/>
                <a:cs typeface="Calibri"/>
              </a:rPr>
              <a:pPr algn="r"/>
              <a:t>08:33AM Thursday 05 January 2017</a:t>
            </a:fld>
            <a:endParaRPr lang="en-GB" sz="1200" b="0">
              <a:solidFill>
                <a:schemeClr val="bg1"/>
              </a:solidFill>
            </a:endParaRPr>
          </a:p>
        </xdr:txBody>
      </xdr:sp>
    </xdr:grpSp>
    <xdr:clientData/>
  </xdr:twoCellAnchor>
  <xdr:twoCellAnchor editAs="oneCell">
    <xdr:from>
      <xdr:col>1</xdr:col>
      <xdr:colOff>0</xdr:colOff>
      <xdr:row>0</xdr:row>
      <xdr:rowOff>123825</xdr:rowOff>
    </xdr:from>
    <xdr:to>
      <xdr:col>18</xdr:col>
      <xdr:colOff>103425</xdr:colOff>
      <xdr:row>4</xdr:row>
      <xdr:rowOff>9525</xdr:rowOff>
    </xdr:to>
    <xdr:grpSp>
      <xdr:nvGrpSpPr>
        <xdr:cNvPr id="5" name="Group 4"/>
        <xdr:cNvGrpSpPr/>
      </xdr:nvGrpSpPr>
      <xdr:grpSpPr>
        <a:xfrm>
          <a:off x="95250" y="123825"/>
          <a:ext cx="10800000" cy="676275"/>
          <a:chOff x="95250" y="123825"/>
          <a:chExt cx="10803225" cy="666750"/>
        </a:xfrm>
      </xdr:grpSpPr>
      <xdr:sp macro="" textlink="">
        <xdr:nvSpPr>
          <xdr:cNvPr id="6" name="Round Same Side Corner Rectangle 5"/>
          <xdr:cNvSpPr/>
        </xdr:nvSpPr>
        <xdr:spPr>
          <a:xfrm>
            <a:off x="95250" y="123825"/>
            <a:ext cx="10800000" cy="666750"/>
          </a:xfrm>
          <a:prstGeom prst="round2SameRect">
            <a:avLst>
              <a:gd name="adj1" fmla="val 50000"/>
              <a:gd name="adj2" fmla="val 0"/>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lang="en-GB" sz="1000"/>
          </a:p>
        </xdr:txBody>
      </xdr:sp>
      <xdr:sp macro="" textlink="">
        <xdr:nvSpPr>
          <xdr:cNvPr id="7" name="Snip Single Corner Rectangle 6">
            <a:hlinkClick xmlns:r="http://schemas.openxmlformats.org/officeDocument/2006/relationships" r:id="rId1"/>
          </xdr:cNvPr>
          <xdr:cNvSpPr/>
        </xdr:nvSpPr>
        <xdr:spPr>
          <a:xfrm>
            <a:off x="104774" y="514350"/>
            <a:ext cx="1764000" cy="247649"/>
          </a:xfrm>
          <a:prstGeom prst="snip1Rect">
            <a:avLst>
              <a:gd name="adj" fmla="val 50000"/>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b"/>
          <a:lstStyle/>
          <a:p>
            <a:pPr algn="ctr"/>
            <a:r>
              <a:rPr lang="en-GB" sz="1000" b="0"/>
              <a:t>Population</a:t>
            </a:r>
          </a:p>
        </xdr:txBody>
      </xdr:sp>
      <xdr:sp macro="" textlink="">
        <xdr:nvSpPr>
          <xdr:cNvPr id="8" name="Snip Single Corner Rectangle 7">
            <a:hlinkClick xmlns:r="http://schemas.openxmlformats.org/officeDocument/2006/relationships" r:id="rId2"/>
          </xdr:cNvPr>
          <xdr:cNvSpPr/>
        </xdr:nvSpPr>
        <xdr:spPr>
          <a:xfrm>
            <a:off x="1910714" y="514350"/>
            <a:ext cx="1764000" cy="247649"/>
          </a:xfrm>
          <a:prstGeom prst="snip1Rect">
            <a:avLst>
              <a:gd name="adj" fmla="val 50000"/>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b"/>
          <a:lstStyle/>
          <a:p>
            <a:pPr algn="ctr"/>
            <a:r>
              <a:rPr lang="en-GB" sz="1000"/>
              <a:t>Family Structure</a:t>
            </a:r>
          </a:p>
        </xdr:txBody>
      </xdr:sp>
      <xdr:sp macro="" textlink="">
        <xdr:nvSpPr>
          <xdr:cNvPr id="9" name="Snip Single Corner Rectangle 8">
            <a:hlinkClick xmlns:r="http://schemas.openxmlformats.org/officeDocument/2006/relationships" r:id="rId3"/>
          </xdr:cNvPr>
          <xdr:cNvSpPr/>
        </xdr:nvSpPr>
        <xdr:spPr>
          <a:xfrm>
            <a:off x="3716654" y="514350"/>
            <a:ext cx="1764000" cy="247649"/>
          </a:xfrm>
          <a:prstGeom prst="snip1Rect">
            <a:avLst>
              <a:gd name="adj" fmla="val 50000"/>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b"/>
          <a:lstStyle/>
          <a:p>
            <a:pPr algn="ctr"/>
            <a:r>
              <a:rPr lang="en-GB" sz="1000"/>
              <a:t>Health Indicators</a:t>
            </a:r>
          </a:p>
        </xdr:txBody>
      </xdr:sp>
      <xdr:sp macro="" textlink="">
        <xdr:nvSpPr>
          <xdr:cNvPr id="10" name="Snip Single Corner Rectangle 9">
            <a:hlinkClick xmlns:r="http://schemas.openxmlformats.org/officeDocument/2006/relationships" r:id="rId4"/>
          </xdr:cNvPr>
          <xdr:cNvSpPr/>
        </xdr:nvSpPr>
        <xdr:spPr>
          <a:xfrm>
            <a:off x="5522594" y="514350"/>
            <a:ext cx="1764000" cy="247649"/>
          </a:xfrm>
          <a:prstGeom prst="snip1Rect">
            <a:avLst>
              <a:gd name="adj" fmla="val 50000"/>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b"/>
          <a:lstStyle/>
          <a:p>
            <a:pPr algn="ctr"/>
            <a:r>
              <a:rPr lang="en-GB" sz="1000"/>
              <a:t>Births and Early Years</a:t>
            </a:r>
          </a:p>
        </xdr:txBody>
      </xdr:sp>
      <xdr:sp macro="" textlink="">
        <xdr:nvSpPr>
          <xdr:cNvPr id="11" name="Snip Single Corner Rectangle 10"/>
          <xdr:cNvSpPr/>
        </xdr:nvSpPr>
        <xdr:spPr>
          <a:xfrm>
            <a:off x="7328534" y="514350"/>
            <a:ext cx="1764000" cy="247649"/>
          </a:xfrm>
          <a:prstGeom prst="snip1Rect">
            <a:avLst>
              <a:gd name="adj" fmla="val 50000"/>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b"/>
          <a:lstStyle/>
          <a:p>
            <a:pPr algn="ctr"/>
            <a:r>
              <a:rPr lang="en-GB" sz="1100" b="1"/>
              <a:t>Deprivation</a:t>
            </a:r>
          </a:p>
        </xdr:txBody>
      </xdr:sp>
      <xdr:sp macro="" textlink="">
        <xdr:nvSpPr>
          <xdr:cNvPr id="12" name="Snip Single Corner Rectangle 11">
            <a:hlinkClick xmlns:r="http://schemas.openxmlformats.org/officeDocument/2006/relationships" r:id="rId5"/>
          </xdr:cNvPr>
          <xdr:cNvSpPr/>
        </xdr:nvSpPr>
        <xdr:spPr>
          <a:xfrm>
            <a:off x="9134475" y="514350"/>
            <a:ext cx="1764000" cy="247649"/>
          </a:xfrm>
          <a:prstGeom prst="snip1Rect">
            <a:avLst>
              <a:gd name="adj" fmla="val 50000"/>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b"/>
          <a:lstStyle/>
          <a:p>
            <a:pPr algn="ctr"/>
            <a:r>
              <a:rPr lang="en-GB" sz="1000"/>
              <a:t>EYFS</a:t>
            </a:r>
          </a:p>
        </xdr:txBody>
      </xdr:sp>
      <xdr:cxnSp macro="">
        <xdr:nvCxnSpPr>
          <xdr:cNvPr id="13" name="Straight Connector 12"/>
          <xdr:cNvCxnSpPr/>
        </xdr:nvCxnSpPr>
        <xdr:spPr>
          <a:xfrm>
            <a:off x="95250" y="781050"/>
            <a:ext cx="10800000" cy="1"/>
          </a:xfrm>
          <a:prstGeom prst="line">
            <a:avLst/>
          </a:prstGeom>
          <a:ln>
            <a:solidFill>
              <a:schemeClr val="tx2"/>
            </a:solidFill>
          </a:ln>
        </xdr:spPr>
        <xdr:style>
          <a:lnRef idx="1">
            <a:schemeClr val="accent1"/>
          </a:lnRef>
          <a:fillRef idx="2">
            <a:schemeClr val="accent1"/>
          </a:fillRef>
          <a:effectRef idx="1">
            <a:schemeClr val="accent1"/>
          </a:effectRef>
          <a:fontRef idx="minor">
            <a:schemeClr val="dk1"/>
          </a:fontRef>
        </xdr:style>
      </xdr:cxnSp>
    </xdr:grpSp>
    <xdr:clientData/>
  </xdr:twoCellAnchor>
  <xdr:twoCellAnchor editAs="oneCell">
    <xdr:from>
      <xdr:col>2</xdr:col>
      <xdr:colOff>0</xdr:colOff>
      <xdr:row>9</xdr:row>
      <xdr:rowOff>45243</xdr:rowOff>
    </xdr:from>
    <xdr:to>
      <xdr:col>18</xdr:col>
      <xdr:colOff>1725</xdr:colOff>
      <xdr:row>17</xdr:row>
      <xdr:rowOff>1</xdr:rowOff>
    </xdr:to>
    <xdr:grpSp>
      <xdr:nvGrpSpPr>
        <xdr:cNvPr id="25" name="Group 24"/>
        <xdr:cNvGrpSpPr/>
      </xdr:nvGrpSpPr>
      <xdr:grpSpPr>
        <a:xfrm>
          <a:off x="209550" y="1788318"/>
          <a:ext cx="10584000" cy="1478758"/>
          <a:chOff x="95249" y="904875"/>
          <a:chExt cx="10800001" cy="1185933"/>
        </a:xfrm>
      </xdr:grpSpPr>
      <xdr:sp macro="" textlink="">
        <xdr:nvSpPr>
          <xdr:cNvPr id="26" name="TextBox 25"/>
          <xdr:cNvSpPr txBox="1"/>
        </xdr:nvSpPr>
        <xdr:spPr>
          <a:xfrm>
            <a:off x="95250" y="1106597"/>
            <a:ext cx="10800000" cy="98421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GB" sz="400" b="1"/>
          </a:p>
          <a:p>
            <a:r>
              <a:rPr lang="en-GB" sz="1100" b="1"/>
              <a:t>Source:</a:t>
            </a:r>
            <a:r>
              <a:rPr lang="en-GB" sz="1100" b="0" baseline="0"/>
              <a:t> 2010 and 2015 Index of Multiple Deprivation</a:t>
            </a:r>
          </a:p>
          <a:p>
            <a:endParaRPr lang="en-GB" sz="400" b="0" baseline="0"/>
          </a:p>
          <a:p>
            <a:r>
              <a:rPr lang="en-GB" sz="1100" b="0" baseline="0"/>
              <a:t>CFCs are ranked 1-10 in relation to the rest of the CFCs in the county. The higher the number the lower the deprivation (i.e. 10 = least deprived, 1 = most deprived). Areas with deprivation deciles of 2 or less are in the 20% most deprived in West Sussex.</a:t>
            </a:r>
          </a:p>
          <a:p>
            <a:endParaRPr lang="en-GB" sz="500" b="0" baseline="0"/>
          </a:p>
          <a:p>
            <a:r>
              <a:rPr lang="en-GB" sz="1100" b="0" baseline="0"/>
              <a:t>Note that the changes in deprivation over time (2010 to 2015) are relative to other areas. Therefore it is not necessarily correct to state that a CFC has increased/decreased in deprivation on some absolute scale, as it may be that it has become more/less deprived at a different rate to the other CFCs in the county</a:t>
            </a:r>
            <a:r>
              <a:rPr lang="en-GB" sz="1100" b="1" baseline="0"/>
              <a:t>.</a:t>
            </a:r>
            <a:endParaRPr lang="en-GB" sz="1100" b="0" baseline="0"/>
          </a:p>
        </xdr:txBody>
      </xdr:sp>
      <xdr:sp macro="" textlink="">
        <xdr:nvSpPr>
          <xdr:cNvPr id="27" name="Rectangle 26"/>
          <xdr:cNvSpPr/>
        </xdr:nvSpPr>
        <xdr:spPr>
          <a:xfrm>
            <a:off x="95249" y="904875"/>
            <a:ext cx="10800000" cy="228083"/>
          </a:xfrm>
          <a:prstGeom prst="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t"/>
          <a:lstStyle/>
          <a:p>
            <a:pPr algn="l"/>
            <a:r>
              <a:rPr lang="en-GB" sz="1100" b="1"/>
              <a:t>Deprivation -</a:t>
            </a:r>
            <a:r>
              <a:rPr lang="en-GB" sz="1100" b="1" baseline="0"/>
              <a:t> Index of Multiple Deprivation</a:t>
            </a:r>
            <a:endParaRPr lang="en-GB" sz="1100" b="1"/>
          </a:p>
        </xdr:txBody>
      </xdr:sp>
    </xdr:grpSp>
    <xdr:clientData/>
  </xdr:twoCellAnchor>
  <xdr:twoCellAnchor editAs="oneCell">
    <xdr:from>
      <xdr:col>2</xdr:col>
      <xdr:colOff>476250</xdr:colOff>
      <xdr:row>80</xdr:row>
      <xdr:rowOff>57151</xdr:rowOff>
    </xdr:from>
    <xdr:to>
      <xdr:col>17</xdr:col>
      <xdr:colOff>0</xdr:colOff>
      <xdr:row>86</xdr:row>
      <xdr:rowOff>9525</xdr:rowOff>
    </xdr:to>
    <xdr:sp macro="" textlink="">
      <xdr:nvSpPr>
        <xdr:cNvPr id="28" name="TextBox 27">
          <a:hlinkClick xmlns:r="http://schemas.openxmlformats.org/officeDocument/2006/relationships" r:id="rId6"/>
        </xdr:cNvPr>
        <xdr:cNvSpPr txBox="1"/>
      </xdr:nvSpPr>
      <xdr:spPr>
        <a:xfrm>
          <a:off x="685800" y="10220326"/>
          <a:ext cx="9382125" cy="1095374"/>
        </a:xfrm>
        <a:prstGeom prst="rect">
          <a:avLst/>
        </a:prstGeom>
        <a:ln/>
      </xdr:spPr>
      <xdr:style>
        <a:lnRef idx="1">
          <a:schemeClr val="accent1"/>
        </a:lnRef>
        <a:fillRef idx="2">
          <a:schemeClr val="accent1"/>
        </a:fillRef>
        <a:effectRef idx="1">
          <a:schemeClr val="accent1"/>
        </a:effectRef>
        <a:fontRef idx="minor">
          <a:schemeClr val="dk1"/>
        </a:fontRef>
      </xdr:style>
      <xdr:txBody>
        <a:bodyPr vertOverflow="clip" horzOverflow="clip" wrap="square" rtlCol="0" anchor="t"/>
        <a:lstStyle/>
        <a:p>
          <a:r>
            <a:rPr lang="en-GB" sz="1100" b="1">
              <a:solidFill>
                <a:schemeClr val="dk1"/>
              </a:solidFill>
              <a:effectLst/>
              <a:latin typeface="+mn-lt"/>
              <a:ea typeface="+mn-ea"/>
              <a:cs typeface="+mn-cs"/>
            </a:rPr>
            <a:t>Why supporting</a:t>
          </a:r>
          <a:r>
            <a:rPr lang="en-GB" sz="1100" b="1" baseline="0">
              <a:solidFill>
                <a:schemeClr val="dk1"/>
              </a:solidFill>
              <a:effectLst/>
              <a:latin typeface="+mn-lt"/>
              <a:ea typeface="+mn-ea"/>
              <a:cs typeface="+mn-cs"/>
            </a:rPr>
            <a:t> parents into employment is important:</a:t>
          </a:r>
        </a:p>
        <a:p>
          <a:endParaRPr lang="en-GB" sz="800">
            <a:effectLst/>
          </a:endParaRPr>
        </a:p>
        <a:p>
          <a:r>
            <a:rPr lang="en-GB" sz="1100">
              <a:solidFill>
                <a:schemeClr val="dk1"/>
              </a:solidFill>
              <a:effectLst/>
              <a:latin typeface="+mn-lt"/>
              <a:ea typeface="+mn-ea"/>
              <a:cs typeface="+mn-cs"/>
            </a:rPr>
            <a:t>Long-term worklessness and low-earnings are principal drivers of child poverty. Research suggests an association between growing up</a:t>
          </a:r>
        </a:p>
        <a:p>
          <a:r>
            <a:rPr lang="en-GB" sz="1100">
              <a:solidFill>
                <a:schemeClr val="dk1"/>
              </a:solidFill>
              <a:effectLst/>
              <a:latin typeface="+mn-lt"/>
              <a:ea typeface="+mn-ea"/>
              <a:cs typeface="+mn-cs"/>
            </a:rPr>
            <a:t>in a workless or low income household and poorer outcomes for children, however, there is no clear evidence for a direct causal</a:t>
          </a:r>
        </a:p>
        <a:p>
          <a:r>
            <a:rPr lang="en-GB" sz="1100">
              <a:solidFill>
                <a:schemeClr val="dk1"/>
              </a:solidFill>
              <a:effectLst/>
              <a:latin typeface="+mn-lt"/>
              <a:ea typeface="+mn-ea"/>
              <a:cs typeface="+mn-cs"/>
            </a:rPr>
            <a:t>relationship. See  the government</a:t>
          </a:r>
          <a:r>
            <a:rPr lang="en-GB" sz="1100" baseline="0">
              <a:solidFill>
                <a:schemeClr val="dk1"/>
              </a:solidFill>
              <a:effectLst/>
              <a:latin typeface="+mn-lt"/>
              <a:ea typeface="+mn-ea"/>
              <a:cs typeface="+mn-cs"/>
            </a:rPr>
            <a:t> report by the Department for Work and Pensions on </a:t>
          </a:r>
          <a:r>
            <a:rPr lang="en-GB" sz="1100" u="sng" baseline="0">
              <a:solidFill>
                <a:srgbClr val="191EE1"/>
              </a:solidFill>
              <a:effectLst/>
              <a:latin typeface="+mn-lt"/>
              <a:ea typeface="+mn-ea"/>
              <a:cs typeface="+mn-cs"/>
            </a:rPr>
            <a:t>Child Poverty </a:t>
          </a:r>
          <a:r>
            <a:rPr lang="en-GB" sz="1100" baseline="0">
              <a:solidFill>
                <a:schemeClr val="dk1"/>
              </a:solidFill>
              <a:effectLst/>
              <a:latin typeface="+mn-lt"/>
              <a:ea typeface="+mn-ea"/>
              <a:cs typeface="+mn-cs"/>
            </a:rPr>
            <a:t>for further information. </a:t>
          </a:r>
          <a:endParaRPr lang="en-GB" sz="1100">
            <a:solidFill>
              <a:schemeClr val="dk1"/>
            </a:solidFill>
            <a:effectLst/>
            <a:latin typeface="+mn-lt"/>
            <a:ea typeface="+mn-ea"/>
            <a:cs typeface="+mn-cs"/>
          </a:endParaRPr>
        </a:p>
      </xdr:txBody>
    </xdr:sp>
    <xdr:clientData/>
  </xdr:twoCellAnchor>
  <xdr:twoCellAnchor editAs="oneCell">
    <xdr:from>
      <xdr:col>2</xdr:col>
      <xdr:colOff>0</xdr:colOff>
      <xdr:row>78</xdr:row>
      <xdr:rowOff>0</xdr:rowOff>
    </xdr:from>
    <xdr:to>
      <xdr:col>18</xdr:col>
      <xdr:colOff>4816</xdr:colOff>
      <xdr:row>79</xdr:row>
      <xdr:rowOff>102099</xdr:rowOff>
    </xdr:to>
    <xdr:grpSp>
      <xdr:nvGrpSpPr>
        <xdr:cNvPr id="7168" name="Group 7167"/>
        <xdr:cNvGrpSpPr/>
      </xdr:nvGrpSpPr>
      <xdr:grpSpPr>
        <a:xfrm>
          <a:off x="209550" y="17345025"/>
          <a:ext cx="10587091" cy="292599"/>
          <a:chOff x="209550" y="9020175"/>
          <a:chExt cx="10587091" cy="292599"/>
        </a:xfrm>
      </xdr:grpSpPr>
      <xdr:sp macro="" textlink="">
        <xdr:nvSpPr>
          <xdr:cNvPr id="21" name="Rectangle 20"/>
          <xdr:cNvSpPr/>
        </xdr:nvSpPr>
        <xdr:spPr>
          <a:xfrm>
            <a:off x="209550" y="9020175"/>
            <a:ext cx="10583999" cy="287374"/>
          </a:xfrm>
          <a:prstGeom prst="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t"/>
          <a:lstStyle/>
          <a:p>
            <a:pPr algn="l"/>
            <a:r>
              <a:rPr lang="en-GB" sz="1100" b="1"/>
              <a:t>Children</a:t>
            </a:r>
            <a:r>
              <a:rPr lang="en-GB" sz="1100" b="1" baseline="0"/>
              <a:t> aged 0-4 in households on workless benefits  (Ofsted KPI)</a:t>
            </a:r>
            <a:endParaRPr lang="en-GB" sz="1100" b="1"/>
          </a:p>
        </xdr:txBody>
      </xdr:sp>
      <xdr:sp macro="" textlink="">
        <xdr:nvSpPr>
          <xdr:cNvPr id="29" name="TextBox 28">
            <a:hlinkClick xmlns:r="http://schemas.openxmlformats.org/officeDocument/2006/relationships" r:id="rId7"/>
          </xdr:cNvPr>
          <xdr:cNvSpPr txBox="1"/>
        </xdr:nvSpPr>
        <xdr:spPr>
          <a:xfrm>
            <a:off x="9477375" y="9020175"/>
            <a:ext cx="1319266" cy="2925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100" u="sng">
                <a:solidFill>
                  <a:schemeClr val="bg1"/>
                </a:solidFill>
              </a:rPr>
              <a:t>back to top</a:t>
            </a:r>
          </a:p>
        </xdr:txBody>
      </xdr:sp>
    </xdr:grpSp>
    <xdr:clientData/>
  </xdr:twoCellAnchor>
  <xdr:twoCellAnchor editAs="oneCell">
    <xdr:from>
      <xdr:col>2</xdr:col>
      <xdr:colOff>0</xdr:colOff>
      <xdr:row>55</xdr:row>
      <xdr:rowOff>161925</xdr:rowOff>
    </xdr:from>
    <xdr:to>
      <xdr:col>18</xdr:col>
      <xdr:colOff>4816</xdr:colOff>
      <xdr:row>66</xdr:row>
      <xdr:rowOff>47625</xdr:rowOff>
    </xdr:to>
    <xdr:grpSp>
      <xdr:nvGrpSpPr>
        <xdr:cNvPr id="7170" name="Group 7169"/>
        <xdr:cNvGrpSpPr/>
      </xdr:nvGrpSpPr>
      <xdr:grpSpPr>
        <a:xfrm>
          <a:off x="209550" y="12325350"/>
          <a:ext cx="10587091" cy="1981200"/>
          <a:chOff x="209550" y="3810000"/>
          <a:chExt cx="10587091" cy="1981200"/>
        </a:xfrm>
      </xdr:grpSpPr>
      <xdr:grpSp>
        <xdr:nvGrpSpPr>
          <xdr:cNvPr id="15" name="Group 14"/>
          <xdr:cNvGrpSpPr/>
        </xdr:nvGrpSpPr>
        <xdr:grpSpPr>
          <a:xfrm>
            <a:off x="209550" y="3810000"/>
            <a:ext cx="10584000" cy="1981200"/>
            <a:chOff x="95249" y="904875"/>
            <a:chExt cx="10800001" cy="1809667"/>
          </a:xfrm>
        </xdr:grpSpPr>
        <xdr:sp macro="" textlink="">
          <xdr:nvSpPr>
            <xdr:cNvPr id="16" name="TextBox 15"/>
            <xdr:cNvSpPr txBox="1"/>
          </xdr:nvSpPr>
          <xdr:spPr>
            <a:xfrm>
              <a:off x="95250" y="1190624"/>
              <a:ext cx="10800000" cy="152391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Data </a:t>
              </a:r>
              <a:r>
                <a:rPr lang="en-GB" sz="1100" baseline="0"/>
                <a:t>from the 2011 Census has been used to estimate local level deprivation, data are grouped into 4 main issues:</a:t>
              </a:r>
            </a:p>
            <a:p>
              <a:endParaRPr lang="en-GB" sz="1100" baseline="0"/>
            </a:p>
            <a:p>
              <a:r>
                <a:rPr lang="en-GB" sz="1100" baseline="0"/>
                <a:t>	1. </a:t>
              </a:r>
              <a:r>
                <a:rPr lang="en-GB" sz="1100" b="1" baseline="0"/>
                <a:t>Employment</a:t>
              </a:r>
              <a:r>
                <a:rPr lang="en-GB" sz="1100" b="0" baseline="0"/>
                <a:t>: Deprivation identified where any member of the household not a full-time student is either unemployed or long-term sick.</a:t>
              </a:r>
            </a:p>
            <a:p>
              <a:endParaRPr lang="en-GB" sz="300" b="0" baseline="0"/>
            </a:p>
            <a:p>
              <a:r>
                <a:rPr lang="en-GB" sz="1100" b="0" baseline="0"/>
                <a:t>	2. </a:t>
              </a:r>
              <a:r>
                <a:rPr lang="en-GB" sz="1100" b="1" baseline="0"/>
                <a:t>Education: </a:t>
              </a:r>
              <a:r>
                <a:rPr lang="en-GB" sz="1100" b="0" baseline="0"/>
                <a:t>Deprivation identified where no person in the household has at least level 2 education, and no person aged 16-18 is a full-time student</a:t>
              </a:r>
            </a:p>
            <a:p>
              <a:endParaRPr lang="en-GB" sz="300" b="0" baseline="0"/>
            </a:p>
            <a:p>
              <a:r>
                <a:rPr lang="en-GB" sz="1100" b="0" baseline="0"/>
                <a:t>	3. </a:t>
              </a:r>
              <a:r>
                <a:rPr lang="en-GB" sz="1100" b="1" baseline="0"/>
                <a:t>Health and disability: </a:t>
              </a:r>
              <a:r>
                <a:rPr lang="en-GB" sz="1100" b="0" baseline="0"/>
                <a:t>Deprivation identified where any person in the household has at least level 2 education, and no persons aged 16-18 is a full-time student</a:t>
              </a:r>
            </a:p>
            <a:p>
              <a:endParaRPr lang="en-GB" sz="300" b="0" baseline="0"/>
            </a:p>
            <a:p>
              <a:r>
                <a:rPr lang="en-GB" sz="1100" b="0" baseline="0"/>
                <a:t>	4. </a:t>
              </a:r>
              <a:r>
                <a:rPr lang="en-GB" sz="1100" b="1" baseline="0"/>
                <a:t>Household overcrowding: </a:t>
              </a:r>
              <a:r>
                <a:rPr lang="en-GB" sz="1100" b="0" baseline="0"/>
                <a:t>Deprivation identified when the household accommodation is either overcrowded, with an occupancy rating -1 or less, or is in a shared </a:t>
              </a:r>
            </a:p>
            <a:p>
              <a:r>
                <a:rPr lang="en-GB" sz="1100" b="0" baseline="0"/>
                <a:t>	dwelling, or has no central heating.</a:t>
              </a:r>
              <a:endParaRPr lang="en-GB" sz="1100"/>
            </a:p>
          </xdr:txBody>
        </xdr:sp>
        <xdr:sp macro="" textlink="">
          <xdr:nvSpPr>
            <xdr:cNvPr id="17" name="Rectangle 16"/>
            <xdr:cNvSpPr/>
          </xdr:nvSpPr>
          <xdr:spPr>
            <a:xfrm>
              <a:off x="95249" y="904875"/>
              <a:ext cx="10800000" cy="285750"/>
            </a:xfrm>
            <a:prstGeom prst="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t"/>
            <a:lstStyle/>
            <a:p>
              <a:pPr algn="l"/>
              <a:r>
                <a:rPr lang="en-GB" sz="1100" b="1"/>
                <a:t>Deprivation - Data Collated from the 2011 Census</a:t>
              </a:r>
            </a:p>
          </xdr:txBody>
        </xdr:sp>
      </xdr:grpSp>
      <xdr:sp macro="" textlink="">
        <xdr:nvSpPr>
          <xdr:cNvPr id="30" name="TextBox 29">
            <a:hlinkClick xmlns:r="http://schemas.openxmlformats.org/officeDocument/2006/relationships" r:id="rId7"/>
          </xdr:cNvPr>
          <xdr:cNvSpPr txBox="1"/>
        </xdr:nvSpPr>
        <xdr:spPr>
          <a:xfrm>
            <a:off x="9477375" y="3819525"/>
            <a:ext cx="1319266" cy="2925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100" u="sng">
                <a:solidFill>
                  <a:schemeClr val="bg1"/>
                </a:solidFill>
              </a:rPr>
              <a:t>back to top</a:t>
            </a:r>
          </a:p>
        </xdr:txBody>
      </xdr:sp>
    </xdr:grpSp>
    <xdr:clientData/>
  </xdr:twoCellAnchor>
  <xdr:twoCellAnchor editAs="oneCell">
    <xdr:from>
      <xdr:col>2</xdr:col>
      <xdr:colOff>0</xdr:colOff>
      <xdr:row>105</xdr:row>
      <xdr:rowOff>95250</xdr:rowOff>
    </xdr:from>
    <xdr:to>
      <xdr:col>18</xdr:col>
      <xdr:colOff>4816</xdr:colOff>
      <xdr:row>114</xdr:row>
      <xdr:rowOff>142876</xdr:rowOff>
    </xdr:to>
    <xdr:grpSp>
      <xdr:nvGrpSpPr>
        <xdr:cNvPr id="18" name="Group 17"/>
        <xdr:cNvGrpSpPr/>
      </xdr:nvGrpSpPr>
      <xdr:grpSpPr>
        <a:xfrm>
          <a:off x="209550" y="23612475"/>
          <a:ext cx="10587091" cy="1762126"/>
          <a:chOff x="209550" y="13439775"/>
          <a:chExt cx="10587091" cy="1762126"/>
        </a:xfrm>
      </xdr:grpSpPr>
      <xdr:grpSp>
        <xdr:nvGrpSpPr>
          <xdr:cNvPr id="22" name="Group 21"/>
          <xdr:cNvGrpSpPr/>
        </xdr:nvGrpSpPr>
        <xdr:grpSpPr>
          <a:xfrm>
            <a:off x="209550" y="13439775"/>
            <a:ext cx="10584000" cy="1762126"/>
            <a:chOff x="95249" y="904875"/>
            <a:chExt cx="10800001" cy="1676401"/>
          </a:xfrm>
        </xdr:grpSpPr>
        <xdr:sp macro="" textlink="">
          <xdr:nvSpPr>
            <xdr:cNvPr id="23" name="TextBox 22"/>
            <xdr:cNvSpPr txBox="1"/>
          </xdr:nvSpPr>
          <xdr:spPr>
            <a:xfrm>
              <a:off x="95250" y="1190626"/>
              <a:ext cx="10800000" cy="13906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GB" sz="1100"/>
            </a:p>
          </xdr:txBody>
        </xdr:sp>
        <xdr:sp macro="" textlink="">
          <xdr:nvSpPr>
            <xdr:cNvPr id="24" name="Rectangle 23"/>
            <xdr:cNvSpPr/>
          </xdr:nvSpPr>
          <xdr:spPr>
            <a:xfrm>
              <a:off x="95249" y="904875"/>
              <a:ext cx="10800000" cy="285750"/>
            </a:xfrm>
            <a:prstGeom prst="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t"/>
            <a:lstStyle/>
            <a:p>
              <a:pPr algn="l"/>
              <a:r>
                <a:rPr lang="en-GB" sz="1100" b="1"/>
                <a:t>Child Poverty (up</a:t>
              </a:r>
              <a:r>
                <a:rPr lang="en-GB" sz="1100" b="1" baseline="0"/>
                <a:t> to 2013)</a:t>
              </a:r>
              <a:endParaRPr lang="en-GB" sz="1100" b="1"/>
            </a:p>
          </xdr:txBody>
        </xdr:sp>
      </xdr:grpSp>
      <xdr:sp macro="" textlink="">
        <xdr:nvSpPr>
          <xdr:cNvPr id="31" name="TextBox 30">
            <a:hlinkClick xmlns:r="http://schemas.openxmlformats.org/officeDocument/2006/relationships" r:id="rId7"/>
          </xdr:cNvPr>
          <xdr:cNvSpPr txBox="1"/>
        </xdr:nvSpPr>
        <xdr:spPr>
          <a:xfrm>
            <a:off x="9477375" y="13449300"/>
            <a:ext cx="1319266" cy="2925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100" u="sng">
                <a:solidFill>
                  <a:schemeClr val="bg1"/>
                </a:solidFill>
              </a:rPr>
              <a:t>back to top</a:t>
            </a:r>
          </a:p>
        </xdr:txBody>
      </xdr:sp>
    </xdr:grpSp>
    <xdr:clientData/>
  </xdr:twoCellAnchor>
  <xdr:twoCellAnchor editAs="oneCell">
    <xdr:from>
      <xdr:col>11</xdr:col>
      <xdr:colOff>104775</xdr:colOff>
      <xdr:row>91</xdr:row>
      <xdr:rowOff>9525</xdr:rowOff>
    </xdr:from>
    <xdr:to>
      <xdr:col>18</xdr:col>
      <xdr:colOff>9525</xdr:colOff>
      <xdr:row>100</xdr:row>
      <xdr:rowOff>180975</xdr:rowOff>
    </xdr:to>
    <xdr:graphicFrame macro="">
      <xdr:nvGraphicFramePr>
        <xdr:cNvPr id="7173" name="Chart 717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12</xdr:col>
      <xdr:colOff>28575</xdr:colOff>
      <xdr:row>88</xdr:row>
      <xdr:rowOff>1</xdr:rowOff>
    </xdr:from>
    <xdr:to>
      <xdr:col>17</xdr:col>
      <xdr:colOff>609600</xdr:colOff>
      <xdr:row>90</xdr:row>
      <xdr:rowOff>57151</xdr:rowOff>
    </xdr:to>
    <xdr:sp macro="" textlink="">
      <xdr:nvSpPr>
        <xdr:cNvPr id="7174" name="TextBox 7173"/>
        <xdr:cNvSpPr txBox="1"/>
      </xdr:nvSpPr>
      <xdr:spPr>
        <a:xfrm>
          <a:off x="6810375" y="10353676"/>
          <a:ext cx="3867150" cy="4381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100" b="1"/>
            <a:t>Number of Children living in all Out-of-work Benefit Claimant Households by Local Authority and Age (at May 31st)</a:t>
          </a:r>
        </a:p>
      </xdr:txBody>
    </xdr:sp>
    <xdr:clientData/>
  </xdr:twoCellAnchor>
  <xdr:twoCellAnchor editAs="oneCell">
    <xdr:from>
      <xdr:col>2</xdr:col>
      <xdr:colOff>447675</xdr:colOff>
      <xdr:row>108</xdr:row>
      <xdr:rowOff>57150</xdr:rowOff>
    </xdr:from>
    <xdr:to>
      <xdr:col>17</xdr:col>
      <xdr:colOff>201300</xdr:colOff>
      <xdr:row>114</xdr:row>
      <xdr:rowOff>95250</xdr:rowOff>
    </xdr:to>
    <xdr:sp macro="" textlink="">
      <xdr:nvSpPr>
        <xdr:cNvPr id="35" name="TextBox 34">
          <a:hlinkClick xmlns:r="http://schemas.openxmlformats.org/officeDocument/2006/relationships" r:id="rId9"/>
        </xdr:cNvPr>
        <xdr:cNvSpPr txBox="1"/>
      </xdr:nvSpPr>
      <xdr:spPr>
        <a:xfrm>
          <a:off x="657225" y="16030575"/>
          <a:ext cx="9612000" cy="1181100"/>
        </a:xfrm>
        <a:prstGeom prst="rect">
          <a:avLst/>
        </a:prstGeom>
        <a:ln/>
      </xdr:spPr>
      <xdr:style>
        <a:lnRef idx="1">
          <a:schemeClr val="accent1"/>
        </a:lnRef>
        <a:fillRef idx="2">
          <a:schemeClr val="accent1"/>
        </a:fillRef>
        <a:effectRef idx="1">
          <a:schemeClr val="accent1"/>
        </a:effectRef>
        <a:fontRef idx="minor">
          <a:schemeClr val="dk1"/>
        </a:fontRef>
      </xdr:style>
      <xdr:txBody>
        <a:bodyPr vertOverflow="clip" horzOverflow="clip" wrap="square" rtlCol="0" anchor="t"/>
        <a:lstStyle/>
        <a:p>
          <a:r>
            <a:rPr lang="en-GB" sz="1100" b="1"/>
            <a:t>Why</a:t>
          </a:r>
          <a:r>
            <a:rPr lang="en-GB" sz="1100" b="1" baseline="0"/>
            <a:t> is child poverty important?</a:t>
          </a:r>
        </a:p>
        <a:p>
          <a:endParaRPr lang="en-GB" sz="400" b="0" baseline="0"/>
        </a:p>
        <a:p>
          <a:r>
            <a:rPr lang="en-GB" sz="1100">
              <a:solidFill>
                <a:schemeClr val="dk1"/>
              </a:solidFill>
              <a:effectLst/>
              <a:latin typeface="+mn-lt"/>
              <a:ea typeface="+mn-ea"/>
              <a:cs typeface="+mn-cs"/>
            </a:rPr>
            <a:t>Children growing up in poverty are more likely to experience a poorer quality of life, both as a child and later as an adult. The impact of poverty includes poor health throughout life, including dying younger than expected; low educational achievement; lower levels of employment and income; living in poorer housing and community environments; long term financial and social exclusion; and can lead to behavioural problems including a high risk lifestyle. See the</a:t>
          </a:r>
          <a:r>
            <a:rPr lang="en-GB" sz="1100" baseline="0">
              <a:solidFill>
                <a:schemeClr val="dk1"/>
              </a:solidFill>
              <a:effectLst/>
              <a:latin typeface="+mn-lt"/>
              <a:ea typeface="+mn-ea"/>
              <a:cs typeface="+mn-cs"/>
            </a:rPr>
            <a:t> </a:t>
          </a:r>
          <a:r>
            <a:rPr lang="en-GB" sz="1100" u="sng" baseline="0">
              <a:solidFill>
                <a:srgbClr val="191EE1"/>
              </a:solidFill>
              <a:effectLst/>
              <a:latin typeface="+mn-lt"/>
              <a:ea typeface="+mn-ea"/>
              <a:cs typeface="+mn-cs"/>
            </a:rPr>
            <a:t>Field Review:  The Foundation Years: Preventing Poor Children Becoming Poor Adults </a:t>
          </a:r>
          <a:r>
            <a:rPr lang="en-GB" sz="1100" u="none" baseline="0">
              <a:solidFill>
                <a:sysClr val="windowText" lastClr="000000"/>
              </a:solidFill>
              <a:effectLst/>
              <a:latin typeface="+mn-lt"/>
              <a:ea typeface="+mn-ea"/>
              <a:cs typeface="+mn-cs"/>
            </a:rPr>
            <a:t> for further information.</a:t>
          </a:r>
          <a:endParaRPr lang="en-GB" sz="1100" u="sng">
            <a:solidFill>
              <a:srgbClr val="191EE1"/>
            </a:solidFill>
            <a:effectLst/>
            <a:latin typeface="+mn-lt"/>
            <a:ea typeface="+mn-ea"/>
            <a:cs typeface="+mn-cs"/>
          </a:endParaRPr>
        </a:p>
      </xdr:txBody>
    </xdr:sp>
    <xdr:clientData/>
  </xdr:twoCellAnchor>
  <xdr:twoCellAnchor editAs="oneCell">
    <xdr:from>
      <xdr:col>2</xdr:col>
      <xdr:colOff>571499</xdr:colOff>
      <xdr:row>131</xdr:row>
      <xdr:rowOff>176212</xdr:rowOff>
    </xdr:from>
    <xdr:to>
      <xdr:col>17</xdr:col>
      <xdr:colOff>152399</xdr:colOff>
      <xdr:row>146</xdr:row>
      <xdr:rowOff>61912</xdr:rowOff>
    </xdr:to>
    <xdr:graphicFrame macro="">
      <xdr:nvGraphicFramePr>
        <xdr:cNvPr id="19" name="Chart 1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oneCell">
    <xdr:from>
      <xdr:col>15</xdr:col>
      <xdr:colOff>9525</xdr:colOff>
      <xdr:row>81</xdr:row>
      <xdr:rowOff>171450</xdr:rowOff>
    </xdr:from>
    <xdr:to>
      <xdr:col>16</xdr:col>
      <xdr:colOff>384175</xdr:colOff>
      <xdr:row>84</xdr:row>
      <xdr:rowOff>47625</xdr:rowOff>
    </xdr:to>
    <xdr:sp macro="" textlink="">
      <xdr:nvSpPr>
        <xdr:cNvPr id="37" name="Rectangle 36"/>
        <xdr:cNvSpPr/>
      </xdr:nvSpPr>
      <xdr:spPr>
        <a:xfrm>
          <a:off x="8763000" y="10525125"/>
          <a:ext cx="1031875" cy="447675"/>
        </a:xfrm>
        <a:prstGeom prst="rect">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lang="en-GB" sz="1100" b="1"/>
            <a:t>OFSTED</a:t>
          </a:r>
          <a:r>
            <a:rPr lang="en-GB" sz="1100" b="1" baseline="0"/>
            <a:t> KPI</a:t>
          </a:r>
          <a:endParaRPr lang="en-GB" sz="1100" b="1"/>
        </a:p>
      </xdr:txBody>
    </xdr:sp>
    <xdr:clientData/>
  </xdr:twoCellAnchor>
  <mc:AlternateContent xmlns:mc="http://schemas.openxmlformats.org/markup-compatibility/2006">
    <mc:Choice xmlns:a14="http://schemas.microsoft.com/office/drawing/2010/main" Requires="a14">
      <xdr:twoCellAnchor editAs="oneCell">
        <xdr:from>
          <xdr:col>5</xdr:col>
          <xdr:colOff>561975</xdr:colOff>
          <xdr:row>4</xdr:row>
          <xdr:rowOff>180975</xdr:rowOff>
        </xdr:from>
        <xdr:to>
          <xdr:col>10</xdr:col>
          <xdr:colOff>447675</xdr:colOff>
          <xdr:row>6</xdr:row>
          <xdr:rowOff>66675</xdr:rowOff>
        </xdr:to>
        <xdr:sp macro="" textlink="">
          <xdr:nvSpPr>
            <xdr:cNvPr id="7172" name="Drop Down 4" hidden="1">
              <a:extLst>
                <a:ext uri="{63B3BB69-23CF-44E3-9099-C40C66FF867C}">
                  <a14:compatExt spid="_x0000_s717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561975</xdr:colOff>
          <xdr:row>6</xdr:row>
          <xdr:rowOff>161925</xdr:rowOff>
        </xdr:from>
        <xdr:to>
          <xdr:col>10</xdr:col>
          <xdr:colOff>447675</xdr:colOff>
          <xdr:row>8</xdr:row>
          <xdr:rowOff>47625</xdr:rowOff>
        </xdr:to>
        <xdr:sp macro="" textlink="">
          <xdr:nvSpPr>
            <xdr:cNvPr id="14" name="Drop Down 5" hidden="1">
              <a:extLst>
                <a:ext uri="{63B3BB69-23CF-44E3-9099-C40C66FF867C}">
                  <a14:compatExt spid="_x0000_s7173"/>
                </a:ext>
              </a:extLst>
            </xdr:cNvPr>
            <xdr:cNvSpPr/>
          </xdr:nvSpPr>
          <xdr:spPr>
            <a:xfrm>
              <a:off x="0" y="0"/>
              <a:ext cx="0" cy="0"/>
            </a:xfrm>
            <a:prstGeom prst="rect">
              <a:avLst/>
            </a:prstGeom>
          </xdr:spPr>
        </xdr:sp>
        <xdr:clientData/>
      </xdr:twoCellAnchor>
    </mc:Choice>
    <mc:Fallback/>
  </mc:AlternateContent>
  <xdr:twoCellAnchor editAs="oneCell">
    <xdr:from>
      <xdr:col>11</xdr:col>
      <xdr:colOff>221452</xdr:colOff>
      <xdr:row>4</xdr:row>
      <xdr:rowOff>178594</xdr:rowOff>
    </xdr:from>
    <xdr:to>
      <xdr:col>12</xdr:col>
      <xdr:colOff>114296</xdr:colOff>
      <xdr:row>6</xdr:row>
      <xdr:rowOff>111919</xdr:rowOff>
    </xdr:to>
    <xdr:sp macro="" textlink="">
      <xdr:nvSpPr>
        <xdr:cNvPr id="46" name="Left Arrow 45"/>
        <xdr:cNvSpPr/>
      </xdr:nvSpPr>
      <xdr:spPr>
        <a:xfrm>
          <a:off x="6329358" y="964407"/>
          <a:ext cx="547688" cy="314325"/>
        </a:xfrm>
        <a:prstGeom prst="leftArrow">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t"/>
        <a:lstStyle/>
        <a:p>
          <a:pPr algn="l"/>
          <a:endParaRPr lang="en-GB" sz="1100"/>
        </a:p>
      </xdr:txBody>
    </xdr:sp>
    <xdr:clientData/>
  </xdr:twoCellAnchor>
  <xdr:twoCellAnchor editAs="oneCell">
    <xdr:from>
      <xdr:col>12</xdr:col>
      <xdr:colOff>123820</xdr:colOff>
      <xdr:row>5</xdr:row>
      <xdr:rowOff>16670</xdr:rowOff>
    </xdr:from>
    <xdr:to>
      <xdr:col>17</xdr:col>
      <xdr:colOff>697700</xdr:colOff>
      <xdr:row>6</xdr:row>
      <xdr:rowOff>83344</xdr:rowOff>
    </xdr:to>
    <xdr:sp macro="" textlink="">
      <xdr:nvSpPr>
        <xdr:cNvPr id="47" name="TextBox 46"/>
        <xdr:cNvSpPr txBox="1"/>
      </xdr:nvSpPr>
      <xdr:spPr>
        <a:xfrm>
          <a:off x="6886570" y="992983"/>
          <a:ext cx="3848099" cy="2571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solidFill>
            </a:rPr>
            <a:t>Your current</a:t>
          </a:r>
          <a:r>
            <a:rPr lang="en-GB" sz="1100" b="1" baseline="0">
              <a:solidFill>
                <a:schemeClr val="bg1"/>
              </a:solidFill>
            </a:rPr>
            <a:t> selection</a:t>
          </a:r>
          <a:endParaRPr lang="en-GB" sz="1100" b="1">
            <a:solidFill>
              <a:schemeClr val="bg1"/>
            </a:solidFill>
          </a:endParaRPr>
        </a:p>
      </xdr:txBody>
    </xdr:sp>
    <xdr:clientData/>
  </xdr:twoCellAnchor>
  <xdr:twoCellAnchor editAs="oneCell">
    <xdr:from>
      <xdr:col>11</xdr:col>
      <xdr:colOff>219071</xdr:colOff>
      <xdr:row>6</xdr:row>
      <xdr:rowOff>116681</xdr:rowOff>
    </xdr:from>
    <xdr:to>
      <xdr:col>12</xdr:col>
      <xdr:colOff>111915</xdr:colOff>
      <xdr:row>8</xdr:row>
      <xdr:rowOff>50006</xdr:rowOff>
    </xdr:to>
    <xdr:sp macro="" textlink="">
      <xdr:nvSpPr>
        <xdr:cNvPr id="48" name="Left Arrow 47"/>
        <xdr:cNvSpPr/>
      </xdr:nvSpPr>
      <xdr:spPr>
        <a:xfrm>
          <a:off x="6326977" y="1283494"/>
          <a:ext cx="547688" cy="314325"/>
        </a:xfrm>
        <a:prstGeom prst="leftArrow">
          <a:avLst/>
        </a:prstGeom>
      </xdr:spPr>
      <xdr:style>
        <a:lnRef idx="0">
          <a:schemeClr val="accent4"/>
        </a:lnRef>
        <a:fillRef idx="3">
          <a:schemeClr val="accent4"/>
        </a:fillRef>
        <a:effectRef idx="3">
          <a:schemeClr val="accent4"/>
        </a:effectRef>
        <a:fontRef idx="minor">
          <a:schemeClr val="lt1"/>
        </a:fontRef>
      </xdr:style>
      <xdr:txBody>
        <a:bodyPr vertOverflow="clip" horzOverflow="clip" rtlCol="0" anchor="t"/>
        <a:lstStyle/>
        <a:p>
          <a:pPr algn="l"/>
          <a:endParaRPr lang="en-GB" sz="1100"/>
        </a:p>
      </xdr:txBody>
    </xdr:sp>
    <xdr:clientData/>
  </xdr:twoCellAnchor>
  <xdr:twoCellAnchor editAs="oneCell">
    <xdr:from>
      <xdr:col>12</xdr:col>
      <xdr:colOff>121440</xdr:colOff>
      <xdr:row>6</xdr:row>
      <xdr:rowOff>145256</xdr:rowOff>
    </xdr:from>
    <xdr:to>
      <xdr:col>15</xdr:col>
      <xdr:colOff>28571</xdr:colOff>
      <xdr:row>8</xdr:row>
      <xdr:rowOff>21431</xdr:rowOff>
    </xdr:to>
    <xdr:sp macro="" textlink="">
      <xdr:nvSpPr>
        <xdr:cNvPr id="49" name="TextBox 48"/>
        <xdr:cNvSpPr txBox="1"/>
      </xdr:nvSpPr>
      <xdr:spPr>
        <a:xfrm>
          <a:off x="6884190" y="1312069"/>
          <a:ext cx="1871662"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solidFill>
            </a:rPr>
            <a:t>Your current selection</a:t>
          </a:r>
        </a:p>
      </xdr:txBody>
    </xdr:sp>
    <xdr:clientData/>
  </xdr:twoCellAnchor>
  <xdr:twoCellAnchor editAs="oneCell">
    <xdr:from>
      <xdr:col>15</xdr:col>
      <xdr:colOff>38100</xdr:colOff>
      <xdr:row>1</xdr:row>
      <xdr:rowOff>19050</xdr:rowOff>
    </xdr:from>
    <xdr:to>
      <xdr:col>17</xdr:col>
      <xdr:colOff>581025</xdr:colOff>
      <xdr:row>2</xdr:row>
      <xdr:rowOff>47625</xdr:rowOff>
    </xdr:to>
    <xdr:sp macro="" textlink="">
      <xdr:nvSpPr>
        <xdr:cNvPr id="44" name="Rectangle 43">
          <a:hlinkClick xmlns:r="http://schemas.openxmlformats.org/officeDocument/2006/relationships" r:id="rId11"/>
        </xdr:cNvPr>
        <xdr:cNvSpPr/>
      </xdr:nvSpPr>
      <xdr:spPr>
        <a:xfrm>
          <a:off x="8791575" y="209550"/>
          <a:ext cx="1857375" cy="247650"/>
        </a:xfrm>
        <a:prstGeom prst="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t"/>
        <a:lstStyle/>
        <a:p>
          <a:pPr algn="ctr"/>
          <a:r>
            <a:rPr lang="en-GB" sz="1100"/>
            <a:t>Go</a:t>
          </a:r>
          <a:r>
            <a:rPr lang="en-GB" sz="1100" baseline="0"/>
            <a:t> to the data</a:t>
          </a:r>
          <a:endParaRPr lang="en-GB" sz="1100"/>
        </a:p>
      </xdr:txBody>
    </xdr:sp>
    <xdr:clientData/>
  </xdr:twoCellAnchor>
  <xdr:twoCellAnchor>
    <xdr:from>
      <xdr:col>2</xdr:col>
      <xdr:colOff>176742</xdr:colOff>
      <xdr:row>0</xdr:row>
      <xdr:rowOff>150284</xdr:rowOff>
    </xdr:from>
    <xdr:to>
      <xdr:col>11</xdr:col>
      <xdr:colOff>5373</xdr:colOff>
      <xdr:row>2</xdr:row>
      <xdr:rowOff>66010</xdr:rowOff>
    </xdr:to>
    <xdr:sp macro="" textlink="">
      <xdr:nvSpPr>
        <xdr:cNvPr id="45" name="TextBox 44"/>
        <xdr:cNvSpPr txBox="1"/>
      </xdr:nvSpPr>
      <xdr:spPr>
        <a:xfrm>
          <a:off x="386292" y="150284"/>
          <a:ext cx="5743656" cy="3253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400" b="1"/>
            <a:t>Children's Workforce Public Health Profiles : </a:t>
          </a:r>
          <a:r>
            <a:rPr lang="en-GB" sz="1400" b="0"/>
            <a:t>Deprivation</a:t>
          </a:r>
        </a:p>
      </xdr:txBody>
    </xdr:sp>
    <xdr:clientData/>
  </xdr:twoCellAnchor>
  <xdr:twoCellAnchor>
    <xdr:from>
      <xdr:col>1</xdr:col>
      <xdr:colOff>112576</xdr:colOff>
      <xdr:row>27</xdr:row>
      <xdr:rowOff>0</xdr:rowOff>
    </xdr:from>
    <xdr:to>
      <xdr:col>18</xdr:col>
      <xdr:colOff>0</xdr:colOff>
      <xdr:row>28</xdr:row>
      <xdr:rowOff>122335</xdr:rowOff>
    </xdr:to>
    <xdr:sp macro="" textlink="">
      <xdr:nvSpPr>
        <xdr:cNvPr id="50" name="Rectangle 49"/>
        <xdr:cNvSpPr/>
      </xdr:nvSpPr>
      <xdr:spPr>
        <a:xfrm>
          <a:off x="207826" y="5172075"/>
          <a:ext cx="10583999" cy="312835"/>
        </a:xfrm>
        <a:prstGeom prst="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t"/>
        <a:lstStyle/>
        <a:p>
          <a:pPr algn="l"/>
          <a:r>
            <a:rPr lang="en-GB" sz="1100" b="1"/>
            <a:t>Income Deprivation Affecting Children</a:t>
          </a:r>
          <a:r>
            <a:rPr lang="en-GB" sz="1100" b="1" baseline="0"/>
            <a:t> Index (IDACI)</a:t>
          </a:r>
        </a:p>
        <a:p>
          <a:pPr algn="l"/>
          <a:endParaRPr lang="en-GB" sz="1100" b="1"/>
        </a:p>
      </xdr:txBody>
    </xdr:sp>
    <xdr:clientData/>
  </xdr:twoCellAnchor>
  <xdr:twoCellAnchor>
    <xdr:from>
      <xdr:col>16</xdr:col>
      <xdr:colOff>61859</xdr:colOff>
      <xdr:row>27</xdr:row>
      <xdr:rowOff>0</xdr:rowOff>
    </xdr:from>
    <xdr:to>
      <xdr:col>18</xdr:col>
      <xdr:colOff>0</xdr:colOff>
      <xdr:row>28</xdr:row>
      <xdr:rowOff>102099</xdr:rowOff>
    </xdr:to>
    <xdr:sp macro="" textlink="">
      <xdr:nvSpPr>
        <xdr:cNvPr id="52" name="TextBox 51">
          <a:hlinkClick xmlns:r="http://schemas.openxmlformats.org/officeDocument/2006/relationships" r:id="rId7"/>
        </xdr:cNvPr>
        <xdr:cNvSpPr txBox="1"/>
      </xdr:nvSpPr>
      <xdr:spPr>
        <a:xfrm>
          <a:off x="9472559" y="5172075"/>
          <a:ext cx="1319266" cy="2925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100" u="sng">
              <a:solidFill>
                <a:schemeClr val="bg1"/>
              </a:solidFill>
            </a:rPr>
            <a:t>back to top</a:t>
          </a:r>
        </a:p>
      </xdr:txBody>
    </xdr:sp>
    <xdr:clientData/>
  </xdr:twoCellAnchor>
</xdr:wsDr>
</file>

<file path=xl/drawings/drawing9.xml><?xml version="1.0" encoding="utf-8"?>
<xdr:wsDr xmlns:xdr="http://schemas.openxmlformats.org/drawingml/2006/spreadsheetDrawing" xmlns:a="http://schemas.openxmlformats.org/drawingml/2006/main">
  <xdr:twoCellAnchor editAs="oneCell">
    <xdr:from>
      <xdr:col>1</xdr:col>
      <xdr:colOff>2</xdr:colOff>
      <xdr:row>112</xdr:row>
      <xdr:rowOff>155473</xdr:rowOff>
    </xdr:from>
    <xdr:to>
      <xdr:col>20</xdr:col>
      <xdr:colOff>8178</xdr:colOff>
      <xdr:row>114</xdr:row>
      <xdr:rowOff>106788</xdr:rowOff>
    </xdr:to>
    <xdr:grpSp>
      <xdr:nvGrpSpPr>
        <xdr:cNvPr id="34" name="Group 33"/>
        <xdr:cNvGrpSpPr/>
      </xdr:nvGrpSpPr>
      <xdr:grpSpPr>
        <a:xfrm>
          <a:off x="95252" y="23958448"/>
          <a:ext cx="10819051" cy="313265"/>
          <a:chOff x="9524" y="6115049"/>
          <a:chExt cx="10963277" cy="314325"/>
        </a:xfrm>
      </xdr:grpSpPr>
      <xdr:sp macro="" textlink="">
        <xdr:nvSpPr>
          <xdr:cNvPr id="10" name="Round Same Side Corner Rectangle 9"/>
          <xdr:cNvSpPr/>
        </xdr:nvSpPr>
        <xdr:spPr>
          <a:xfrm flipV="1">
            <a:off x="9524" y="6124573"/>
            <a:ext cx="10958850" cy="238125"/>
          </a:xfrm>
          <a:prstGeom prst="round2SameRect">
            <a:avLst/>
          </a:prstGeom>
          <a:ln/>
        </xdr:spPr>
        <xdr:style>
          <a:lnRef idx="0">
            <a:schemeClr val="accent1"/>
          </a:lnRef>
          <a:fillRef idx="3">
            <a:schemeClr val="accent1"/>
          </a:fillRef>
          <a:effectRef idx="3">
            <a:schemeClr val="accent1"/>
          </a:effectRef>
          <a:fontRef idx="minor">
            <a:schemeClr val="lt1"/>
          </a:fontRef>
        </xdr:style>
        <xdr:txBody>
          <a:bodyPr vertOverflow="clip" horzOverflow="clip" rtlCol="0" anchor="t"/>
          <a:lstStyle/>
          <a:p>
            <a:pPr algn="l"/>
            <a:endParaRPr lang="en-GB" sz="1100"/>
          </a:p>
        </xdr:txBody>
      </xdr:sp>
      <xdr:sp macro="" textlink="$R$1">
        <xdr:nvSpPr>
          <xdr:cNvPr id="11" name="TextBox 10"/>
          <xdr:cNvSpPr txBox="1"/>
        </xdr:nvSpPr>
        <xdr:spPr>
          <a:xfrm>
            <a:off x="7933794" y="6115049"/>
            <a:ext cx="3039007"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fld id="{63B1BCF6-4FA2-4300-A41F-12861E9D32B9}" type="TxLink">
              <a:rPr lang="en-US" sz="1200" b="0" i="0" u="none" strike="noStrike">
                <a:solidFill>
                  <a:schemeClr val="bg1"/>
                </a:solidFill>
                <a:latin typeface="Calibri"/>
                <a:ea typeface="Verdana"/>
                <a:cs typeface="Calibri"/>
              </a:rPr>
              <a:pPr algn="r"/>
              <a:t>08:33AM Thursday 05 January 2017</a:t>
            </a:fld>
            <a:endParaRPr lang="en-GB" sz="1200" b="0">
              <a:solidFill>
                <a:schemeClr val="bg1"/>
              </a:solidFill>
            </a:endParaRPr>
          </a:p>
        </xdr:txBody>
      </xdr:sp>
    </xdr:grpSp>
    <xdr:clientData/>
  </xdr:twoCellAnchor>
  <xdr:twoCellAnchor editAs="oneCell">
    <xdr:from>
      <xdr:col>1</xdr:col>
      <xdr:colOff>0</xdr:colOff>
      <xdr:row>0</xdr:row>
      <xdr:rowOff>123825</xdr:rowOff>
    </xdr:from>
    <xdr:to>
      <xdr:col>20</xdr:col>
      <xdr:colOff>8175</xdr:colOff>
      <xdr:row>4</xdr:row>
      <xdr:rowOff>9525</xdr:rowOff>
    </xdr:to>
    <xdr:grpSp>
      <xdr:nvGrpSpPr>
        <xdr:cNvPr id="33" name="Group 32"/>
        <xdr:cNvGrpSpPr/>
      </xdr:nvGrpSpPr>
      <xdr:grpSpPr>
        <a:xfrm>
          <a:off x="95250" y="123825"/>
          <a:ext cx="10819050" cy="676275"/>
          <a:chOff x="95250" y="123825"/>
          <a:chExt cx="10803225" cy="666750"/>
        </a:xfrm>
      </xdr:grpSpPr>
      <xdr:sp macro="" textlink="">
        <xdr:nvSpPr>
          <xdr:cNvPr id="13" name="Round Same Side Corner Rectangle 12"/>
          <xdr:cNvSpPr/>
        </xdr:nvSpPr>
        <xdr:spPr>
          <a:xfrm>
            <a:off x="95250" y="123825"/>
            <a:ext cx="10800000" cy="666750"/>
          </a:xfrm>
          <a:prstGeom prst="round2SameRect">
            <a:avLst>
              <a:gd name="adj1" fmla="val 50000"/>
              <a:gd name="adj2" fmla="val 0"/>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lang="en-GB" sz="1000"/>
          </a:p>
        </xdr:txBody>
      </xdr:sp>
      <xdr:sp macro="" textlink="">
        <xdr:nvSpPr>
          <xdr:cNvPr id="18" name="Snip Single Corner Rectangle 17">
            <a:hlinkClick xmlns:r="http://schemas.openxmlformats.org/officeDocument/2006/relationships" r:id="rId1"/>
          </xdr:cNvPr>
          <xdr:cNvSpPr/>
        </xdr:nvSpPr>
        <xdr:spPr>
          <a:xfrm>
            <a:off x="104774" y="514350"/>
            <a:ext cx="1764000" cy="247649"/>
          </a:xfrm>
          <a:prstGeom prst="snip1Rect">
            <a:avLst>
              <a:gd name="adj" fmla="val 50000"/>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b"/>
          <a:lstStyle/>
          <a:p>
            <a:pPr algn="ctr"/>
            <a:r>
              <a:rPr lang="en-GB" sz="1000" b="0"/>
              <a:t>Population</a:t>
            </a:r>
          </a:p>
        </xdr:txBody>
      </xdr:sp>
      <xdr:sp macro="" textlink="">
        <xdr:nvSpPr>
          <xdr:cNvPr id="25" name="Snip Single Corner Rectangle 24">
            <a:hlinkClick xmlns:r="http://schemas.openxmlformats.org/officeDocument/2006/relationships" r:id="rId2"/>
          </xdr:cNvPr>
          <xdr:cNvSpPr/>
        </xdr:nvSpPr>
        <xdr:spPr>
          <a:xfrm>
            <a:off x="1910714" y="514350"/>
            <a:ext cx="1764000" cy="247649"/>
          </a:xfrm>
          <a:prstGeom prst="snip1Rect">
            <a:avLst>
              <a:gd name="adj" fmla="val 50000"/>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b"/>
          <a:lstStyle/>
          <a:p>
            <a:pPr algn="ctr"/>
            <a:r>
              <a:rPr lang="en-GB" sz="1000"/>
              <a:t>Family Structure</a:t>
            </a:r>
          </a:p>
        </xdr:txBody>
      </xdr:sp>
      <xdr:sp macro="" textlink="">
        <xdr:nvSpPr>
          <xdr:cNvPr id="29" name="Snip Single Corner Rectangle 28">
            <a:hlinkClick xmlns:r="http://schemas.openxmlformats.org/officeDocument/2006/relationships" r:id="rId3"/>
          </xdr:cNvPr>
          <xdr:cNvSpPr/>
        </xdr:nvSpPr>
        <xdr:spPr>
          <a:xfrm>
            <a:off x="3716654" y="514350"/>
            <a:ext cx="1764000" cy="247649"/>
          </a:xfrm>
          <a:prstGeom prst="snip1Rect">
            <a:avLst>
              <a:gd name="adj" fmla="val 50000"/>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b"/>
          <a:lstStyle/>
          <a:p>
            <a:pPr algn="ctr"/>
            <a:r>
              <a:rPr lang="en-GB" sz="1000"/>
              <a:t>Health Indicators</a:t>
            </a:r>
          </a:p>
        </xdr:txBody>
      </xdr:sp>
      <xdr:sp macro="" textlink="">
        <xdr:nvSpPr>
          <xdr:cNvPr id="30" name="Snip Single Corner Rectangle 29">
            <a:hlinkClick xmlns:r="http://schemas.openxmlformats.org/officeDocument/2006/relationships" r:id="rId4"/>
          </xdr:cNvPr>
          <xdr:cNvSpPr/>
        </xdr:nvSpPr>
        <xdr:spPr>
          <a:xfrm>
            <a:off x="5522594" y="514350"/>
            <a:ext cx="1764000" cy="247649"/>
          </a:xfrm>
          <a:prstGeom prst="snip1Rect">
            <a:avLst>
              <a:gd name="adj" fmla="val 50000"/>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b"/>
          <a:lstStyle/>
          <a:p>
            <a:pPr algn="ctr"/>
            <a:r>
              <a:rPr lang="en-GB" sz="1000"/>
              <a:t>Births and Early Years</a:t>
            </a:r>
          </a:p>
        </xdr:txBody>
      </xdr:sp>
      <xdr:sp macro="" textlink="">
        <xdr:nvSpPr>
          <xdr:cNvPr id="31" name="Snip Single Corner Rectangle 30">
            <a:hlinkClick xmlns:r="http://schemas.openxmlformats.org/officeDocument/2006/relationships" r:id="rId5"/>
          </xdr:cNvPr>
          <xdr:cNvSpPr/>
        </xdr:nvSpPr>
        <xdr:spPr>
          <a:xfrm>
            <a:off x="7328534" y="514350"/>
            <a:ext cx="1764000" cy="247649"/>
          </a:xfrm>
          <a:prstGeom prst="snip1Rect">
            <a:avLst>
              <a:gd name="adj" fmla="val 50000"/>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b"/>
          <a:lstStyle/>
          <a:p>
            <a:pPr algn="ctr"/>
            <a:r>
              <a:rPr lang="en-GB" sz="1000"/>
              <a:t>Deprivation</a:t>
            </a:r>
          </a:p>
        </xdr:txBody>
      </xdr:sp>
      <xdr:sp macro="" textlink="">
        <xdr:nvSpPr>
          <xdr:cNvPr id="32" name="Snip Single Corner Rectangle 31"/>
          <xdr:cNvSpPr/>
        </xdr:nvSpPr>
        <xdr:spPr>
          <a:xfrm>
            <a:off x="9134475" y="514350"/>
            <a:ext cx="1764000" cy="247649"/>
          </a:xfrm>
          <a:prstGeom prst="snip1Rect">
            <a:avLst>
              <a:gd name="adj" fmla="val 50000"/>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b"/>
          <a:lstStyle/>
          <a:p>
            <a:pPr algn="ctr"/>
            <a:r>
              <a:rPr lang="en-GB" sz="1100" b="1"/>
              <a:t>EYFS</a:t>
            </a:r>
          </a:p>
        </xdr:txBody>
      </xdr:sp>
      <xdr:cxnSp macro="">
        <xdr:nvCxnSpPr>
          <xdr:cNvPr id="14" name="Straight Connector 13"/>
          <xdr:cNvCxnSpPr/>
        </xdr:nvCxnSpPr>
        <xdr:spPr>
          <a:xfrm>
            <a:off x="95250" y="781050"/>
            <a:ext cx="10800000" cy="1"/>
          </a:xfrm>
          <a:prstGeom prst="line">
            <a:avLst/>
          </a:prstGeom>
          <a:ln>
            <a:solidFill>
              <a:schemeClr val="tx2"/>
            </a:solidFill>
          </a:ln>
        </xdr:spPr>
        <xdr:style>
          <a:lnRef idx="1">
            <a:schemeClr val="accent1"/>
          </a:lnRef>
          <a:fillRef idx="2">
            <a:schemeClr val="accent1"/>
          </a:fillRef>
          <a:effectRef idx="1">
            <a:schemeClr val="accent1"/>
          </a:effectRef>
          <a:fontRef idx="minor">
            <a:schemeClr val="dk1"/>
          </a:fontRef>
        </xdr:style>
      </xdr:cxnSp>
    </xdr:grpSp>
    <xdr:clientData/>
  </xdr:twoCellAnchor>
  <xdr:twoCellAnchor editAs="oneCell">
    <xdr:from>
      <xdr:col>1</xdr:col>
      <xdr:colOff>110217</xdr:colOff>
      <xdr:row>9</xdr:row>
      <xdr:rowOff>28575</xdr:rowOff>
    </xdr:from>
    <xdr:to>
      <xdr:col>19</xdr:col>
      <xdr:colOff>1725</xdr:colOff>
      <xdr:row>14</xdr:row>
      <xdr:rowOff>28574</xdr:rowOff>
    </xdr:to>
    <xdr:grpSp>
      <xdr:nvGrpSpPr>
        <xdr:cNvPr id="37" name="Group 36"/>
        <xdr:cNvGrpSpPr/>
      </xdr:nvGrpSpPr>
      <xdr:grpSpPr>
        <a:xfrm>
          <a:off x="205467" y="1771650"/>
          <a:ext cx="10588083" cy="952499"/>
          <a:chOff x="95249" y="904875"/>
          <a:chExt cx="10809726" cy="952499"/>
        </a:xfrm>
      </xdr:grpSpPr>
      <xdr:sp macro="" textlink="">
        <xdr:nvSpPr>
          <xdr:cNvPr id="35" name="TextBox 34"/>
          <xdr:cNvSpPr txBox="1"/>
        </xdr:nvSpPr>
        <xdr:spPr>
          <a:xfrm>
            <a:off x="99417" y="1190625"/>
            <a:ext cx="10805558" cy="66674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GB" sz="1100"/>
          </a:p>
        </xdr:txBody>
      </xdr:sp>
      <xdr:sp macro="" textlink="">
        <xdr:nvSpPr>
          <xdr:cNvPr id="36" name="Rectangle 35"/>
          <xdr:cNvSpPr/>
        </xdr:nvSpPr>
        <xdr:spPr>
          <a:xfrm>
            <a:off x="95249" y="904875"/>
            <a:ext cx="10800000" cy="285750"/>
          </a:xfrm>
          <a:prstGeom prst="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t"/>
          <a:lstStyle/>
          <a:p>
            <a:pPr algn="l"/>
            <a:r>
              <a:rPr lang="en-GB" sz="1100" b="1"/>
              <a:t>Development (Ofsted KPI)</a:t>
            </a:r>
          </a:p>
        </xdr:txBody>
      </xdr:sp>
    </xdr:grpSp>
    <xdr:clientData/>
  </xdr:twoCellAnchor>
  <xdr:twoCellAnchor editAs="oneCell">
    <xdr:from>
      <xdr:col>2</xdr:col>
      <xdr:colOff>0</xdr:colOff>
      <xdr:row>64</xdr:row>
      <xdr:rowOff>198890</xdr:rowOff>
    </xdr:from>
    <xdr:to>
      <xdr:col>19</xdr:col>
      <xdr:colOff>1725</xdr:colOff>
      <xdr:row>68</xdr:row>
      <xdr:rowOff>20107</xdr:rowOff>
    </xdr:to>
    <xdr:grpSp>
      <xdr:nvGrpSpPr>
        <xdr:cNvPr id="20" name="Group 19"/>
        <xdr:cNvGrpSpPr/>
      </xdr:nvGrpSpPr>
      <xdr:grpSpPr>
        <a:xfrm>
          <a:off x="209550" y="15000740"/>
          <a:ext cx="10584000" cy="621317"/>
          <a:chOff x="95249" y="904875"/>
          <a:chExt cx="10800001" cy="606836"/>
        </a:xfrm>
      </xdr:grpSpPr>
      <xdr:sp macro="" textlink="">
        <xdr:nvSpPr>
          <xdr:cNvPr id="21" name="TextBox 20"/>
          <xdr:cNvSpPr txBox="1"/>
        </xdr:nvSpPr>
        <xdr:spPr>
          <a:xfrm>
            <a:off x="95250" y="1190626"/>
            <a:ext cx="10800000" cy="32108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GB" sz="1100"/>
              <a:t>The Achievement Gap compares the median score of all pupils with the mean score of the lowest 20% of all scores.</a:t>
            </a:r>
          </a:p>
        </xdr:txBody>
      </xdr:sp>
      <xdr:sp macro="" textlink="">
        <xdr:nvSpPr>
          <xdr:cNvPr id="22" name="Rectangle 21"/>
          <xdr:cNvSpPr/>
        </xdr:nvSpPr>
        <xdr:spPr>
          <a:xfrm>
            <a:off x="95249" y="904875"/>
            <a:ext cx="10800000" cy="285750"/>
          </a:xfrm>
          <a:prstGeom prst="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t"/>
          <a:lstStyle/>
          <a:p>
            <a:pPr algn="l"/>
            <a:r>
              <a:rPr lang="en-GB" sz="1100" b="1"/>
              <a:t>Achievement Gap</a:t>
            </a:r>
          </a:p>
        </xdr:txBody>
      </xdr:sp>
    </xdr:grpSp>
    <xdr:clientData/>
  </xdr:twoCellAnchor>
  <xdr:twoCellAnchor editAs="oneCell">
    <xdr:from>
      <xdr:col>2</xdr:col>
      <xdr:colOff>484414</xdr:colOff>
      <xdr:row>11</xdr:row>
      <xdr:rowOff>189140</xdr:rowOff>
    </xdr:from>
    <xdr:to>
      <xdr:col>17</xdr:col>
      <xdr:colOff>499494</xdr:colOff>
      <xdr:row>28</xdr:row>
      <xdr:rowOff>161925</xdr:rowOff>
    </xdr:to>
    <xdr:sp macro="" textlink="">
      <xdr:nvSpPr>
        <xdr:cNvPr id="23" name="Rectangle 22"/>
        <xdr:cNvSpPr/>
      </xdr:nvSpPr>
      <xdr:spPr>
        <a:xfrm>
          <a:off x="693964" y="2313215"/>
          <a:ext cx="9587705" cy="3211285"/>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r>
            <a:rPr lang="en-GB" sz="1200" b="1">
              <a:solidFill>
                <a:schemeClr val="dk1"/>
              </a:solidFill>
              <a:effectLst/>
              <a:latin typeface="+mn-lt"/>
              <a:ea typeface="+mn-ea"/>
              <a:cs typeface="+mn-cs"/>
            </a:rPr>
            <a:t>Why is it important to monitor childhood</a:t>
          </a:r>
          <a:r>
            <a:rPr lang="en-GB" sz="1200" b="1" baseline="0">
              <a:solidFill>
                <a:schemeClr val="dk1"/>
              </a:solidFill>
              <a:effectLst/>
              <a:latin typeface="+mn-lt"/>
              <a:ea typeface="+mn-ea"/>
              <a:cs typeface="+mn-cs"/>
            </a:rPr>
            <a:t> development?</a:t>
          </a:r>
          <a:endParaRPr lang="en-GB" sz="1200" b="1">
            <a:solidFill>
              <a:schemeClr val="dk1"/>
            </a:solidFill>
            <a:effectLst/>
            <a:latin typeface="+mn-lt"/>
            <a:ea typeface="+mn-ea"/>
            <a:cs typeface="+mn-cs"/>
          </a:endParaRPr>
        </a:p>
        <a:p>
          <a:endParaRPr lang="en-GB" sz="800">
            <a:effectLst/>
          </a:endParaRPr>
        </a:p>
        <a:p>
          <a:r>
            <a:rPr lang="en-GB" sz="1100">
              <a:solidFill>
                <a:schemeClr val="dk1"/>
              </a:solidFill>
              <a:effectLst/>
              <a:latin typeface="+mn-lt"/>
              <a:ea typeface="+mn-ea"/>
              <a:cs typeface="+mn-cs"/>
            </a:rPr>
            <a:t>The foundations for human development, physical, intellectual and emotional, are laid in early childhood and have a lifelong effect on </a:t>
          </a:r>
        </a:p>
        <a:p>
          <a:r>
            <a:rPr lang="en-GB" sz="1100">
              <a:solidFill>
                <a:schemeClr val="dk1"/>
              </a:solidFill>
              <a:effectLst/>
              <a:latin typeface="+mn-lt"/>
              <a:ea typeface="+mn-ea"/>
              <a:cs typeface="+mn-cs"/>
            </a:rPr>
            <a:t>many aspects of health and wellbeing, educational achievement and economic status. </a:t>
          </a: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Children's</a:t>
          </a:r>
          <a:r>
            <a:rPr lang="en-GB" sz="1100" baseline="0">
              <a:solidFill>
                <a:schemeClr val="dk1"/>
              </a:solidFill>
              <a:effectLst/>
              <a:latin typeface="+mn-lt"/>
              <a:ea typeface="+mn-ea"/>
              <a:cs typeface="+mn-cs"/>
            </a:rPr>
            <a:t> physical, intellectual and emotional development is assessed by early education and health professionals on a number of</a:t>
          </a:r>
        </a:p>
        <a:p>
          <a:r>
            <a:rPr lang="en-GB" sz="1100" baseline="0">
              <a:solidFill>
                <a:schemeClr val="dk1"/>
              </a:solidFill>
              <a:effectLst/>
              <a:latin typeface="+mn-lt"/>
              <a:ea typeface="+mn-ea"/>
              <a:cs typeface="+mn-cs"/>
            </a:rPr>
            <a:t>occasions from conception to age 5. Those children who attend early years settings will be offered an integrated review from September </a:t>
          </a:r>
        </a:p>
        <a:p>
          <a:r>
            <a:rPr lang="en-GB" sz="1100" baseline="0">
              <a:solidFill>
                <a:schemeClr val="dk1"/>
              </a:solidFill>
              <a:effectLst/>
              <a:latin typeface="+mn-lt"/>
              <a:ea typeface="+mn-ea"/>
              <a:cs typeface="+mn-cs"/>
            </a:rPr>
            <a:t>2015 that involves health and education professionals, parents and carers. This will enable a holistic approach to addressing </a:t>
          </a:r>
        </a:p>
        <a:p>
          <a:r>
            <a:rPr lang="en-GB" sz="1100" baseline="0">
              <a:solidFill>
                <a:schemeClr val="dk1"/>
              </a:solidFill>
              <a:effectLst/>
              <a:latin typeface="+mn-lt"/>
              <a:ea typeface="+mn-ea"/>
              <a:cs typeface="+mn-cs"/>
            </a:rPr>
            <a:t>developmental issues before the child starts school.</a:t>
          </a:r>
          <a:endParaRPr lang="en-GB" sz="1100">
            <a:solidFill>
              <a:schemeClr val="dk1"/>
            </a:solidFill>
            <a:effectLst/>
            <a:latin typeface="+mn-lt"/>
            <a:ea typeface="+mn-ea"/>
            <a:cs typeface="+mn-cs"/>
          </a:endParaRPr>
        </a:p>
        <a:p>
          <a:pPr lvl="0"/>
          <a:endParaRPr lang="en-GB" sz="800" b="1">
            <a:solidFill>
              <a:schemeClr val="dk1"/>
            </a:solidFill>
            <a:effectLst/>
            <a:latin typeface="+mn-lt"/>
            <a:ea typeface="+mn-ea"/>
            <a:cs typeface="+mn-cs"/>
          </a:endParaRPr>
        </a:p>
        <a:p>
          <a:pPr lvl="0"/>
          <a:r>
            <a:rPr lang="en-GB" sz="1200" b="1">
              <a:solidFill>
                <a:schemeClr val="dk1"/>
              </a:solidFill>
              <a:effectLst/>
              <a:latin typeface="+mn-lt"/>
              <a:ea typeface="+mn-ea"/>
              <a:cs typeface="+mn-cs"/>
            </a:rPr>
            <a:t>Indicator</a:t>
          </a:r>
        </a:p>
        <a:p>
          <a:pPr lvl="0"/>
          <a:endParaRPr lang="en-GB" sz="800" b="0">
            <a:solidFill>
              <a:schemeClr val="dk1"/>
            </a:solidFill>
            <a:effectLst/>
            <a:latin typeface="+mn-lt"/>
            <a:ea typeface="+mn-ea"/>
            <a:cs typeface="+mn-cs"/>
          </a:endParaRPr>
        </a:p>
        <a:p>
          <a:pPr lvl="0"/>
          <a:r>
            <a:rPr lang="en-GB" sz="1100" b="0">
              <a:solidFill>
                <a:schemeClr val="dk1"/>
              </a:solidFill>
              <a:effectLst/>
              <a:latin typeface="+mn-lt"/>
              <a:ea typeface="+mn-ea"/>
              <a:cs typeface="+mn-cs"/>
            </a:rPr>
            <a:t>Two measures are shown, the percentage of children assessed as having a "Good Level of Development" (GLD) and the percentage gap between all children and the lowest 20% of achievers.</a:t>
          </a:r>
        </a:p>
        <a:p>
          <a:endParaRPr lang="en-GB" sz="800">
            <a:effectLst/>
          </a:endParaRPr>
        </a:p>
        <a:p>
          <a:r>
            <a:rPr lang="en-GB" sz="1200" b="1" baseline="0">
              <a:solidFill>
                <a:schemeClr val="dk1"/>
              </a:solidFill>
              <a:effectLst/>
              <a:latin typeface="+mn-lt"/>
              <a:ea typeface="+mn-ea"/>
              <a:cs typeface="+mn-cs"/>
            </a:rPr>
            <a:t>Statistical issues:</a:t>
          </a:r>
        </a:p>
        <a:p>
          <a:endParaRPr lang="en-GB" sz="800" b="1" baseline="0">
            <a:solidFill>
              <a:schemeClr val="dk1"/>
            </a:solidFill>
            <a:effectLst/>
            <a:latin typeface="+mn-lt"/>
            <a:ea typeface="+mn-ea"/>
            <a:cs typeface="+mn-cs"/>
          </a:endParaRPr>
        </a:p>
        <a:p>
          <a:r>
            <a:rPr lang="en-GB" sz="1100" b="0" baseline="0">
              <a:solidFill>
                <a:schemeClr val="dk1"/>
              </a:solidFill>
              <a:effectLst/>
              <a:latin typeface="+mn-lt"/>
              <a:ea typeface="+mn-ea"/>
              <a:cs typeface="+mn-cs"/>
            </a:rPr>
            <a:t>At centre level the number of pupils is small, the percentage may vary considerable from year to year and between centres, therefore confidence intervals are shown in relation to the % pupils attaining a Good Level of Development.</a:t>
          </a:r>
        </a:p>
        <a:p>
          <a:endParaRPr lang="en-GB" sz="800">
            <a:effectLst/>
          </a:endParaRPr>
        </a:p>
      </xdr:txBody>
    </xdr:sp>
    <xdr:clientData/>
  </xdr:twoCellAnchor>
  <xdr:twoCellAnchor editAs="oneCell">
    <xdr:from>
      <xdr:col>15</xdr:col>
      <xdr:colOff>371475</xdr:colOff>
      <xdr:row>13</xdr:row>
      <xdr:rowOff>95250</xdr:rowOff>
    </xdr:from>
    <xdr:to>
      <xdr:col>17</xdr:col>
      <xdr:colOff>127000</xdr:colOff>
      <xdr:row>15</xdr:row>
      <xdr:rowOff>161925</xdr:rowOff>
    </xdr:to>
    <xdr:sp macro="" textlink="">
      <xdr:nvSpPr>
        <xdr:cNvPr id="24" name="Rectangle 23"/>
        <xdr:cNvSpPr/>
      </xdr:nvSpPr>
      <xdr:spPr>
        <a:xfrm>
          <a:off x="8877300" y="2600325"/>
          <a:ext cx="1031875" cy="447675"/>
        </a:xfrm>
        <a:prstGeom prst="rect">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lang="en-GB" sz="1100" b="1"/>
            <a:t>OFSTED</a:t>
          </a:r>
          <a:r>
            <a:rPr lang="en-GB" sz="1100" b="1" baseline="0"/>
            <a:t> KPI</a:t>
          </a:r>
          <a:endParaRPr lang="en-GB" sz="1100" b="1"/>
        </a:p>
      </xdr:txBody>
    </xdr:sp>
    <xdr:clientData/>
  </xdr:twoCellAnchor>
  <xdr:twoCellAnchor editAs="oneCell">
    <xdr:from>
      <xdr:col>3</xdr:col>
      <xdr:colOff>4233</xdr:colOff>
      <xdr:row>50</xdr:row>
      <xdr:rowOff>114299</xdr:rowOff>
    </xdr:from>
    <xdr:to>
      <xdr:col>18</xdr:col>
      <xdr:colOff>0</xdr:colOff>
      <xdr:row>62</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3</xdr:col>
      <xdr:colOff>0</xdr:colOff>
      <xdr:row>94</xdr:row>
      <xdr:rowOff>136525</xdr:rowOff>
    </xdr:from>
    <xdr:to>
      <xdr:col>17</xdr:col>
      <xdr:colOff>299507</xdr:colOff>
      <xdr:row>110</xdr:row>
      <xdr:rowOff>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3</xdr:col>
      <xdr:colOff>2116</xdr:colOff>
      <xdr:row>92</xdr:row>
      <xdr:rowOff>83607</xdr:rowOff>
    </xdr:from>
    <xdr:to>
      <xdr:col>13</xdr:col>
      <xdr:colOff>97366</xdr:colOff>
      <xdr:row>94</xdr:row>
      <xdr:rowOff>21165</xdr:rowOff>
    </xdr:to>
    <xdr:sp macro="" textlink="">
      <xdr:nvSpPr>
        <xdr:cNvPr id="4" name="TextBox 3"/>
        <xdr:cNvSpPr txBox="1"/>
      </xdr:nvSpPr>
      <xdr:spPr>
        <a:xfrm>
          <a:off x="849841" y="20848107"/>
          <a:ext cx="6477000" cy="30903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a:t>
          </a:r>
          <a:r>
            <a:rPr lang="en-GB" sz="1100" b="1" baseline="0">
              <a:solidFill>
                <a:schemeClr val="dk1"/>
              </a:solidFill>
              <a:effectLst/>
              <a:latin typeface="+mn-lt"/>
              <a:ea typeface="+mn-ea"/>
              <a:cs typeface="+mn-cs"/>
            </a:rPr>
            <a:t> Gap Between Mean Score of Lowest 20% of  Scores and Overall Median Score</a:t>
          </a:r>
          <a:endParaRPr lang="en-GB">
            <a:effectLst/>
          </a:endParaRPr>
        </a:p>
        <a:p>
          <a:endParaRPr lang="en-GB" sz="1100"/>
        </a:p>
      </xdr:txBody>
    </xdr:sp>
    <xdr:clientData/>
  </xdr:twoCellAnchor>
  <mc:AlternateContent xmlns:mc="http://schemas.openxmlformats.org/markup-compatibility/2006">
    <mc:Choice xmlns:a14="http://schemas.microsoft.com/office/drawing/2010/main" Requires="a14">
      <xdr:twoCellAnchor editAs="oneCell">
        <xdr:from>
          <xdr:col>6</xdr:col>
          <xdr:colOff>0</xdr:colOff>
          <xdr:row>5</xdr:row>
          <xdr:rowOff>9525</xdr:rowOff>
        </xdr:from>
        <xdr:to>
          <xdr:col>10</xdr:col>
          <xdr:colOff>590550</xdr:colOff>
          <xdr:row>6</xdr:row>
          <xdr:rowOff>85725</xdr:rowOff>
        </xdr:to>
        <xdr:sp macro="" textlink="">
          <xdr:nvSpPr>
            <xdr:cNvPr id="8194" name="Drop Down 2" hidden="1">
              <a:extLst>
                <a:ext uri="{63B3BB69-23CF-44E3-9099-C40C66FF867C}">
                  <a14:compatExt spid="_x0000_s819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6</xdr:row>
          <xdr:rowOff>171450</xdr:rowOff>
        </xdr:from>
        <xdr:to>
          <xdr:col>10</xdr:col>
          <xdr:colOff>590550</xdr:colOff>
          <xdr:row>8</xdr:row>
          <xdr:rowOff>57150</xdr:rowOff>
        </xdr:to>
        <xdr:sp macro="" textlink="">
          <xdr:nvSpPr>
            <xdr:cNvPr id="8195" name="Drop Down 3" hidden="1">
              <a:extLst>
                <a:ext uri="{63B3BB69-23CF-44E3-9099-C40C66FF867C}">
                  <a14:compatExt spid="_x0000_s8195"/>
                </a:ext>
              </a:extLst>
            </xdr:cNvPr>
            <xdr:cNvSpPr/>
          </xdr:nvSpPr>
          <xdr:spPr>
            <a:xfrm>
              <a:off x="0" y="0"/>
              <a:ext cx="0" cy="0"/>
            </a:xfrm>
            <a:prstGeom prst="rect">
              <a:avLst/>
            </a:prstGeom>
          </xdr:spPr>
        </xdr:sp>
        <xdr:clientData/>
      </xdr:twoCellAnchor>
    </mc:Choice>
    <mc:Fallback/>
  </mc:AlternateContent>
  <xdr:twoCellAnchor editAs="oneCell">
    <xdr:from>
      <xdr:col>11</xdr:col>
      <xdr:colOff>376238</xdr:colOff>
      <xdr:row>5</xdr:row>
      <xdr:rowOff>0</xdr:rowOff>
    </xdr:from>
    <xdr:to>
      <xdr:col>12</xdr:col>
      <xdr:colOff>280988</xdr:colOff>
      <xdr:row>6</xdr:row>
      <xdr:rowOff>123825</xdr:rowOff>
    </xdr:to>
    <xdr:sp macro="" textlink="">
      <xdr:nvSpPr>
        <xdr:cNvPr id="38" name="Left Arrow 37"/>
        <xdr:cNvSpPr/>
      </xdr:nvSpPr>
      <xdr:spPr>
        <a:xfrm>
          <a:off x="6376988" y="976313"/>
          <a:ext cx="547688" cy="314325"/>
        </a:xfrm>
        <a:prstGeom prst="leftArrow">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t"/>
        <a:lstStyle/>
        <a:p>
          <a:pPr algn="l"/>
          <a:endParaRPr lang="en-GB" sz="1100"/>
        </a:p>
      </xdr:txBody>
    </xdr:sp>
    <xdr:clientData/>
  </xdr:twoCellAnchor>
  <xdr:twoCellAnchor editAs="oneCell">
    <xdr:from>
      <xdr:col>12</xdr:col>
      <xdr:colOff>290512</xdr:colOff>
      <xdr:row>5</xdr:row>
      <xdr:rowOff>28576</xdr:rowOff>
    </xdr:from>
    <xdr:to>
      <xdr:col>18</xdr:col>
      <xdr:colOff>280986</xdr:colOff>
      <xdr:row>6</xdr:row>
      <xdr:rowOff>95250</xdr:rowOff>
    </xdr:to>
    <xdr:sp macro="" textlink="">
      <xdr:nvSpPr>
        <xdr:cNvPr id="39" name="TextBox 38"/>
        <xdr:cNvSpPr txBox="1"/>
      </xdr:nvSpPr>
      <xdr:spPr>
        <a:xfrm>
          <a:off x="6934200" y="1004889"/>
          <a:ext cx="3848099" cy="2571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solidFill>
            </a:rPr>
            <a:t>Your current</a:t>
          </a:r>
          <a:r>
            <a:rPr lang="en-GB" sz="1100" b="1" baseline="0">
              <a:solidFill>
                <a:schemeClr val="bg1"/>
              </a:solidFill>
            </a:rPr>
            <a:t> selection</a:t>
          </a:r>
          <a:endParaRPr lang="en-GB" sz="1100" b="1">
            <a:solidFill>
              <a:schemeClr val="bg1"/>
            </a:solidFill>
          </a:endParaRPr>
        </a:p>
      </xdr:txBody>
    </xdr:sp>
    <xdr:clientData/>
  </xdr:twoCellAnchor>
  <xdr:twoCellAnchor editAs="oneCell">
    <xdr:from>
      <xdr:col>11</xdr:col>
      <xdr:colOff>373857</xdr:colOff>
      <xdr:row>6</xdr:row>
      <xdr:rowOff>128587</xdr:rowOff>
    </xdr:from>
    <xdr:to>
      <xdr:col>12</xdr:col>
      <xdr:colOff>278607</xdr:colOff>
      <xdr:row>8</xdr:row>
      <xdr:rowOff>61912</xdr:rowOff>
    </xdr:to>
    <xdr:sp macro="" textlink="">
      <xdr:nvSpPr>
        <xdr:cNvPr id="40" name="Left Arrow 39"/>
        <xdr:cNvSpPr/>
      </xdr:nvSpPr>
      <xdr:spPr>
        <a:xfrm>
          <a:off x="6374607" y="1295400"/>
          <a:ext cx="547688" cy="314325"/>
        </a:xfrm>
        <a:prstGeom prst="leftArrow">
          <a:avLst/>
        </a:prstGeom>
      </xdr:spPr>
      <xdr:style>
        <a:lnRef idx="0">
          <a:schemeClr val="accent4"/>
        </a:lnRef>
        <a:fillRef idx="3">
          <a:schemeClr val="accent4"/>
        </a:fillRef>
        <a:effectRef idx="3">
          <a:schemeClr val="accent4"/>
        </a:effectRef>
        <a:fontRef idx="minor">
          <a:schemeClr val="lt1"/>
        </a:fontRef>
      </xdr:style>
      <xdr:txBody>
        <a:bodyPr vertOverflow="clip" horzOverflow="clip" rtlCol="0" anchor="t"/>
        <a:lstStyle/>
        <a:p>
          <a:pPr algn="l"/>
          <a:endParaRPr lang="en-GB" sz="1100"/>
        </a:p>
      </xdr:txBody>
    </xdr:sp>
    <xdr:clientData/>
  </xdr:twoCellAnchor>
  <xdr:twoCellAnchor editAs="oneCell">
    <xdr:from>
      <xdr:col>12</xdr:col>
      <xdr:colOff>288132</xdr:colOff>
      <xdr:row>6</xdr:row>
      <xdr:rowOff>157162</xdr:rowOff>
    </xdr:from>
    <xdr:to>
      <xdr:col>15</xdr:col>
      <xdr:colOff>230982</xdr:colOff>
      <xdr:row>8</xdr:row>
      <xdr:rowOff>33337</xdr:rowOff>
    </xdr:to>
    <xdr:sp macro="" textlink="">
      <xdr:nvSpPr>
        <xdr:cNvPr id="41" name="TextBox 40"/>
        <xdr:cNvSpPr txBox="1"/>
      </xdr:nvSpPr>
      <xdr:spPr>
        <a:xfrm>
          <a:off x="6931820" y="1323975"/>
          <a:ext cx="1871662"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solidFill>
            </a:rPr>
            <a:t>Your current selection</a:t>
          </a:r>
        </a:p>
      </xdr:txBody>
    </xdr:sp>
    <xdr:clientData/>
  </xdr:twoCellAnchor>
  <xdr:twoCellAnchor editAs="oneCell">
    <xdr:from>
      <xdr:col>15</xdr:col>
      <xdr:colOff>285750</xdr:colOff>
      <xdr:row>1</xdr:row>
      <xdr:rowOff>19050</xdr:rowOff>
    </xdr:from>
    <xdr:to>
      <xdr:col>18</xdr:col>
      <xdr:colOff>228600</xdr:colOff>
      <xdr:row>2</xdr:row>
      <xdr:rowOff>47625</xdr:rowOff>
    </xdr:to>
    <xdr:sp macro="" textlink="">
      <xdr:nvSpPr>
        <xdr:cNvPr id="42" name="Rectangle 41">
          <a:hlinkClick xmlns:r="http://schemas.openxmlformats.org/officeDocument/2006/relationships" r:id="rId8"/>
        </xdr:cNvPr>
        <xdr:cNvSpPr/>
      </xdr:nvSpPr>
      <xdr:spPr>
        <a:xfrm>
          <a:off x="8791575" y="209550"/>
          <a:ext cx="1857375" cy="247650"/>
        </a:xfrm>
        <a:prstGeom prst="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t"/>
        <a:lstStyle/>
        <a:p>
          <a:pPr algn="ctr"/>
          <a:r>
            <a:rPr lang="en-GB" sz="1100"/>
            <a:t>Go</a:t>
          </a:r>
          <a:r>
            <a:rPr lang="en-GB" sz="1100" baseline="0"/>
            <a:t> to the data</a:t>
          </a:r>
          <a:endParaRPr lang="en-GB" sz="1100"/>
        </a:p>
      </xdr:txBody>
    </xdr:sp>
    <xdr:clientData/>
  </xdr:twoCellAnchor>
  <xdr:twoCellAnchor>
    <xdr:from>
      <xdr:col>2</xdr:col>
      <xdr:colOff>171450</xdr:colOff>
      <xdr:row>0</xdr:row>
      <xdr:rowOff>152400</xdr:rowOff>
    </xdr:from>
    <xdr:to>
      <xdr:col>11</xdr:col>
      <xdr:colOff>171531</xdr:colOff>
      <xdr:row>2</xdr:row>
      <xdr:rowOff>68126</xdr:rowOff>
    </xdr:to>
    <xdr:sp macro="" textlink="">
      <xdr:nvSpPr>
        <xdr:cNvPr id="43" name="TextBox 42"/>
        <xdr:cNvSpPr txBox="1"/>
      </xdr:nvSpPr>
      <xdr:spPr>
        <a:xfrm>
          <a:off x="381000" y="152400"/>
          <a:ext cx="5743656" cy="3253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400" b="1"/>
            <a:t>Children's Workforce Public Health Profiles : </a:t>
          </a:r>
          <a:r>
            <a:rPr lang="en-GB" sz="1400" b="0"/>
            <a:t>Early Years Foundation</a:t>
          </a:r>
          <a:r>
            <a:rPr lang="en-GB" sz="1400" b="0" baseline="0"/>
            <a:t> Stage</a:t>
          </a:r>
          <a:endParaRPr lang="en-GB" sz="1400" b="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Public%20Health%20Directorate\PH%20Research%20Unit\Verity%20Pinkney\CFC%20Profiles\2014%20CFC%20Profile\West%20Sussex%20Children%20and%20Family%20Centre%20Profiles%202014%20FINAL.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file"/>
      <sheetName val="DATA"/>
      <sheetName val="TeenPreg"/>
    </sheetNames>
    <sheetDataSet>
      <sheetData sheetId="0" refreshError="1"/>
      <sheetData sheetId="1">
        <row r="2">
          <cell r="A2" t="str">
            <v>CFC</v>
          </cell>
          <cell r="B2" t="str">
            <v>Check</v>
          </cell>
          <cell r="C2" t="str">
            <v>CFC Locality</v>
          </cell>
          <cell r="D2" t="str">
            <v>CFC Group</v>
          </cell>
          <cell r="E2" t="str">
            <v>District</v>
          </cell>
          <cell r="F2" t="str">
            <v>GP Cluster</v>
          </cell>
          <cell r="G2" t="str">
            <v>Wards</v>
          </cell>
          <cell r="H2" t="str">
            <v>Education Locality Name</v>
          </cell>
          <cell r="I2" t="str">
            <v>Education Partnership Area</v>
          </cell>
          <cell r="J2" t="str">
            <v>CCG</v>
          </cell>
          <cell r="K2" t="str">
            <v>Parliamentary Constituency</v>
          </cell>
          <cell r="L2" t="str">
            <v>Population (2004)</v>
          </cell>
          <cell r="M2" t="str">
            <v>Population (2005)</v>
          </cell>
          <cell r="N2" t="str">
            <v>Population (2006)</v>
          </cell>
          <cell r="O2" t="str">
            <v>Population (2007)</v>
          </cell>
          <cell r="P2" t="str">
            <v>Population (2008)</v>
          </cell>
          <cell r="Q2" t="str">
            <v>Population (2009)</v>
          </cell>
          <cell r="R2" t="str">
            <v>Population (2010)</v>
          </cell>
          <cell r="S2" t="str">
            <v>Population (2011)</v>
          </cell>
          <cell r="T2" t="str">
            <v>Population (2012)</v>
          </cell>
          <cell r="U2" t="str">
            <v>Population (2013)</v>
          </cell>
          <cell r="V2" t="str">
            <v>Under 5 (2004)</v>
          </cell>
          <cell r="W2" t="str">
            <v>Under 5 (2005)</v>
          </cell>
          <cell r="X2" t="str">
            <v>Under 5 (2006)</v>
          </cell>
          <cell r="Y2" t="str">
            <v>Under 5 (2007)</v>
          </cell>
          <cell r="Z2" t="str">
            <v>Under 5 (2008)</v>
          </cell>
          <cell r="AA2" t="str">
            <v>Under 5 (2009)</v>
          </cell>
          <cell r="AB2" t="str">
            <v>Under 5 (2010)</v>
          </cell>
          <cell r="AC2" t="str">
            <v>Under 5 (2011)</v>
          </cell>
          <cell r="AD2" t="str">
            <v>Under 5 (2012)</v>
          </cell>
          <cell r="AE2" t="str">
            <v>Under 5 (2013)</v>
          </cell>
          <cell r="AF2" t="str">
            <v>% White British</v>
          </cell>
          <cell r="AG2" t="str">
            <v>% White Irish and White Other</v>
          </cell>
          <cell r="AH2" t="str">
            <v>% Mixed/Multiple</v>
          </cell>
          <cell r="AI2" t="str">
            <v>% Asian</v>
          </cell>
          <cell r="AJ2" t="str">
            <v>% Black</v>
          </cell>
          <cell r="AK2" t="str">
            <v>% Other</v>
          </cell>
          <cell r="AL2" t="str">
            <v>% BAME</v>
          </cell>
          <cell r="AM2" t="str">
            <v>Households with a child aged 0-9 years</v>
          </cell>
          <cell r="AN2" t="str">
            <v>% Owned</v>
          </cell>
          <cell r="AO2" t="str">
            <v>% Social rented</v>
          </cell>
          <cell r="AP2" t="str">
            <v>% Private rent/living rent free</v>
          </cell>
          <cell r="AQ2" t="str">
            <v>All Births (2009)</v>
          </cell>
          <cell r="AR2" t="str">
            <v>All Births (2010)</v>
          </cell>
          <cell r="AS2" t="str">
            <v>All Births (2011)</v>
          </cell>
          <cell r="AT2" t="str">
            <v>All Births (2012)</v>
          </cell>
          <cell r="AU2" t="str">
            <v>All Births (2013)</v>
          </cell>
          <cell r="AV2" t="str">
            <v>Births to Mothers Under 20 (2009)</v>
          </cell>
          <cell r="AW2" t="str">
            <v>Births to Mothers Under 20 (2010)</v>
          </cell>
          <cell r="AX2" t="str">
            <v>Births to Mothers Under 20 (2011)</v>
          </cell>
          <cell r="AY2" t="str">
            <v>Births to Mothers Under 20 (2012)</v>
          </cell>
          <cell r="AZ2" t="str">
            <v>Births to Mothers Under 20 (2013)</v>
          </cell>
          <cell r="BA2" t="str">
            <v>Number of babies born of low weight</v>
          </cell>
          <cell r="BB2" t="str">
            <v>% low weight</v>
          </cell>
          <cell r="BC2" t="str">
            <v>LCL</v>
          </cell>
          <cell r="BD2" t="str">
            <v>UCL</v>
          </cell>
          <cell r="BE2" t="str">
            <v>Estimation of teenage mothers in area</v>
          </cell>
          <cell r="BF2" t="str">
            <v>One dependent child families 2011 aged 0-4</v>
          </cell>
          <cell r="BG2" t="str">
            <v>Two dependent children families 2011 youngest aged 0-4</v>
          </cell>
          <cell r="BH2" t="str">
            <v>Three dependent children families 2011 youngest aged 0-4</v>
          </cell>
          <cell r="BI2" t="str">
            <v>families with 3 or more children %</v>
          </cell>
          <cell r="BJ2" t="str">
            <v>All families</v>
          </cell>
          <cell r="BK2" t="str">
            <v>Total number of dependent children 2011</v>
          </cell>
          <cell r="BL2" t="str">
            <v>All Households with dependent children</v>
          </cell>
          <cell r="BM2" t="str">
            <v>Married Couple with dependent children</v>
          </cell>
          <cell r="BN2" t="str">
            <v>Same-Sex Civil Partnership Couple with dependent children</v>
          </cell>
          <cell r="BO2" t="str">
            <v>Cohabiting Couple with dependent children</v>
          </cell>
          <cell r="BP2" t="str">
            <v>Lone Parent with dependent children</v>
          </cell>
          <cell r="BQ2" t="str">
            <v>Other Household type with dependent children</v>
          </cell>
          <cell r="BR2" t="str">
            <v>Lone parent families on low income - 2011</v>
          </cell>
          <cell r="BS2" t="str">
            <v>Lone parent families on low income - 2012</v>
          </cell>
          <cell r="BT2" t="str">
            <v>Lone parent families on low income - 2013</v>
          </cell>
          <cell r="BU2" t="str">
            <v>Lone parents (with dependent children) (2011)</v>
          </cell>
          <cell r="BV2" t="str">
            <v>Lone parents with dependent children - not in employment (2011)</v>
          </cell>
          <cell r="BW2" t="str">
            <v>% not in employment (2011)</v>
          </cell>
          <cell r="BX2" t="str">
            <v>Male Lone Parents (2011)</v>
          </cell>
          <cell r="BY2" t="str">
            <v>Local Decile</v>
          </cell>
          <cell r="BZ2" t="str">
            <v>Households with 3 or 4 measures of deprivation</v>
          </cell>
          <cell r="CA2" t="str">
            <v>Deprived households as % of all households in area</v>
          </cell>
          <cell r="CB2" t="str">
            <v>0 to 4 year olds in Out-of-work Benefit Claimant Hholds (2010)</v>
          </cell>
          <cell r="CC2" t="str">
            <v>0 to 4 year olds in Out-of-work Benefit Claimant Hholds (2011)</v>
          </cell>
          <cell r="CD2" t="str">
            <v>0 to 4 year olds in Out-of-work Benefit Claimant Hholds (2012)</v>
          </cell>
          <cell r="CE2" t="str">
            <v>0 to 4 year olds in Out-of-work Benefit Claimant Hholds (2013)</v>
          </cell>
          <cell r="CF2" t="str">
            <v>Number 2007</v>
          </cell>
          <cell r="CG2" t="str">
            <v>% of Children in Poverty 2007</v>
          </cell>
          <cell r="CH2" t="str">
            <v>Number 2008</v>
          </cell>
          <cell r="CI2" t="str">
            <v>% of Children in Poverty 2008</v>
          </cell>
          <cell r="CJ2" t="str">
            <v>Number 2009</v>
          </cell>
          <cell r="CK2" t="str">
            <v>% of Children in Poverty 2009</v>
          </cell>
          <cell r="CL2" t="str">
            <v>Number 2010</v>
          </cell>
          <cell r="CM2" t="str">
            <v>% of Children in Poverty 2010</v>
          </cell>
          <cell r="CN2" t="str">
            <v>Number 2011</v>
          </cell>
          <cell r="CO2" t="str">
            <v>% of Children in Poverty 2011</v>
          </cell>
          <cell r="CP2" t="str">
            <v>Number 2012</v>
          </cell>
          <cell r="CQ2" t="str">
            <v>% of Children in Poverty 2012</v>
          </cell>
          <cell r="CR2" t="str">
            <v>Number of babies eligible 2012/13</v>
          </cell>
          <cell r="CS2" t="str">
            <v>Number of babies not checked 2012/13</v>
          </cell>
          <cell r="CT2" t="str">
            <v>Number of babies receiving check 2012/13</v>
          </cell>
          <cell r="CU2" t="str">
            <v>% of babies checked 2012/13</v>
          </cell>
          <cell r="CV2" t="str">
            <v>Exclusively breastfed 2012/13</v>
          </cell>
          <cell r="CW2" t="str">
            <v>Total including partially breastfed 2012/13</v>
          </cell>
          <cell r="CX2" t="str">
            <v>% exclusively breastfed 2012/13</v>
          </cell>
          <cell r="CY2" t="str">
            <v>% breastfeeding (including partially) 2012/13</v>
          </cell>
          <cell r="CZ2" t="str">
            <v>exclusiveLCL</v>
          </cell>
          <cell r="DA2" t="str">
            <v>exclusiveUCL</v>
          </cell>
          <cell r="DB2" t="str">
            <v>partialLCL</v>
          </cell>
          <cell r="DC2" t="str">
            <v>partialUCL</v>
          </cell>
          <cell r="DD2" t="str">
            <v>2009/10 - Measured (Reception)</v>
          </cell>
          <cell r="DE2" t="str">
            <v>2009/10 - Measured as Obese (Reception)</v>
          </cell>
          <cell r="DF2" t="str">
            <v>% Obese (Reception) - 2009/10</v>
          </cell>
          <cell r="DG2" t="str">
            <v>2009/10 (Reception) - LCL</v>
          </cell>
          <cell r="DH2" t="str">
            <v>2009/10 (Reception) - UCL</v>
          </cell>
          <cell r="DI2" t="str">
            <v>2009/10 Significance (Reception)</v>
          </cell>
          <cell r="DJ2" t="str">
            <v>2010/11 - Measured (Reception)</v>
          </cell>
          <cell r="DK2" t="str">
            <v>2010/11 - Measured as Obese (Reception)</v>
          </cell>
          <cell r="DL2" t="str">
            <v>% Obese (Reception) - 2010/11</v>
          </cell>
          <cell r="DM2" t="str">
            <v>2010/11 (Reception) - LCL</v>
          </cell>
          <cell r="DN2" t="str">
            <v>2010/11 (Reception) - UCL</v>
          </cell>
          <cell r="DO2" t="str">
            <v>2010/11 Significance (Reception)</v>
          </cell>
          <cell r="DP2" t="str">
            <v>2011/12 - Measured (Reception)</v>
          </cell>
          <cell r="DQ2" t="str">
            <v>2011/12 - Measured as Obese (Reception)</v>
          </cell>
          <cell r="DR2" t="str">
            <v>% Obese (Reception) - 2011/12</v>
          </cell>
          <cell r="DS2" t="str">
            <v>2011/12 (Reception) - LCL</v>
          </cell>
          <cell r="DT2" t="str">
            <v>2011/12 (Reception) - UCL</v>
          </cell>
          <cell r="DU2" t="str">
            <v>2011/12 Significance (Reception)</v>
          </cell>
          <cell r="DV2" t="str">
            <v>2012/13 - Measured (Reception)</v>
          </cell>
          <cell r="DW2" t="str">
            <v>2012/13 - Measured as Obese (Reception)</v>
          </cell>
          <cell r="DX2" t="str">
            <v>% Obese (Reception) - 2012/13</v>
          </cell>
          <cell r="DY2" t="str">
            <v>2012/13 (Reception) - LCL</v>
          </cell>
          <cell r="DZ2" t="str">
            <v>2012/13 (Reception) - UCL</v>
          </cell>
          <cell r="EA2" t="str">
            <v>2012/13 Significance (Reception)</v>
          </cell>
          <cell r="EB2" t="str">
            <v>2009/10 - Measured (Year 6)</v>
          </cell>
          <cell r="EC2" t="str">
            <v>2009/10 - Measured as Obese (Year 6)</v>
          </cell>
          <cell r="ED2" t="str">
            <v>% Obese (Year 6) - 2009/10</v>
          </cell>
          <cell r="EE2" t="str">
            <v>2009/10 (Year 6) - LCL</v>
          </cell>
          <cell r="EF2" t="str">
            <v>2009/10 (Year 6) - UCL</v>
          </cell>
          <cell r="EG2" t="str">
            <v>2009/10 Significance (Year 6)</v>
          </cell>
          <cell r="EH2" t="str">
            <v>2010/11 - Measured (Year 6)</v>
          </cell>
          <cell r="EI2" t="str">
            <v>2010/11 - Measured as Obese (Year 6)</v>
          </cell>
          <cell r="EJ2" t="str">
            <v>% Obese (Year 6) - 2010/11</v>
          </cell>
          <cell r="EK2" t="str">
            <v>2010/11 (Year 6) - LCL</v>
          </cell>
          <cell r="EL2" t="str">
            <v>2010/11 (Year 6) - UCL</v>
          </cell>
          <cell r="EM2" t="str">
            <v>2010/11 Significance (Year 6)</v>
          </cell>
          <cell r="EN2" t="str">
            <v>2011/12 - Measured (Year 6)</v>
          </cell>
          <cell r="EO2" t="str">
            <v>2011/12 - Measured as Obese (Year 6)</v>
          </cell>
          <cell r="EP2" t="str">
            <v>% Obese (Year 6) - 2011/2012</v>
          </cell>
          <cell r="EQ2" t="str">
            <v>2011/12 (Year 6) - LCL</v>
          </cell>
          <cell r="ER2" t="str">
            <v>2011/12 (Year 6) - UCL</v>
          </cell>
          <cell r="ES2" t="str">
            <v>2011/12 Significance (Year 6)</v>
          </cell>
          <cell r="ET2" t="str">
            <v>2012/13 - Measured (Year 6)</v>
          </cell>
          <cell r="EU2" t="str">
            <v>2012/13 - Measured as Obese (Year 6)</v>
          </cell>
          <cell r="EV2" t="str">
            <v>% Obese (Year 6) - 2012/2013</v>
          </cell>
          <cell r="EW2" t="str">
            <v>2012/13 (Year 6) - LCL</v>
          </cell>
          <cell r="EX2" t="str">
            <v>2012/13 (Year 6) - UCL</v>
          </cell>
          <cell r="EY2" t="str">
            <v>2012/13 Significance (Year 6)</v>
          </cell>
          <cell r="EZ2" t="str">
            <v>Number of children (2013)</v>
          </cell>
          <cell r="FA2" t="str">
            <v>Children Assessed as Having a "Good Level of Development" (2013)</v>
          </cell>
          <cell r="FB2" t="str">
            <v>Percentage of children with a Good Level of Development (2013)</v>
          </cell>
          <cell r="FC2" t="str">
            <v>DevLCL (2013)</v>
          </cell>
          <cell r="FD2" t="str">
            <v>DevUCL (2013)</v>
          </cell>
          <cell r="FE2" t="str">
            <v>Number of Children (2013)</v>
          </cell>
          <cell r="FF2" t="str">
            <v>Median Score all Children (2013)</v>
          </cell>
          <cell r="FG2" t="str">
            <v>Lowest Scores - 20% of All Children (2013)</v>
          </cell>
          <cell r="FH2" t="str">
            <v>Mean Score of Lowest 20% (2013)</v>
          </cell>
          <cell r="FI2" t="str">
            <v>% Gap (2013)</v>
          </cell>
          <cell r="FJ2" t="str">
            <v>Number of children (2014)</v>
          </cell>
          <cell r="FK2" t="str">
            <v>Children Assessed as Having a "Good Level of Development" (2014)</v>
          </cell>
          <cell r="FL2" t="str">
            <v>Percentage of children with a Good Level of Development (2014)</v>
          </cell>
          <cell r="FM2" t="str">
            <v>DevLCL (2014)</v>
          </cell>
          <cell r="FN2" t="str">
            <v>DevUCL (2014)</v>
          </cell>
          <cell r="FO2" t="str">
            <v>Number of Children (2014)</v>
          </cell>
          <cell r="FP2" t="str">
            <v>Median Score all Children (2014)</v>
          </cell>
          <cell r="FQ2" t="str">
            <v>Lowest Scores - 20% of All Children (2014)</v>
          </cell>
          <cell r="FR2" t="str">
            <v>Mean Score of Lowest 20% (2014)</v>
          </cell>
          <cell r="FS2" t="str">
            <v>% Gap (2014)</v>
          </cell>
          <cell r="FT2" t="str">
            <v>Proficiency in English 2011</v>
          </cell>
          <cell r="FU2" t="str">
            <v>3-15 Main language is English 2011</v>
          </cell>
          <cell r="FV2" t="str">
            <v>3-15 Main language is not English 2011</v>
          </cell>
          <cell r="FW2" t="str">
            <v>3-15 Main language is not English : Can speak English very well or well 2011</v>
          </cell>
          <cell r="FX2" t="str">
            <v>3-15 Main language is not English : Cannot speak English or cannot speak English well 2011</v>
          </cell>
          <cell r="FY2" t="str">
            <v>% Main Language not english but can speak it well or very well</v>
          </cell>
          <cell r="FZ2" t="str">
            <v>% Main language is not english and cannot speak it or cannot speak it well</v>
          </cell>
          <cell r="GA2" t="str">
            <v>%not smoking at time of booking</v>
          </cell>
          <cell r="GB2" t="str">
            <v>% smoking at time of booking</v>
          </cell>
          <cell r="GC2" t="str">
            <v>LCLbook</v>
          </cell>
          <cell r="GD2" t="str">
            <v>UCLbook</v>
          </cell>
          <cell r="GE2" t="str">
            <v>%not smoking at delivery</v>
          </cell>
          <cell r="GF2" t="str">
            <v>%smoking at delivery</v>
          </cell>
          <cell r="GG2" t="str">
            <v>LCLdel</v>
          </cell>
          <cell r="GH2" t="str">
            <v>UCLdel</v>
          </cell>
          <cell r="GI2" t="str">
            <v>%not current smoker</v>
          </cell>
          <cell r="GJ2" t="str">
            <v>%current smoker</v>
          </cell>
          <cell r="GK2" t="str">
            <v>LCLsmoke</v>
          </cell>
          <cell r="GL2" t="str">
            <v>UCLsmoke</v>
          </cell>
          <cell r="GM2" t="str">
            <v>%No smoker in household</v>
          </cell>
          <cell r="GN2" t="str">
            <v>%Smoker in household</v>
          </cell>
          <cell r="GO2" t="str">
            <v>LCLhouse</v>
          </cell>
          <cell r="GP2" t="str">
            <v>UCLhouse</v>
          </cell>
          <cell r="GQ2" t="str">
            <v>Immunisations Total age1 eligible Q1 2013-14</v>
          </cell>
          <cell r="GR2" t="str">
            <v>age1 2nd MenC</v>
          </cell>
          <cell r="GS2" t="str">
            <v>age1 2nd Pneu</v>
          </cell>
          <cell r="GT2" t="str">
            <v>age1 1st Pneu</v>
          </cell>
          <cell r="GU2" t="str">
            <v>age1 3rd5in1</v>
          </cell>
          <cell r="GV2" t="str">
            <v>total age2 eligible</v>
          </cell>
          <cell r="GW2" t="str">
            <v>age2 HibMenCBoost</v>
          </cell>
          <cell r="GX2" t="str">
            <v>age2 2ndMenC</v>
          </cell>
          <cell r="GY2" t="str">
            <v>age2 PneuBoost</v>
          </cell>
          <cell r="GZ2" t="str">
            <v>age2 2ndPneu</v>
          </cell>
          <cell r="HA2" t="str">
            <v>age2 1stPneu</v>
          </cell>
          <cell r="HB2" t="str">
            <v>age2 MMR1</v>
          </cell>
          <cell r="HC2" t="str">
            <v>age2 3rd5in1</v>
          </cell>
          <cell r="HD2" t="str">
            <v>Total age5 eligible</v>
          </cell>
          <cell r="HE2" t="str">
            <v>age5 HibMenCBoost</v>
          </cell>
          <cell r="HF2" t="str">
            <v>age5 2ndMenC</v>
          </cell>
          <cell r="HG2" t="str">
            <v>age5 PneuBoost</v>
          </cell>
          <cell r="HH2" t="str">
            <v>age5 2ndPneu</v>
          </cell>
          <cell r="HI2" t="str">
            <v>age5 1stPneu</v>
          </cell>
          <cell r="HJ2" t="str">
            <v>age5 MMR2</v>
          </cell>
          <cell r="HK2" t="str">
            <v>age5 MMR1</v>
          </cell>
          <cell r="HL2" t="str">
            <v>age5 PSB</v>
          </cell>
          <cell r="HM2" t="str">
            <v>age5 3rd5in1</v>
          </cell>
          <cell r="HN2" t="str">
            <v>Number of 0-4 year olds with their day-to-day activities limited</v>
          </cell>
          <cell r="HO2" t="str">
            <v>% of all 0-4 year olds</v>
          </cell>
          <cell r="HP2" t="str">
            <v>Households with a 0-4 year old</v>
          </cell>
          <cell r="HQ2" t="str">
            <v>Living in a couple household</v>
          </cell>
          <cell r="HR2" t="str">
            <v>Not living in a couple household</v>
          </cell>
          <cell r="HS2" t="str">
            <v>% in non-couple household</v>
          </cell>
        </row>
        <row r="3">
          <cell r="A3" t="str">
            <v>Angmering</v>
          </cell>
          <cell r="C3" t="str">
            <v>Arun East</v>
          </cell>
          <cell r="D3" t="str">
            <v>Arun East</v>
          </cell>
          <cell r="E3" t="str">
            <v>Arun</v>
          </cell>
          <cell r="F3" t="str">
            <v>Arun</v>
          </cell>
          <cell r="G3" t="str">
            <v>Angmering, Brookfield, Rustington East, Rustington West</v>
          </cell>
          <cell r="H3" t="str">
            <v>Angmering</v>
          </cell>
          <cell r="I3" t="str">
            <v>B</v>
          </cell>
          <cell r="J3" t="str">
            <v>Coastal West Sussex</v>
          </cell>
          <cell r="K3" t="str">
            <v>Arundel and South Downs</v>
          </cell>
          <cell r="L3">
            <v>16620</v>
          </cell>
          <cell r="M3">
            <v>17065</v>
          </cell>
          <cell r="N3">
            <v>17415</v>
          </cell>
          <cell r="O3">
            <v>17650</v>
          </cell>
          <cell r="P3">
            <v>17770</v>
          </cell>
          <cell r="Q3">
            <v>17725</v>
          </cell>
          <cell r="R3">
            <v>17835</v>
          </cell>
          <cell r="S3">
            <v>17855</v>
          </cell>
          <cell r="T3">
            <v>18075</v>
          </cell>
          <cell r="U3">
            <v>18165</v>
          </cell>
          <cell r="V3">
            <v>1015</v>
          </cell>
          <cell r="W3">
            <v>1025</v>
          </cell>
          <cell r="X3">
            <v>1040</v>
          </cell>
          <cell r="Y3">
            <v>1025</v>
          </cell>
          <cell r="Z3">
            <v>1030</v>
          </cell>
          <cell r="AA3">
            <v>1005</v>
          </cell>
          <cell r="AB3">
            <v>1010</v>
          </cell>
          <cell r="AC3">
            <v>990</v>
          </cell>
          <cell r="AD3">
            <v>1020</v>
          </cell>
          <cell r="AE3">
            <v>1020</v>
          </cell>
          <cell r="AF3">
            <v>0.92871690427698572</v>
          </cell>
          <cell r="AG3">
            <v>2.7494908350305498E-2</v>
          </cell>
          <cell r="AH3">
            <v>3.4623217922606926E-2</v>
          </cell>
          <cell r="AI3">
            <v>8.1466395112016286E-3</v>
          </cell>
          <cell r="AJ3">
            <v>1.0183299389002036E-3</v>
          </cell>
          <cell r="AK3">
            <v>0</v>
          </cell>
          <cell r="AL3">
            <v>7.128309572301425E-2</v>
          </cell>
          <cell r="AM3">
            <v>2025</v>
          </cell>
          <cell r="AN3">
            <v>0.68083003952569165</v>
          </cell>
          <cell r="AO3">
            <v>9.3379446640316208E-2</v>
          </cell>
          <cell r="AP3">
            <v>0.2257905138339921</v>
          </cell>
          <cell r="AQ3">
            <v>184</v>
          </cell>
          <cell r="AR3">
            <v>179</v>
          </cell>
          <cell r="AS3">
            <v>203</v>
          </cell>
          <cell r="AT3">
            <v>195</v>
          </cell>
          <cell r="AU3">
            <v>163</v>
          </cell>
          <cell r="AV3">
            <v>8</v>
          </cell>
          <cell r="AW3">
            <v>4</v>
          </cell>
          <cell r="AX3">
            <v>12</v>
          </cell>
          <cell r="AY3">
            <v>8</v>
          </cell>
          <cell r="AZ3">
            <v>6</v>
          </cell>
          <cell r="BA3">
            <v>11</v>
          </cell>
          <cell r="BB3">
            <v>6.7484662576687116E-2</v>
          </cell>
          <cell r="BC3">
            <v>3.8096986536392215E-2</v>
          </cell>
          <cell r="BD3">
            <v>0.1167893289115334</v>
          </cell>
          <cell r="BE3">
            <v>13</v>
          </cell>
          <cell r="BF3">
            <v>308</v>
          </cell>
          <cell r="BG3">
            <v>333</v>
          </cell>
          <cell r="BH3">
            <v>133</v>
          </cell>
          <cell r="BI3">
            <v>0.13647543067212969</v>
          </cell>
          <cell r="BJ3">
            <v>2175</v>
          </cell>
          <cell r="BK3">
            <v>3804</v>
          </cell>
          <cell r="BL3">
            <v>2189</v>
          </cell>
          <cell r="BM3">
            <v>1276</v>
          </cell>
          <cell r="BN3">
            <v>1</v>
          </cell>
          <cell r="BO3">
            <v>284</v>
          </cell>
          <cell r="BP3">
            <v>480</v>
          </cell>
          <cell r="BQ3">
            <v>148</v>
          </cell>
          <cell r="BR3">
            <v>115</v>
          </cell>
          <cell r="BS3">
            <v>110</v>
          </cell>
          <cell r="BT3">
            <v>75</v>
          </cell>
          <cell r="BU3">
            <v>480</v>
          </cell>
          <cell r="BV3">
            <v>144</v>
          </cell>
          <cell r="BW3">
            <v>0.3</v>
          </cell>
          <cell r="BX3">
            <v>46</v>
          </cell>
          <cell r="BY3">
            <v>5</v>
          </cell>
          <cell r="BZ3">
            <v>230</v>
          </cell>
          <cell r="CA3">
            <v>3.0006523157208087E-2</v>
          </cell>
          <cell r="CB3">
            <v>140</v>
          </cell>
          <cell r="CC3">
            <v>115</v>
          </cell>
          <cell r="CD3">
            <v>130</v>
          </cell>
          <cell r="CE3">
            <v>145</v>
          </cell>
          <cell r="CF3">
            <v>410</v>
          </cell>
          <cell r="CG3">
            <v>0.1341</v>
          </cell>
          <cell r="CH3">
            <v>470</v>
          </cell>
          <cell r="CI3">
            <v>0.12959999999999999</v>
          </cell>
          <cell r="CJ3">
            <v>435</v>
          </cell>
          <cell r="CK3">
            <v>0.13210000000000002</v>
          </cell>
          <cell r="CL3">
            <v>440</v>
          </cell>
          <cell r="CM3">
            <v>0.14699999999999999</v>
          </cell>
          <cell r="CN3">
            <v>465</v>
          </cell>
          <cell r="CO3">
            <v>0.129</v>
          </cell>
          <cell r="CP3">
            <v>395</v>
          </cell>
          <cell r="CQ3">
            <v>0.11791044776119403</v>
          </cell>
          <cell r="CR3">
            <v>191</v>
          </cell>
          <cell r="CS3">
            <v>4</v>
          </cell>
          <cell r="CT3">
            <v>187</v>
          </cell>
          <cell r="CU3">
            <v>0.98280761579994336</v>
          </cell>
          <cell r="CV3">
            <v>84</v>
          </cell>
          <cell r="CW3">
            <v>99</v>
          </cell>
          <cell r="CX3">
            <v>0.46804208863032398</v>
          </cell>
          <cell r="CY3">
            <v>0.54348343649814235</v>
          </cell>
          <cell r="CZ3">
            <v>0.37964047544544022</v>
          </cell>
          <cell r="DA3">
            <v>0.52080051855167575</v>
          </cell>
          <cell r="DB3">
            <v>0.458000343620654</v>
          </cell>
          <cell r="DC3">
            <v>0.59963908090733153</v>
          </cell>
          <cell r="DD3">
            <v>161</v>
          </cell>
          <cell r="DE3">
            <v>10</v>
          </cell>
          <cell r="DF3">
            <v>6.2111801242236024E-2</v>
          </cell>
          <cell r="DG3">
            <v>3.4084412068514494E-2</v>
          </cell>
          <cell r="DH3">
            <v>0.11054824886072183</v>
          </cell>
          <cell r="DI3" t="str">
            <v>No Sig diff</v>
          </cell>
          <cell r="DJ3">
            <v>163</v>
          </cell>
          <cell r="DK3">
            <v>9</v>
          </cell>
          <cell r="DL3">
            <v>5.5214723926380369E-2</v>
          </cell>
          <cell r="DM3">
            <v>2.9317368755345873E-2</v>
          </cell>
          <cell r="DN3">
            <v>0.10159409039323013</v>
          </cell>
          <cell r="DO3" t="str">
            <v>No Sig diff</v>
          </cell>
          <cell r="DP3">
            <v>130</v>
          </cell>
          <cell r="DQ3">
            <v>9</v>
          </cell>
          <cell r="DR3">
            <v>6.9230769230769235E-2</v>
          </cell>
          <cell r="DS3">
            <v>3.6847119144994243E-2</v>
          </cell>
          <cell r="DT3">
            <v>0.12634191819174664</v>
          </cell>
          <cell r="DU3" t="str">
            <v>No Sig diff</v>
          </cell>
          <cell r="DV3">
            <v>165</v>
          </cell>
          <cell r="DW3">
            <v>16</v>
          </cell>
          <cell r="DX3">
            <v>9.696969696969697E-2</v>
          </cell>
          <cell r="DY3">
            <v>6.0572005169180751E-2</v>
          </cell>
          <cell r="DZ3">
            <v>0.15170677440922217</v>
          </cell>
          <cell r="EA3" t="str">
            <v>No Sig diff</v>
          </cell>
          <cell r="EB3">
            <v>174</v>
          </cell>
          <cell r="EC3">
            <v>26</v>
          </cell>
          <cell r="ED3">
            <v>0.14942528735632185</v>
          </cell>
          <cell r="EE3">
            <v>0.10405726954201303</v>
          </cell>
          <cell r="EF3">
            <v>0.20993846121160956</v>
          </cell>
          <cell r="EG3" t="str">
            <v>No Sig diff</v>
          </cell>
          <cell r="EH3">
            <v>171</v>
          </cell>
          <cell r="EI3">
            <v>30</v>
          </cell>
          <cell r="EJ3">
            <v>0.17543859649122806</v>
          </cell>
          <cell r="EK3">
            <v>0.12574362675464065</v>
          </cell>
          <cell r="EL3">
            <v>0.23939550701434556</v>
          </cell>
          <cell r="EM3" t="str">
            <v>No Sig diff</v>
          </cell>
          <cell r="EN3">
            <v>191</v>
          </cell>
          <cell r="EO3">
            <v>35</v>
          </cell>
          <cell r="EP3">
            <v>0.18324607329842932</v>
          </cell>
          <cell r="EQ3">
            <v>0.13481200656779935</v>
          </cell>
          <cell r="ER3">
            <v>0.24417026582756324</v>
          </cell>
          <cell r="ES3" t="str">
            <v>No Sig diff</v>
          </cell>
          <cell r="ET3">
            <v>186</v>
          </cell>
          <cell r="EU3">
            <v>18</v>
          </cell>
          <cell r="EV3">
            <v>9.6774193548387094E-2</v>
          </cell>
          <cell r="EW3">
            <v>6.2093076397520854E-2</v>
          </cell>
          <cell r="EX3">
            <v>0.14777393088419472</v>
          </cell>
          <cell r="EY3" t="str">
            <v>Sig better than Eng.</v>
          </cell>
          <cell r="EZ3">
            <v>180</v>
          </cell>
          <cell r="FA3">
            <v>99</v>
          </cell>
          <cell r="FB3">
            <v>0.55000000000000004</v>
          </cell>
          <cell r="FC3">
            <v>0.4770335504141382</v>
          </cell>
          <cell r="FD3">
            <v>0.62087689979370053</v>
          </cell>
          <cell r="FE3">
            <v>180</v>
          </cell>
          <cell r="FF3">
            <v>34</v>
          </cell>
          <cell r="FG3">
            <v>36</v>
          </cell>
          <cell r="FH3">
            <v>25.361111111111111</v>
          </cell>
          <cell r="FI3">
            <v>0.25408496732026142</v>
          </cell>
          <cell r="FJ3">
            <v>219</v>
          </cell>
          <cell r="FK3">
            <v>132</v>
          </cell>
          <cell r="FL3">
            <v>0.60273972602739723</v>
          </cell>
          <cell r="FM3">
            <v>0.53669727911714793</v>
          </cell>
          <cell r="FN3">
            <v>0.66524000956398821</v>
          </cell>
          <cell r="FO3">
            <v>219</v>
          </cell>
          <cell r="FP3">
            <v>34</v>
          </cell>
          <cell r="FQ3">
            <v>43</v>
          </cell>
          <cell r="FR3">
            <v>24.883720930232553</v>
          </cell>
          <cell r="FS3">
            <v>0.26812585499316022</v>
          </cell>
          <cell r="FT3">
            <v>2763</v>
          </cell>
          <cell r="FU3">
            <v>2742</v>
          </cell>
          <cell r="FV3">
            <v>21</v>
          </cell>
          <cell r="FW3">
            <v>15</v>
          </cell>
          <cell r="FX3">
            <v>6</v>
          </cell>
          <cell r="FY3">
            <v>0.7142857142857143</v>
          </cell>
          <cell r="FZ3">
            <v>0.2857142857142857</v>
          </cell>
          <cell r="GA3">
            <v>0.9612962962962962</v>
          </cell>
          <cell r="GB3">
            <v>3.8703703703703699E-2</v>
          </cell>
          <cell r="GC3">
            <v>1.9930699774880899E-2</v>
          </cell>
          <cell r="GD3">
            <v>9.0972566500489863E-2</v>
          </cell>
          <cell r="GE3">
            <v>0.95129629629629631</v>
          </cell>
          <cell r="GF3">
            <v>4.8703703703703707E-2</v>
          </cell>
          <cell r="GG3">
            <v>1.9930699774880899E-2</v>
          </cell>
          <cell r="GH3">
            <v>9.0972566500489863E-2</v>
          </cell>
          <cell r="GI3">
            <v>0.95759259259259255</v>
          </cell>
          <cell r="GJ3">
            <v>4.2407407407407408E-2</v>
          </cell>
          <cell r="GK3">
            <v>2.4605238882088657E-2</v>
          </cell>
          <cell r="GL3">
            <v>0.1002995507590243</v>
          </cell>
          <cell r="GM3">
            <v>0.86300158175158193</v>
          </cell>
          <cell r="GN3">
            <v>0.13699841824841824</v>
          </cell>
          <cell r="GO3">
            <v>9.0616305858033777E-2</v>
          </cell>
          <cell r="GP3">
            <v>0.2064663742592043</v>
          </cell>
          <cell r="GQ3">
            <v>59</v>
          </cell>
          <cell r="GR3">
            <v>55</v>
          </cell>
          <cell r="GS3">
            <v>55</v>
          </cell>
          <cell r="GT3">
            <v>58</v>
          </cell>
          <cell r="GU3">
            <v>55</v>
          </cell>
          <cell r="GV3">
            <v>56</v>
          </cell>
          <cell r="GW3">
            <v>53</v>
          </cell>
          <cell r="GX3">
            <v>55</v>
          </cell>
          <cell r="GY3">
            <v>53</v>
          </cell>
          <cell r="GZ3">
            <v>55</v>
          </cell>
          <cell r="HA3">
            <v>55</v>
          </cell>
          <cell r="HB3">
            <v>51</v>
          </cell>
          <cell r="HC3">
            <v>55</v>
          </cell>
          <cell r="HD3">
            <v>56</v>
          </cell>
          <cell r="HE3">
            <v>56</v>
          </cell>
          <cell r="HF3">
            <v>55</v>
          </cell>
          <cell r="HG3">
            <v>54</v>
          </cell>
          <cell r="HH3">
            <v>56</v>
          </cell>
          <cell r="HI3">
            <v>56</v>
          </cell>
          <cell r="HJ3">
            <v>55</v>
          </cell>
          <cell r="HK3">
            <v>56</v>
          </cell>
          <cell r="HL3">
            <v>55</v>
          </cell>
          <cell r="HM3">
            <v>56</v>
          </cell>
          <cell r="HN3">
            <v>19</v>
          </cell>
          <cell r="HO3">
            <v>1.9348268839103868E-2</v>
          </cell>
          <cell r="HP3">
            <v>1542</v>
          </cell>
          <cell r="HQ3">
            <v>1390</v>
          </cell>
          <cell r="HR3">
            <v>152</v>
          </cell>
          <cell r="HS3">
            <v>9.8573281452658881E-2</v>
          </cell>
        </row>
        <row r="4">
          <cell r="A4" t="str">
            <v>Bewbush</v>
          </cell>
          <cell r="C4" t="str">
            <v>Crawley</v>
          </cell>
          <cell r="D4" t="str">
            <v>Crawley</v>
          </cell>
          <cell r="E4" t="str">
            <v>Crawley</v>
          </cell>
          <cell r="F4" t="str">
            <v>Crawley</v>
          </cell>
          <cell r="G4" t="str">
            <v>Bewbush, Gossops Green</v>
          </cell>
          <cell r="H4" t="str">
            <v>Crawley NW</v>
          </cell>
          <cell r="I4" t="str">
            <v>C1</v>
          </cell>
          <cell r="J4" t="str">
            <v>Crawley</v>
          </cell>
          <cell r="K4" t="str">
            <v>Crawley</v>
          </cell>
          <cell r="L4">
            <v>13920</v>
          </cell>
          <cell r="M4">
            <v>13945</v>
          </cell>
          <cell r="N4">
            <v>14000</v>
          </cell>
          <cell r="O4">
            <v>13975</v>
          </cell>
          <cell r="P4">
            <v>14045</v>
          </cell>
          <cell r="Q4">
            <v>14080</v>
          </cell>
          <cell r="R4">
            <v>14005</v>
          </cell>
          <cell r="S4">
            <v>14160</v>
          </cell>
          <cell r="T4">
            <v>14250</v>
          </cell>
          <cell r="U4">
            <v>14270</v>
          </cell>
          <cell r="V4">
            <v>930</v>
          </cell>
          <cell r="W4">
            <v>950</v>
          </cell>
          <cell r="X4">
            <v>930</v>
          </cell>
          <cell r="Y4">
            <v>935</v>
          </cell>
          <cell r="Z4">
            <v>950</v>
          </cell>
          <cell r="AA4">
            <v>975</v>
          </cell>
          <cell r="AB4">
            <v>1040</v>
          </cell>
          <cell r="AC4">
            <v>1085</v>
          </cell>
          <cell r="AD4">
            <v>1120</v>
          </cell>
          <cell r="AE4">
            <v>1145</v>
          </cell>
          <cell r="AF4">
            <v>0.6158088235294118</v>
          </cell>
          <cell r="AG4">
            <v>7.6286764705882359E-2</v>
          </cell>
          <cell r="AH4">
            <v>7.6286764705882359E-2</v>
          </cell>
          <cell r="AI4">
            <v>0.13235294117647059</v>
          </cell>
          <cell r="AJ4">
            <v>8.2720588235294115E-2</v>
          </cell>
          <cell r="AK4">
            <v>1.6544117647058824E-2</v>
          </cell>
          <cell r="AL4">
            <v>0.38419117647058826</v>
          </cell>
          <cell r="AM4">
            <v>1980</v>
          </cell>
          <cell r="AN4">
            <v>0.4770085901970692</v>
          </cell>
          <cell r="AO4">
            <v>0.32491157150075795</v>
          </cell>
          <cell r="AP4">
            <v>0.19807983830217282</v>
          </cell>
          <cell r="AQ4">
            <v>228</v>
          </cell>
          <cell r="AR4">
            <v>218</v>
          </cell>
          <cell r="AS4">
            <v>200</v>
          </cell>
          <cell r="AT4">
            <v>196</v>
          </cell>
          <cell r="AU4">
            <v>236</v>
          </cell>
          <cell r="AV4">
            <v>17</v>
          </cell>
          <cell r="AW4">
            <v>13</v>
          </cell>
          <cell r="AX4">
            <v>8</v>
          </cell>
          <cell r="AY4">
            <v>14</v>
          </cell>
          <cell r="AZ4">
            <v>15</v>
          </cell>
          <cell r="BA4">
            <v>22</v>
          </cell>
          <cell r="BB4">
            <v>9.3220338983050849E-2</v>
          </cell>
          <cell r="BC4">
            <v>6.2367935694190454E-2</v>
          </cell>
          <cell r="BD4">
            <v>0.13710324437589275</v>
          </cell>
          <cell r="BE4">
            <v>26</v>
          </cell>
          <cell r="BF4">
            <v>337</v>
          </cell>
          <cell r="BG4">
            <v>306</v>
          </cell>
          <cell r="BH4">
            <v>203</v>
          </cell>
          <cell r="BI4">
            <v>0.16940932161849653</v>
          </cell>
          <cell r="BJ4">
            <v>1995</v>
          </cell>
          <cell r="BK4">
            <v>3572</v>
          </cell>
          <cell r="BL4">
            <v>1958</v>
          </cell>
          <cell r="BM4">
            <v>991</v>
          </cell>
          <cell r="BN4">
            <v>1</v>
          </cell>
          <cell r="BO4">
            <v>250</v>
          </cell>
          <cell r="BP4">
            <v>500</v>
          </cell>
          <cell r="BQ4">
            <v>216</v>
          </cell>
          <cell r="BR4">
            <v>215</v>
          </cell>
          <cell r="BS4">
            <v>180</v>
          </cell>
          <cell r="BT4">
            <v>165</v>
          </cell>
          <cell r="BU4">
            <v>519</v>
          </cell>
          <cell r="BV4">
            <v>232</v>
          </cell>
          <cell r="BW4">
            <v>0.44701348747591524</v>
          </cell>
          <cell r="BX4">
            <v>39</v>
          </cell>
          <cell r="BY4">
            <v>2</v>
          </cell>
          <cell r="BZ4">
            <v>287</v>
          </cell>
          <cell r="CA4">
            <v>5.3524804177545689E-2</v>
          </cell>
          <cell r="CB4">
            <v>260</v>
          </cell>
          <cell r="CC4">
            <v>265</v>
          </cell>
          <cell r="CD4">
            <v>285</v>
          </cell>
          <cell r="CE4">
            <v>265</v>
          </cell>
          <cell r="CF4">
            <v>735</v>
          </cell>
          <cell r="CG4">
            <v>0.22277777777777777</v>
          </cell>
          <cell r="CH4">
            <v>705</v>
          </cell>
          <cell r="CI4">
            <v>0.20399999999999999</v>
          </cell>
          <cell r="CJ4">
            <v>665</v>
          </cell>
          <cell r="CK4">
            <v>0.21177777777777773</v>
          </cell>
          <cell r="CL4">
            <v>645</v>
          </cell>
          <cell r="CM4">
            <v>0.22133333333333327</v>
          </cell>
          <cell r="CN4">
            <v>710</v>
          </cell>
          <cell r="CO4">
            <v>0.22855555555555554</v>
          </cell>
          <cell r="CP4">
            <v>695</v>
          </cell>
          <cell r="CQ4">
            <v>0.22347266881028938</v>
          </cell>
          <cell r="CR4">
            <v>199</v>
          </cell>
          <cell r="CS4">
            <v>9</v>
          </cell>
          <cell r="CT4">
            <v>190</v>
          </cell>
          <cell r="CU4">
            <v>0.95615563530037218</v>
          </cell>
          <cell r="CV4">
            <v>63</v>
          </cell>
          <cell r="CW4">
            <v>90</v>
          </cell>
          <cell r="CX4">
            <v>0.31451973653586557</v>
          </cell>
          <cell r="CY4">
            <v>0.46319733432636662</v>
          </cell>
          <cell r="CZ4">
            <v>0.26855754915982444</v>
          </cell>
          <cell r="DA4">
            <v>0.40127596438938273</v>
          </cell>
          <cell r="DB4">
            <v>0.40391272589420474</v>
          </cell>
          <cell r="DC4">
            <v>0.54449876059785884</v>
          </cell>
          <cell r="DD4">
            <v>139</v>
          </cell>
          <cell r="DE4">
            <v>13</v>
          </cell>
          <cell r="DF4">
            <v>9.3525179856115109E-2</v>
          </cell>
          <cell r="DG4">
            <v>5.5472392932265871E-2</v>
          </cell>
          <cell r="DH4">
            <v>0.153440755022583</v>
          </cell>
          <cell r="DI4" t="str">
            <v>No Sig diff</v>
          </cell>
          <cell r="DJ4">
            <v>167</v>
          </cell>
          <cell r="DK4">
            <v>17</v>
          </cell>
          <cell r="DL4">
            <v>0.10179640718562874</v>
          </cell>
          <cell r="DM4">
            <v>6.453215761708575E-2</v>
          </cell>
          <cell r="DN4">
            <v>0.15696828543643829</v>
          </cell>
          <cell r="DO4" t="str">
            <v>No Sig diff</v>
          </cell>
          <cell r="DP4">
            <v>148</v>
          </cell>
          <cell r="DQ4">
            <v>15</v>
          </cell>
          <cell r="DR4">
            <v>0.10135135135135136</v>
          </cell>
          <cell r="DS4">
            <v>6.2386399530736276E-2</v>
          </cell>
          <cell r="DT4">
            <v>0.160487241723308</v>
          </cell>
          <cell r="DU4" t="str">
            <v>No Sig diff</v>
          </cell>
          <cell r="DV4">
            <v>185</v>
          </cell>
          <cell r="DW4">
            <v>22</v>
          </cell>
          <cell r="DX4">
            <v>0.11891891891891893</v>
          </cell>
          <cell r="DY4">
            <v>7.9857528522488064E-2</v>
          </cell>
          <cell r="DZ4">
            <v>0.17348439713018241</v>
          </cell>
          <cell r="EA4" t="str">
            <v>No Sig diff</v>
          </cell>
          <cell r="EB4">
            <v>133</v>
          </cell>
          <cell r="EC4">
            <v>30</v>
          </cell>
          <cell r="ED4">
            <v>0.22556390977443608</v>
          </cell>
          <cell r="EE4">
            <v>0.16281825028236413</v>
          </cell>
          <cell r="EF4">
            <v>0.30371769117048725</v>
          </cell>
          <cell r="EG4" t="str">
            <v>No Sig diff</v>
          </cell>
          <cell r="EH4">
            <v>167</v>
          </cell>
          <cell r="EI4">
            <v>39</v>
          </cell>
          <cell r="EJ4">
            <v>0.23353293413173654</v>
          </cell>
          <cell r="EK4">
            <v>0.17580094582420591</v>
          </cell>
          <cell r="EL4">
            <v>0.30324822283567104</v>
          </cell>
          <cell r="EM4" t="str">
            <v>No Sig diff</v>
          </cell>
          <cell r="EN4">
            <v>177</v>
          </cell>
          <cell r="EO4">
            <v>39</v>
          </cell>
          <cell r="EP4">
            <v>0.22033898305084745</v>
          </cell>
          <cell r="EQ4">
            <v>0.1655797355444994</v>
          </cell>
          <cell r="ER4">
            <v>0.28697942513911712</v>
          </cell>
          <cell r="ES4" t="str">
            <v>No Sig diff</v>
          </cell>
          <cell r="ET4">
            <v>160</v>
          </cell>
          <cell r="EU4">
            <v>33</v>
          </cell>
          <cell r="EV4">
            <v>0.20624999999999999</v>
          </cell>
          <cell r="EW4">
            <v>0.15080086366994011</v>
          </cell>
          <cell r="EX4">
            <v>0.27547377599331924</v>
          </cell>
          <cell r="EY4" t="str">
            <v>No Sig diff</v>
          </cell>
          <cell r="EZ4">
            <v>212</v>
          </cell>
          <cell r="FA4">
            <v>105</v>
          </cell>
          <cell r="FB4">
            <v>0.49528301886792453</v>
          </cell>
          <cell r="FC4">
            <v>0.42866607213368668</v>
          </cell>
          <cell r="FD4">
            <v>0.56206786743970427</v>
          </cell>
          <cell r="FE4">
            <v>212</v>
          </cell>
          <cell r="FF4">
            <v>34</v>
          </cell>
          <cell r="FG4">
            <v>42</v>
          </cell>
          <cell r="FH4">
            <v>21.976190476190471</v>
          </cell>
          <cell r="FI4">
            <v>0.35364145658263318</v>
          </cell>
          <cell r="FJ4">
            <v>193</v>
          </cell>
          <cell r="FK4">
            <v>109</v>
          </cell>
          <cell r="FL4">
            <v>0.56476683937823835</v>
          </cell>
          <cell r="FM4">
            <v>0.4942308877461517</v>
          </cell>
          <cell r="FN4">
            <v>0.63277487694274381</v>
          </cell>
          <cell r="FO4">
            <v>193</v>
          </cell>
          <cell r="FP4">
            <v>34</v>
          </cell>
          <cell r="FQ4">
            <v>38</v>
          </cell>
          <cell r="FR4">
            <v>21.552631578947373</v>
          </cell>
          <cell r="FS4">
            <v>0.36609907120743018</v>
          </cell>
          <cell r="FT4">
            <v>1852</v>
          </cell>
          <cell r="FU4">
            <v>1811</v>
          </cell>
          <cell r="FV4">
            <v>41</v>
          </cell>
          <cell r="FW4">
            <v>36</v>
          </cell>
          <cell r="FX4">
            <v>5</v>
          </cell>
          <cell r="FY4">
            <v>0.87804878048780488</v>
          </cell>
          <cell r="FZ4">
            <v>0.12195121951219512</v>
          </cell>
          <cell r="GA4">
            <v>0.83758648758648768</v>
          </cell>
          <cell r="GB4">
            <v>0.1624135124135124</v>
          </cell>
          <cell r="GC4">
            <v>0.11561771988481866</v>
          </cell>
          <cell r="GD4">
            <v>0.25849709964566014</v>
          </cell>
          <cell r="GE4">
            <v>0.87920227920227922</v>
          </cell>
          <cell r="GF4">
            <v>0.12079772079772079</v>
          </cell>
          <cell r="GG4">
            <v>7.8811990941745763E-2</v>
          </cell>
          <cell r="GH4">
            <v>0.20589065995023004</v>
          </cell>
          <cell r="GI4">
            <v>0.80054945054945059</v>
          </cell>
          <cell r="GJ4">
            <v>0.19945054945054946</v>
          </cell>
          <cell r="GK4">
            <v>0.14772120660505175</v>
          </cell>
          <cell r="GL4">
            <v>0.30194390108014951</v>
          </cell>
          <cell r="GM4">
            <v>0.64439017772351104</v>
          </cell>
          <cell r="GN4">
            <v>0.35560982227648902</v>
          </cell>
          <cell r="GO4">
            <v>0.27361966173474211</v>
          </cell>
          <cell r="GP4">
            <v>0.45325977192245154</v>
          </cell>
          <cell r="GQ4">
            <v>55</v>
          </cell>
          <cell r="GR4">
            <v>53</v>
          </cell>
          <cell r="GS4">
            <v>53</v>
          </cell>
          <cell r="GT4">
            <v>55</v>
          </cell>
          <cell r="GU4">
            <v>54</v>
          </cell>
          <cell r="GV4">
            <v>50</v>
          </cell>
          <cell r="GW4">
            <v>50</v>
          </cell>
          <cell r="GX4">
            <v>49</v>
          </cell>
          <cell r="GY4">
            <v>48</v>
          </cell>
          <cell r="GZ4">
            <v>49</v>
          </cell>
          <cell r="HA4">
            <v>48</v>
          </cell>
          <cell r="HB4">
            <v>49</v>
          </cell>
          <cell r="HC4">
            <v>50</v>
          </cell>
          <cell r="HD4">
            <v>62</v>
          </cell>
          <cell r="HE4">
            <v>59</v>
          </cell>
          <cell r="HF4">
            <v>57</v>
          </cell>
          <cell r="HG4">
            <v>53</v>
          </cell>
          <cell r="HH4">
            <v>57</v>
          </cell>
          <cell r="HI4">
            <v>57</v>
          </cell>
          <cell r="HJ4">
            <v>57</v>
          </cell>
          <cell r="HK4">
            <v>59</v>
          </cell>
          <cell r="HL4">
            <v>55</v>
          </cell>
          <cell r="HM4">
            <v>57</v>
          </cell>
          <cell r="HN4">
            <v>24</v>
          </cell>
          <cell r="HO4">
            <v>2.2058823529411766E-2</v>
          </cell>
          <cell r="HP4">
            <v>1737</v>
          </cell>
          <cell r="HQ4">
            <v>1485</v>
          </cell>
          <cell r="HR4">
            <v>252</v>
          </cell>
          <cell r="HS4">
            <v>0.14507772020725387</v>
          </cell>
        </row>
        <row r="5">
          <cell r="A5" t="str">
            <v>Billingshurst and Pulborough</v>
          </cell>
          <cell r="C5" t="str">
            <v>Horsham</v>
          </cell>
          <cell r="D5" t="str">
            <v>Horsham Rural</v>
          </cell>
          <cell r="E5" t="str">
            <v>Horsham</v>
          </cell>
          <cell r="F5" t="str">
            <v>Chanctonbury</v>
          </cell>
          <cell r="G5" t="str">
            <v>Wishborough Green, Chanctonbury, Pulborough and Coldwatham, Plaistow, Billingshurst and Shipley, Itchingfield, Slinford and Warnham</v>
          </cell>
          <cell r="H5" t="str">
            <v>Billingshurst</v>
          </cell>
          <cell r="I5" t="str">
            <v>C3</v>
          </cell>
          <cell r="J5" t="str">
            <v>Coastal West Sussex</v>
          </cell>
          <cell r="K5" t="str">
            <v>Horsham</v>
          </cell>
          <cell r="L5">
            <v>24270</v>
          </cell>
          <cell r="M5">
            <v>24350</v>
          </cell>
          <cell r="N5">
            <v>24640</v>
          </cell>
          <cell r="O5">
            <v>24855</v>
          </cell>
          <cell r="P5">
            <v>25020</v>
          </cell>
          <cell r="Q5">
            <v>25175</v>
          </cell>
          <cell r="R5">
            <v>25585</v>
          </cell>
          <cell r="S5">
            <v>25835</v>
          </cell>
          <cell r="T5">
            <v>25910</v>
          </cell>
          <cell r="U5">
            <v>26075</v>
          </cell>
          <cell r="V5">
            <v>1240</v>
          </cell>
          <cell r="W5">
            <v>1220</v>
          </cell>
          <cell r="X5">
            <v>1195</v>
          </cell>
          <cell r="Y5">
            <v>1235</v>
          </cell>
          <cell r="Z5">
            <v>1235</v>
          </cell>
          <cell r="AA5">
            <v>1235</v>
          </cell>
          <cell r="AB5">
            <v>1285</v>
          </cell>
          <cell r="AC5">
            <v>1290</v>
          </cell>
          <cell r="AD5">
            <v>1300</v>
          </cell>
          <cell r="AE5">
            <v>1295</v>
          </cell>
          <cell r="AF5">
            <v>0.92938496583143504</v>
          </cell>
          <cell r="AG5">
            <v>2.2779043280182234E-2</v>
          </cell>
          <cell r="AH5">
            <v>3.4927866362946092E-2</v>
          </cell>
          <cell r="AI5">
            <v>9.8709187547456334E-3</v>
          </cell>
          <cell r="AJ5">
            <v>2.2779043280182231E-3</v>
          </cell>
          <cell r="AK5">
            <v>7.5930144267274111E-4</v>
          </cell>
          <cell r="AL5">
            <v>7.0615034168564919E-2</v>
          </cell>
          <cell r="AM5">
            <v>2665</v>
          </cell>
          <cell r="AN5">
            <v>0.74652647390161475</v>
          </cell>
          <cell r="AO5">
            <v>0.13931656027037176</v>
          </cell>
          <cell r="AP5">
            <v>0.11415696582801352</v>
          </cell>
          <cell r="AQ5">
            <v>211</v>
          </cell>
          <cell r="AR5">
            <v>215</v>
          </cell>
          <cell r="AS5">
            <v>225</v>
          </cell>
          <cell r="AT5">
            <v>196</v>
          </cell>
          <cell r="AU5">
            <v>185</v>
          </cell>
          <cell r="AV5">
            <v>8</v>
          </cell>
          <cell r="AW5">
            <v>2</v>
          </cell>
          <cell r="AX5">
            <v>4</v>
          </cell>
          <cell r="AY5">
            <v>6</v>
          </cell>
          <cell r="AZ5">
            <v>3</v>
          </cell>
          <cell r="BA5">
            <v>17</v>
          </cell>
          <cell r="BB5">
            <v>9.1891891891891897E-2</v>
          </cell>
          <cell r="BC5">
            <v>5.8164744484854133E-2</v>
          </cell>
          <cell r="BD5">
            <v>0.14222270780984969</v>
          </cell>
          <cell r="BE5">
            <v>5</v>
          </cell>
          <cell r="BF5">
            <v>372</v>
          </cell>
          <cell r="BG5">
            <v>445</v>
          </cell>
          <cell r="BH5">
            <v>205</v>
          </cell>
          <cell r="BI5">
            <v>0.15210646167041827</v>
          </cell>
          <cell r="BJ5">
            <v>2831</v>
          </cell>
          <cell r="BK5">
            <v>5095</v>
          </cell>
          <cell r="BL5">
            <v>2877</v>
          </cell>
          <cell r="BM5">
            <v>1861</v>
          </cell>
          <cell r="BN5">
            <v>0</v>
          </cell>
          <cell r="BO5">
            <v>331</v>
          </cell>
          <cell r="BP5">
            <v>494</v>
          </cell>
          <cell r="BQ5">
            <v>191</v>
          </cell>
          <cell r="BR5">
            <v>85</v>
          </cell>
          <cell r="BS5">
            <v>75</v>
          </cell>
          <cell r="BT5">
            <v>70</v>
          </cell>
          <cell r="BU5">
            <v>383</v>
          </cell>
          <cell r="BV5">
            <v>109</v>
          </cell>
          <cell r="BW5">
            <v>0.28459530026109658</v>
          </cell>
          <cell r="BX5">
            <v>46</v>
          </cell>
          <cell r="BY5">
            <v>8</v>
          </cell>
          <cell r="BZ5">
            <v>209</v>
          </cell>
          <cell r="CA5">
            <v>1.9179590713040286E-2</v>
          </cell>
          <cell r="CB5">
            <v>140</v>
          </cell>
          <cell r="CC5">
            <v>140</v>
          </cell>
          <cell r="CD5">
            <v>110</v>
          </cell>
          <cell r="CE5">
            <v>120</v>
          </cell>
          <cell r="CF5">
            <v>385</v>
          </cell>
          <cell r="CG5">
            <v>7.7374999999999985E-2</v>
          </cell>
          <cell r="CH5">
            <v>410</v>
          </cell>
          <cell r="CI5">
            <v>8.0249999999999988E-2</v>
          </cell>
          <cell r="CJ5">
            <v>445</v>
          </cell>
          <cell r="CK5">
            <v>9.5125000000000015E-2</v>
          </cell>
          <cell r="CL5">
            <v>360</v>
          </cell>
          <cell r="CM5">
            <v>8.9999999999999983E-2</v>
          </cell>
          <cell r="CN5">
            <v>350</v>
          </cell>
          <cell r="CO5">
            <v>8.3000000000000004E-2</v>
          </cell>
          <cell r="CP5">
            <v>310</v>
          </cell>
          <cell r="CQ5">
            <v>7.0857142857142855E-2</v>
          </cell>
          <cell r="CR5">
            <v>188</v>
          </cell>
          <cell r="CS5">
            <v>6</v>
          </cell>
          <cell r="CT5">
            <v>182</v>
          </cell>
          <cell r="CU5">
            <v>0.96200284090909094</v>
          </cell>
          <cell r="CV5">
            <v>87</v>
          </cell>
          <cell r="CW5">
            <v>109</v>
          </cell>
          <cell r="CX5">
            <v>0.48906351001939236</v>
          </cell>
          <cell r="CY5">
            <v>0.62833997089511795</v>
          </cell>
          <cell r="CZ5">
            <v>0.40665663560429499</v>
          </cell>
          <cell r="DA5">
            <v>0.55029595197566561</v>
          </cell>
          <cell r="DB5">
            <v>0.52635968482548634</v>
          </cell>
          <cell r="DC5">
            <v>0.66735367106469112</v>
          </cell>
          <cell r="DD5">
            <v>208</v>
          </cell>
          <cell r="DE5">
            <v>14</v>
          </cell>
          <cell r="DF5">
            <v>6.7307692307692304E-2</v>
          </cell>
          <cell r="DG5">
            <v>4.0513731011622561E-2</v>
          </cell>
          <cell r="DH5">
            <v>0.1097942351341602</v>
          </cell>
          <cell r="DI5" t="str">
            <v>No Sig diff</v>
          </cell>
          <cell r="DJ5">
            <v>258</v>
          </cell>
          <cell r="DK5">
            <v>21</v>
          </cell>
          <cell r="DL5">
            <v>8.1395348837209308E-2</v>
          </cell>
          <cell r="DM5">
            <v>5.3851900260729016E-2</v>
          </cell>
          <cell r="DN5">
            <v>0.12122144002372841</v>
          </cell>
          <cell r="DO5" t="str">
            <v>No Sig diff</v>
          </cell>
          <cell r="DP5">
            <v>129</v>
          </cell>
          <cell r="DQ5">
            <v>7</v>
          </cell>
          <cell r="DR5">
            <v>5.4263565891472867E-2</v>
          </cell>
          <cell r="DS5">
            <v>2.6530955330892243E-2</v>
          </cell>
          <cell r="DT5">
            <v>0.10777545005702245</v>
          </cell>
          <cell r="DU5" t="str">
            <v>No Sig diff</v>
          </cell>
          <cell r="DV5">
            <v>197</v>
          </cell>
          <cell r="DW5">
            <v>15</v>
          </cell>
          <cell r="DX5">
            <v>7.6142131979695438E-2</v>
          </cell>
          <cell r="DY5">
            <v>4.6683361087312907E-2</v>
          </cell>
          <cell r="DZ5">
            <v>0.12181501080963128</v>
          </cell>
          <cell r="EA5" t="str">
            <v>No Sig diff</v>
          </cell>
          <cell r="EB5">
            <v>207</v>
          </cell>
          <cell r="EC5">
            <v>34</v>
          </cell>
          <cell r="ED5">
            <v>0.16400000000000001</v>
          </cell>
          <cell r="EE5">
            <v>0.12</v>
          </cell>
          <cell r="EF5">
            <v>0.221</v>
          </cell>
          <cell r="EG5" t="str">
            <v>No Sig diff</v>
          </cell>
          <cell r="EH5">
            <v>213</v>
          </cell>
          <cell r="EI5">
            <v>31</v>
          </cell>
          <cell r="EJ5">
            <v>0.14599999999999999</v>
          </cell>
          <cell r="EK5">
            <v>0.104</v>
          </cell>
          <cell r="EL5">
            <v>0.19900000000000001</v>
          </cell>
          <cell r="EM5" t="str">
            <v>No Sig diff</v>
          </cell>
          <cell r="EN5">
            <v>205</v>
          </cell>
          <cell r="EO5">
            <v>27</v>
          </cell>
          <cell r="EP5">
            <v>0.13170731707317074</v>
          </cell>
          <cell r="EQ5">
            <v>9.2119520186502241E-2</v>
          </cell>
          <cell r="ER5">
            <v>0.18484396755831045</v>
          </cell>
          <cell r="ES5" t="str">
            <v>Sig better than Eng.</v>
          </cell>
          <cell r="ET5">
            <v>193</v>
          </cell>
          <cell r="EU5">
            <v>19</v>
          </cell>
          <cell r="EV5">
            <v>9.8445595854922283E-2</v>
          </cell>
          <cell r="EW5">
            <v>6.3932503429260476E-2</v>
          </cell>
          <cell r="EX5">
            <v>0.14863175549958713</v>
          </cell>
          <cell r="EY5" t="str">
            <v>Sig better than Eng.</v>
          </cell>
          <cell r="EZ5">
            <v>243</v>
          </cell>
          <cell r="FA5">
            <v>152</v>
          </cell>
          <cell r="FB5">
            <v>0.62551440329218111</v>
          </cell>
          <cell r="FC5">
            <v>0.56315198511017772</v>
          </cell>
          <cell r="FD5">
            <v>0.68397019724700259</v>
          </cell>
          <cell r="FE5">
            <v>243</v>
          </cell>
          <cell r="FF5">
            <v>34</v>
          </cell>
          <cell r="FG5">
            <v>48</v>
          </cell>
          <cell r="FH5">
            <v>26.041666666666671</v>
          </cell>
          <cell r="FI5">
            <v>0.23406862745098025</v>
          </cell>
          <cell r="FJ5">
            <v>294</v>
          </cell>
          <cell r="FK5">
            <v>196</v>
          </cell>
          <cell r="FL5">
            <v>0.66666666666666663</v>
          </cell>
          <cell r="FM5">
            <v>0.61093750591623186</v>
          </cell>
          <cell r="FN5">
            <v>0.71809660635286543</v>
          </cell>
          <cell r="FO5">
            <v>294</v>
          </cell>
          <cell r="FP5">
            <v>34</v>
          </cell>
          <cell r="FQ5">
            <v>58</v>
          </cell>
          <cell r="FR5">
            <v>26.586206896551726</v>
          </cell>
          <cell r="FS5">
            <v>0.21805273833671393</v>
          </cell>
          <cell r="FT5">
            <v>3760</v>
          </cell>
          <cell r="FU5">
            <v>3670</v>
          </cell>
          <cell r="FV5">
            <v>90</v>
          </cell>
          <cell r="FW5">
            <v>72</v>
          </cell>
          <cell r="FX5">
            <v>18</v>
          </cell>
          <cell r="FY5">
            <v>0.8</v>
          </cell>
          <cell r="FZ5">
            <v>0.2</v>
          </cell>
          <cell r="GA5">
            <v>0.94310290404040398</v>
          </cell>
          <cell r="GB5">
            <v>5.6897095959595953E-2</v>
          </cell>
          <cell r="GC5">
            <v>5.4117934063799819E-2</v>
          </cell>
          <cell r="GD5">
            <v>0.18113867504246287</v>
          </cell>
          <cell r="GE5">
            <v>0.96440972222222221</v>
          </cell>
          <cell r="GF5">
            <v>3.5590277777777776E-2</v>
          </cell>
          <cell r="GG5">
            <v>1.7614201033819141E-2</v>
          </cell>
          <cell r="GH5">
            <v>0.10993207132684676</v>
          </cell>
          <cell r="GI5">
            <v>0.9656723484848484</v>
          </cell>
          <cell r="GJ5">
            <v>3.4327651515151512E-2</v>
          </cell>
          <cell r="GK5">
            <v>1.7614201033819141E-2</v>
          </cell>
          <cell r="GL5">
            <v>0.10993207132684676</v>
          </cell>
          <cell r="GM5">
            <v>0.86806344696969695</v>
          </cell>
          <cell r="GN5">
            <v>0.13193655303030305</v>
          </cell>
          <cell r="GO5">
            <v>9.607722097921384E-2</v>
          </cell>
          <cell r="GP5">
            <v>0.24688972487264566</v>
          </cell>
          <cell r="GQ5">
            <v>58</v>
          </cell>
          <cell r="GR5">
            <v>56</v>
          </cell>
          <cell r="GS5">
            <v>56</v>
          </cell>
          <cell r="GT5">
            <v>56</v>
          </cell>
          <cell r="GU5">
            <v>56</v>
          </cell>
          <cell r="GV5">
            <v>62</v>
          </cell>
          <cell r="GW5">
            <v>58</v>
          </cell>
          <cell r="GX5">
            <v>57</v>
          </cell>
          <cell r="GY5">
            <v>58</v>
          </cell>
          <cell r="GZ5">
            <v>58</v>
          </cell>
          <cell r="HA5">
            <v>57</v>
          </cell>
          <cell r="HB5">
            <v>59</v>
          </cell>
          <cell r="HC5">
            <v>58</v>
          </cell>
          <cell r="HD5">
            <v>60</v>
          </cell>
          <cell r="HE5">
            <v>59</v>
          </cell>
          <cell r="HF5">
            <v>57</v>
          </cell>
          <cell r="HG5">
            <v>56</v>
          </cell>
          <cell r="HH5">
            <v>55</v>
          </cell>
          <cell r="HI5">
            <v>55</v>
          </cell>
          <cell r="HJ5">
            <v>55</v>
          </cell>
          <cell r="HK5">
            <v>58</v>
          </cell>
          <cell r="HL5">
            <v>54</v>
          </cell>
          <cell r="HM5">
            <v>59</v>
          </cell>
          <cell r="HN5">
            <v>14</v>
          </cell>
          <cell r="HO5">
            <v>1.0630220197418374E-2</v>
          </cell>
          <cell r="HP5">
            <v>2072</v>
          </cell>
          <cell r="HQ5">
            <v>1939</v>
          </cell>
          <cell r="HR5">
            <v>133</v>
          </cell>
          <cell r="HS5">
            <v>6.4189189189189186E-2</v>
          </cell>
        </row>
        <row r="6">
          <cell r="A6" t="str">
            <v>Bognor Nursery School</v>
          </cell>
          <cell r="C6" t="str">
            <v>Arun West</v>
          </cell>
          <cell r="D6" t="str">
            <v>Arun West South</v>
          </cell>
          <cell r="E6" t="str">
            <v>Arun</v>
          </cell>
          <cell r="F6" t="str">
            <v>Arch</v>
          </cell>
          <cell r="G6" t="str">
            <v>Aldwick East, Aldwick West, Bersted, Hotham, Marine, Pagham and Rose Green, Pevensey</v>
          </cell>
          <cell r="H6" t="str">
            <v>Bognor Regis/Felpham</v>
          </cell>
          <cell r="I6" t="str">
            <v>A</v>
          </cell>
          <cell r="J6" t="str">
            <v>Coastal West Sussex</v>
          </cell>
          <cell r="K6" t="str">
            <v>Bognor Regis and Littlehampton</v>
          </cell>
          <cell r="L6">
            <v>30475</v>
          </cell>
          <cell r="M6">
            <v>30680</v>
          </cell>
          <cell r="N6">
            <v>30925</v>
          </cell>
          <cell r="O6">
            <v>31290</v>
          </cell>
          <cell r="P6">
            <v>31455</v>
          </cell>
          <cell r="Q6">
            <v>31615</v>
          </cell>
          <cell r="R6">
            <v>31785</v>
          </cell>
          <cell r="S6">
            <v>31830</v>
          </cell>
          <cell r="T6">
            <v>32005</v>
          </cell>
          <cell r="U6">
            <v>32230</v>
          </cell>
          <cell r="V6">
            <v>1185</v>
          </cell>
          <cell r="W6">
            <v>1220</v>
          </cell>
          <cell r="X6">
            <v>1250</v>
          </cell>
          <cell r="Y6">
            <v>1320</v>
          </cell>
          <cell r="Z6">
            <v>1370</v>
          </cell>
          <cell r="AA6">
            <v>1485</v>
          </cell>
          <cell r="AB6">
            <v>1520</v>
          </cell>
          <cell r="AC6">
            <v>1605</v>
          </cell>
          <cell r="AD6">
            <v>1620</v>
          </cell>
          <cell r="AE6">
            <v>1640</v>
          </cell>
          <cell r="AF6">
            <v>0.82069408740359895</v>
          </cell>
          <cell r="AG6">
            <v>0.11632390745501285</v>
          </cell>
          <cell r="AH6">
            <v>3.4704370179948589E-2</v>
          </cell>
          <cell r="AI6">
            <v>2.570694087403599E-2</v>
          </cell>
          <cell r="AJ6">
            <v>1.2853470437017994E-3</v>
          </cell>
          <cell r="AK6">
            <v>1.2853470437017994E-3</v>
          </cell>
          <cell r="AL6">
            <v>0.17930591259640102</v>
          </cell>
          <cell r="AM6">
            <v>2780</v>
          </cell>
          <cell r="AN6">
            <v>0.54025880661394676</v>
          </cell>
          <cell r="AO6">
            <v>0.10639827462257369</v>
          </cell>
          <cell r="AP6">
            <v>0.35334291876347951</v>
          </cell>
          <cell r="AQ6">
            <v>315</v>
          </cell>
          <cell r="AR6">
            <v>328</v>
          </cell>
          <cell r="AS6">
            <v>344</v>
          </cell>
          <cell r="AT6">
            <v>357</v>
          </cell>
          <cell r="AU6">
            <v>338</v>
          </cell>
          <cell r="AV6">
            <v>33</v>
          </cell>
          <cell r="AW6">
            <v>20</v>
          </cell>
          <cell r="AX6">
            <v>22</v>
          </cell>
          <cell r="AY6">
            <v>18</v>
          </cell>
          <cell r="AZ6">
            <v>21</v>
          </cell>
          <cell r="BA6">
            <v>22</v>
          </cell>
          <cell r="BB6">
            <v>6.5088757396449703E-2</v>
          </cell>
          <cell r="BC6">
            <v>4.3373169178803433E-2</v>
          </cell>
          <cell r="BD6">
            <v>9.6579015046423536E-2</v>
          </cell>
          <cell r="BE6">
            <v>39</v>
          </cell>
          <cell r="BF6">
            <v>590</v>
          </cell>
          <cell r="BG6">
            <v>458</v>
          </cell>
          <cell r="BH6">
            <v>203</v>
          </cell>
          <cell r="BI6">
            <v>0.13043955261306833</v>
          </cell>
          <cell r="BJ6">
            <v>2956</v>
          </cell>
          <cell r="BK6">
            <v>4972</v>
          </cell>
          <cell r="BL6">
            <v>2979</v>
          </cell>
          <cell r="BM6">
            <v>1514</v>
          </cell>
          <cell r="BN6">
            <v>2</v>
          </cell>
          <cell r="BO6">
            <v>478</v>
          </cell>
          <cell r="BP6">
            <v>708</v>
          </cell>
          <cell r="BQ6">
            <v>277</v>
          </cell>
          <cell r="BR6">
            <v>225</v>
          </cell>
          <cell r="BS6">
            <v>215</v>
          </cell>
          <cell r="BT6">
            <v>190</v>
          </cell>
          <cell r="BU6">
            <v>702</v>
          </cell>
          <cell r="BV6">
            <v>263</v>
          </cell>
          <cell r="BW6">
            <v>0.37464387464387466</v>
          </cell>
          <cell r="BX6">
            <v>63</v>
          </cell>
          <cell r="BY6">
            <v>2</v>
          </cell>
          <cell r="BZ6">
            <v>766</v>
          </cell>
          <cell r="CA6">
            <v>5.2176282269600166E-2</v>
          </cell>
          <cell r="CB6">
            <v>285</v>
          </cell>
          <cell r="CC6">
            <v>275</v>
          </cell>
          <cell r="CD6">
            <v>300</v>
          </cell>
          <cell r="CE6">
            <v>275</v>
          </cell>
          <cell r="CF6">
            <v>780</v>
          </cell>
          <cell r="CG6">
            <v>0.16229999999999997</v>
          </cell>
          <cell r="CH6">
            <v>785</v>
          </cell>
          <cell r="CI6">
            <v>0.15945000000000004</v>
          </cell>
          <cell r="CJ6">
            <v>795</v>
          </cell>
          <cell r="CK6">
            <v>0.16625000000000004</v>
          </cell>
          <cell r="CL6">
            <v>740</v>
          </cell>
          <cell r="CM6">
            <v>0.16325000000000003</v>
          </cell>
          <cell r="CN6">
            <v>745</v>
          </cell>
          <cell r="CO6">
            <v>0.16159999999999999</v>
          </cell>
          <cell r="CP6">
            <v>650</v>
          </cell>
          <cell r="CQ6">
            <v>0.14541387024608501</v>
          </cell>
          <cell r="CR6">
            <v>340</v>
          </cell>
          <cell r="CS6">
            <v>7</v>
          </cell>
          <cell r="CT6">
            <v>333</v>
          </cell>
          <cell r="CU6">
            <v>0.98093690478792794</v>
          </cell>
          <cell r="CV6">
            <v>123</v>
          </cell>
          <cell r="CW6">
            <v>149</v>
          </cell>
          <cell r="CX6">
            <v>0.36648709844905497</v>
          </cell>
          <cell r="CY6">
            <v>0.45325752307274042</v>
          </cell>
          <cell r="CZ6">
            <v>0.31929566467294879</v>
          </cell>
          <cell r="DA6">
            <v>0.42242269790459519</v>
          </cell>
          <cell r="DB6">
            <v>0.39494261979372203</v>
          </cell>
          <cell r="DC6">
            <v>0.50115097434666911</v>
          </cell>
          <cell r="DD6">
            <v>269</v>
          </cell>
          <cell r="DE6">
            <v>33</v>
          </cell>
          <cell r="DF6">
            <v>0.12267657992565056</v>
          </cell>
          <cell r="DG6">
            <v>8.8701014841697901E-2</v>
          </cell>
          <cell r="DH6">
            <v>0.1672771606253689</v>
          </cell>
          <cell r="DI6" t="str">
            <v>No Sig diff</v>
          </cell>
          <cell r="DJ6">
            <v>228</v>
          </cell>
          <cell r="DK6">
            <v>23</v>
          </cell>
          <cell r="DL6">
            <v>0.10087719298245613</v>
          </cell>
          <cell r="DM6">
            <v>6.8163691398398854E-2</v>
          </cell>
          <cell r="DN6">
            <v>0.14681709363557319</v>
          </cell>
          <cell r="DO6" t="str">
            <v>No Sig diff</v>
          </cell>
          <cell r="DP6">
            <v>261</v>
          </cell>
          <cell r="DQ6">
            <v>37</v>
          </cell>
          <cell r="DR6">
            <v>0.1417624521072797</v>
          </cell>
          <cell r="DS6">
            <v>0.10462973464394934</v>
          </cell>
          <cell r="DT6">
            <v>0.18928746082579473</v>
          </cell>
          <cell r="DU6" t="str">
            <v>Sig worse than Eng.</v>
          </cell>
          <cell r="DV6">
            <v>297</v>
          </cell>
          <cell r="DW6">
            <v>28</v>
          </cell>
          <cell r="DX6">
            <v>9.4276094276094277E-2</v>
          </cell>
          <cell r="DY6">
            <v>6.6032790014041221E-2</v>
          </cell>
          <cell r="DZ6">
            <v>0.13288081403266863</v>
          </cell>
          <cell r="EA6" t="str">
            <v>No Sig diff</v>
          </cell>
          <cell r="EB6">
            <v>205</v>
          </cell>
          <cell r="EC6">
            <v>42</v>
          </cell>
          <cell r="ED6">
            <v>0.20487804878048779</v>
          </cell>
          <cell r="EE6">
            <v>0.15529811076434766</v>
          </cell>
          <cell r="EF6">
            <v>0.2653150151768599</v>
          </cell>
          <cell r="EG6" t="str">
            <v>No Sig diff</v>
          </cell>
          <cell r="EH6">
            <v>218</v>
          </cell>
          <cell r="EI6">
            <v>44</v>
          </cell>
          <cell r="EJ6">
            <v>0.20183486238532111</v>
          </cell>
          <cell r="EK6">
            <v>0.15392950781363002</v>
          </cell>
          <cell r="EL6">
            <v>0.26006641210558595</v>
          </cell>
          <cell r="EM6" t="str">
            <v>No Sig diff</v>
          </cell>
          <cell r="EN6">
            <v>200</v>
          </cell>
          <cell r="EO6">
            <v>37</v>
          </cell>
          <cell r="EP6">
            <v>0.185</v>
          </cell>
          <cell r="EQ6">
            <v>0.13730192800616048</v>
          </cell>
          <cell r="ER6">
            <v>0.24457062761151749</v>
          </cell>
          <cell r="ES6" t="str">
            <v>No Sig diff</v>
          </cell>
          <cell r="ET6">
            <v>189</v>
          </cell>
          <cell r="EU6">
            <v>36</v>
          </cell>
          <cell r="EV6">
            <v>0.19047619047619047</v>
          </cell>
          <cell r="EW6">
            <v>0.14087796358983723</v>
          </cell>
          <cell r="EX6">
            <v>0.25240602878657525</v>
          </cell>
          <cell r="EY6" t="str">
            <v>No Sig diff</v>
          </cell>
          <cell r="EZ6">
            <v>314</v>
          </cell>
          <cell r="FA6">
            <v>104</v>
          </cell>
          <cell r="FB6">
            <v>0.33121019108280253</v>
          </cell>
          <cell r="FC6">
            <v>0.28146844278901645</v>
          </cell>
          <cell r="FD6">
            <v>0.38503195526069667</v>
          </cell>
          <cell r="FE6">
            <v>314</v>
          </cell>
          <cell r="FF6">
            <v>31.5</v>
          </cell>
          <cell r="FG6">
            <v>62</v>
          </cell>
          <cell r="FH6">
            <v>20.790322580645157</v>
          </cell>
          <cell r="FI6">
            <v>0.33998975934459819</v>
          </cell>
          <cell r="FJ6">
            <v>308</v>
          </cell>
          <cell r="FK6">
            <v>163</v>
          </cell>
          <cell r="FL6">
            <v>0.52922077922077926</v>
          </cell>
          <cell r="FM6">
            <v>0.47345984299613758</v>
          </cell>
          <cell r="FN6">
            <v>0.58426179564700975</v>
          </cell>
          <cell r="FO6">
            <v>308</v>
          </cell>
          <cell r="FP6">
            <v>34</v>
          </cell>
          <cell r="FQ6">
            <v>61</v>
          </cell>
          <cell r="FR6">
            <v>23.983606557377048</v>
          </cell>
          <cell r="FS6">
            <v>0.29459980713596917</v>
          </cell>
          <cell r="FT6">
            <v>3362</v>
          </cell>
          <cell r="FU6">
            <v>3150</v>
          </cell>
          <cell r="FV6">
            <v>212</v>
          </cell>
          <cell r="FW6">
            <v>153</v>
          </cell>
          <cell r="FX6">
            <v>59</v>
          </cell>
          <cell r="FY6">
            <v>0.72169811320754718</v>
          </cell>
          <cell r="FZ6">
            <v>0.27830188679245282</v>
          </cell>
          <cell r="GA6">
            <v>0.86148268398268379</v>
          </cell>
          <cell r="GB6">
            <v>0.13851731601731601</v>
          </cell>
          <cell r="GC6">
            <v>0.10424930622012753</v>
          </cell>
          <cell r="GD6">
            <v>0.21607377511371989</v>
          </cell>
          <cell r="GE6">
            <v>0.86108405483405481</v>
          </cell>
          <cell r="GF6">
            <v>0.13891594516594516</v>
          </cell>
          <cell r="GG6">
            <v>0.13636267428550469</v>
          </cell>
          <cell r="GH6">
            <v>0.25810697999374121</v>
          </cell>
          <cell r="GI6">
            <v>0.89908189033189034</v>
          </cell>
          <cell r="GJ6">
            <v>0.10091810966810966</v>
          </cell>
          <cell r="GK6">
            <v>8.3456724788453618E-2</v>
          </cell>
          <cell r="GL6">
            <v>0.18743530791512816</v>
          </cell>
          <cell r="GM6">
            <v>0.78010010822510822</v>
          </cell>
          <cell r="GN6">
            <v>0.21989989177489172</v>
          </cell>
          <cell r="GO6">
            <v>0.20309234864592962</v>
          </cell>
          <cell r="GP6">
            <v>0.33967045152411318</v>
          </cell>
          <cell r="GQ6">
            <v>71</v>
          </cell>
          <cell r="GR6">
            <v>70</v>
          </cell>
          <cell r="GS6">
            <v>70</v>
          </cell>
          <cell r="GT6">
            <v>70</v>
          </cell>
          <cell r="GU6">
            <v>70</v>
          </cell>
          <cell r="GV6">
            <v>83</v>
          </cell>
          <cell r="GW6">
            <v>78</v>
          </cell>
          <cell r="GX6">
            <v>81</v>
          </cell>
          <cell r="GY6">
            <v>78</v>
          </cell>
          <cell r="GZ6">
            <v>80</v>
          </cell>
          <cell r="HA6">
            <v>82</v>
          </cell>
          <cell r="HB6">
            <v>78</v>
          </cell>
          <cell r="HC6">
            <v>81</v>
          </cell>
          <cell r="HD6">
            <v>94</v>
          </cell>
          <cell r="HE6">
            <v>89</v>
          </cell>
          <cell r="HF6">
            <v>84</v>
          </cell>
          <cell r="HG6">
            <v>85</v>
          </cell>
          <cell r="HH6">
            <v>85</v>
          </cell>
          <cell r="HI6">
            <v>85</v>
          </cell>
          <cell r="HJ6">
            <v>85</v>
          </cell>
          <cell r="HK6">
            <v>91</v>
          </cell>
          <cell r="HL6">
            <v>83</v>
          </cell>
          <cell r="HM6">
            <v>87</v>
          </cell>
          <cell r="HN6">
            <v>33</v>
          </cell>
          <cell r="HO6">
            <v>2.1249195106245976E-2</v>
          </cell>
          <cell r="HP6">
            <v>2484</v>
          </cell>
          <cell r="HQ6">
            <v>2170</v>
          </cell>
          <cell r="HR6">
            <v>314</v>
          </cell>
          <cell r="HS6">
            <v>0.12640901771336555</v>
          </cell>
        </row>
        <row r="7">
          <cell r="A7" t="str">
            <v>Boundstone Nursery School</v>
          </cell>
          <cell r="C7" t="str">
            <v>Adur</v>
          </cell>
          <cell r="D7" t="str">
            <v>Adur West</v>
          </cell>
          <cell r="E7" t="str">
            <v>Adur</v>
          </cell>
          <cell r="F7" t="str">
            <v>Adur</v>
          </cell>
          <cell r="G7" t="str">
            <v>Churchill, Cokeham, Manor, Peverel</v>
          </cell>
          <cell r="H7" t="str">
            <v>Lancing</v>
          </cell>
          <cell r="I7" t="str">
            <v>B</v>
          </cell>
          <cell r="J7" t="str">
            <v>Coastal West Sussex</v>
          </cell>
          <cell r="K7" t="str">
            <v>East Worthing and Shoreham</v>
          </cell>
          <cell r="L7">
            <v>15885</v>
          </cell>
          <cell r="M7">
            <v>15800</v>
          </cell>
          <cell r="N7">
            <v>15880</v>
          </cell>
          <cell r="O7">
            <v>15870</v>
          </cell>
          <cell r="P7">
            <v>15825</v>
          </cell>
          <cell r="Q7">
            <v>15785</v>
          </cell>
          <cell r="R7">
            <v>15830</v>
          </cell>
          <cell r="S7">
            <v>15875</v>
          </cell>
          <cell r="T7">
            <v>16025</v>
          </cell>
          <cell r="U7">
            <v>16035</v>
          </cell>
          <cell r="V7">
            <v>785</v>
          </cell>
          <cell r="W7">
            <v>785</v>
          </cell>
          <cell r="X7">
            <v>780</v>
          </cell>
          <cell r="Y7">
            <v>805</v>
          </cell>
          <cell r="Z7">
            <v>795</v>
          </cell>
          <cell r="AA7">
            <v>830</v>
          </cell>
          <cell r="AB7">
            <v>875</v>
          </cell>
          <cell r="AC7">
            <v>875</v>
          </cell>
          <cell r="AD7">
            <v>900</v>
          </cell>
          <cell r="AE7">
            <v>890</v>
          </cell>
          <cell r="AF7">
            <v>0.90700344431687718</v>
          </cell>
          <cell r="AG7">
            <v>3.0998851894374284E-2</v>
          </cell>
          <cell r="AH7">
            <v>3.9035591274397242E-2</v>
          </cell>
          <cell r="AI7">
            <v>1.6073478760045924E-2</v>
          </cell>
          <cell r="AJ7">
            <v>2.2962112514351321E-3</v>
          </cell>
          <cell r="AK7">
            <v>4.5924225028702642E-3</v>
          </cell>
          <cell r="AL7">
            <v>9.2996555683122845E-2</v>
          </cell>
          <cell r="AM7">
            <v>1630</v>
          </cell>
          <cell r="AN7">
            <v>0.62208588957055211</v>
          </cell>
          <cell r="AO7">
            <v>0.2</v>
          </cell>
          <cell r="AP7">
            <v>0.17791411042944785</v>
          </cell>
          <cell r="AQ7">
            <v>174</v>
          </cell>
          <cell r="AR7">
            <v>177</v>
          </cell>
          <cell r="AS7">
            <v>160</v>
          </cell>
          <cell r="AT7">
            <v>182</v>
          </cell>
          <cell r="AU7">
            <v>172</v>
          </cell>
          <cell r="AV7">
            <v>11</v>
          </cell>
          <cell r="AW7">
            <v>14</v>
          </cell>
          <cell r="AX7">
            <v>8</v>
          </cell>
          <cell r="AY7">
            <v>8</v>
          </cell>
          <cell r="AZ7">
            <v>3</v>
          </cell>
          <cell r="BA7">
            <v>13</v>
          </cell>
          <cell r="BB7">
            <v>7.5581395348837205E-2</v>
          </cell>
          <cell r="BC7">
            <v>4.4699432822978308E-2</v>
          </cell>
          <cell r="BD7">
            <v>0.12500718256130097</v>
          </cell>
          <cell r="BE7">
            <v>13</v>
          </cell>
          <cell r="BF7">
            <v>273</v>
          </cell>
          <cell r="BG7">
            <v>263</v>
          </cell>
          <cell r="BH7">
            <v>144</v>
          </cell>
          <cell r="BI7">
            <v>0.1399705626162511</v>
          </cell>
          <cell r="BJ7">
            <v>1701</v>
          </cell>
          <cell r="BK7">
            <v>2988</v>
          </cell>
          <cell r="BL7">
            <v>1715</v>
          </cell>
          <cell r="BM7">
            <v>881</v>
          </cell>
          <cell r="BN7">
            <v>2</v>
          </cell>
          <cell r="BO7">
            <v>268</v>
          </cell>
          <cell r="BP7">
            <v>414</v>
          </cell>
          <cell r="BQ7">
            <v>150</v>
          </cell>
          <cell r="BR7">
            <v>130</v>
          </cell>
          <cell r="BS7">
            <v>130</v>
          </cell>
          <cell r="BT7">
            <v>120</v>
          </cell>
          <cell r="BU7">
            <v>414</v>
          </cell>
          <cell r="BV7">
            <v>173</v>
          </cell>
          <cell r="BW7">
            <v>0.41787439613526572</v>
          </cell>
          <cell r="BX7">
            <v>48</v>
          </cell>
          <cell r="BY7">
            <v>2</v>
          </cell>
          <cell r="BZ7">
            <v>348</v>
          </cell>
          <cell r="CA7">
            <v>4.912478825522304E-2</v>
          </cell>
          <cell r="CB7">
            <v>190</v>
          </cell>
          <cell r="CC7">
            <v>160</v>
          </cell>
          <cell r="CD7">
            <v>155</v>
          </cell>
          <cell r="CE7">
            <v>160</v>
          </cell>
          <cell r="CF7">
            <v>465</v>
          </cell>
          <cell r="CG7">
            <v>0.17127272727272727</v>
          </cell>
          <cell r="CH7">
            <v>480</v>
          </cell>
          <cell r="CI7">
            <v>0.18736363636363637</v>
          </cell>
          <cell r="CJ7">
            <v>525</v>
          </cell>
          <cell r="CK7">
            <v>0.1861818181818182</v>
          </cell>
          <cell r="CL7">
            <v>510</v>
          </cell>
          <cell r="CM7">
            <v>0.17681818181818182</v>
          </cell>
          <cell r="CN7">
            <v>505</v>
          </cell>
          <cell r="CO7">
            <v>0.16472727272727272</v>
          </cell>
          <cell r="CP7">
            <v>380</v>
          </cell>
          <cell r="CQ7">
            <v>0.14258911819887429</v>
          </cell>
          <cell r="CR7">
            <v>191</v>
          </cell>
          <cell r="CS7">
            <v>12</v>
          </cell>
          <cell r="CT7">
            <v>179</v>
          </cell>
          <cell r="CU7">
            <v>0.92896194714376534</v>
          </cell>
          <cell r="CV7">
            <v>63</v>
          </cell>
          <cell r="CW7">
            <v>77</v>
          </cell>
          <cell r="CX7">
            <v>0.34698049701106859</v>
          </cell>
          <cell r="CY7">
            <v>0.42505038540734452</v>
          </cell>
          <cell r="CZ7">
            <v>0.28577066576321652</v>
          </cell>
          <cell r="DA7">
            <v>0.42436094542373431</v>
          </cell>
          <cell r="DB7">
            <v>0.35985509909603769</v>
          </cell>
          <cell r="DC7">
            <v>0.50341452882233539</v>
          </cell>
          <cell r="DD7">
            <v>134</v>
          </cell>
          <cell r="DE7">
            <v>10</v>
          </cell>
          <cell r="DF7">
            <v>7.4626865671641784E-2</v>
          </cell>
          <cell r="DG7">
            <v>4.10383252681309E-2</v>
          </cell>
          <cell r="DH7">
            <v>0.13192457736414165</v>
          </cell>
          <cell r="DI7" t="str">
            <v>No Sig diff</v>
          </cell>
          <cell r="DJ7">
            <v>133</v>
          </cell>
          <cell r="DK7">
            <v>16</v>
          </cell>
          <cell r="DL7">
            <v>0.12030075187969924</v>
          </cell>
          <cell r="DM7">
            <v>7.5421813311987967E-2</v>
          </cell>
          <cell r="DN7">
            <v>0.18649777691729955</v>
          </cell>
          <cell r="DO7" t="str">
            <v>No Sig diff</v>
          </cell>
          <cell r="DP7">
            <v>145</v>
          </cell>
          <cell r="DQ7">
            <v>17</v>
          </cell>
          <cell r="DR7">
            <v>0.11724137931034483</v>
          </cell>
          <cell r="DS7">
            <v>7.4501409163335197E-2</v>
          </cell>
          <cell r="DT7">
            <v>0.17973863336594997</v>
          </cell>
          <cell r="DU7" t="str">
            <v>No Sig diff</v>
          </cell>
          <cell r="DV7">
            <v>157</v>
          </cell>
          <cell r="DW7">
            <v>12</v>
          </cell>
          <cell r="DX7">
            <v>7.6433121019108277E-2</v>
          </cell>
          <cell r="DY7">
            <v>4.42610640242889E-2</v>
          </cell>
          <cell r="DZ7">
            <v>0.12883770680774978</v>
          </cell>
          <cell r="EA7" t="str">
            <v>No Sig diff</v>
          </cell>
          <cell r="EB7">
            <v>134</v>
          </cell>
          <cell r="EC7">
            <v>21</v>
          </cell>
          <cell r="ED7">
            <v>0.15671641791044777</v>
          </cell>
          <cell r="EE7">
            <v>0.10484592586579597</v>
          </cell>
          <cell r="EF7">
            <v>0.22772062713568716</v>
          </cell>
          <cell r="EG7" t="str">
            <v>No Sig diff</v>
          </cell>
          <cell r="EH7">
            <v>141</v>
          </cell>
          <cell r="EI7">
            <v>16</v>
          </cell>
          <cell r="EJ7">
            <v>0.11347517730496454</v>
          </cell>
          <cell r="EK7">
            <v>7.1065842891182035E-2</v>
          </cell>
          <cell r="EL7">
            <v>0.17638719377744136</v>
          </cell>
          <cell r="EM7" t="str">
            <v>Sig better than Eng.</v>
          </cell>
          <cell r="EN7">
            <v>124</v>
          </cell>
          <cell r="EO7">
            <v>23</v>
          </cell>
          <cell r="EP7">
            <v>0.18548387096774194</v>
          </cell>
          <cell r="EQ7">
            <v>0.12689752251284481</v>
          </cell>
          <cell r="ER7">
            <v>0.26297176778209758</v>
          </cell>
          <cell r="ES7" t="str">
            <v>No Sig diff</v>
          </cell>
          <cell r="ET7">
            <v>120</v>
          </cell>
          <cell r="EU7">
            <v>21</v>
          </cell>
          <cell r="EV7">
            <v>0.17499999999999999</v>
          </cell>
          <cell r="EW7">
            <v>0.1174053594456646</v>
          </cell>
          <cell r="EX7">
            <v>0.2527570987264926</v>
          </cell>
          <cell r="EY7" t="str">
            <v>No Sig diff</v>
          </cell>
          <cell r="EZ7">
            <v>176</v>
          </cell>
          <cell r="FA7">
            <v>88</v>
          </cell>
          <cell r="FB7">
            <v>0.5</v>
          </cell>
          <cell r="FC7">
            <v>0.42692426588174481</v>
          </cell>
          <cell r="FD7">
            <v>0.57307573411825519</v>
          </cell>
          <cell r="FE7">
            <v>176</v>
          </cell>
          <cell r="FF7">
            <v>34</v>
          </cell>
          <cell r="FG7">
            <v>35</v>
          </cell>
          <cell r="FH7">
            <v>20.428571428571427</v>
          </cell>
          <cell r="FI7">
            <v>0.39915966386554624</v>
          </cell>
          <cell r="FJ7">
            <v>166</v>
          </cell>
          <cell r="FK7">
            <v>94</v>
          </cell>
          <cell r="FL7">
            <v>0.5662650602409639</v>
          </cell>
          <cell r="FM7">
            <v>0.49021826324741552</v>
          </cell>
          <cell r="FN7">
            <v>0.63931430290432689</v>
          </cell>
          <cell r="FO7">
            <v>166</v>
          </cell>
          <cell r="FP7">
            <v>34</v>
          </cell>
          <cell r="FQ7">
            <v>33</v>
          </cell>
          <cell r="FR7">
            <v>21.151515151515156</v>
          </cell>
          <cell r="FS7">
            <v>0.3778966131907307</v>
          </cell>
          <cell r="FT7">
            <v>2109</v>
          </cell>
          <cell r="FU7">
            <v>2086</v>
          </cell>
          <cell r="FV7">
            <v>23</v>
          </cell>
          <cell r="FW7">
            <v>19</v>
          </cell>
          <cell r="FX7">
            <v>4</v>
          </cell>
          <cell r="FY7">
            <v>0.82608695652173914</v>
          </cell>
          <cell r="FZ7">
            <v>0.17391304347826086</v>
          </cell>
          <cell r="GA7">
            <v>0.83149350649350662</v>
          </cell>
          <cell r="GB7">
            <v>0.16850649350649349</v>
          </cell>
          <cell r="GC7">
            <v>0.10610728809302103</v>
          </cell>
          <cell r="GD7">
            <v>0.26237061298884162</v>
          </cell>
          <cell r="GE7">
            <v>0.86493506493506489</v>
          </cell>
          <cell r="GF7">
            <v>0.13506493506493505</v>
          </cell>
          <cell r="GG7">
            <v>7.9758668273817196E-2</v>
          </cell>
          <cell r="GH7">
            <v>0.2233893605061692</v>
          </cell>
          <cell r="GI7">
            <v>0.87402597402597404</v>
          </cell>
          <cell r="GJ7">
            <v>0.12597402597402596</v>
          </cell>
          <cell r="GK7">
            <v>7.1252008979545867E-2</v>
          </cell>
          <cell r="GL7">
            <v>0.21011939569981511</v>
          </cell>
          <cell r="GM7">
            <v>0.7033549783549784</v>
          </cell>
          <cell r="GN7">
            <v>0.29664502164502166</v>
          </cell>
          <cell r="GO7">
            <v>0.24027691667974599</v>
          </cell>
          <cell r="GP7">
            <v>0.43307372181087261</v>
          </cell>
          <cell r="GQ7">
            <v>43</v>
          </cell>
          <cell r="GR7">
            <v>43</v>
          </cell>
          <cell r="GS7">
            <v>43</v>
          </cell>
          <cell r="GT7">
            <v>43</v>
          </cell>
          <cell r="GU7">
            <v>43</v>
          </cell>
          <cell r="GV7">
            <v>48</v>
          </cell>
          <cell r="GW7">
            <v>47</v>
          </cell>
          <cell r="GX7">
            <v>48</v>
          </cell>
          <cell r="GY7">
            <v>48</v>
          </cell>
          <cell r="GZ7">
            <v>48</v>
          </cell>
          <cell r="HA7">
            <v>48</v>
          </cell>
          <cell r="HB7">
            <v>47</v>
          </cell>
          <cell r="HC7">
            <v>48</v>
          </cell>
          <cell r="HD7">
            <v>51</v>
          </cell>
          <cell r="HE7">
            <v>50</v>
          </cell>
          <cell r="HF7">
            <v>49</v>
          </cell>
          <cell r="HG7">
            <v>47</v>
          </cell>
          <cell r="HH7">
            <v>49</v>
          </cell>
          <cell r="HI7">
            <v>50</v>
          </cell>
          <cell r="HJ7">
            <v>49</v>
          </cell>
          <cell r="HK7">
            <v>49</v>
          </cell>
          <cell r="HL7">
            <v>49</v>
          </cell>
          <cell r="HM7">
            <v>49</v>
          </cell>
          <cell r="HN7">
            <v>19</v>
          </cell>
          <cell r="HO7">
            <v>2.1814006888633754E-2</v>
          </cell>
          <cell r="HP7">
            <v>1364</v>
          </cell>
          <cell r="HQ7">
            <v>1181</v>
          </cell>
          <cell r="HR7">
            <v>183</v>
          </cell>
          <cell r="HS7">
            <v>0.13416422287390029</v>
          </cell>
        </row>
        <row r="8">
          <cell r="A8" t="str">
            <v>Broadfield</v>
          </cell>
          <cell r="C8" t="str">
            <v>Crawley</v>
          </cell>
          <cell r="D8" t="str">
            <v>Crawley</v>
          </cell>
          <cell r="E8" t="str">
            <v>Crawley</v>
          </cell>
          <cell r="F8" t="str">
            <v>Crawley</v>
          </cell>
          <cell r="G8" t="str">
            <v>Broadfield North, Broadfield South</v>
          </cell>
          <cell r="H8" t="str">
            <v>Crawley SW</v>
          </cell>
          <cell r="I8" t="str">
            <v>C1</v>
          </cell>
          <cell r="J8" t="str">
            <v>Crawley</v>
          </cell>
          <cell r="K8" t="str">
            <v>Crawley</v>
          </cell>
          <cell r="L8">
            <v>12445</v>
          </cell>
          <cell r="M8">
            <v>12395</v>
          </cell>
          <cell r="N8">
            <v>12545</v>
          </cell>
          <cell r="O8">
            <v>12795</v>
          </cell>
          <cell r="P8">
            <v>12885</v>
          </cell>
          <cell r="Q8">
            <v>12975</v>
          </cell>
          <cell r="R8">
            <v>13115</v>
          </cell>
          <cell r="S8">
            <v>13335</v>
          </cell>
          <cell r="T8">
            <v>13525</v>
          </cell>
          <cell r="U8">
            <v>13620</v>
          </cell>
          <cell r="V8">
            <v>990</v>
          </cell>
          <cell r="W8">
            <v>960</v>
          </cell>
          <cell r="X8">
            <v>985</v>
          </cell>
          <cell r="Y8">
            <v>1050</v>
          </cell>
          <cell r="Z8">
            <v>1105</v>
          </cell>
          <cell r="AA8">
            <v>1125</v>
          </cell>
          <cell r="AB8">
            <v>1140</v>
          </cell>
          <cell r="AC8">
            <v>1215</v>
          </cell>
          <cell r="AD8">
            <v>1225</v>
          </cell>
          <cell r="AE8">
            <v>1240</v>
          </cell>
          <cell r="AF8">
            <v>0.59493670886075944</v>
          </cell>
          <cell r="AG8">
            <v>7.4261603375527424E-2</v>
          </cell>
          <cell r="AH8">
            <v>8.6919831223628688E-2</v>
          </cell>
          <cell r="AI8">
            <v>0.15274261603375527</v>
          </cell>
          <cell r="AJ8">
            <v>8.1012658227848103E-2</v>
          </cell>
          <cell r="AK8">
            <v>1.0126582278481013E-2</v>
          </cell>
          <cell r="AL8">
            <v>0.4050632911392405</v>
          </cell>
          <cell r="AM8">
            <v>2080</v>
          </cell>
          <cell r="AN8">
            <v>0.36184526669870254</v>
          </cell>
          <cell r="AO8">
            <v>0.45218644882268139</v>
          </cell>
          <cell r="AP8">
            <v>0.18596828447861605</v>
          </cell>
          <cell r="AQ8">
            <v>271</v>
          </cell>
          <cell r="AR8">
            <v>217</v>
          </cell>
          <cell r="AS8">
            <v>257</v>
          </cell>
          <cell r="AT8">
            <v>242</v>
          </cell>
          <cell r="AU8">
            <v>230</v>
          </cell>
          <cell r="AV8">
            <v>16</v>
          </cell>
          <cell r="AW8">
            <v>13</v>
          </cell>
          <cell r="AX8">
            <v>15</v>
          </cell>
          <cell r="AY8">
            <v>17</v>
          </cell>
          <cell r="AZ8">
            <v>13</v>
          </cell>
          <cell r="BA8">
            <v>23</v>
          </cell>
          <cell r="BB8">
            <v>0.1</v>
          </cell>
          <cell r="BC8">
            <v>6.7562529376324273E-2</v>
          </cell>
          <cell r="BD8">
            <v>0.14557956729059632</v>
          </cell>
          <cell r="BE8">
            <v>33</v>
          </cell>
          <cell r="BF8">
            <v>371</v>
          </cell>
          <cell r="BG8">
            <v>307</v>
          </cell>
          <cell r="BH8">
            <v>237</v>
          </cell>
          <cell r="BI8">
            <v>0.20270331436266686</v>
          </cell>
          <cell r="BJ8">
            <v>1922</v>
          </cell>
          <cell r="BK8">
            <v>3554</v>
          </cell>
          <cell r="BL8">
            <v>1924</v>
          </cell>
          <cell r="BM8">
            <v>855</v>
          </cell>
          <cell r="BN8">
            <v>0</v>
          </cell>
          <cell r="BO8">
            <v>292</v>
          </cell>
          <cell r="BP8">
            <v>551</v>
          </cell>
          <cell r="BQ8">
            <v>226</v>
          </cell>
          <cell r="BR8">
            <v>220</v>
          </cell>
          <cell r="BS8">
            <v>215</v>
          </cell>
          <cell r="BT8">
            <v>180</v>
          </cell>
          <cell r="BU8">
            <v>554</v>
          </cell>
          <cell r="BV8">
            <v>274</v>
          </cell>
          <cell r="BW8">
            <v>0.49458483754512633</v>
          </cell>
          <cell r="BX8">
            <v>38</v>
          </cell>
          <cell r="BY8">
            <v>1</v>
          </cell>
          <cell r="BZ8">
            <v>354</v>
          </cell>
          <cell r="CA8">
            <v>6.9019302008188732E-2</v>
          </cell>
          <cell r="CB8">
            <v>300</v>
          </cell>
          <cell r="CC8">
            <v>305</v>
          </cell>
          <cell r="CD8">
            <v>310</v>
          </cell>
          <cell r="CE8">
            <v>285</v>
          </cell>
          <cell r="CF8">
            <v>865</v>
          </cell>
          <cell r="CG8">
            <v>0.29162500000000002</v>
          </cell>
          <cell r="CH8">
            <v>835</v>
          </cell>
          <cell r="CI8">
            <v>0.29075000000000001</v>
          </cell>
          <cell r="CJ8">
            <v>920</v>
          </cell>
          <cell r="CK8">
            <v>0.28887499999999999</v>
          </cell>
          <cell r="CL8">
            <v>900</v>
          </cell>
          <cell r="CM8">
            <v>0.26974999999999999</v>
          </cell>
          <cell r="CN8">
            <v>920</v>
          </cell>
          <cell r="CO8">
            <v>0.27224999999999999</v>
          </cell>
          <cell r="CP8">
            <v>835</v>
          </cell>
          <cell r="CQ8">
            <v>0.25692307692307692</v>
          </cell>
          <cell r="CR8">
            <v>225</v>
          </cell>
          <cell r="CS8">
            <v>5</v>
          </cell>
          <cell r="CT8">
            <v>220</v>
          </cell>
          <cell r="CU8">
            <v>0.97474614845938379</v>
          </cell>
          <cell r="CV8">
            <v>62</v>
          </cell>
          <cell r="CW8">
            <v>96</v>
          </cell>
          <cell r="CX8">
            <v>0.28009202635524344</v>
          </cell>
          <cell r="CY8">
            <v>0.4366472866418617</v>
          </cell>
          <cell r="CZ8">
            <v>0.22650690611361948</v>
          </cell>
          <cell r="DA8">
            <v>0.34461838963122865</v>
          </cell>
          <cell r="DB8">
            <v>0.37247710485794949</v>
          </cell>
          <cell r="DC8">
            <v>0.50243443973429791</v>
          </cell>
          <cell r="DD8">
            <v>157</v>
          </cell>
          <cell r="DE8">
            <v>13</v>
          </cell>
          <cell r="DF8">
            <v>8.2802547770700632E-2</v>
          </cell>
          <cell r="DG8">
            <v>4.9027139712768814E-2</v>
          </cell>
          <cell r="DH8">
            <v>0.13650623606916407</v>
          </cell>
          <cell r="DI8" t="str">
            <v>No Sig diff</v>
          </cell>
          <cell r="DJ8">
            <v>168</v>
          </cell>
          <cell r="DK8">
            <v>14</v>
          </cell>
          <cell r="DL8">
            <v>8.3333333333333329E-2</v>
          </cell>
          <cell r="DM8">
            <v>5.0287335078460824E-2</v>
          </cell>
          <cell r="DN8">
            <v>0.13500822187976255</v>
          </cell>
          <cell r="DO8" t="str">
            <v>No Sig diff</v>
          </cell>
          <cell r="DP8">
            <v>143</v>
          </cell>
          <cell r="DQ8">
            <v>15</v>
          </cell>
          <cell r="DR8">
            <v>0.1048951048951049</v>
          </cell>
          <cell r="DS8">
            <v>6.4604118377760339E-2</v>
          </cell>
          <cell r="DT8">
            <v>0.16585844371117539</v>
          </cell>
          <cell r="DU8" t="str">
            <v>No Sig diff</v>
          </cell>
          <cell r="DV8">
            <v>163</v>
          </cell>
          <cell r="DW8">
            <v>20</v>
          </cell>
          <cell r="DX8">
            <v>0.12269938650306748</v>
          </cell>
          <cell r="DY8">
            <v>8.0850124663024187E-2</v>
          </cell>
          <cell r="DZ8">
            <v>0.18192304413197474</v>
          </cell>
          <cell r="EA8" t="str">
            <v>No Sig diff</v>
          </cell>
          <cell r="EB8">
            <v>177</v>
          </cell>
          <cell r="EC8">
            <v>36</v>
          </cell>
          <cell r="ED8">
            <v>0.20338983050847459</v>
          </cell>
          <cell r="EE8">
            <v>0.15068707463179581</v>
          </cell>
          <cell r="EF8">
            <v>0.26869385336597923</v>
          </cell>
          <cell r="EG8" t="str">
            <v>No Sig diff</v>
          </cell>
          <cell r="EH8">
            <v>181</v>
          </cell>
          <cell r="EI8">
            <v>38</v>
          </cell>
          <cell r="EJ8">
            <v>0.20994475138121546</v>
          </cell>
          <cell r="EK8">
            <v>0.15695179474513435</v>
          </cell>
          <cell r="EL8">
            <v>0.27499382681666318</v>
          </cell>
          <cell r="EM8" t="str">
            <v>No Sig diff</v>
          </cell>
          <cell r="EN8">
            <v>153</v>
          </cell>
          <cell r="EO8">
            <v>39</v>
          </cell>
          <cell r="EP8">
            <v>0.25490196078431371</v>
          </cell>
          <cell r="EQ8">
            <v>0.1924372049079571</v>
          </cell>
          <cell r="ER8">
            <v>0.32937290471527553</v>
          </cell>
          <cell r="ES8" t="str">
            <v>No Sig diff</v>
          </cell>
          <cell r="ET8">
            <v>158</v>
          </cell>
          <cell r="EU8">
            <v>30</v>
          </cell>
          <cell r="EV8">
            <v>0.189873417721519</v>
          </cell>
          <cell r="EW8">
            <v>0.13636351813386116</v>
          </cell>
          <cell r="EX8">
            <v>0.25810560792255161</v>
          </cell>
          <cell r="EY8" t="str">
            <v>No Sig diff</v>
          </cell>
          <cell r="EZ8">
            <v>207</v>
          </cell>
          <cell r="FA8">
            <v>69</v>
          </cell>
          <cell r="FB8">
            <v>0.33333333333333331</v>
          </cell>
          <cell r="FC8">
            <v>0.27266724717919089</v>
          </cell>
          <cell r="FD8">
            <v>0.40007263810741361</v>
          </cell>
          <cell r="FE8">
            <v>207</v>
          </cell>
          <cell r="FF8">
            <v>32</v>
          </cell>
          <cell r="FG8">
            <v>41</v>
          </cell>
          <cell r="FH8">
            <v>21.829268292682929</v>
          </cell>
          <cell r="FI8">
            <v>0.31783536585365846</v>
          </cell>
          <cell r="FJ8">
            <v>215</v>
          </cell>
          <cell r="FK8">
            <v>109</v>
          </cell>
          <cell r="FL8">
            <v>0.50697674418604655</v>
          </cell>
          <cell r="FM8">
            <v>0.44061558411635232</v>
          </cell>
          <cell r="FN8">
            <v>0.57309297008615845</v>
          </cell>
          <cell r="FO8">
            <v>215</v>
          </cell>
          <cell r="FP8">
            <v>33</v>
          </cell>
          <cell r="FQ8">
            <v>43</v>
          </cell>
          <cell r="FR8">
            <v>23.720930232558143</v>
          </cell>
          <cell r="FS8">
            <v>0.28118393234672295</v>
          </cell>
          <cell r="FT8">
            <v>1496</v>
          </cell>
          <cell r="FU8">
            <v>1462</v>
          </cell>
          <cell r="FV8">
            <v>34</v>
          </cell>
          <cell r="FW8">
            <v>31</v>
          </cell>
          <cell r="FX8">
            <v>3</v>
          </cell>
          <cell r="FY8">
            <v>0.91176470588235292</v>
          </cell>
          <cell r="FZ8">
            <v>8.8235294117647065E-2</v>
          </cell>
          <cell r="GA8">
            <v>0.84342567155067161</v>
          </cell>
          <cell r="GB8">
            <v>0.15657432844932845</v>
          </cell>
          <cell r="GC8">
            <v>8.7488565256567077E-2</v>
          </cell>
          <cell r="GD8">
            <v>0.21410279669076451</v>
          </cell>
          <cell r="GE8">
            <v>0.87394621310062481</v>
          </cell>
          <cell r="GF8">
            <v>0.12605378689937513</v>
          </cell>
          <cell r="GG8">
            <v>6.8476557040876879E-2</v>
          </cell>
          <cell r="GH8">
            <v>0.18692562848208755</v>
          </cell>
          <cell r="GI8">
            <v>0.83940781440781431</v>
          </cell>
          <cell r="GJ8">
            <v>0.16059218559218558</v>
          </cell>
          <cell r="GK8">
            <v>8.9885841771810929E-2</v>
          </cell>
          <cell r="GL8">
            <v>0.21951596207067745</v>
          </cell>
          <cell r="GM8">
            <v>0.64253541597291597</v>
          </cell>
          <cell r="GN8">
            <v>0.35746458402708403</v>
          </cell>
          <cell r="GO8">
            <v>0.26697228641216703</v>
          </cell>
          <cell r="GP8">
            <v>0.43851804693911739</v>
          </cell>
          <cell r="GQ8">
            <v>64</v>
          </cell>
          <cell r="GR8">
            <v>61</v>
          </cell>
          <cell r="GS8">
            <v>62</v>
          </cell>
          <cell r="GT8">
            <v>63</v>
          </cell>
          <cell r="GU8">
            <v>62</v>
          </cell>
          <cell r="GV8">
            <v>68</v>
          </cell>
          <cell r="GW8">
            <v>66</v>
          </cell>
          <cell r="GX8">
            <v>64</v>
          </cell>
          <cell r="GY8">
            <v>66</v>
          </cell>
          <cell r="GZ8">
            <v>66</v>
          </cell>
          <cell r="HA8">
            <v>67</v>
          </cell>
          <cell r="HB8">
            <v>66</v>
          </cell>
          <cell r="HC8">
            <v>67</v>
          </cell>
          <cell r="HD8">
            <v>55</v>
          </cell>
          <cell r="HE8">
            <v>49</v>
          </cell>
          <cell r="HF8">
            <v>50</v>
          </cell>
          <cell r="HG8">
            <v>46</v>
          </cell>
          <cell r="HH8">
            <v>51</v>
          </cell>
          <cell r="HI8">
            <v>51</v>
          </cell>
          <cell r="HJ8">
            <v>47</v>
          </cell>
          <cell r="HK8">
            <v>53</v>
          </cell>
          <cell r="HL8">
            <v>46</v>
          </cell>
          <cell r="HM8">
            <v>53</v>
          </cell>
          <cell r="HN8">
            <v>23</v>
          </cell>
          <cell r="HO8">
            <v>1.9409282700421943E-2</v>
          </cell>
          <cell r="HP8">
            <v>1876</v>
          </cell>
          <cell r="HQ8">
            <v>1558</v>
          </cell>
          <cell r="HR8">
            <v>318</v>
          </cell>
          <cell r="HS8">
            <v>0.16950959488272921</v>
          </cell>
        </row>
        <row r="9">
          <cell r="A9" t="str">
            <v>Chichester Nursery School</v>
          </cell>
          <cell r="C9" t="str">
            <v>Chichester</v>
          </cell>
          <cell r="D9" t="str">
            <v>Chichester Central</v>
          </cell>
          <cell r="E9" t="str">
            <v>Chichester</v>
          </cell>
          <cell r="F9" t="str">
            <v>Arch</v>
          </cell>
          <cell r="G9" t="str">
            <v>Chichester East, Chichester North, Chichester South, Chichester West</v>
          </cell>
          <cell r="H9" t="str">
            <v>Chichester</v>
          </cell>
          <cell r="I9" t="str">
            <v>A</v>
          </cell>
          <cell r="J9" t="str">
            <v>Coastal West Sussex</v>
          </cell>
          <cell r="K9" t="str">
            <v>Chichester</v>
          </cell>
          <cell r="L9">
            <v>19720</v>
          </cell>
          <cell r="M9">
            <v>19985</v>
          </cell>
          <cell r="N9">
            <v>20275</v>
          </cell>
          <cell r="O9">
            <v>20625</v>
          </cell>
          <cell r="P9">
            <v>21090</v>
          </cell>
          <cell r="Q9">
            <v>21365</v>
          </cell>
          <cell r="R9">
            <v>21635</v>
          </cell>
          <cell r="S9">
            <v>22095</v>
          </cell>
          <cell r="T9">
            <v>22315</v>
          </cell>
          <cell r="U9">
            <v>22590</v>
          </cell>
          <cell r="V9">
            <v>905</v>
          </cell>
          <cell r="W9">
            <v>890</v>
          </cell>
          <cell r="X9">
            <v>915</v>
          </cell>
          <cell r="Y9">
            <v>960</v>
          </cell>
          <cell r="Z9">
            <v>1035</v>
          </cell>
          <cell r="AA9">
            <v>1125</v>
          </cell>
          <cell r="AB9">
            <v>1150</v>
          </cell>
          <cell r="AC9">
            <v>1190</v>
          </cell>
          <cell r="AD9">
            <v>1280</v>
          </cell>
          <cell r="AE9">
            <v>1270</v>
          </cell>
          <cell r="AF9">
            <v>0.81996587030716728</v>
          </cell>
          <cell r="AG9">
            <v>5.2047781569965867E-2</v>
          </cell>
          <cell r="AH9">
            <v>4.0102389078498293E-2</v>
          </cell>
          <cell r="AI9">
            <v>7.0819112627986347E-2</v>
          </cell>
          <cell r="AJ9">
            <v>1.2798634812286689E-2</v>
          </cell>
          <cell r="AK9">
            <v>4.2662116040955633E-3</v>
          </cell>
          <cell r="AL9">
            <v>0.18003412969283278</v>
          </cell>
          <cell r="AM9">
            <v>2055</v>
          </cell>
          <cell r="AN9">
            <v>0.39591439688715951</v>
          </cell>
          <cell r="AO9">
            <v>0.36138132295719844</v>
          </cell>
          <cell r="AP9">
            <v>0.24270428015564202</v>
          </cell>
          <cell r="AQ9">
            <v>289</v>
          </cell>
          <cell r="AR9">
            <v>258</v>
          </cell>
          <cell r="AS9">
            <v>276</v>
          </cell>
          <cell r="AT9">
            <v>263</v>
          </cell>
          <cell r="AU9">
            <v>249</v>
          </cell>
          <cell r="AV9">
            <v>21</v>
          </cell>
          <cell r="AW9">
            <v>13</v>
          </cell>
          <cell r="AX9">
            <v>12</v>
          </cell>
          <cell r="AY9">
            <v>12</v>
          </cell>
          <cell r="AZ9">
            <v>11</v>
          </cell>
          <cell r="BA9">
            <v>19</v>
          </cell>
          <cell r="BB9">
            <v>7.6305220883534142E-2</v>
          </cell>
          <cell r="BC9">
            <v>4.9391419828431059E-2</v>
          </cell>
          <cell r="BD9">
            <v>0.11609354065175088</v>
          </cell>
          <cell r="BE9">
            <v>24</v>
          </cell>
          <cell r="BF9">
            <v>419</v>
          </cell>
          <cell r="BG9">
            <v>336</v>
          </cell>
          <cell r="BH9">
            <v>165</v>
          </cell>
          <cell r="BI9">
            <v>0.13016063543675108</v>
          </cell>
          <cell r="BJ9">
            <v>2127</v>
          </cell>
          <cell r="BK9">
            <v>3619</v>
          </cell>
          <cell r="BL9">
            <v>2146</v>
          </cell>
          <cell r="BM9">
            <v>1061</v>
          </cell>
          <cell r="BN9">
            <v>1</v>
          </cell>
          <cell r="BO9">
            <v>342</v>
          </cell>
          <cell r="BP9">
            <v>569</v>
          </cell>
          <cell r="BQ9">
            <v>173</v>
          </cell>
          <cell r="BR9">
            <v>195</v>
          </cell>
          <cell r="BS9">
            <v>205</v>
          </cell>
          <cell r="BT9">
            <v>180</v>
          </cell>
          <cell r="BU9">
            <v>568</v>
          </cell>
          <cell r="BV9">
            <v>201</v>
          </cell>
          <cell r="BW9">
            <v>0.35387323943661969</v>
          </cell>
          <cell r="BX9">
            <v>31</v>
          </cell>
          <cell r="BY9">
            <v>4</v>
          </cell>
          <cell r="BZ9">
            <v>447</v>
          </cell>
          <cell r="CA9">
            <v>4.3909626719056974E-2</v>
          </cell>
          <cell r="CB9">
            <v>270</v>
          </cell>
          <cell r="CC9">
            <v>255</v>
          </cell>
          <cell r="CD9">
            <v>285</v>
          </cell>
          <cell r="CE9">
            <v>240</v>
          </cell>
          <cell r="CF9">
            <v>630</v>
          </cell>
          <cell r="CG9">
            <v>0.18153846153846154</v>
          </cell>
          <cell r="CH9">
            <v>625</v>
          </cell>
          <cell r="CI9">
            <v>0.19546153846153849</v>
          </cell>
          <cell r="CJ9">
            <v>655</v>
          </cell>
          <cell r="CK9">
            <v>0.1872307692307692</v>
          </cell>
          <cell r="CL9">
            <v>640</v>
          </cell>
          <cell r="CM9">
            <v>0.17776923076923079</v>
          </cell>
          <cell r="CN9">
            <v>580</v>
          </cell>
          <cell r="CO9">
            <v>0.17584615384615385</v>
          </cell>
          <cell r="CP9">
            <v>620</v>
          </cell>
          <cell r="CQ9">
            <v>0.18452380952380953</v>
          </cell>
          <cell r="CR9">
            <v>248</v>
          </cell>
          <cell r="CS9">
            <v>20</v>
          </cell>
          <cell r="CT9">
            <v>228</v>
          </cell>
          <cell r="CU9">
            <v>0.90710009673220382</v>
          </cell>
          <cell r="CV9">
            <v>110</v>
          </cell>
          <cell r="CW9">
            <v>137</v>
          </cell>
          <cell r="CX9">
            <v>0.51035256140017105</v>
          </cell>
          <cell r="CY9">
            <v>0.6346676579044277</v>
          </cell>
          <cell r="CZ9">
            <v>0.41842368815450531</v>
          </cell>
          <cell r="DA9">
            <v>0.5470699937386494</v>
          </cell>
          <cell r="DB9">
            <v>0.53614491289284405</v>
          </cell>
          <cell r="DC9">
            <v>0.66226641622151672</v>
          </cell>
          <cell r="DD9">
            <v>189</v>
          </cell>
          <cell r="DE9">
            <v>16</v>
          </cell>
          <cell r="DF9">
            <v>8.4656084656084651E-2</v>
          </cell>
          <cell r="DG9">
            <v>5.2779295230983923E-2</v>
          </cell>
          <cell r="DH9">
            <v>0.13308042103480033</v>
          </cell>
          <cell r="DI9" t="str">
            <v>No Sig diff</v>
          </cell>
          <cell r="DJ9">
            <v>168</v>
          </cell>
          <cell r="DK9">
            <v>16</v>
          </cell>
          <cell r="DL9">
            <v>9.5238095238095233E-2</v>
          </cell>
          <cell r="DM9">
            <v>5.9474309403575239E-2</v>
          </cell>
          <cell r="DN9">
            <v>0.14909851735584179</v>
          </cell>
          <cell r="DO9" t="str">
            <v>No Sig diff</v>
          </cell>
          <cell r="DP9">
            <v>182</v>
          </cell>
          <cell r="DQ9">
            <v>11</v>
          </cell>
          <cell r="DR9">
            <v>6.043956043956044E-2</v>
          </cell>
          <cell r="DS9">
            <v>3.4080238457120229E-2</v>
          </cell>
          <cell r="DT9">
            <v>0.10497085910032415</v>
          </cell>
          <cell r="DU9" t="str">
            <v>No Sig diff</v>
          </cell>
          <cell r="DV9">
            <v>196</v>
          </cell>
          <cell r="DW9">
            <v>18</v>
          </cell>
          <cell r="DX9">
            <v>9.1836734693877556E-2</v>
          </cell>
          <cell r="DY9">
            <v>5.8881065123373738E-2</v>
          </cell>
          <cell r="DZ9">
            <v>0.14048426705447778</v>
          </cell>
          <cell r="EA9" t="str">
            <v>No Sig diff</v>
          </cell>
          <cell r="EB9">
            <v>154</v>
          </cell>
          <cell r="EC9">
            <v>26</v>
          </cell>
          <cell r="ED9">
            <v>0.16883116883116883</v>
          </cell>
          <cell r="EE9">
            <v>0.11789803397793083</v>
          </cell>
          <cell r="EF9">
            <v>0.23588391430049524</v>
          </cell>
          <cell r="EG9" t="str">
            <v>No Sig diff</v>
          </cell>
          <cell r="EH9">
            <v>164</v>
          </cell>
          <cell r="EI9">
            <v>31</v>
          </cell>
          <cell r="EJ9">
            <v>0.18902439024390244</v>
          </cell>
          <cell r="EK9">
            <v>0.13648306944540137</v>
          </cell>
          <cell r="EL9">
            <v>0.25580057300692555</v>
          </cell>
          <cell r="EM9" t="str">
            <v>No Sig diff</v>
          </cell>
          <cell r="EN9">
            <v>158</v>
          </cell>
          <cell r="EO9">
            <v>29</v>
          </cell>
          <cell r="EP9">
            <v>0.18354430379746836</v>
          </cell>
          <cell r="EQ9">
            <v>0.13094420921847771</v>
          </cell>
          <cell r="ER9">
            <v>0.25116714390031081</v>
          </cell>
          <cell r="ES9" t="str">
            <v>No Sig diff</v>
          </cell>
          <cell r="ET9">
            <v>140</v>
          </cell>
          <cell r="EU9">
            <v>17</v>
          </cell>
          <cell r="EV9">
            <v>0.12142857142857143</v>
          </cell>
          <cell r="EW9">
            <v>7.7212614630050802E-2</v>
          </cell>
          <cell r="EX9">
            <v>0.18586493707821899</v>
          </cell>
          <cell r="EY9" t="str">
            <v>Sig better than Eng.</v>
          </cell>
          <cell r="EZ9">
            <v>227</v>
          </cell>
          <cell r="FA9">
            <v>104</v>
          </cell>
          <cell r="FB9">
            <v>0.45814977973568283</v>
          </cell>
          <cell r="FC9">
            <v>0.39456855561808551</v>
          </cell>
          <cell r="FD9">
            <v>0.5231238723492917</v>
          </cell>
          <cell r="FE9">
            <v>227</v>
          </cell>
          <cell r="FF9">
            <v>33</v>
          </cell>
          <cell r="FG9">
            <v>45</v>
          </cell>
          <cell r="FH9">
            <v>21.177777777777777</v>
          </cell>
          <cell r="FI9">
            <v>0.35824915824915826</v>
          </cell>
          <cell r="FJ9">
            <v>226</v>
          </cell>
          <cell r="FK9">
            <v>114</v>
          </cell>
          <cell r="FL9">
            <v>0.50442477876106195</v>
          </cell>
          <cell r="FM9">
            <v>0.43971293258807637</v>
          </cell>
          <cell r="FN9">
            <v>0.56898871771584147</v>
          </cell>
          <cell r="FO9">
            <v>226</v>
          </cell>
          <cell r="FP9">
            <v>34</v>
          </cell>
          <cell r="FQ9">
            <v>45</v>
          </cell>
          <cell r="FR9">
            <v>21.111111111111107</v>
          </cell>
          <cell r="FS9">
            <v>0.37908496732026153</v>
          </cell>
          <cell r="FT9">
            <v>3106</v>
          </cell>
          <cell r="FU9">
            <v>2866</v>
          </cell>
          <cell r="FV9">
            <v>240</v>
          </cell>
          <cell r="FW9">
            <v>204</v>
          </cell>
          <cell r="FX9">
            <v>36</v>
          </cell>
          <cell r="FY9">
            <v>0.85</v>
          </cell>
          <cell r="FZ9">
            <v>0.15</v>
          </cell>
          <cell r="GA9">
            <v>0.73809523809523803</v>
          </cell>
          <cell r="GB9">
            <v>0.26190476190476192</v>
          </cell>
          <cell r="GC9">
            <v>0.18241416061863377</v>
          </cell>
          <cell r="GD9">
            <v>0.43179527736167544</v>
          </cell>
          <cell r="GE9">
            <v>0.79548229548229543</v>
          </cell>
          <cell r="GF9">
            <v>0.20451770451770454</v>
          </cell>
          <cell r="GG9">
            <v>0.13307691028989047</v>
          </cell>
          <cell r="GH9">
            <v>0.3653953590845116</v>
          </cell>
          <cell r="GI9">
            <v>0.70317460317460312</v>
          </cell>
          <cell r="GJ9">
            <v>0.29682539682539688</v>
          </cell>
          <cell r="GK9">
            <v>0.18241416061863377</v>
          </cell>
          <cell r="GL9">
            <v>0.43179527736167544</v>
          </cell>
          <cell r="GM9">
            <v>0.57667887667887663</v>
          </cell>
          <cell r="GN9">
            <v>0.42332112332112332</v>
          </cell>
          <cell r="GO9">
            <v>0.34471090015787464</v>
          </cell>
          <cell r="GP9">
            <v>0.61671004364015625</v>
          </cell>
          <cell r="GQ9">
            <v>63</v>
          </cell>
          <cell r="GR9">
            <v>61</v>
          </cell>
          <cell r="GS9">
            <v>61</v>
          </cell>
          <cell r="GT9">
            <v>62</v>
          </cell>
          <cell r="GU9">
            <v>60</v>
          </cell>
          <cell r="GV9">
            <v>63</v>
          </cell>
          <cell r="GW9">
            <v>60</v>
          </cell>
          <cell r="GX9">
            <v>60</v>
          </cell>
          <cell r="GY9">
            <v>60</v>
          </cell>
          <cell r="GZ9">
            <v>60</v>
          </cell>
          <cell r="HA9">
            <v>62</v>
          </cell>
          <cell r="HB9">
            <v>60</v>
          </cell>
          <cell r="HC9">
            <v>61</v>
          </cell>
          <cell r="HD9">
            <v>65</v>
          </cell>
          <cell r="HE9">
            <v>58</v>
          </cell>
          <cell r="HF9">
            <v>58</v>
          </cell>
          <cell r="HG9">
            <v>54</v>
          </cell>
          <cell r="HH9">
            <v>56</v>
          </cell>
          <cell r="HI9">
            <v>58</v>
          </cell>
          <cell r="HJ9">
            <v>55</v>
          </cell>
          <cell r="HK9">
            <v>58</v>
          </cell>
          <cell r="HL9">
            <v>56</v>
          </cell>
          <cell r="HM9">
            <v>59</v>
          </cell>
          <cell r="HN9">
            <v>23</v>
          </cell>
          <cell r="HO9">
            <v>1.9658119658119658E-2</v>
          </cell>
          <cell r="HP9">
            <v>1797</v>
          </cell>
          <cell r="HQ9">
            <v>1563</v>
          </cell>
          <cell r="HR9">
            <v>234</v>
          </cell>
          <cell r="HS9">
            <v>0.1302170283806344</v>
          </cell>
        </row>
        <row r="10">
          <cell r="A10" t="str">
            <v>Durrington</v>
          </cell>
          <cell r="C10" t="str">
            <v>Worthing</v>
          </cell>
          <cell r="D10" t="str">
            <v>Worthing</v>
          </cell>
          <cell r="E10" t="str">
            <v>Worthing</v>
          </cell>
          <cell r="F10" t="str">
            <v>CCC</v>
          </cell>
          <cell r="G10" t="str">
            <v>Durrington, Northbrook, Salvington</v>
          </cell>
          <cell r="H10" t="str">
            <v>Worthing</v>
          </cell>
          <cell r="I10" t="str">
            <v>B</v>
          </cell>
          <cell r="J10" t="str">
            <v>Coastal West Sussex</v>
          </cell>
          <cell r="K10" t="str">
            <v>Worthing West</v>
          </cell>
          <cell r="L10">
            <v>13400</v>
          </cell>
          <cell r="M10">
            <v>13385</v>
          </cell>
          <cell r="N10">
            <v>13345</v>
          </cell>
          <cell r="O10">
            <v>13375</v>
          </cell>
          <cell r="P10">
            <v>13325</v>
          </cell>
          <cell r="Q10">
            <v>13320</v>
          </cell>
          <cell r="R10">
            <v>13355</v>
          </cell>
          <cell r="S10">
            <v>13510</v>
          </cell>
          <cell r="T10">
            <v>13590</v>
          </cell>
          <cell r="U10">
            <v>13685</v>
          </cell>
          <cell r="V10">
            <v>765</v>
          </cell>
          <cell r="W10">
            <v>790</v>
          </cell>
          <cell r="X10">
            <v>805</v>
          </cell>
          <cell r="Y10">
            <v>830</v>
          </cell>
          <cell r="Z10">
            <v>855</v>
          </cell>
          <cell r="AA10">
            <v>845</v>
          </cell>
          <cell r="AB10">
            <v>865</v>
          </cell>
          <cell r="AC10">
            <v>915</v>
          </cell>
          <cell r="AD10">
            <v>905</v>
          </cell>
          <cell r="AE10">
            <v>885</v>
          </cell>
          <cell r="AF10">
            <v>0.88402625820568925</v>
          </cell>
          <cell r="AG10">
            <v>3.1728665207877461E-2</v>
          </cell>
          <cell r="AH10">
            <v>4.8140043763676151E-2</v>
          </cell>
          <cell r="AI10">
            <v>2.6258205689277898E-2</v>
          </cell>
          <cell r="AJ10">
            <v>5.4704595185995622E-3</v>
          </cell>
          <cell r="AK10">
            <v>4.3763676148796497E-3</v>
          </cell>
          <cell r="AL10">
            <v>0.11597374179431072</v>
          </cell>
          <cell r="AM10">
            <v>1755</v>
          </cell>
          <cell r="AN10">
            <v>0.52367370222475751</v>
          </cell>
          <cell r="AO10">
            <v>0.27381631488876212</v>
          </cell>
          <cell r="AP10">
            <v>0.20250998288648031</v>
          </cell>
          <cell r="AQ10">
            <v>173</v>
          </cell>
          <cell r="AR10">
            <v>162</v>
          </cell>
          <cell r="AS10">
            <v>167</v>
          </cell>
          <cell r="AT10">
            <v>138</v>
          </cell>
          <cell r="AU10">
            <v>151</v>
          </cell>
          <cell r="AV10">
            <v>15</v>
          </cell>
          <cell r="AW10">
            <v>8</v>
          </cell>
          <cell r="AX10">
            <v>5</v>
          </cell>
          <cell r="AY10">
            <v>5</v>
          </cell>
          <cell r="AZ10">
            <v>5</v>
          </cell>
          <cell r="BA10">
            <v>11</v>
          </cell>
          <cell r="BB10">
            <v>7.2847682119205295E-2</v>
          </cell>
          <cell r="BC10">
            <v>4.1161071759033392E-2</v>
          </cell>
          <cell r="BD10">
            <v>0.12572872001578086</v>
          </cell>
          <cell r="BE10">
            <v>12</v>
          </cell>
          <cell r="BF10">
            <v>235</v>
          </cell>
          <cell r="BG10">
            <v>245</v>
          </cell>
          <cell r="BH10">
            <v>197</v>
          </cell>
          <cell r="BI10">
            <v>0.18163608010354493</v>
          </cell>
          <cell r="BJ10">
            <v>1712</v>
          </cell>
          <cell r="BK10">
            <v>3142</v>
          </cell>
          <cell r="BL10">
            <v>1599</v>
          </cell>
          <cell r="BM10">
            <v>821</v>
          </cell>
          <cell r="BN10">
            <v>0</v>
          </cell>
          <cell r="BO10">
            <v>244</v>
          </cell>
          <cell r="BP10">
            <v>398</v>
          </cell>
          <cell r="BQ10">
            <v>136</v>
          </cell>
          <cell r="BR10">
            <v>165</v>
          </cell>
          <cell r="BS10">
            <v>135</v>
          </cell>
          <cell r="BT10">
            <v>80</v>
          </cell>
          <cell r="BU10">
            <v>461</v>
          </cell>
          <cell r="BV10">
            <v>196</v>
          </cell>
          <cell r="BW10">
            <v>0.42516268980477223</v>
          </cell>
          <cell r="BX10">
            <v>44</v>
          </cell>
          <cell r="BY10">
            <v>2</v>
          </cell>
          <cell r="BZ10">
            <v>315</v>
          </cell>
          <cell r="CA10">
            <v>5.5545759125374711E-2</v>
          </cell>
          <cell r="CB10">
            <v>210</v>
          </cell>
          <cell r="CC10">
            <v>220</v>
          </cell>
          <cell r="CD10">
            <v>215</v>
          </cell>
          <cell r="CE10">
            <v>170</v>
          </cell>
          <cell r="CF10">
            <v>655</v>
          </cell>
          <cell r="CG10">
            <v>0.21077777777777779</v>
          </cell>
          <cell r="CH10">
            <v>675</v>
          </cell>
          <cell r="CI10">
            <v>0.20688888888888887</v>
          </cell>
          <cell r="CJ10">
            <v>700</v>
          </cell>
          <cell r="CK10">
            <v>0.23699999999999999</v>
          </cell>
          <cell r="CL10">
            <v>645</v>
          </cell>
          <cell r="CM10">
            <v>0.22866666666666666</v>
          </cell>
          <cell r="CN10">
            <v>670</v>
          </cell>
          <cell r="CO10">
            <v>0.21488888888888888</v>
          </cell>
          <cell r="CP10">
            <v>550</v>
          </cell>
          <cell r="CQ10">
            <v>0.20220588235294118</v>
          </cell>
          <cell r="CR10">
            <v>146</v>
          </cell>
          <cell r="CS10">
            <v>13</v>
          </cell>
          <cell r="CT10">
            <v>133</v>
          </cell>
          <cell r="CU10">
            <v>0.93420804685510572</v>
          </cell>
          <cell r="CV10">
            <v>48</v>
          </cell>
          <cell r="CW10">
            <v>67</v>
          </cell>
          <cell r="CX10">
            <v>0.38012805766428953</v>
          </cell>
          <cell r="CY10">
            <v>0.51493367073077223</v>
          </cell>
          <cell r="CZ10">
            <v>0.28424408653110661</v>
          </cell>
          <cell r="DA10">
            <v>0.44537029973739656</v>
          </cell>
          <cell r="DB10">
            <v>0.41988066594915235</v>
          </cell>
          <cell r="DC10">
            <v>0.58742705334088818</v>
          </cell>
          <cell r="DD10">
            <v>122</v>
          </cell>
          <cell r="DE10">
            <v>13</v>
          </cell>
          <cell r="DF10">
            <v>0.10655737704918032</v>
          </cell>
          <cell r="DG10">
            <v>6.3336996121428402E-2</v>
          </cell>
          <cell r="DH10">
            <v>0.17379835736500793</v>
          </cell>
          <cell r="DI10" t="str">
            <v>No Sig diff</v>
          </cell>
          <cell r="DJ10">
            <v>133</v>
          </cell>
          <cell r="DK10">
            <v>13</v>
          </cell>
          <cell r="DL10">
            <v>9.7744360902255634E-2</v>
          </cell>
          <cell r="DM10">
            <v>5.8014803824288148E-2</v>
          </cell>
          <cell r="DN10">
            <v>0.16005842542852139</v>
          </cell>
          <cell r="DO10" t="str">
            <v>No Sig diff</v>
          </cell>
          <cell r="DP10">
            <v>150</v>
          </cell>
          <cell r="DQ10">
            <v>12</v>
          </cell>
          <cell r="DR10">
            <v>0.08</v>
          </cell>
          <cell r="DS10">
            <v>4.6353641518652906E-2</v>
          </cell>
          <cell r="DT10">
            <v>0.13462136375053141</v>
          </cell>
          <cell r="DU10" t="str">
            <v>No Sig diff</v>
          </cell>
          <cell r="DV10">
            <v>170</v>
          </cell>
          <cell r="DW10">
            <v>13</v>
          </cell>
          <cell r="DX10">
            <v>7.6470588235294124E-2</v>
          </cell>
          <cell r="DY10">
            <v>4.5231780539752423E-2</v>
          </cell>
          <cell r="DZ10">
            <v>0.12642726456452041</v>
          </cell>
          <cell r="EA10" t="str">
            <v>No Sig diff</v>
          </cell>
          <cell r="EB10">
            <v>115</v>
          </cell>
          <cell r="EC10">
            <v>15</v>
          </cell>
          <cell r="ED10">
            <v>0.13043478260869565</v>
          </cell>
          <cell r="EE10">
            <v>8.0663846927720689E-2</v>
          </cell>
          <cell r="EF10">
            <v>0.20409754153481507</v>
          </cell>
          <cell r="EG10" t="str">
            <v>No Sig diff</v>
          </cell>
          <cell r="EH10">
            <v>132</v>
          </cell>
          <cell r="EI10">
            <v>18</v>
          </cell>
          <cell r="EJ10">
            <v>0.13636363636363635</v>
          </cell>
          <cell r="EK10">
            <v>8.8028458868182197E-2</v>
          </cell>
          <cell r="EL10">
            <v>0.20526534971262397</v>
          </cell>
          <cell r="EM10" t="str">
            <v>No Sig diff</v>
          </cell>
          <cell r="EN10">
            <v>130</v>
          </cell>
          <cell r="EO10">
            <v>32</v>
          </cell>
          <cell r="EP10">
            <v>0.24615384615384617</v>
          </cell>
          <cell r="EQ10">
            <v>0.18009792380442399</v>
          </cell>
          <cell r="ER10">
            <v>0.32678133034044121</v>
          </cell>
          <cell r="ES10" t="str">
            <v>No Sig diff</v>
          </cell>
          <cell r="ET10">
            <v>127</v>
          </cell>
          <cell r="EU10">
            <v>14</v>
          </cell>
          <cell r="EV10">
            <v>0.11023622047244094</v>
          </cell>
          <cell r="EW10">
            <v>6.6810002178845376E-2</v>
          </cell>
          <cell r="EX10">
            <v>0.17654909139660793</v>
          </cell>
          <cell r="EY10" t="str">
            <v>Sig better than Eng.</v>
          </cell>
          <cell r="EZ10">
            <v>193</v>
          </cell>
          <cell r="FA10">
            <v>111</v>
          </cell>
          <cell r="FB10">
            <v>0.57512953367875652</v>
          </cell>
          <cell r="FC10">
            <v>0.50459186111857379</v>
          </cell>
          <cell r="FD10">
            <v>0.64273482592054509</v>
          </cell>
          <cell r="FE10">
            <v>193</v>
          </cell>
          <cell r="FF10">
            <v>34</v>
          </cell>
          <cell r="FG10">
            <v>38</v>
          </cell>
          <cell r="FH10">
            <v>22.710526315789476</v>
          </cell>
          <cell r="FI10">
            <v>0.33204334365325072</v>
          </cell>
          <cell r="FJ10">
            <v>179</v>
          </cell>
          <cell r="FK10">
            <v>106</v>
          </cell>
          <cell r="FL10">
            <v>0.59217877094972071</v>
          </cell>
          <cell r="FM10">
            <v>0.5189842940127406</v>
          </cell>
          <cell r="FN10">
            <v>0.66149993649409367</v>
          </cell>
          <cell r="FO10">
            <v>179</v>
          </cell>
          <cell r="FP10">
            <v>34</v>
          </cell>
          <cell r="FQ10">
            <v>35</v>
          </cell>
          <cell r="FR10">
            <v>23.685714285714287</v>
          </cell>
          <cell r="FS10">
            <v>0.3033613445378151</v>
          </cell>
          <cell r="FT10">
            <v>2189</v>
          </cell>
          <cell r="FU10">
            <v>2150</v>
          </cell>
          <cell r="FV10">
            <v>39</v>
          </cell>
          <cell r="FW10">
            <v>29</v>
          </cell>
          <cell r="FX10">
            <v>10</v>
          </cell>
          <cell r="FY10">
            <v>0.74358974358974361</v>
          </cell>
          <cell r="FZ10">
            <v>0.25641025641025639</v>
          </cell>
          <cell r="GB10">
            <v>0.1388888888888889</v>
          </cell>
          <cell r="GC10">
            <v>6.0817253631150994E-2</v>
          </cell>
          <cell r="GD10">
            <v>0.28659851280393195</v>
          </cell>
          <cell r="GF10">
            <v>0.1111111111111111</v>
          </cell>
          <cell r="GG10">
            <v>4.4065689087418335E-2</v>
          </cell>
          <cell r="GH10">
            <v>0.25315129015036325</v>
          </cell>
          <cell r="GJ10">
            <v>0.1388888888888889</v>
          </cell>
          <cell r="GK10">
            <v>6.0817253631150994E-2</v>
          </cell>
          <cell r="GL10">
            <v>0.28659851280393195</v>
          </cell>
          <cell r="GN10">
            <v>0.27777777777777779</v>
          </cell>
          <cell r="GO10">
            <v>0.15848170025813799</v>
          </cell>
          <cell r="GP10">
            <v>0.43992800216345151</v>
          </cell>
          <cell r="GQ10">
            <v>44</v>
          </cell>
          <cell r="GR10">
            <v>44</v>
          </cell>
          <cell r="GS10">
            <v>44</v>
          </cell>
          <cell r="GT10">
            <v>44</v>
          </cell>
          <cell r="GU10">
            <v>44</v>
          </cell>
          <cell r="GV10">
            <v>49</v>
          </cell>
          <cell r="GW10">
            <v>45</v>
          </cell>
          <cell r="GX10">
            <v>47</v>
          </cell>
          <cell r="GY10">
            <v>44</v>
          </cell>
          <cell r="GZ10">
            <v>47</v>
          </cell>
          <cell r="HA10">
            <v>48</v>
          </cell>
          <cell r="HB10">
            <v>44</v>
          </cell>
          <cell r="HC10">
            <v>47</v>
          </cell>
          <cell r="HD10">
            <v>52</v>
          </cell>
          <cell r="HE10">
            <v>50</v>
          </cell>
          <cell r="HF10">
            <v>50</v>
          </cell>
          <cell r="HG10">
            <v>48</v>
          </cell>
          <cell r="HH10">
            <v>50</v>
          </cell>
          <cell r="HI10">
            <v>50</v>
          </cell>
          <cell r="HJ10">
            <v>48</v>
          </cell>
          <cell r="HK10">
            <v>50</v>
          </cell>
          <cell r="HL10">
            <v>50</v>
          </cell>
          <cell r="HM10">
            <v>50</v>
          </cell>
          <cell r="HN10">
            <v>21</v>
          </cell>
          <cell r="HO10">
            <v>2.2975929978118162E-2</v>
          </cell>
          <cell r="HP10">
            <v>1339</v>
          </cell>
          <cell r="HQ10">
            <v>1144</v>
          </cell>
          <cell r="HR10">
            <v>195</v>
          </cell>
          <cell r="HS10">
            <v>0.14563106796116504</v>
          </cell>
        </row>
        <row r="11">
          <cell r="A11" t="str">
            <v>East Preston</v>
          </cell>
          <cell r="C11" t="str">
            <v>Arun East</v>
          </cell>
          <cell r="D11" t="str">
            <v>Arun East</v>
          </cell>
          <cell r="E11" t="str">
            <v>Arun</v>
          </cell>
          <cell r="F11" t="str">
            <v>Arun</v>
          </cell>
          <cell r="G11" t="str">
            <v>Beach, Brookfield, East Preston with Kingston, Rustington East, Rustington West</v>
          </cell>
          <cell r="H11" t="str">
            <v>Angmering</v>
          </cell>
          <cell r="I11" t="str">
            <v>B</v>
          </cell>
          <cell r="J11" t="str">
            <v>Coastal West Sussex</v>
          </cell>
          <cell r="K11" t="str">
            <v>Worthing West</v>
          </cell>
          <cell r="L11">
            <v>18385</v>
          </cell>
          <cell r="M11">
            <v>18325</v>
          </cell>
          <cell r="N11">
            <v>18400</v>
          </cell>
          <cell r="O11">
            <v>18435</v>
          </cell>
          <cell r="P11">
            <v>18385</v>
          </cell>
          <cell r="Q11">
            <v>18475</v>
          </cell>
          <cell r="R11">
            <v>18365</v>
          </cell>
          <cell r="S11">
            <v>18420</v>
          </cell>
          <cell r="T11">
            <v>18370</v>
          </cell>
          <cell r="U11">
            <v>18475</v>
          </cell>
          <cell r="V11">
            <v>700</v>
          </cell>
          <cell r="W11">
            <v>680</v>
          </cell>
          <cell r="X11">
            <v>700</v>
          </cell>
          <cell r="Y11">
            <v>690</v>
          </cell>
          <cell r="Z11">
            <v>665</v>
          </cell>
          <cell r="AA11">
            <v>665</v>
          </cell>
          <cell r="AB11">
            <v>630</v>
          </cell>
          <cell r="AC11">
            <v>625</v>
          </cell>
          <cell r="AD11">
            <v>640</v>
          </cell>
          <cell r="AE11">
            <v>640</v>
          </cell>
          <cell r="AF11">
            <v>0.92197452229299359</v>
          </cell>
          <cell r="AG11">
            <v>3.662420382165605E-2</v>
          </cell>
          <cell r="AH11">
            <v>2.8662420382165606E-2</v>
          </cell>
          <cell r="AI11">
            <v>7.9617834394904458E-3</v>
          </cell>
          <cell r="AJ11">
            <v>4.7770700636942673E-3</v>
          </cell>
          <cell r="AK11">
            <v>0</v>
          </cell>
          <cell r="AL11">
            <v>7.8025477707006366E-2</v>
          </cell>
          <cell r="AM11">
            <v>1305</v>
          </cell>
          <cell r="AN11">
            <v>0.70574712643678161</v>
          </cell>
          <cell r="AO11">
            <v>8.2758620689655171E-2</v>
          </cell>
          <cell r="AP11">
            <v>0.21149425287356322</v>
          </cell>
          <cell r="AQ11">
            <v>109</v>
          </cell>
          <cell r="AR11">
            <v>130</v>
          </cell>
          <cell r="AS11">
            <v>144</v>
          </cell>
          <cell r="AT11">
            <v>114</v>
          </cell>
          <cell r="AU11">
            <v>112</v>
          </cell>
          <cell r="AV11">
            <v>6</v>
          </cell>
          <cell r="AW11">
            <v>6</v>
          </cell>
          <cell r="AX11">
            <v>4</v>
          </cell>
          <cell r="AY11">
            <v>5</v>
          </cell>
          <cell r="AZ11">
            <v>3</v>
          </cell>
          <cell r="BA11">
            <v>9</v>
          </cell>
          <cell r="BB11">
            <v>8.0357142857142863E-2</v>
          </cell>
          <cell r="BC11">
            <v>4.2850577836899766E-2</v>
          </cell>
          <cell r="BD11">
            <v>0.14569555273714238</v>
          </cell>
          <cell r="BE11">
            <v>7</v>
          </cell>
          <cell r="BF11">
            <v>215</v>
          </cell>
          <cell r="BG11">
            <v>210</v>
          </cell>
          <cell r="BH11">
            <v>80</v>
          </cell>
          <cell r="BI11">
            <v>0.13170846878159082</v>
          </cell>
          <cell r="BJ11">
            <v>1518</v>
          </cell>
          <cell r="BK11">
            <v>2647</v>
          </cell>
          <cell r="BL11">
            <v>1520</v>
          </cell>
          <cell r="BM11">
            <v>917</v>
          </cell>
          <cell r="BN11">
            <v>0</v>
          </cell>
          <cell r="BO11">
            <v>193</v>
          </cell>
          <cell r="BP11">
            <v>305</v>
          </cell>
          <cell r="BQ11">
            <v>105</v>
          </cell>
          <cell r="BR11">
            <v>65</v>
          </cell>
          <cell r="BS11">
            <v>70</v>
          </cell>
          <cell r="BT11">
            <v>55</v>
          </cell>
          <cell r="BU11">
            <v>305</v>
          </cell>
          <cell r="BV11">
            <v>84</v>
          </cell>
          <cell r="BW11">
            <v>0.27540983606557379</v>
          </cell>
          <cell r="BX11">
            <v>35</v>
          </cell>
          <cell r="BY11">
            <v>6</v>
          </cell>
          <cell r="BZ11">
            <v>225</v>
          </cell>
          <cell r="CA11">
            <v>2.5426601875918182E-2</v>
          </cell>
          <cell r="CB11">
            <v>85</v>
          </cell>
          <cell r="CC11">
            <v>95</v>
          </cell>
          <cell r="CD11">
            <v>100</v>
          </cell>
          <cell r="CE11">
            <v>75</v>
          </cell>
          <cell r="CF11">
            <v>265</v>
          </cell>
          <cell r="CG11">
            <v>0.12575000000000003</v>
          </cell>
          <cell r="CH11">
            <v>230</v>
          </cell>
          <cell r="CI11">
            <v>0.11291666666666668</v>
          </cell>
          <cell r="CJ11">
            <v>275</v>
          </cell>
          <cell r="CK11">
            <v>0.10883333333333334</v>
          </cell>
          <cell r="CL11">
            <v>280</v>
          </cell>
          <cell r="CM11">
            <v>9.0583333333333335E-2</v>
          </cell>
          <cell r="CN11">
            <v>315</v>
          </cell>
          <cell r="CO11">
            <v>0.10483333333333332</v>
          </cell>
          <cell r="CP11">
            <v>250</v>
          </cell>
          <cell r="CQ11">
            <v>0.10845986984815618</v>
          </cell>
          <cell r="CR11">
            <v>115</v>
          </cell>
          <cell r="CS11">
            <v>5</v>
          </cell>
          <cell r="CT11">
            <v>110</v>
          </cell>
          <cell r="CU11">
            <v>0.97034447034447036</v>
          </cell>
          <cell r="CV11">
            <v>36</v>
          </cell>
          <cell r="CW11">
            <v>49</v>
          </cell>
          <cell r="CX11">
            <v>0.32016452115136323</v>
          </cell>
          <cell r="CY11">
            <v>0.44229655578339794</v>
          </cell>
          <cell r="CZ11">
            <v>0.24670999220537851</v>
          </cell>
          <cell r="DA11">
            <v>0.41949287212541092</v>
          </cell>
          <cell r="DB11">
            <v>0.35597557115906309</v>
          </cell>
          <cell r="DC11">
            <v>0.53861480705065989</v>
          </cell>
          <cell r="DD11">
            <v>100</v>
          </cell>
          <cell r="DE11">
            <v>5</v>
          </cell>
          <cell r="DF11">
            <v>0.05</v>
          </cell>
          <cell r="DG11">
            <v>2.1543679154367969E-2</v>
          </cell>
          <cell r="DH11">
            <v>0.11175046923191914</v>
          </cell>
          <cell r="DI11" t="str">
            <v>No Sig diff</v>
          </cell>
          <cell r="DJ11">
            <v>108</v>
          </cell>
          <cell r="DK11">
            <v>11</v>
          </cell>
          <cell r="DL11">
            <v>0.10185185185185185</v>
          </cell>
          <cell r="DM11">
            <v>5.7829317593360803E-2</v>
          </cell>
          <cell r="DN11">
            <v>0.17322506146408276</v>
          </cell>
          <cell r="DO11" t="str">
            <v>No Sig diff</v>
          </cell>
          <cell r="DP11">
            <v>83</v>
          </cell>
          <cell r="DQ11">
            <v>6</v>
          </cell>
          <cell r="DR11">
            <v>7.2289156626506021E-2</v>
          </cell>
          <cell r="DS11">
            <v>3.3550295522992796E-2</v>
          </cell>
          <cell r="DT11">
            <v>0.14886786091773177</v>
          </cell>
          <cell r="DU11" t="str">
            <v>No Sig diff</v>
          </cell>
          <cell r="DV11">
            <v>130</v>
          </cell>
          <cell r="DW11">
            <v>10</v>
          </cell>
          <cell r="DX11">
            <v>7.6923076923076927E-2</v>
          </cell>
          <cell r="DY11">
            <v>4.2317437086078179E-2</v>
          </cell>
          <cell r="DZ11">
            <v>0.13581465315536376</v>
          </cell>
          <cell r="EA11" t="str">
            <v>No Sig diff</v>
          </cell>
          <cell r="EB11">
            <v>144</v>
          </cell>
          <cell r="EC11">
            <v>19</v>
          </cell>
          <cell r="ED11">
            <v>0.13194444444444445</v>
          </cell>
          <cell r="EE11">
            <v>8.6122870939953716E-2</v>
          </cell>
          <cell r="EF11">
            <v>0.19689286195700392</v>
          </cell>
          <cell r="EG11" t="str">
            <v>No Sig diff</v>
          </cell>
          <cell r="EH11">
            <v>139</v>
          </cell>
          <cell r="EI11">
            <v>20</v>
          </cell>
          <cell r="EJ11">
            <v>0.14388489208633093</v>
          </cell>
          <cell r="EK11">
            <v>9.5114077729757537E-2</v>
          </cell>
          <cell r="EL11">
            <v>0.21180983065546405</v>
          </cell>
          <cell r="EM11" t="str">
            <v>No Sig diff</v>
          </cell>
          <cell r="EN11">
            <v>117</v>
          </cell>
          <cell r="EO11">
            <v>11</v>
          </cell>
          <cell r="EP11">
            <v>9.4017094017094016E-2</v>
          </cell>
          <cell r="EQ11">
            <v>5.3310461939706823E-2</v>
          </cell>
          <cell r="ER11">
            <v>0.16053550676080314</v>
          </cell>
          <cell r="ES11" t="str">
            <v>Sig better than Eng.</v>
          </cell>
          <cell r="ET11">
            <v>132</v>
          </cell>
          <cell r="EU11">
            <v>16</v>
          </cell>
          <cell r="EV11">
            <v>0.12121212121212122</v>
          </cell>
          <cell r="EW11">
            <v>7.6004168709792846E-2</v>
          </cell>
          <cell r="EX11">
            <v>0.18784354856188021</v>
          </cell>
          <cell r="EY11" t="str">
            <v>Sig better than Eng.</v>
          </cell>
          <cell r="EZ11">
            <v>143</v>
          </cell>
          <cell r="FA11">
            <v>75</v>
          </cell>
          <cell r="FB11">
            <v>0.52447552447552448</v>
          </cell>
          <cell r="FC11">
            <v>0.44305846825994299</v>
          </cell>
          <cell r="FD11">
            <v>0.6046119924956096</v>
          </cell>
          <cell r="FE11">
            <v>143</v>
          </cell>
          <cell r="FF11">
            <v>34</v>
          </cell>
          <cell r="FG11">
            <v>28</v>
          </cell>
          <cell r="FH11">
            <v>26.035714285714278</v>
          </cell>
          <cell r="FI11">
            <v>0.23424369747899185</v>
          </cell>
          <cell r="FJ11">
            <v>151</v>
          </cell>
          <cell r="FK11">
            <v>101</v>
          </cell>
          <cell r="FL11">
            <v>0.66887417218543044</v>
          </cell>
          <cell r="FM11">
            <v>0.59043982267317197</v>
          </cell>
          <cell r="FN11">
            <v>0.73892932941585499</v>
          </cell>
          <cell r="FO11">
            <v>151</v>
          </cell>
          <cell r="FP11">
            <v>34</v>
          </cell>
          <cell r="FQ11">
            <v>30</v>
          </cell>
          <cell r="FR11">
            <v>25.06666666666667</v>
          </cell>
          <cell r="FS11">
            <v>0.26274509803921559</v>
          </cell>
          <cell r="FT11">
            <v>1891</v>
          </cell>
          <cell r="FU11">
            <v>1871</v>
          </cell>
          <cell r="FV11">
            <v>20</v>
          </cell>
          <cell r="FW11">
            <v>17</v>
          </cell>
          <cell r="FX11">
            <v>3</v>
          </cell>
          <cell r="FY11">
            <v>0.85</v>
          </cell>
          <cell r="FZ11">
            <v>0.15</v>
          </cell>
          <cell r="GA11">
            <v>0.94504477004477005</v>
          </cell>
          <cell r="GB11">
            <v>5.4955229955229966E-2</v>
          </cell>
          <cell r="GC11">
            <v>2.4232521079919089E-2</v>
          </cell>
          <cell r="GD11">
            <v>0.12485581862986618</v>
          </cell>
          <cell r="GE11">
            <v>0.95933048433048429</v>
          </cell>
          <cell r="GF11">
            <v>4.0669515669515668E-2</v>
          </cell>
          <cell r="GG11">
            <v>1.7614201033819141E-2</v>
          </cell>
          <cell r="GH11">
            <v>0.10993207132684676</v>
          </cell>
          <cell r="GI11">
            <v>0.96858974358974359</v>
          </cell>
          <cell r="GJ11">
            <v>3.141025641025641E-2</v>
          </cell>
          <cell r="GK11">
            <v>1.1529012223652576E-2</v>
          </cell>
          <cell r="GL11">
            <v>9.4475192787893972E-2</v>
          </cell>
          <cell r="GM11">
            <v>0.83746438746438756</v>
          </cell>
          <cell r="GN11">
            <v>0.16253561253561252</v>
          </cell>
          <cell r="GO11">
            <v>0.11649367959569261</v>
          </cell>
          <cell r="GP11">
            <v>0.27805683470612508</v>
          </cell>
          <cell r="GQ11">
            <v>32</v>
          </cell>
          <cell r="GR11">
            <v>31</v>
          </cell>
          <cell r="GS11">
            <v>31</v>
          </cell>
          <cell r="GT11">
            <v>32</v>
          </cell>
          <cell r="GU11">
            <v>31</v>
          </cell>
          <cell r="GV11">
            <v>41</v>
          </cell>
          <cell r="GW11">
            <v>41</v>
          </cell>
          <cell r="GX11">
            <v>40</v>
          </cell>
          <cell r="GY11">
            <v>41</v>
          </cell>
          <cell r="GZ11">
            <v>40</v>
          </cell>
          <cell r="HA11">
            <v>41</v>
          </cell>
          <cell r="HB11">
            <v>40</v>
          </cell>
          <cell r="HC11">
            <v>40</v>
          </cell>
          <cell r="HD11">
            <v>37</v>
          </cell>
          <cell r="HE11">
            <v>36</v>
          </cell>
          <cell r="HF11">
            <v>36</v>
          </cell>
          <cell r="HG11">
            <v>35</v>
          </cell>
          <cell r="HH11">
            <v>36</v>
          </cell>
          <cell r="HI11">
            <v>36</v>
          </cell>
          <cell r="HJ11">
            <v>35</v>
          </cell>
          <cell r="HK11">
            <v>37</v>
          </cell>
          <cell r="HL11">
            <v>35</v>
          </cell>
          <cell r="HM11">
            <v>37</v>
          </cell>
          <cell r="HN11">
            <v>17</v>
          </cell>
          <cell r="HO11">
            <v>2.7113237639553429E-2</v>
          </cell>
          <cell r="HP11">
            <v>1001</v>
          </cell>
          <cell r="HQ11">
            <v>902</v>
          </cell>
          <cell r="HR11">
            <v>99</v>
          </cell>
          <cell r="HS11">
            <v>9.8901098901098897E-2</v>
          </cell>
        </row>
        <row r="12">
          <cell r="A12" t="str">
            <v>EG Library</v>
          </cell>
          <cell r="C12" t="str">
            <v>Mid Sussex</v>
          </cell>
          <cell r="D12" t="str">
            <v>Mid Sussex</v>
          </cell>
          <cell r="E12" t="str">
            <v>Mid Sussex</v>
          </cell>
          <cell r="F12" t="str">
            <v>Mid Sussex</v>
          </cell>
          <cell r="G12" t="str">
            <v>Ashurst Wood, East Grinstead Herontye, East Grinstead Imberhorne, East Grinstead Town</v>
          </cell>
          <cell r="H12" t="str">
            <v>East Grinstead</v>
          </cell>
          <cell r="I12" t="str">
            <v>C2</v>
          </cell>
          <cell r="J12" t="str">
            <v>Horsham and Mid Sussex</v>
          </cell>
          <cell r="K12" t="str">
            <v>Mid Sussex</v>
          </cell>
          <cell r="L12">
            <v>12920</v>
          </cell>
          <cell r="M12">
            <v>13055</v>
          </cell>
          <cell r="N12">
            <v>13210</v>
          </cell>
          <cell r="O12">
            <v>13500</v>
          </cell>
          <cell r="P12">
            <v>13645</v>
          </cell>
          <cell r="Q12">
            <v>13800</v>
          </cell>
          <cell r="R12">
            <v>13935</v>
          </cell>
          <cell r="S12">
            <v>13995</v>
          </cell>
          <cell r="T12">
            <v>14095</v>
          </cell>
          <cell r="U12">
            <v>14340</v>
          </cell>
          <cell r="V12">
            <v>620</v>
          </cell>
          <cell r="W12">
            <v>630</v>
          </cell>
          <cell r="X12">
            <v>660</v>
          </cell>
          <cell r="Y12">
            <v>705</v>
          </cell>
          <cell r="Z12">
            <v>720</v>
          </cell>
          <cell r="AA12">
            <v>735</v>
          </cell>
          <cell r="AB12">
            <v>760</v>
          </cell>
          <cell r="AC12">
            <v>750</v>
          </cell>
          <cell r="AD12">
            <v>760</v>
          </cell>
          <cell r="AE12">
            <v>740</v>
          </cell>
          <cell r="AF12">
            <v>0.89719626168224298</v>
          </cell>
          <cell r="AG12">
            <v>4.2723631508678236E-2</v>
          </cell>
          <cell r="AH12">
            <v>2.67022696929239E-2</v>
          </cell>
          <cell r="AI12">
            <v>2.4032042723631509E-2</v>
          </cell>
          <cell r="AJ12">
            <v>8.0106809078771702E-3</v>
          </cell>
          <cell r="AK12">
            <v>1.3351134846461949E-3</v>
          </cell>
          <cell r="AL12">
            <v>0.10280373831775701</v>
          </cell>
          <cell r="AM12">
            <v>1465</v>
          </cell>
          <cell r="AN12">
            <v>0.72832764505119452</v>
          </cell>
          <cell r="AO12">
            <v>9.6928327645051188E-2</v>
          </cell>
          <cell r="AP12">
            <v>0.17474402730375427</v>
          </cell>
          <cell r="AQ12">
            <v>125</v>
          </cell>
          <cell r="AR12">
            <v>138</v>
          </cell>
          <cell r="AS12">
            <v>133</v>
          </cell>
          <cell r="AT12">
            <v>121</v>
          </cell>
          <cell r="AU12">
            <v>135</v>
          </cell>
          <cell r="AV12">
            <v>4</v>
          </cell>
          <cell r="AW12">
            <v>4</v>
          </cell>
          <cell r="AX12">
            <v>5</v>
          </cell>
          <cell r="AY12">
            <v>1</v>
          </cell>
          <cell r="AZ12">
            <v>1</v>
          </cell>
          <cell r="BA12">
            <v>9</v>
          </cell>
          <cell r="BB12">
            <v>6.6666666666666666E-2</v>
          </cell>
          <cell r="BC12">
            <v>3.5466897784925636E-2</v>
          </cell>
          <cell r="BD12">
            <v>0.12184532729692925</v>
          </cell>
          <cell r="BE12">
            <v>5</v>
          </cell>
          <cell r="BF12">
            <v>200</v>
          </cell>
          <cell r="BG12">
            <v>262</v>
          </cell>
          <cell r="BH12">
            <v>111</v>
          </cell>
          <cell r="BI12">
            <v>0.14288639946679255</v>
          </cell>
          <cell r="BJ12">
            <v>1580</v>
          </cell>
          <cell r="BK12">
            <v>2804</v>
          </cell>
          <cell r="BL12">
            <v>1939</v>
          </cell>
          <cell r="BM12">
            <v>1346</v>
          </cell>
          <cell r="BN12">
            <v>0</v>
          </cell>
          <cell r="BO12">
            <v>191</v>
          </cell>
          <cell r="BP12">
            <v>296</v>
          </cell>
          <cell r="BQ12">
            <v>106</v>
          </cell>
          <cell r="BR12">
            <v>45</v>
          </cell>
          <cell r="BS12">
            <v>55</v>
          </cell>
          <cell r="BT12">
            <v>35</v>
          </cell>
          <cell r="BU12">
            <v>275</v>
          </cell>
          <cell r="BV12">
            <v>50</v>
          </cell>
          <cell r="BW12">
            <v>0.18181818181818182</v>
          </cell>
          <cell r="BX12">
            <v>20</v>
          </cell>
          <cell r="BY12">
            <v>10</v>
          </cell>
          <cell r="BZ12">
            <v>148</v>
          </cell>
          <cell r="CA12">
            <v>2.4983119513841998E-2</v>
          </cell>
          <cell r="CB12">
            <v>65</v>
          </cell>
          <cell r="CC12">
            <v>60</v>
          </cell>
          <cell r="CD12">
            <v>50</v>
          </cell>
          <cell r="CE12">
            <v>55</v>
          </cell>
          <cell r="CF12">
            <v>160</v>
          </cell>
          <cell r="CG12">
            <v>7.9111111111111104E-2</v>
          </cell>
          <cell r="CH12">
            <v>155</v>
          </cell>
          <cell r="CI12">
            <v>7.1444444444444449E-2</v>
          </cell>
          <cell r="CJ12">
            <v>170</v>
          </cell>
          <cell r="CK12">
            <v>7.7333333333333323E-2</v>
          </cell>
          <cell r="CL12">
            <v>155</v>
          </cell>
          <cell r="CM12">
            <v>6.5888888888888886E-2</v>
          </cell>
          <cell r="CN12">
            <v>175</v>
          </cell>
          <cell r="CO12">
            <v>6.6555555555555562E-2</v>
          </cell>
          <cell r="CP12">
            <v>135</v>
          </cell>
          <cell r="CQ12">
            <v>6.0402684563758392E-2</v>
          </cell>
          <cell r="CR12">
            <v>131</v>
          </cell>
          <cell r="CS12">
            <v>4</v>
          </cell>
          <cell r="CT12">
            <v>127</v>
          </cell>
          <cell r="CU12">
            <v>0.96990740740740744</v>
          </cell>
          <cell r="CV12">
            <v>65</v>
          </cell>
          <cell r="CW12">
            <v>82</v>
          </cell>
          <cell r="CX12">
            <v>0.52671965715443969</v>
          </cell>
          <cell r="CY12">
            <v>0.65975867932389676</v>
          </cell>
          <cell r="CZ12">
            <v>0.42581263792217539</v>
          </cell>
          <cell r="DA12">
            <v>0.5971158496536414</v>
          </cell>
          <cell r="DB12">
            <v>0.55932258310542216</v>
          </cell>
          <cell r="DC12">
            <v>0.72346209699631914</v>
          </cell>
          <cell r="DD12">
            <v>93</v>
          </cell>
          <cell r="DE12">
            <v>7</v>
          </cell>
          <cell r="DF12">
            <v>7.5268817204301078E-2</v>
          </cell>
          <cell r="DG12">
            <v>3.6936683981680471E-2</v>
          </cell>
          <cell r="DH12">
            <v>0.14729700103258914</v>
          </cell>
          <cell r="DI12" t="str">
            <v>No Sig diff</v>
          </cell>
          <cell r="DJ12">
            <v>117</v>
          </cell>
          <cell r="DK12">
            <v>6</v>
          </cell>
          <cell r="DL12">
            <v>5.128205128205128E-2</v>
          </cell>
          <cell r="DM12">
            <v>2.3712378528816573E-2</v>
          </cell>
          <cell r="DN12">
            <v>0.10738053424543133</v>
          </cell>
          <cell r="DO12" t="str">
            <v>No Sig diff</v>
          </cell>
          <cell r="DP12">
            <v>99</v>
          </cell>
          <cell r="DQ12">
            <v>4</v>
          </cell>
          <cell r="DR12">
            <v>4.0404040404040407E-2</v>
          </cell>
          <cell r="DS12">
            <v>1.5822638994147552E-2</v>
          </cell>
          <cell r="DT12">
            <v>9.9320212502542235E-2</v>
          </cell>
          <cell r="DU12" t="str">
            <v>No Sig diff</v>
          </cell>
          <cell r="DV12">
            <v>127</v>
          </cell>
          <cell r="DW12">
            <v>9</v>
          </cell>
          <cell r="DX12">
            <v>7.0866141732283464E-2</v>
          </cell>
          <cell r="DY12">
            <v>3.7728059261201326E-2</v>
          </cell>
          <cell r="DZ12">
            <v>0.12920265992793412</v>
          </cell>
          <cell r="EA12" t="str">
            <v>No Sig diff</v>
          </cell>
          <cell r="EB12">
            <v>89</v>
          </cell>
          <cell r="EC12">
            <v>18</v>
          </cell>
          <cell r="ED12">
            <v>0.20224719101123595</v>
          </cell>
          <cell r="EE12">
            <v>0.13193782732624648</v>
          </cell>
          <cell r="EF12">
            <v>0.29719651983691514</v>
          </cell>
          <cell r="EG12" t="str">
            <v>No Sig diff</v>
          </cell>
          <cell r="EH12">
            <v>88</v>
          </cell>
          <cell r="EI12">
            <v>11</v>
          </cell>
          <cell r="EJ12">
            <v>0.125</v>
          </cell>
          <cell r="EK12">
            <v>7.1252741521922444E-2</v>
          </cell>
          <cell r="EL12">
            <v>0.21011755847674671</v>
          </cell>
          <cell r="EM12" t="str">
            <v>No Sig diff</v>
          </cell>
          <cell r="EN12">
            <v>114</v>
          </cell>
          <cell r="EO12">
            <v>10</v>
          </cell>
          <cell r="EP12">
            <v>8.771929824561403E-2</v>
          </cell>
          <cell r="EQ12">
            <v>4.8345105411009899E-2</v>
          </cell>
          <cell r="ER12">
            <v>0.15397298415856123</v>
          </cell>
          <cell r="ES12" t="str">
            <v>Sig better than Eng.</v>
          </cell>
          <cell r="ET12">
            <v>99</v>
          </cell>
          <cell r="EU12">
            <v>7</v>
          </cell>
          <cell r="EV12">
            <v>7.0707070707070704E-2</v>
          </cell>
          <cell r="EW12">
            <v>3.4670230283234689E-2</v>
          </cell>
          <cell r="EX12">
            <v>0.13881485078510192</v>
          </cell>
          <cell r="EY12" t="str">
            <v>Sig better than Eng.</v>
          </cell>
          <cell r="EZ12">
            <v>147</v>
          </cell>
          <cell r="FA12">
            <v>81</v>
          </cell>
          <cell r="FB12">
            <v>0.55102040816326525</v>
          </cell>
          <cell r="FC12">
            <v>0.47033523732756821</v>
          </cell>
          <cell r="FD12">
            <v>0.62910691947250996</v>
          </cell>
          <cell r="FE12">
            <v>147</v>
          </cell>
          <cell r="FF12">
            <v>34</v>
          </cell>
          <cell r="FG12">
            <v>29</v>
          </cell>
          <cell r="FH12">
            <v>25.344827586206897</v>
          </cell>
          <cell r="FI12">
            <v>0.25456389452332656</v>
          </cell>
          <cell r="FJ12">
            <v>126</v>
          </cell>
          <cell r="FK12">
            <v>91</v>
          </cell>
          <cell r="FL12">
            <v>0.72222222222222221</v>
          </cell>
          <cell r="FM12">
            <v>0.63832593390940506</v>
          </cell>
          <cell r="FN12">
            <v>0.79296928187628457</v>
          </cell>
          <cell r="FO12">
            <v>126</v>
          </cell>
          <cell r="FP12">
            <v>34</v>
          </cell>
          <cell r="FQ12">
            <v>25</v>
          </cell>
          <cell r="FR12">
            <v>26.839999999999996</v>
          </cell>
          <cell r="FS12">
            <v>0.21058823529411774</v>
          </cell>
          <cell r="FT12">
            <v>2038</v>
          </cell>
          <cell r="FU12">
            <v>1990</v>
          </cell>
          <cell r="FV12">
            <v>48</v>
          </cell>
          <cell r="FW12">
            <v>42</v>
          </cell>
          <cell r="FX12">
            <v>6</v>
          </cell>
          <cell r="FY12">
            <v>0.875</v>
          </cell>
          <cell r="FZ12">
            <v>0.125</v>
          </cell>
          <cell r="GA12">
            <v>0.91865338728083834</v>
          </cell>
          <cell r="GB12">
            <v>8.1346612719161743E-2</v>
          </cell>
          <cell r="GC12">
            <v>7.2097514909401916E-2</v>
          </cell>
          <cell r="GD12">
            <v>0.22281995332477456</v>
          </cell>
          <cell r="GE12">
            <v>0.92518933499325662</v>
          </cell>
          <cell r="GF12">
            <v>7.4810665006743438E-2</v>
          </cell>
          <cell r="GG12">
            <v>6.2724910645863163E-2</v>
          </cell>
          <cell r="GH12">
            <v>0.20745281963161774</v>
          </cell>
          <cell r="GI12">
            <v>0.90939412802157904</v>
          </cell>
          <cell r="GJ12">
            <v>9.0605871978421001E-2</v>
          </cell>
          <cell r="GK12">
            <v>8.1682478239274645E-2</v>
          </cell>
          <cell r="GL12">
            <v>0.23797472795159738</v>
          </cell>
          <cell r="GM12">
            <v>0.8110488639900405</v>
          </cell>
          <cell r="GN12">
            <v>0.18895113600995952</v>
          </cell>
          <cell r="GO12">
            <v>0.13214965937388246</v>
          </cell>
          <cell r="GP12">
            <v>0.31120623660046737</v>
          </cell>
          <cell r="GQ12">
            <v>38</v>
          </cell>
          <cell r="GR12">
            <v>36</v>
          </cell>
          <cell r="GS12">
            <v>36</v>
          </cell>
          <cell r="GT12">
            <v>36</v>
          </cell>
          <cell r="GU12">
            <v>36</v>
          </cell>
          <cell r="GV12">
            <v>36</v>
          </cell>
          <cell r="GW12">
            <v>34</v>
          </cell>
          <cell r="GX12">
            <v>34</v>
          </cell>
          <cell r="GY12">
            <v>34</v>
          </cell>
          <cell r="GZ12">
            <v>34</v>
          </cell>
          <cell r="HA12">
            <v>34</v>
          </cell>
          <cell r="HB12">
            <v>34</v>
          </cell>
          <cell r="HC12">
            <v>34</v>
          </cell>
          <cell r="HD12">
            <v>46</v>
          </cell>
          <cell r="HE12">
            <v>42</v>
          </cell>
          <cell r="HF12">
            <v>42</v>
          </cell>
          <cell r="HG12">
            <v>40</v>
          </cell>
          <cell r="HH12">
            <v>40</v>
          </cell>
          <cell r="HI12">
            <v>43</v>
          </cell>
          <cell r="HJ12">
            <v>40</v>
          </cell>
          <cell r="HK12">
            <v>42</v>
          </cell>
          <cell r="HL12">
            <v>41</v>
          </cell>
          <cell r="HM12">
            <v>42</v>
          </cell>
          <cell r="HN12">
            <v>13</v>
          </cell>
          <cell r="HO12">
            <v>1.7356475300400534E-2</v>
          </cell>
          <cell r="HP12">
            <v>1182</v>
          </cell>
          <cell r="HQ12">
            <v>1119</v>
          </cell>
          <cell r="HR12">
            <v>63</v>
          </cell>
          <cell r="HS12">
            <v>5.3299492385786802E-2</v>
          </cell>
        </row>
        <row r="13">
          <cell r="A13" t="str">
            <v>EG Urban (Blackwells)</v>
          </cell>
          <cell r="C13" t="str">
            <v>Mid Sussex</v>
          </cell>
          <cell r="D13" t="str">
            <v>Mid Sussex</v>
          </cell>
          <cell r="E13" t="str">
            <v>Mid Sussex</v>
          </cell>
          <cell r="F13" t="str">
            <v>Mid Sussex</v>
          </cell>
          <cell r="G13" t="str">
            <v>East Grinstead Ashplats, East Grinstead Baldwins, East Grinstead Town</v>
          </cell>
          <cell r="H13" t="str">
            <v>East Grinstead</v>
          </cell>
          <cell r="I13" t="str">
            <v>C2</v>
          </cell>
          <cell r="J13" t="str">
            <v>Horsham and Mid Sussex</v>
          </cell>
          <cell r="K13" t="str">
            <v>Mid Sussex</v>
          </cell>
          <cell r="L13">
            <v>11425</v>
          </cell>
          <cell r="M13">
            <v>11570</v>
          </cell>
          <cell r="N13">
            <v>11630</v>
          </cell>
          <cell r="O13">
            <v>11770</v>
          </cell>
          <cell r="P13">
            <v>11975</v>
          </cell>
          <cell r="Q13">
            <v>12235</v>
          </cell>
          <cell r="R13">
            <v>12420</v>
          </cell>
          <cell r="S13">
            <v>12625</v>
          </cell>
          <cell r="T13">
            <v>12605</v>
          </cell>
          <cell r="U13">
            <v>12705</v>
          </cell>
          <cell r="V13">
            <v>740</v>
          </cell>
          <cell r="W13">
            <v>720</v>
          </cell>
          <cell r="X13">
            <v>710</v>
          </cell>
          <cell r="Y13">
            <v>705</v>
          </cell>
          <cell r="Z13">
            <v>740</v>
          </cell>
          <cell r="AA13">
            <v>730</v>
          </cell>
          <cell r="AB13">
            <v>790</v>
          </cell>
          <cell r="AC13">
            <v>795</v>
          </cell>
          <cell r="AD13">
            <v>865</v>
          </cell>
          <cell r="AE13">
            <v>845</v>
          </cell>
          <cell r="AF13">
            <v>0.85231539424280356</v>
          </cell>
          <cell r="AG13">
            <v>4.005006257822278E-2</v>
          </cell>
          <cell r="AH13">
            <v>6.0075093867334166E-2</v>
          </cell>
          <cell r="AI13">
            <v>4.005006257822278E-2</v>
          </cell>
          <cell r="AJ13">
            <v>5.0062578222778474E-3</v>
          </cell>
          <cell r="AK13">
            <v>2.5031289111389237E-3</v>
          </cell>
          <cell r="AL13">
            <v>0.1476846057571965</v>
          </cell>
          <cell r="AM13">
            <v>1525</v>
          </cell>
          <cell r="AN13">
            <v>0.65094957432874923</v>
          </cell>
          <cell r="AO13">
            <v>0.18925998690242304</v>
          </cell>
          <cell r="AP13">
            <v>0.15979043876882776</v>
          </cell>
          <cell r="AQ13">
            <v>137</v>
          </cell>
          <cell r="AR13">
            <v>147</v>
          </cell>
          <cell r="AS13">
            <v>158</v>
          </cell>
          <cell r="AT13">
            <v>170</v>
          </cell>
          <cell r="AU13">
            <v>131</v>
          </cell>
          <cell r="AV13">
            <v>5</v>
          </cell>
          <cell r="AW13">
            <v>7</v>
          </cell>
          <cell r="AX13">
            <v>7</v>
          </cell>
          <cell r="AY13">
            <v>5</v>
          </cell>
          <cell r="AZ13">
            <v>2</v>
          </cell>
          <cell r="BA13">
            <v>9</v>
          </cell>
          <cell r="BB13">
            <v>6.8702290076335881E-2</v>
          </cell>
          <cell r="BC13">
            <v>3.6562545650761696E-2</v>
          </cell>
          <cell r="BD13">
            <v>0.12541626273440917</v>
          </cell>
          <cell r="BE13">
            <v>6</v>
          </cell>
          <cell r="BF13">
            <v>249</v>
          </cell>
          <cell r="BG13">
            <v>267</v>
          </cell>
          <cell r="BH13">
            <v>115</v>
          </cell>
          <cell r="BI13">
            <v>0.11891938392374067</v>
          </cell>
          <cell r="BJ13">
            <v>1596</v>
          </cell>
          <cell r="BK13">
            <v>2772</v>
          </cell>
          <cell r="BL13">
            <v>1536</v>
          </cell>
          <cell r="BM13">
            <v>1047</v>
          </cell>
          <cell r="BN13">
            <v>1</v>
          </cell>
          <cell r="BO13">
            <v>176</v>
          </cell>
          <cell r="BP13">
            <v>235</v>
          </cell>
          <cell r="BQ13">
            <v>77</v>
          </cell>
          <cell r="BR13">
            <v>65</v>
          </cell>
          <cell r="BS13">
            <v>70</v>
          </cell>
          <cell r="BT13">
            <v>50</v>
          </cell>
          <cell r="BU13">
            <v>316</v>
          </cell>
          <cell r="BV13">
            <v>85</v>
          </cell>
          <cell r="BW13">
            <v>0.26898734177215189</v>
          </cell>
          <cell r="BX13">
            <v>26</v>
          </cell>
          <cell r="BY13">
            <v>8</v>
          </cell>
          <cell r="BZ13">
            <v>165</v>
          </cell>
          <cell r="CA13">
            <v>3.1488549618320608E-2</v>
          </cell>
          <cell r="CB13">
            <v>90</v>
          </cell>
          <cell r="CC13">
            <v>110</v>
          </cell>
          <cell r="CD13">
            <v>95</v>
          </cell>
          <cell r="CE13">
            <v>75</v>
          </cell>
          <cell r="CF13">
            <v>250</v>
          </cell>
          <cell r="CG13">
            <v>8.8142857142857162E-2</v>
          </cell>
          <cell r="CH13">
            <v>270</v>
          </cell>
          <cell r="CI13">
            <v>8.671428571428573E-2</v>
          </cell>
          <cell r="CJ13">
            <v>250</v>
          </cell>
          <cell r="CK13">
            <v>0.10185714285714287</v>
          </cell>
          <cell r="CL13">
            <v>205</v>
          </cell>
          <cell r="CM13">
            <v>0.108</v>
          </cell>
          <cell r="CN13">
            <v>210</v>
          </cell>
          <cell r="CO13">
            <v>0.10014285714285712</v>
          </cell>
          <cell r="CP13">
            <v>230</v>
          </cell>
          <cell r="CQ13">
            <v>9.5634095634095639E-2</v>
          </cell>
          <cell r="CR13">
            <v>152</v>
          </cell>
          <cell r="CS13">
            <v>6</v>
          </cell>
          <cell r="CT13">
            <v>146</v>
          </cell>
          <cell r="CU13">
            <v>0.95652513879114864</v>
          </cell>
          <cell r="CV13">
            <v>63</v>
          </cell>
          <cell r="CW13">
            <v>80</v>
          </cell>
          <cell r="CX13">
            <v>0.43148895922005176</v>
          </cell>
          <cell r="CY13">
            <v>0.53734948524864501</v>
          </cell>
          <cell r="CZ13">
            <v>0.35393919302495835</v>
          </cell>
          <cell r="DA13">
            <v>0.51258652479973121</v>
          </cell>
          <cell r="DB13">
            <v>0.46701649179589177</v>
          </cell>
          <cell r="DC13">
            <v>0.62641550572682558</v>
          </cell>
          <cell r="DD13">
            <v>87</v>
          </cell>
          <cell r="DE13">
            <v>7</v>
          </cell>
          <cell r="DF13">
            <v>8.0459770114942528E-2</v>
          </cell>
          <cell r="DG13">
            <v>3.9520271089868816E-2</v>
          </cell>
          <cell r="DH13">
            <v>0.15688188990922067</v>
          </cell>
          <cell r="DI13" t="str">
            <v>No Sig diff</v>
          </cell>
          <cell r="DJ13">
            <v>119</v>
          </cell>
          <cell r="DK13">
            <v>10</v>
          </cell>
          <cell r="DL13">
            <v>8.4033613445378158E-2</v>
          </cell>
          <cell r="DM13">
            <v>4.6284809194831765E-2</v>
          </cell>
          <cell r="DN13">
            <v>0.14779835335938682</v>
          </cell>
          <cell r="DO13" t="str">
            <v>No Sig diff</v>
          </cell>
          <cell r="DP13">
            <v>104</v>
          </cell>
          <cell r="DQ13">
            <v>5</v>
          </cell>
          <cell r="DR13">
            <v>4.807692307692308E-2</v>
          </cell>
          <cell r="DS13">
            <v>2.070804232585223E-2</v>
          </cell>
          <cell r="DT13">
            <v>0.10764202797232544</v>
          </cell>
          <cell r="DU13" t="str">
            <v>No Sig diff</v>
          </cell>
          <cell r="DV13">
            <v>145</v>
          </cell>
          <cell r="DW13">
            <v>13</v>
          </cell>
          <cell r="DX13">
            <v>8.9655172413793102E-2</v>
          </cell>
          <cell r="DY13">
            <v>5.3143530294794135E-2</v>
          </cell>
          <cell r="DZ13">
            <v>0.14734804683119626</v>
          </cell>
          <cell r="EA13" t="str">
            <v>No Sig diff</v>
          </cell>
          <cell r="EB13">
            <v>105</v>
          </cell>
          <cell r="EC13">
            <v>12</v>
          </cell>
          <cell r="ED13">
            <v>0.11428571428571428</v>
          </cell>
          <cell r="EE13">
            <v>6.6597020035790502E-2</v>
          </cell>
          <cell r="EF13">
            <v>0.1892012678809514</v>
          </cell>
          <cell r="EG13" t="str">
            <v>No Sig diff</v>
          </cell>
          <cell r="EH13">
            <v>116</v>
          </cell>
          <cell r="EI13">
            <v>10</v>
          </cell>
          <cell r="EJ13">
            <v>8.6206896551724144E-2</v>
          </cell>
          <cell r="EK13">
            <v>4.7499354799614958E-2</v>
          </cell>
          <cell r="EL13">
            <v>0.15144230575181017</v>
          </cell>
          <cell r="EM13" t="str">
            <v>Sig better than Eng.</v>
          </cell>
          <cell r="EN13">
            <v>105</v>
          </cell>
          <cell r="EO13">
            <v>18</v>
          </cell>
          <cell r="EP13">
            <v>0.17142857142857143</v>
          </cell>
          <cell r="EQ13">
            <v>0.11127785378367308</v>
          </cell>
          <cell r="ER13">
            <v>0.25477253962688479</v>
          </cell>
          <cell r="ES13" t="str">
            <v>No Sig diff</v>
          </cell>
          <cell r="ET13">
            <v>125</v>
          </cell>
          <cell r="EU13">
            <v>18</v>
          </cell>
          <cell r="EV13">
            <v>0.14399999999999999</v>
          </cell>
          <cell r="EW13">
            <v>9.3068950253000618E-2</v>
          </cell>
          <cell r="EX13">
            <v>0.21615961006732778</v>
          </cell>
          <cell r="EY13" t="str">
            <v>No Sig diff</v>
          </cell>
          <cell r="EZ13">
            <v>159</v>
          </cell>
          <cell r="FA13">
            <v>102</v>
          </cell>
          <cell r="FB13">
            <v>0.64150943396226412</v>
          </cell>
          <cell r="FC13">
            <v>0.56443995549802972</v>
          </cell>
          <cell r="FD13">
            <v>0.71190244726532192</v>
          </cell>
          <cell r="FE13">
            <v>159</v>
          </cell>
          <cell r="FF13">
            <v>34</v>
          </cell>
          <cell r="FG13">
            <v>31</v>
          </cell>
          <cell r="FH13">
            <v>26.903225806451605</v>
          </cell>
          <cell r="FI13">
            <v>0.20872865275142338</v>
          </cell>
          <cell r="FJ13">
            <v>141</v>
          </cell>
          <cell r="FK13">
            <v>83</v>
          </cell>
          <cell r="FL13">
            <v>0.58865248226950351</v>
          </cell>
          <cell r="FM13">
            <v>0.50612931176565457</v>
          </cell>
          <cell r="FN13">
            <v>0.66647320275989053</v>
          </cell>
          <cell r="FO13">
            <v>141</v>
          </cell>
          <cell r="FP13">
            <v>34</v>
          </cell>
          <cell r="FQ13">
            <v>28</v>
          </cell>
          <cell r="FR13">
            <v>25.785714285714285</v>
          </cell>
          <cell r="FS13">
            <v>0.24159663865546221</v>
          </cell>
          <cell r="FT13">
            <v>1928</v>
          </cell>
          <cell r="FU13">
            <v>1895</v>
          </cell>
          <cell r="FV13">
            <v>33</v>
          </cell>
          <cell r="FW13">
            <v>30</v>
          </cell>
          <cell r="FX13">
            <v>3</v>
          </cell>
          <cell r="FY13">
            <v>0.90909090909090906</v>
          </cell>
          <cell r="FZ13">
            <v>9.0909090909090912E-2</v>
          </cell>
          <cell r="GA13">
            <v>0.87410399124684857</v>
          </cell>
          <cell r="GB13">
            <v>0.1258960087531516</v>
          </cell>
          <cell r="GC13">
            <v>8.167987995453567E-2</v>
          </cell>
          <cell r="GD13">
            <v>0.20088987633992925</v>
          </cell>
          <cell r="GE13">
            <v>0.91388421102706829</v>
          </cell>
          <cell r="GF13">
            <v>8.6115788972931817E-2</v>
          </cell>
          <cell r="GG13">
            <v>3.8969900613698788E-2</v>
          </cell>
          <cell r="GH13">
            <v>0.13322597203376074</v>
          </cell>
          <cell r="GI13">
            <v>0.86807430664573537</v>
          </cell>
          <cell r="GJ13">
            <v>0.13192569335426479</v>
          </cell>
          <cell r="GK13">
            <v>8.2363400835368833E-2</v>
          </cell>
          <cell r="GL13">
            <v>0.20245179541134131</v>
          </cell>
          <cell r="GM13">
            <v>0.76172969887255593</v>
          </cell>
          <cell r="GN13">
            <v>0.23827030112744399</v>
          </cell>
          <cell r="GO13">
            <v>0.17652266116613055</v>
          </cell>
          <cell r="GP13">
            <v>0.32679486242234518</v>
          </cell>
          <cell r="GQ13">
            <v>40</v>
          </cell>
          <cell r="GR13">
            <v>39</v>
          </cell>
          <cell r="GS13">
            <v>39</v>
          </cell>
          <cell r="GT13">
            <v>39</v>
          </cell>
          <cell r="GU13">
            <v>39</v>
          </cell>
          <cell r="GV13">
            <v>34</v>
          </cell>
          <cell r="GW13">
            <v>31</v>
          </cell>
          <cell r="GX13">
            <v>32</v>
          </cell>
          <cell r="GY13">
            <v>31</v>
          </cell>
          <cell r="GZ13">
            <v>32</v>
          </cell>
          <cell r="HA13">
            <v>32</v>
          </cell>
          <cell r="HB13">
            <v>31</v>
          </cell>
          <cell r="HC13">
            <v>32</v>
          </cell>
          <cell r="HD13">
            <v>41</v>
          </cell>
          <cell r="HE13">
            <v>33</v>
          </cell>
          <cell r="HF13">
            <v>36</v>
          </cell>
          <cell r="HG13">
            <v>34</v>
          </cell>
          <cell r="HH13">
            <v>36</v>
          </cell>
          <cell r="HI13">
            <v>37</v>
          </cell>
          <cell r="HJ13">
            <v>35</v>
          </cell>
          <cell r="HK13">
            <v>34</v>
          </cell>
          <cell r="HL13">
            <v>34</v>
          </cell>
          <cell r="HM13">
            <v>37</v>
          </cell>
          <cell r="HN13">
            <v>15</v>
          </cell>
          <cell r="HO13">
            <v>1.8773466833541929E-2</v>
          </cell>
          <cell r="HP13">
            <v>1264</v>
          </cell>
          <cell r="HQ13">
            <v>1157</v>
          </cell>
          <cell r="HR13">
            <v>107</v>
          </cell>
          <cell r="HS13">
            <v>8.4651898734177208E-2</v>
          </cell>
        </row>
        <row r="14">
          <cell r="A14" t="str">
            <v>Felpham</v>
          </cell>
          <cell r="C14" t="str">
            <v>Arun West</v>
          </cell>
          <cell r="D14" t="str">
            <v>Arun West South</v>
          </cell>
          <cell r="E14" t="str">
            <v>Arun</v>
          </cell>
          <cell r="F14" t="str">
            <v>Arch</v>
          </cell>
          <cell r="G14" t="str">
            <v>Felpham East, Felpham West, Hotham, Middleton-on-sea</v>
          </cell>
          <cell r="H14" t="str">
            <v>Bognor Regis/Felpham</v>
          </cell>
          <cell r="I14" t="str">
            <v>A</v>
          </cell>
          <cell r="J14" t="str">
            <v>Coastal West Sussex</v>
          </cell>
          <cell r="K14" t="str">
            <v>Bognor Regis and Littlehampton</v>
          </cell>
          <cell r="L14">
            <v>19585</v>
          </cell>
          <cell r="M14">
            <v>19635</v>
          </cell>
          <cell r="N14">
            <v>19660</v>
          </cell>
          <cell r="O14">
            <v>19650</v>
          </cell>
          <cell r="P14">
            <v>19765</v>
          </cell>
          <cell r="Q14">
            <v>19785</v>
          </cell>
          <cell r="R14">
            <v>19715</v>
          </cell>
          <cell r="S14">
            <v>19595</v>
          </cell>
          <cell r="T14">
            <v>19835</v>
          </cell>
          <cell r="U14">
            <v>20120</v>
          </cell>
          <cell r="V14">
            <v>800</v>
          </cell>
          <cell r="W14">
            <v>785</v>
          </cell>
          <cell r="X14">
            <v>770</v>
          </cell>
          <cell r="Y14">
            <v>780</v>
          </cell>
          <cell r="Z14">
            <v>785</v>
          </cell>
          <cell r="AA14">
            <v>795</v>
          </cell>
          <cell r="AB14">
            <v>840</v>
          </cell>
          <cell r="AC14">
            <v>815</v>
          </cell>
          <cell r="AD14">
            <v>905</v>
          </cell>
          <cell r="AE14">
            <v>970</v>
          </cell>
          <cell r="AF14">
            <v>0.91389913899138986</v>
          </cell>
          <cell r="AG14">
            <v>4.3050430504305043E-2</v>
          </cell>
          <cell r="AH14">
            <v>2.4600246002460024E-2</v>
          </cell>
          <cell r="AI14">
            <v>1.3530135301353014E-2</v>
          </cell>
          <cell r="AJ14">
            <v>2.4600246002460025E-3</v>
          </cell>
          <cell r="AK14">
            <v>2.4600246002460025E-3</v>
          </cell>
          <cell r="AL14">
            <v>8.6100861008610086E-2</v>
          </cell>
          <cell r="AM14">
            <v>1660</v>
          </cell>
          <cell r="AN14">
            <v>0.68471720818291215</v>
          </cell>
          <cell r="AO14">
            <v>6.3778580024067388E-2</v>
          </cell>
          <cell r="AP14">
            <v>0.25150421179302046</v>
          </cell>
          <cell r="AQ14">
            <v>140</v>
          </cell>
          <cell r="AR14">
            <v>159</v>
          </cell>
          <cell r="AS14">
            <v>169</v>
          </cell>
          <cell r="AT14">
            <v>163</v>
          </cell>
          <cell r="AU14">
            <v>155</v>
          </cell>
          <cell r="AV14">
            <v>10</v>
          </cell>
          <cell r="AW14">
            <v>9</v>
          </cell>
          <cell r="AX14">
            <v>9</v>
          </cell>
          <cell r="AY14">
            <v>9</v>
          </cell>
          <cell r="AZ14">
            <v>6</v>
          </cell>
          <cell r="BA14">
            <v>13</v>
          </cell>
          <cell r="BB14">
            <v>8.387096774193549E-2</v>
          </cell>
          <cell r="BC14">
            <v>4.9668328719835564E-2</v>
          </cell>
          <cell r="BD14">
            <v>0.13820112955793193</v>
          </cell>
          <cell r="BE14">
            <v>17</v>
          </cell>
          <cell r="BF14">
            <v>250</v>
          </cell>
          <cell r="BG14">
            <v>266</v>
          </cell>
          <cell r="BH14">
            <v>117</v>
          </cell>
          <cell r="BI14">
            <v>0.12501869560446638</v>
          </cell>
          <cell r="BJ14">
            <v>1883</v>
          </cell>
          <cell r="BK14">
            <v>3273</v>
          </cell>
          <cell r="BL14">
            <v>1896</v>
          </cell>
          <cell r="BM14">
            <v>1082</v>
          </cell>
          <cell r="BN14">
            <v>0</v>
          </cell>
          <cell r="BO14">
            <v>244</v>
          </cell>
          <cell r="BP14">
            <v>431</v>
          </cell>
          <cell r="BQ14">
            <v>139</v>
          </cell>
          <cell r="BR14">
            <v>105</v>
          </cell>
          <cell r="BS14">
            <v>115</v>
          </cell>
          <cell r="BT14">
            <v>95</v>
          </cell>
          <cell r="BU14">
            <v>430</v>
          </cell>
          <cell r="BV14">
            <v>125</v>
          </cell>
          <cell r="BW14">
            <v>0.29069767441860467</v>
          </cell>
          <cell r="BX14">
            <v>47</v>
          </cell>
          <cell r="BY14">
            <v>5</v>
          </cell>
          <cell r="BZ14">
            <v>294</v>
          </cell>
          <cell r="CA14">
            <v>3.4154275092936802E-2</v>
          </cell>
          <cell r="CB14">
            <v>130</v>
          </cell>
          <cell r="CC14">
            <v>140</v>
          </cell>
          <cell r="CD14">
            <v>150</v>
          </cell>
          <cell r="CE14">
            <v>170</v>
          </cell>
          <cell r="CF14">
            <v>325</v>
          </cell>
          <cell r="CG14">
            <v>0.13775000000000001</v>
          </cell>
          <cell r="CH14">
            <v>350</v>
          </cell>
          <cell r="CI14">
            <v>0.11091666666666668</v>
          </cell>
          <cell r="CJ14">
            <v>355</v>
          </cell>
          <cell r="CK14">
            <v>0.12124999999999998</v>
          </cell>
          <cell r="CL14">
            <v>345</v>
          </cell>
          <cell r="CM14">
            <v>0.1205</v>
          </cell>
          <cell r="CN14">
            <v>395</v>
          </cell>
          <cell r="CO14">
            <v>0.11575000000000002</v>
          </cell>
          <cell r="CP14">
            <v>390</v>
          </cell>
          <cell r="CQ14">
            <v>0.13287904599659284</v>
          </cell>
          <cell r="CR14">
            <v>178</v>
          </cell>
          <cell r="CS14">
            <v>6</v>
          </cell>
          <cell r="CT14">
            <v>172</v>
          </cell>
          <cell r="CU14">
            <v>0.95942668442668444</v>
          </cell>
          <cell r="CV14">
            <v>68</v>
          </cell>
          <cell r="CW14">
            <v>81</v>
          </cell>
          <cell r="CX14">
            <v>0.43205756661639017</v>
          </cell>
          <cell r="CY14">
            <v>0.49128645047762698</v>
          </cell>
          <cell r="CZ14">
            <v>0.32533233499934777</v>
          </cell>
          <cell r="DA14">
            <v>0.46993795371504055</v>
          </cell>
          <cell r="DB14">
            <v>0.39778405133173356</v>
          </cell>
          <cell r="DC14">
            <v>0.54534658442226325</v>
          </cell>
          <cell r="DD14">
            <v>149</v>
          </cell>
          <cell r="DE14">
            <v>10</v>
          </cell>
          <cell r="DF14">
            <v>6.7114093959731544E-2</v>
          </cell>
          <cell r="DG14">
            <v>3.6860340607094678E-2</v>
          </cell>
          <cell r="DH14">
            <v>0.11912782519982631</v>
          </cell>
          <cell r="DI14" t="str">
            <v>No Sig diff</v>
          </cell>
          <cell r="DJ14">
            <v>179</v>
          </cell>
          <cell r="DK14">
            <v>16</v>
          </cell>
          <cell r="DL14">
            <v>8.9385474860335198E-2</v>
          </cell>
          <cell r="DM14">
            <v>5.5768700800059426E-2</v>
          </cell>
          <cell r="DN14">
            <v>0.14025609057858804</v>
          </cell>
          <cell r="DO14" t="str">
            <v>No Sig diff</v>
          </cell>
          <cell r="DP14">
            <v>138</v>
          </cell>
          <cell r="DQ14">
            <v>15</v>
          </cell>
          <cell r="DR14">
            <v>0.10869565217391304</v>
          </cell>
          <cell r="DS14">
            <v>6.6985397787695536E-2</v>
          </cell>
          <cell r="DT14">
            <v>0.17160111353318763</v>
          </cell>
          <cell r="DU14" t="str">
            <v>No Sig diff</v>
          </cell>
          <cell r="DV14">
            <v>191</v>
          </cell>
          <cell r="DW14">
            <v>18</v>
          </cell>
          <cell r="DX14">
            <v>9.4240837696335081E-2</v>
          </cell>
          <cell r="DY14">
            <v>6.0444414831651493E-2</v>
          </cell>
          <cell r="DZ14">
            <v>0.14403700848472206</v>
          </cell>
          <cell r="EA14" t="str">
            <v>No Sig diff</v>
          </cell>
          <cell r="EB14">
            <v>175</v>
          </cell>
          <cell r="EC14">
            <v>22</v>
          </cell>
          <cell r="ED14">
            <v>0.12571428571428572</v>
          </cell>
          <cell r="EE14">
            <v>8.4504753621622061E-2</v>
          </cell>
          <cell r="EF14">
            <v>0.18300289888897292</v>
          </cell>
          <cell r="EG14" t="str">
            <v>Sig better than Eng.</v>
          </cell>
          <cell r="EH14">
            <v>136</v>
          </cell>
          <cell r="EI14">
            <v>24</v>
          </cell>
          <cell r="EJ14">
            <v>0.17647058823529413</v>
          </cell>
          <cell r="EK14">
            <v>0.12155217401413997</v>
          </cell>
          <cell r="EL14">
            <v>0.24916377287229574</v>
          </cell>
          <cell r="EM14" t="str">
            <v>No Sig diff</v>
          </cell>
          <cell r="EN14">
            <v>155</v>
          </cell>
          <cell r="EO14">
            <v>19</v>
          </cell>
          <cell r="EP14">
            <v>0.12258064516129032</v>
          </cell>
          <cell r="EQ14">
            <v>7.9896668098098103E-2</v>
          </cell>
          <cell r="ER14">
            <v>0.18351981731662126</v>
          </cell>
          <cell r="ES14" t="str">
            <v>Sig better than Eng.</v>
          </cell>
          <cell r="ET14">
            <v>164</v>
          </cell>
          <cell r="EU14">
            <v>23</v>
          </cell>
          <cell r="EV14">
            <v>0.1402439024390244</v>
          </cell>
          <cell r="EW14">
            <v>9.5303919572450629E-2</v>
          </cell>
          <cell r="EX14">
            <v>0.20165166679396676</v>
          </cell>
          <cell r="EY14" t="str">
            <v>No Sig diff</v>
          </cell>
          <cell r="EZ14">
            <v>190</v>
          </cell>
          <cell r="FA14">
            <v>81</v>
          </cell>
          <cell r="FB14">
            <v>0.4263157894736842</v>
          </cell>
          <cell r="FC14">
            <v>0.35814185509394658</v>
          </cell>
          <cell r="FD14">
            <v>0.49741020187906476</v>
          </cell>
          <cell r="FE14">
            <v>190</v>
          </cell>
          <cell r="FF14">
            <v>33</v>
          </cell>
          <cell r="FG14">
            <v>38</v>
          </cell>
          <cell r="FH14">
            <v>22.763157894736842</v>
          </cell>
          <cell r="FI14">
            <v>0.31020733652312599</v>
          </cell>
          <cell r="FJ14">
            <v>198</v>
          </cell>
          <cell r="FK14">
            <v>99</v>
          </cell>
          <cell r="FL14">
            <v>0.5</v>
          </cell>
          <cell r="FM14">
            <v>0.43102163323431003</v>
          </cell>
          <cell r="FN14">
            <v>0.56897836676569002</v>
          </cell>
          <cell r="FO14">
            <v>198</v>
          </cell>
          <cell r="FP14">
            <v>33.5</v>
          </cell>
          <cell r="FQ14">
            <v>39</v>
          </cell>
          <cell r="FR14">
            <v>22.179487179487182</v>
          </cell>
          <cell r="FS14">
            <v>0.33792575583620349</v>
          </cell>
          <cell r="FT14">
            <v>2287</v>
          </cell>
          <cell r="FU14">
            <v>2241</v>
          </cell>
          <cell r="FV14">
            <v>46</v>
          </cell>
          <cell r="FW14">
            <v>33</v>
          </cell>
          <cell r="FX14">
            <v>13</v>
          </cell>
          <cell r="FY14">
            <v>0.71739130434782605</v>
          </cell>
          <cell r="FZ14">
            <v>0.28260869565217389</v>
          </cell>
          <cell r="GA14">
            <v>0.88842592592592595</v>
          </cell>
          <cell r="GB14">
            <v>0.11157407407407409</v>
          </cell>
          <cell r="GC14">
            <v>6.3644792722440502E-2</v>
          </cell>
          <cell r="GD14">
            <v>0.19880765197250103</v>
          </cell>
          <cell r="GE14">
            <v>0.88981481481481473</v>
          </cell>
          <cell r="GF14">
            <v>0.11018518518518521</v>
          </cell>
          <cell r="GG14">
            <v>6.3644792722440502E-2</v>
          </cell>
          <cell r="GH14">
            <v>0.19880765197250103</v>
          </cell>
          <cell r="GI14">
            <v>0.88796296296296306</v>
          </cell>
          <cell r="GJ14">
            <v>0.11203703703703703</v>
          </cell>
          <cell r="GK14">
            <v>6.3644792722440502E-2</v>
          </cell>
          <cell r="GL14">
            <v>0.19880765197250103</v>
          </cell>
          <cell r="GM14">
            <v>0.77314814814814803</v>
          </cell>
          <cell r="GN14">
            <v>0.22685185185185186</v>
          </cell>
          <cell r="GO14">
            <v>0.1733308743374927</v>
          </cell>
          <cell r="GP14">
            <v>0.35331770957120112</v>
          </cell>
          <cell r="GQ14">
            <v>41</v>
          </cell>
          <cell r="GR14">
            <v>39</v>
          </cell>
          <cell r="GS14">
            <v>39</v>
          </cell>
          <cell r="GT14">
            <v>40</v>
          </cell>
          <cell r="GU14">
            <v>40</v>
          </cell>
          <cell r="GV14">
            <v>51</v>
          </cell>
          <cell r="GW14">
            <v>50</v>
          </cell>
          <cell r="GX14">
            <v>51</v>
          </cell>
          <cell r="GY14">
            <v>50</v>
          </cell>
          <cell r="GZ14">
            <v>51</v>
          </cell>
          <cell r="HA14">
            <v>51</v>
          </cell>
          <cell r="HB14">
            <v>50</v>
          </cell>
          <cell r="HC14">
            <v>51</v>
          </cell>
          <cell r="HD14">
            <v>58</v>
          </cell>
          <cell r="HE14">
            <v>57</v>
          </cell>
          <cell r="HF14">
            <v>56</v>
          </cell>
          <cell r="HG14">
            <v>53</v>
          </cell>
          <cell r="HH14">
            <v>56</v>
          </cell>
          <cell r="HI14">
            <v>56</v>
          </cell>
          <cell r="HJ14">
            <v>53</v>
          </cell>
          <cell r="HK14">
            <v>55</v>
          </cell>
          <cell r="HL14">
            <v>54</v>
          </cell>
          <cell r="HM14">
            <v>57</v>
          </cell>
          <cell r="HN14">
            <v>22</v>
          </cell>
          <cell r="HO14">
            <v>2.7060270602706028E-2</v>
          </cell>
          <cell r="HP14">
            <v>1298</v>
          </cell>
          <cell r="HQ14">
            <v>1163</v>
          </cell>
          <cell r="HR14">
            <v>135</v>
          </cell>
          <cell r="HS14">
            <v>0.10400616332819723</v>
          </cell>
        </row>
        <row r="15">
          <cell r="A15" t="str">
            <v>Findon</v>
          </cell>
          <cell r="C15" t="str">
            <v>Worthing</v>
          </cell>
          <cell r="D15" t="str">
            <v>Worthing</v>
          </cell>
          <cell r="E15" t="str">
            <v>Worthing</v>
          </cell>
          <cell r="F15" t="str">
            <v>CCC</v>
          </cell>
          <cell r="G15" t="str">
            <v>Findon, Broadwater, Offington, Salvington</v>
          </cell>
          <cell r="H15" t="str">
            <v>Worthing</v>
          </cell>
          <cell r="I15" t="str">
            <v>B</v>
          </cell>
          <cell r="J15" t="str">
            <v>Coastal West Sussex</v>
          </cell>
          <cell r="K15" t="str">
            <v>East Worthing and Shoreham</v>
          </cell>
          <cell r="L15">
            <v>20260</v>
          </cell>
          <cell r="M15">
            <v>20380</v>
          </cell>
          <cell r="N15">
            <v>20385</v>
          </cell>
          <cell r="O15">
            <v>20465</v>
          </cell>
          <cell r="P15">
            <v>20610</v>
          </cell>
          <cell r="Q15">
            <v>20715</v>
          </cell>
          <cell r="R15">
            <v>20880</v>
          </cell>
          <cell r="S15">
            <v>21010</v>
          </cell>
          <cell r="T15">
            <v>21080</v>
          </cell>
          <cell r="U15">
            <v>21065</v>
          </cell>
          <cell r="V15">
            <v>990</v>
          </cell>
          <cell r="W15">
            <v>980</v>
          </cell>
          <cell r="X15">
            <v>975</v>
          </cell>
          <cell r="Y15">
            <v>970</v>
          </cell>
          <cell r="Z15">
            <v>1010</v>
          </cell>
          <cell r="AA15">
            <v>970</v>
          </cell>
          <cell r="AB15">
            <v>1000</v>
          </cell>
          <cell r="AC15">
            <v>1030</v>
          </cell>
          <cell r="AD15">
            <v>1000</v>
          </cell>
          <cell r="AE15">
            <v>970</v>
          </cell>
          <cell r="AF15">
            <v>0.90761904761904766</v>
          </cell>
          <cell r="AG15">
            <v>2.6666666666666668E-2</v>
          </cell>
          <cell r="AH15">
            <v>5.3333333333333337E-2</v>
          </cell>
          <cell r="AI15">
            <v>9.5238095238095247E-3</v>
          </cell>
          <cell r="AJ15">
            <v>9.5238095238095238E-4</v>
          </cell>
          <cell r="AK15">
            <v>1.9047619047619048E-3</v>
          </cell>
          <cell r="AL15">
            <v>9.2380952380952383E-2</v>
          </cell>
          <cell r="AM15">
            <v>2130</v>
          </cell>
          <cell r="AN15">
            <v>0.784037558685446</v>
          </cell>
          <cell r="AO15">
            <v>3.5680751173708919E-2</v>
          </cell>
          <cell r="AP15">
            <v>0.18028169014084508</v>
          </cell>
          <cell r="AQ15">
            <v>189</v>
          </cell>
          <cell r="AR15">
            <v>158</v>
          </cell>
          <cell r="AS15">
            <v>178</v>
          </cell>
          <cell r="AT15">
            <v>153</v>
          </cell>
          <cell r="AU15">
            <v>160</v>
          </cell>
          <cell r="AV15">
            <v>4</v>
          </cell>
          <cell r="AW15">
            <v>8</v>
          </cell>
          <cell r="AX15">
            <v>7</v>
          </cell>
          <cell r="AY15">
            <v>3</v>
          </cell>
          <cell r="AZ15">
            <v>5</v>
          </cell>
          <cell r="BA15">
            <v>7</v>
          </cell>
          <cell r="BB15">
            <v>4.3749999999999997E-2</v>
          </cell>
          <cell r="BC15">
            <v>2.1351611551534529E-2</v>
          </cell>
          <cell r="BD15">
            <v>8.7543041542463937E-2</v>
          </cell>
          <cell r="BE15">
            <v>13</v>
          </cell>
          <cell r="BF15">
            <v>329</v>
          </cell>
          <cell r="BG15">
            <v>333</v>
          </cell>
          <cell r="BH15">
            <v>143</v>
          </cell>
          <cell r="BI15">
            <v>0.1346246371384921</v>
          </cell>
          <cell r="BJ15">
            <v>2320</v>
          </cell>
          <cell r="BK15">
            <v>4068</v>
          </cell>
          <cell r="BL15">
            <v>2557</v>
          </cell>
          <cell r="BM15">
            <v>1588</v>
          </cell>
          <cell r="BN15">
            <v>2</v>
          </cell>
          <cell r="BO15">
            <v>322</v>
          </cell>
          <cell r="BP15">
            <v>476</v>
          </cell>
          <cell r="BQ15">
            <v>169</v>
          </cell>
          <cell r="BR15">
            <v>100</v>
          </cell>
          <cell r="BS15">
            <v>90</v>
          </cell>
          <cell r="BT15">
            <v>45</v>
          </cell>
          <cell r="BU15">
            <v>371</v>
          </cell>
          <cell r="BV15">
            <v>99</v>
          </cell>
          <cell r="BW15">
            <v>0.26684636118598382</v>
          </cell>
          <cell r="BX15">
            <v>34</v>
          </cell>
          <cell r="BY15">
            <v>8</v>
          </cell>
          <cell r="BZ15">
            <v>215</v>
          </cell>
          <cell r="CA15">
            <v>2.387827632163483E-2</v>
          </cell>
          <cell r="CB15">
            <v>115</v>
          </cell>
          <cell r="CC15">
            <v>115</v>
          </cell>
          <cell r="CD15">
            <v>110</v>
          </cell>
          <cell r="CE15">
            <v>85</v>
          </cell>
          <cell r="CF15">
            <v>285</v>
          </cell>
          <cell r="CG15">
            <v>7.3857142857142857E-2</v>
          </cell>
          <cell r="CH15">
            <v>250</v>
          </cell>
          <cell r="CI15">
            <v>7.3428571428571426E-2</v>
          </cell>
          <cell r="CJ15">
            <v>285</v>
          </cell>
          <cell r="CK15">
            <v>8.1500000000000003E-2</v>
          </cell>
          <cell r="CL15">
            <v>255</v>
          </cell>
          <cell r="CM15">
            <v>7.3785714285714274E-2</v>
          </cell>
          <cell r="CN15">
            <v>260</v>
          </cell>
          <cell r="CO15">
            <v>8.4642857142857145E-2</v>
          </cell>
          <cell r="CP15">
            <v>255</v>
          </cell>
          <cell r="CQ15">
            <v>7.5667655786350152E-2</v>
          </cell>
          <cell r="CR15">
            <v>170</v>
          </cell>
          <cell r="CS15">
            <v>8</v>
          </cell>
          <cell r="CT15">
            <v>162</v>
          </cell>
          <cell r="CU15">
            <v>0.95496987256441046</v>
          </cell>
          <cell r="CV15">
            <v>58</v>
          </cell>
          <cell r="CW15">
            <v>84</v>
          </cell>
          <cell r="CX15">
            <v>0.40838999935638592</v>
          </cell>
          <cell r="CY15">
            <v>0.5585264875180842</v>
          </cell>
          <cell r="CZ15">
            <v>0.28827262158110739</v>
          </cell>
          <cell r="DA15">
            <v>0.43435427058587606</v>
          </cell>
          <cell r="DB15">
            <v>0.44204148501870449</v>
          </cell>
          <cell r="DC15">
            <v>0.59413761600299331</v>
          </cell>
          <cell r="DD15">
            <v>149</v>
          </cell>
          <cell r="DE15">
            <v>12</v>
          </cell>
          <cell r="DF15">
            <v>8.0536912751677847E-2</v>
          </cell>
          <cell r="DG15">
            <v>4.6668847532353522E-2</v>
          </cell>
          <cell r="DH15">
            <v>0.13549022786194978</v>
          </cell>
          <cell r="DI15" t="str">
            <v>No Sig diff</v>
          </cell>
          <cell r="DJ15">
            <v>195</v>
          </cell>
          <cell r="DK15">
            <v>12</v>
          </cell>
          <cell r="DL15">
            <v>6.1538461538461542E-2</v>
          </cell>
          <cell r="DM15">
            <v>3.5549562909461881E-2</v>
          </cell>
          <cell r="DN15">
            <v>0.10446881648595506</v>
          </cell>
          <cell r="DO15" t="str">
            <v>No Sig diff</v>
          </cell>
          <cell r="DP15">
            <v>178</v>
          </cell>
          <cell r="DQ15">
            <v>11</v>
          </cell>
          <cell r="DR15">
            <v>6.1797752808988762E-2</v>
          </cell>
          <cell r="DS15">
            <v>3.4853872292265949E-2</v>
          </cell>
          <cell r="DT15">
            <v>0.1072559578217525</v>
          </cell>
          <cell r="DU15" t="str">
            <v>No Sig diff</v>
          </cell>
          <cell r="DV15">
            <v>217</v>
          </cell>
          <cell r="DW15">
            <v>25</v>
          </cell>
          <cell r="DX15">
            <v>0.1152073732718894</v>
          </cell>
          <cell r="DY15">
            <v>7.9263660950678702E-2</v>
          </cell>
          <cell r="DZ15">
            <v>0.16453774802483956</v>
          </cell>
          <cell r="EA15" t="str">
            <v>No Sig diff</v>
          </cell>
          <cell r="EB15">
            <v>202</v>
          </cell>
          <cell r="EC15">
            <v>26</v>
          </cell>
          <cell r="ED15">
            <v>0.12871287128712872</v>
          </cell>
          <cell r="EE15">
            <v>8.9372024897603541E-2</v>
          </cell>
          <cell r="EF15">
            <v>0.18191180266862503</v>
          </cell>
          <cell r="EG15" t="str">
            <v>Sig better than Eng.</v>
          </cell>
          <cell r="EH15">
            <v>198</v>
          </cell>
          <cell r="EI15">
            <v>24</v>
          </cell>
          <cell r="EJ15">
            <v>0.12121212121212122</v>
          </cell>
          <cell r="EK15">
            <v>8.2822315097491175E-2</v>
          </cell>
          <cell r="EL15">
            <v>0.17402015484693928</v>
          </cell>
          <cell r="EM15" t="str">
            <v>Sig better than Eng.</v>
          </cell>
          <cell r="EN15">
            <v>168</v>
          </cell>
          <cell r="EO15">
            <v>21</v>
          </cell>
          <cell r="EP15">
            <v>0.125</v>
          </cell>
          <cell r="EQ15">
            <v>8.3230069008517427E-2</v>
          </cell>
          <cell r="ER15">
            <v>0.18353593225388359</v>
          </cell>
          <cell r="ES15" t="str">
            <v>Sig better than Eng.</v>
          </cell>
          <cell r="ET15">
            <v>171</v>
          </cell>
          <cell r="EU15">
            <v>29</v>
          </cell>
          <cell r="EV15">
            <v>0.16959064327485379</v>
          </cell>
          <cell r="EW15">
            <v>0.12075302396653985</v>
          </cell>
          <cell r="EX15">
            <v>0.23294717527576139</v>
          </cell>
          <cell r="EY15" t="str">
            <v>No Sig diff</v>
          </cell>
          <cell r="EZ15">
            <v>231</v>
          </cell>
          <cell r="FA15">
            <v>132</v>
          </cell>
          <cell r="FB15">
            <v>0.5714285714285714</v>
          </cell>
          <cell r="FC15">
            <v>0.50695673142312703</v>
          </cell>
          <cell r="FD15">
            <v>0.63356360159522707</v>
          </cell>
          <cell r="FE15">
            <v>231</v>
          </cell>
          <cell r="FF15">
            <v>34</v>
          </cell>
          <cell r="FG15">
            <v>46</v>
          </cell>
          <cell r="FH15">
            <v>24.978260869565222</v>
          </cell>
          <cell r="FI15">
            <v>0.26534526854219936</v>
          </cell>
          <cell r="FJ15">
            <v>203</v>
          </cell>
          <cell r="FK15">
            <v>123</v>
          </cell>
          <cell r="FL15">
            <v>0.60591133004926112</v>
          </cell>
          <cell r="FM15">
            <v>0.53732196053928849</v>
          </cell>
          <cell r="FN15">
            <v>0.6705667298865301</v>
          </cell>
          <cell r="FO15">
            <v>203</v>
          </cell>
          <cell r="FP15">
            <v>34</v>
          </cell>
          <cell r="FQ15">
            <v>40</v>
          </cell>
          <cell r="FR15">
            <v>25.949999999999996</v>
          </cell>
          <cell r="FS15">
            <v>0.23676470588235307</v>
          </cell>
          <cell r="FT15">
            <v>2959</v>
          </cell>
          <cell r="FU15">
            <v>2944</v>
          </cell>
          <cell r="FV15">
            <v>15</v>
          </cell>
          <cell r="FW15">
            <v>13</v>
          </cell>
          <cell r="FX15">
            <v>2</v>
          </cell>
          <cell r="FY15">
            <v>0.8666666666666667</v>
          </cell>
          <cell r="FZ15">
            <v>0.13333333333333333</v>
          </cell>
          <cell r="GB15">
            <v>0.12328767123287671</v>
          </cell>
          <cell r="GC15">
            <v>6.6236761640452516E-2</v>
          </cell>
          <cell r="GD15">
            <v>0.21800510734717918</v>
          </cell>
          <cell r="GF15">
            <v>9.5890410958904104E-2</v>
          </cell>
          <cell r="GG15">
            <v>4.7228354329351081E-2</v>
          </cell>
          <cell r="GH15">
            <v>0.18495837785738112</v>
          </cell>
          <cell r="GJ15">
            <v>0.1095890410958904</v>
          </cell>
          <cell r="GK15">
            <v>5.6586041610119112E-2</v>
          </cell>
          <cell r="GL15">
            <v>0.20162825897706282</v>
          </cell>
          <cell r="GN15">
            <v>0.19444444444444445</v>
          </cell>
          <cell r="GO15">
            <v>0.11951371043417636</v>
          </cell>
          <cell r="GP15">
            <v>0.30032975278389923</v>
          </cell>
          <cell r="GQ15">
            <v>40</v>
          </cell>
          <cell r="GR15">
            <v>39</v>
          </cell>
          <cell r="GS15">
            <v>37</v>
          </cell>
          <cell r="GT15">
            <v>40</v>
          </cell>
          <cell r="GU15">
            <v>40</v>
          </cell>
          <cell r="GV15">
            <v>51</v>
          </cell>
          <cell r="GW15">
            <v>49</v>
          </cell>
          <cell r="GX15">
            <v>48</v>
          </cell>
          <cell r="GY15">
            <v>49</v>
          </cell>
          <cell r="GZ15">
            <v>48</v>
          </cell>
          <cell r="HA15">
            <v>48</v>
          </cell>
          <cell r="HB15">
            <v>49</v>
          </cell>
          <cell r="HC15">
            <v>49</v>
          </cell>
          <cell r="HD15">
            <v>55</v>
          </cell>
          <cell r="HE15">
            <v>51</v>
          </cell>
          <cell r="HF15">
            <v>50</v>
          </cell>
          <cell r="HG15">
            <v>50</v>
          </cell>
          <cell r="HH15">
            <v>52</v>
          </cell>
          <cell r="HI15">
            <v>52</v>
          </cell>
          <cell r="HJ15">
            <v>49</v>
          </cell>
          <cell r="HK15">
            <v>53</v>
          </cell>
          <cell r="HL15">
            <v>50</v>
          </cell>
          <cell r="HM15">
            <v>52</v>
          </cell>
          <cell r="HN15">
            <v>18</v>
          </cell>
          <cell r="HO15">
            <v>1.7142857142857144E-2</v>
          </cell>
          <cell r="HP15">
            <v>1644</v>
          </cell>
          <cell r="HQ15">
            <v>1493</v>
          </cell>
          <cell r="HR15">
            <v>151</v>
          </cell>
          <cell r="HS15">
            <v>9.1849148418491483E-2</v>
          </cell>
        </row>
        <row r="16">
          <cell r="A16" t="str">
            <v>Footprints (Crescent and Lyndhurst)</v>
          </cell>
          <cell r="C16" t="str">
            <v>Worthing</v>
          </cell>
          <cell r="D16" t="str">
            <v>Worthing</v>
          </cell>
          <cell r="E16" t="str">
            <v>Worthing</v>
          </cell>
          <cell r="F16" t="str">
            <v>CCC</v>
          </cell>
          <cell r="G16" t="str">
            <v>Central, Heene, Selden</v>
          </cell>
          <cell r="H16" t="str">
            <v>Worthing</v>
          </cell>
          <cell r="I16" t="str">
            <v>B</v>
          </cell>
          <cell r="J16" t="str">
            <v>Coastal West Sussex</v>
          </cell>
          <cell r="K16" t="str">
            <v>East Worthing and Shoreham</v>
          </cell>
          <cell r="L16">
            <v>23280</v>
          </cell>
          <cell r="M16">
            <v>23505</v>
          </cell>
          <cell r="N16">
            <v>23940</v>
          </cell>
          <cell r="O16">
            <v>24325</v>
          </cell>
          <cell r="P16">
            <v>24680</v>
          </cell>
          <cell r="Q16">
            <v>24925</v>
          </cell>
          <cell r="R16">
            <v>25605</v>
          </cell>
          <cell r="S16">
            <v>26230</v>
          </cell>
          <cell r="T16">
            <v>26505</v>
          </cell>
          <cell r="U16">
            <v>26715</v>
          </cell>
          <cell r="V16">
            <v>1165</v>
          </cell>
          <cell r="W16">
            <v>1230</v>
          </cell>
          <cell r="X16">
            <v>1310</v>
          </cell>
          <cell r="Y16">
            <v>1420</v>
          </cell>
          <cell r="Z16">
            <v>1490</v>
          </cell>
          <cell r="AA16">
            <v>1510</v>
          </cell>
          <cell r="AB16">
            <v>1600</v>
          </cell>
          <cell r="AC16">
            <v>1685</v>
          </cell>
          <cell r="AD16">
            <v>1730</v>
          </cell>
          <cell r="AE16">
            <v>1725</v>
          </cell>
          <cell r="AF16">
            <v>0.76271186440677963</v>
          </cell>
          <cell r="AG16">
            <v>5.5084745762711863E-2</v>
          </cell>
          <cell r="AH16">
            <v>7.8087167070217914E-2</v>
          </cell>
          <cell r="AI16">
            <v>8.4140435835351093E-2</v>
          </cell>
          <cell r="AJ16">
            <v>1.2711864406779662E-2</v>
          </cell>
          <cell r="AK16">
            <v>7.2639225181598066E-3</v>
          </cell>
          <cell r="AL16">
            <v>0.23728813559322035</v>
          </cell>
          <cell r="AM16">
            <v>2740</v>
          </cell>
          <cell r="AN16">
            <v>0.49069003285870755</v>
          </cell>
          <cell r="AO16">
            <v>0.14603870025556773</v>
          </cell>
          <cell r="AP16">
            <v>0.3632712668857247</v>
          </cell>
          <cell r="AQ16">
            <v>329</v>
          </cell>
          <cell r="AR16">
            <v>338</v>
          </cell>
          <cell r="AS16">
            <v>395</v>
          </cell>
          <cell r="AT16">
            <v>376</v>
          </cell>
          <cell r="AU16">
            <v>335</v>
          </cell>
          <cell r="AV16">
            <v>17</v>
          </cell>
          <cell r="AW16">
            <v>25</v>
          </cell>
          <cell r="AX16">
            <v>19</v>
          </cell>
          <cell r="AY16">
            <v>21</v>
          </cell>
          <cell r="AZ16">
            <v>16</v>
          </cell>
          <cell r="BA16">
            <v>23</v>
          </cell>
          <cell r="BB16">
            <v>6.8656716417910449E-2</v>
          </cell>
          <cell r="BC16">
            <v>4.6181975108283008E-2</v>
          </cell>
          <cell r="BD16">
            <v>0.10091176895173444</v>
          </cell>
          <cell r="BE16">
            <v>30</v>
          </cell>
          <cell r="BF16">
            <v>673</v>
          </cell>
          <cell r="BG16">
            <v>453</v>
          </cell>
          <cell r="BH16">
            <v>177</v>
          </cell>
          <cell r="BI16">
            <v>0.11220050150894859</v>
          </cell>
          <cell r="BJ16">
            <v>2659</v>
          </cell>
          <cell r="BK16">
            <v>4378</v>
          </cell>
          <cell r="BL16">
            <v>2528</v>
          </cell>
          <cell r="BM16">
            <v>1469</v>
          </cell>
          <cell r="BN16">
            <v>3</v>
          </cell>
          <cell r="BO16">
            <v>311</v>
          </cell>
          <cell r="BP16">
            <v>538</v>
          </cell>
          <cell r="BQ16">
            <v>207</v>
          </cell>
          <cell r="BR16">
            <v>245</v>
          </cell>
          <cell r="BS16">
            <v>215</v>
          </cell>
          <cell r="BT16">
            <v>195</v>
          </cell>
          <cell r="BU16">
            <v>763</v>
          </cell>
          <cell r="BV16">
            <v>300</v>
          </cell>
          <cell r="BW16">
            <v>0.39318479685452162</v>
          </cell>
          <cell r="BX16">
            <v>94</v>
          </cell>
          <cell r="BY16">
            <v>1</v>
          </cell>
          <cell r="BZ16">
            <v>954</v>
          </cell>
          <cell r="CA16">
            <v>7.3577047663118927E-2</v>
          </cell>
          <cell r="CB16">
            <v>320</v>
          </cell>
          <cell r="CC16">
            <v>315</v>
          </cell>
          <cell r="CD16">
            <v>310</v>
          </cell>
          <cell r="CE16">
            <v>340</v>
          </cell>
          <cell r="CF16">
            <v>690</v>
          </cell>
          <cell r="CG16">
            <v>0.20273333333333335</v>
          </cell>
          <cell r="CH16">
            <v>720</v>
          </cell>
          <cell r="CI16">
            <v>0.17546666666666672</v>
          </cell>
          <cell r="CJ16">
            <v>740</v>
          </cell>
          <cell r="CK16">
            <v>0.19153333333333336</v>
          </cell>
          <cell r="CL16">
            <v>640</v>
          </cell>
          <cell r="CM16">
            <v>0.17419999999999999</v>
          </cell>
          <cell r="CN16">
            <v>705</v>
          </cell>
          <cell r="CO16">
            <v>0.16993333333333335</v>
          </cell>
          <cell r="CP16">
            <v>590</v>
          </cell>
          <cell r="CQ16">
            <v>0.14603960396039603</v>
          </cell>
          <cell r="CR16">
            <v>345</v>
          </cell>
          <cell r="CS16">
            <v>15</v>
          </cell>
          <cell r="CT16">
            <v>330</v>
          </cell>
          <cell r="CU16">
            <v>0.95079867129533424</v>
          </cell>
          <cell r="CV16">
            <v>149</v>
          </cell>
          <cell r="CW16">
            <v>198</v>
          </cell>
          <cell r="CX16">
            <v>0.44137272070529121</v>
          </cell>
          <cell r="CY16">
            <v>0.60952388106850341</v>
          </cell>
          <cell r="CZ16">
            <v>0.39868699754486908</v>
          </cell>
          <cell r="DA16">
            <v>0.50545916039350647</v>
          </cell>
          <cell r="DB16">
            <v>0.54628440930361477</v>
          </cell>
          <cell r="DC16">
            <v>0.65141413994848563</v>
          </cell>
          <cell r="DD16">
            <v>161</v>
          </cell>
          <cell r="DE16">
            <v>13</v>
          </cell>
          <cell r="DF16">
            <v>8.0745341614906832E-2</v>
          </cell>
          <cell r="DG16">
            <v>4.7793188465854376E-2</v>
          </cell>
          <cell r="DH16">
            <v>0.13323808263660591</v>
          </cell>
          <cell r="DI16" t="str">
            <v>No Sig diff</v>
          </cell>
          <cell r="DJ16">
            <v>213</v>
          </cell>
          <cell r="DK16">
            <v>28</v>
          </cell>
          <cell r="DL16">
            <v>0.13145539906103287</v>
          </cell>
          <cell r="DM16">
            <v>9.2538847220180187E-2</v>
          </cell>
          <cell r="DN16">
            <v>0.18342986810827064</v>
          </cell>
          <cell r="DO16" t="str">
            <v>No Sig diff</v>
          </cell>
          <cell r="DP16">
            <v>221</v>
          </cell>
          <cell r="DQ16">
            <v>18</v>
          </cell>
          <cell r="DR16">
            <v>8.1447963800904979E-2</v>
          </cell>
          <cell r="DS16">
            <v>5.2138724552875479E-2</v>
          </cell>
          <cell r="DT16">
            <v>0.12505928434488195</v>
          </cell>
          <cell r="DU16" t="str">
            <v>No Sig diff</v>
          </cell>
          <cell r="DV16">
            <v>259</v>
          </cell>
          <cell r="DW16">
            <v>21</v>
          </cell>
          <cell r="DX16">
            <v>8.1081081081081086E-2</v>
          </cell>
          <cell r="DY16">
            <v>5.3641549235695814E-2</v>
          </cell>
          <cell r="DZ16">
            <v>0.12076571142391865</v>
          </cell>
          <cell r="EA16" t="str">
            <v>No Sig diff</v>
          </cell>
          <cell r="EB16">
            <v>152</v>
          </cell>
          <cell r="EC16">
            <v>33</v>
          </cell>
          <cell r="ED16">
            <v>0.21710526315789475</v>
          </cell>
          <cell r="EE16">
            <v>0.15897583021997941</v>
          </cell>
          <cell r="EF16">
            <v>0.28918128630862894</v>
          </cell>
          <cell r="EG16" t="str">
            <v>No Sig diff</v>
          </cell>
          <cell r="EH16">
            <v>156</v>
          </cell>
          <cell r="EI16">
            <v>39</v>
          </cell>
          <cell r="EJ16">
            <v>0.25</v>
          </cell>
          <cell r="EK16">
            <v>0.18861184195741063</v>
          </cell>
          <cell r="EL16">
            <v>0.32340462376129686</v>
          </cell>
          <cell r="EM16" t="str">
            <v>No Sig diff</v>
          </cell>
          <cell r="EN16">
            <v>148</v>
          </cell>
          <cell r="EO16">
            <v>19</v>
          </cell>
          <cell r="EP16">
            <v>0.12837837837837837</v>
          </cell>
          <cell r="EQ16">
            <v>8.3749542616648201E-2</v>
          </cell>
          <cell r="ER16">
            <v>0.19181063143373209</v>
          </cell>
          <cell r="ES16" t="str">
            <v>No Sig diff</v>
          </cell>
          <cell r="ET16">
            <v>154</v>
          </cell>
          <cell r="EU16">
            <v>22</v>
          </cell>
          <cell r="EV16">
            <v>0.14285714285714285</v>
          </cell>
          <cell r="EW16">
            <v>9.6271191632122291E-2</v>
          </cell>
          <cell r="EX16">
            <v>0.20682698788382736</v>
          </cell>
          <cell r="EY16" t="str">
            <v>No Sig diff</v>
          </cell>
          <cell r="EZ16">
            <v>287</v>
          </cell>
          <cell r="FA16">
            <v>148</v>
          </cell>
          <cell r="FB16">
            <v>0.51567944250871078</v>
          </cell>
          <cell r="FC16">
            <v>0.45803701743184799</v>
          </cell>
          <cell r="FD16">
            <v>0.57290767675478294</v>
          </cell>
          <cell r="FE16">
            <v>287</v>
          </cell>
          <cell r="FF16">
            <v>34</v>
          </cell>
          <cell r="FG16">
            <v>57</v>
          </cell>
          <cell r="FH16">
            <v>26.05263157894737</v>
          </cell>
          <cell r="FI16">
            <v>0.2337461300309597</v>
          </cell>
          <cell r="FJ16">
            <v>281</v>
          </cell>
          <cell r="FK16">
            <v>171</v>
          </cell>
          <cell r="FL16">
            <v>0.60854092526690395</v>
          </cell>
          <cell r="FM16">
            <v>0.55037759347384574</v>
          </cell>
          <cell r="FN16">
            <v>0.66377662499053558</v>
          </cell>
          <cell r="FO16">
            <v>281</v>
          </cell>
          <cell r="FP16">
            <v>34</v>
          </cell>
          <cell r="FQ16">
            <v>56</v>
          </cell>
          <cell r="FR16">
            <v>27.053571428571423</v>
          </cell>
          <cell r="FS16">
            <v>0.20430672268907579</v>
          </cell>
          <cell r="FT16">
            <v>2914</v>
          </cell>
          <cell r="FU16">
            <v>2738</v>
          </cell>
          <cell r="FV16">
            <v>176</v>
          </cell>
          <cell r="FW16">
            <v>144</v>
          </cell>
          <cell r="FX16">
            <v>32</v>
          </cell>
          <cell r="FY16">
            <v>0.81818181818181823</v>
          </cell>
          <cell r="FZ16">
            <v>0.18181818181818182</v>
          </cell>
          <cell r="GA16">
            <v>0.85523886335006882</v>
          </cell>
          <cell r="GB16">
            <v>0.14476113664993123</v>
          </cell>
          <cell r="GC16">
            <v>0.10589945678565693</v>
          </cell>
          <cell r="GD16">
            <v>0.19796894649729968</v>
          </cell>
          <cell r="GE16">
            <v>0.9014757716031061</v>
          </cell>
          <cell r="GF16">
            <v>9.852422839689394E-2</v>
          </cell>
          <cell r="GG16">
            <v>6.877515560848059E-2</v>
          </cell>
          <cell r="GH16">
            <v>0.14807679808484558</v>
          </cell>
          <cell r="GI16">
            <v>0.90265936870775587</v>
          </cell>
          <cell r="GJ16">
            <v>9.7340631292244212E-2</v>
          </cell>
          <cell r="GK16">
            <v>6.877515560848059E-2</v>
          </cell>
          <cell r="GL16">
            <v>0.14807679808484558</v>
          </cell>
          <cell r="GM16">
            <v>0.76029450914425445</v>
          </cell>
          <cell r="GN16">
            <v>0.2397054908557455</v>
          </cell>
          <cell r="GO16">
            <v>0.19288785338762213</v>
          </cell>
          <cell r="GP16">
            <v>0.30458113826424538</v>
          </cell>
          <cell r="GQ16">
            <v>74</v>
          </cell>
          <cell r="GR16">
            <v>72</v>
          </cell>
          <cell r="GS16">
            <v>72</v>
          </cell>
          <cell r="GT16">
            <v>74</v>
          </cell>
          <cell r="GU16">
            <v>72</v>
          </cell>
          <cell r="GV16">
            <v>85</v>
          </cell>
          <cell r="GW16">
            <v>82</v>
          </cell>
          <cell r="GX16">
            <v>82</v>
          </cell>
          <cell r="GY16">
            <v>81</v>
          </cell>
          <cell r="GZ16">
            <v>82</v>
          </cell>
          <cell r="HA16">
            <v>82</v>
          </cell>
          <cell r="HB16">
            <v>81</v>
          </cell>
          <cell r="HC16">
            <v>83</v>
          </cell>
          <cell r="HD16">
            <v>89</v>
          </cell>
          <cell r="HE16">
            <v>82</v>
          </cell>
          <cell r="HF16">
            <v>76</v>
          </cell>
          <cell r="HG16">
            <v>76</v>
          </cell>
          <cell r="HH16">
            <v>75</v>
          </cell>
          <cell r="HI16">
            <v>77</v>
          </cell>
          <cell r="HJ16">
            <v>77</v>
          </cell>
          <cell r="HK16">
            <v>82</v>
          </cell>
          <cell r="HL16">
            <v>80</v>
          </cell>
          <cell r="HM16">
            <v>80</v>
          </cell>
          <cell r="HN16">
            <v>23</v>
          </cell>
          <cell r="HO16">
            <v>1.3990267639902677E-2</v>
          </cell>
          <cell r="HP16">
            <v>2494</v>
          </cell>
          <cell r="HQ16">
            <v>2125</v>
          </cell>
          <cell r="HR16">
            <v>369</v>
          </cell>
          <cell r="HS16">
            <v>0.14795509222133119</v>
          </cell>
        </row>
        <row r="17">
          <cell r="A17" t="str">
            <v>HH Rural</v>
          </cell>
          <cell r="C17" t="str">
            <v>Mid Sussex</v>
          </cell>
          <cell r="D17" t="str">
            <v>Mid Sussex</v>
          </cell>
          <cell r="E17" t="str">
            <v>Mid Sussex</v>
          </cell>
          <cell r="F17" t="str">
            <v>Mid Sussex</v>
          </cell>
          <cell r="G17" t="str">
            <v>Cuckfield, Haywards Heath Heath, Haywards Heath Lucastes, High Weald, Linfield</v>
          </cell>
          <cell r="H17" t="str">
            <v>Haywards Heath/Cuckfield</v>
          </cell>
          <cell r="I17" t="str">
            <v>C2</v>
          </cell>
          <cell r="J17" t="str">
            <v>Horsham and Mid Sussex</v>
          </cell>
          <cell r="K17" t="str">
            <v>Mid Sussex</v>
          </cell>
          <cell r="L17">
            <v>18190</v>
          </cell>
          <cell r="M17">
            <v>18585</v>
          </cell>
          <cell r="N17">
            <v>19055</v>
          </cell>
          <cell r="O17">
            <v>19605</v>
          </cell>
          <cell r="P17">
            <v>19925</v>
          </cell>
          <cell r="Q17">
            <v>20205</v>
          </cell>
          <cell r="R17">
            <v>20375</v>
          </cell>
          <cell r="S17">
            <v>20565</v>
          </cell>
          <cell r="T17">
            <v>20850</v>
          </cell>
          <cell r="U17">
            <v>21065</v>
          </cell>
          <cell r="V17">
            <v>1015</v>
          </cell>
          <cell r="W17">
            <v>1105</v>
          </cell>
          <cell r="X17">
            <v>1200</v>
          </cell>
          <cell r="Y17">
            <v>1320</v>
          </cell>
          <cell r="Z17">
            <v>1365</v>
          </cell>
          <cell r="AA17">
            <v>1365</v>
          </cell>
          <cell r="AB17">
            <v>1320</v>
          </cell>
          <cell r="AC17">
            <v>1305</v>
          </cell>
          <cell r="AD17">
            <v>1385</v>
          </cell>
          <cell r="AE17">
            <v>1420</v>
          </cell>
          <cell r="AF17">
            <v>0.89266817838246415</v>
          </cell>
          <cell r="AG17">
            <v>4.1572184429327287E-2</v>
          </cell>
          <cell r="AH17">
            <v>3.3257747543461828E-2</v>
          </cell>
          <cell r="AI17">
            <v>2.5699168556311415E-2</v>
          </cell>
          <cell r="AJ17">
            <v>6.8027210884353739E-3</v>
          </cell>
          <cell r="AK17">
            <v>0</v>
          </cell>
          <cell r="AL17">
            <v>0.10733182161753591</v>
          </cell>
          <cell r="AM17">
            <v>2610</v>
          </cell>
          <cell r="AN17">
            <v>0.78024502297090348</v>
          </cell>
          <cell r="AO17">
            <v>7.2358346094946402E-2</v>
          </cell>
          <cell r="AP17">
            <v>0.14739663093415006</v>
          </cell>
          <cell r="AQ17">
            <v>230</v>
          </cell>
          <cell r="AR17">
            <v>212</v>
          </cell>
          <cell r="AS17">
            <v>237</v>
          </cell>
          <cell r="AT17">
            <v>258</v>
          </cell>
          <cell r="AU17">
            <v>230</v>
          </cell>
          <cell r="AV17">
            <v>4</v>
          </cell>
          <cell r="AW17">
            <v>5</v>
          </cell>
          <cell r="AX17">
            <v>3</v>
          </cell>
          <cell r="AY17">
            <v>3</v>
          </cell>
          <cell r="AZ17">
            <v>3</v>
          </cell>
          <cell r="BA17">
            <v>8</v>
          </cell>
          <cell r="BB17">
            <v>3.4782608695652174E-2</v>
          </cell>
          <cell r="BC17">
            <v>1.7728315594474731E-2</v>
          </cell>
          <cell r="BD17">
            <v>6.7121731615965546E-2</v>
          </cell>
          <cell r="BE17">
            <v>5</v>
          </cell>
          <cell r="BF17">
            <v>347</v>
          </cell>
          <cell r="BG17">
            <v>472</v>
          </cell>
          <cell r="BH17">
            <v>203</v>
          </cell>
          <cell r="BI17">
            <v>0.14428556510470478</v>
          </cell>
          <cell r="BJ17">
            <v>2468</v>
          </cell>
          <cell r="BK17">
            <v>4544</v>
          </cell>
          <cell r="BL17">
            <v>2646</v>
          </cell>
          <cell r="BM17">
            <v>1671</v>
          </cell>
          <cell r="BN17">
            <v>1</v>
          </cell>
          <cell r="BO17">
            <v>365</v>
          </cell>
          <cell r="BP17">
            <v>438</v>
          </cell>
          <cell r="BQ17">
            <v>171</v>
          </cell>
          <cell r="BR17">
            <v>50</v>
          </cell>
          <cell r="BS17">
            <v>60</v>
          </cell>
          <cell r="BT17">
            <v>45</v>
          </cell>
          <cell r="BU17">
            <v>304</v>
          </cell>
          <cell r="BV17">
            <v>73</v>
          </cell>
          <cell r="BW17">
            <v>0.24013157894736842</v>
          </cell>
          <cell r="BX17">
            <v>32</v>
          </cell>
          <cell r="BY17">
            <v>10</v>
          </cell>
          <cell r="BZ17">
            <v>153</v>
          </cell>
          <cell r="CA17">
            <v>1.7888460189407224E-2</v>
          </cell>
          <cell r="CB17">
            <v>50</v>
          </cell>
          <cell r="CC17">
            <v>75</v>
          </cell>
          <cell r="CD17">
            <v>80</v>
          </cell>
          <cell r="CE17">
            <v>66</v>
          </cell>
          <cell r="CF17">
            <v>200</v>
          </cell>
          <cell r="CG17">
            <v>5.5E-2</v>
          </cell>
          <cell r="CH17">
            <v>195</v>
          </cell>
          <cell r="CI17">
            <v>4.2428571428571434E-2</v>
          </cell>
          <cell r="CJ17">
            <v>200</v>
          </cell>
          <cell r="CK17">
            <v>5.1071428571428566E-2</v>
          </cell>
          <cell r="CL17">
            <v>160</v>
          </cell>
          <cell r="CM17">
            <v>4.8785714285714279E-2</v>
          </cell>
          <cell r="CN17">
            <v>210</v>
          </cell>
          <cell r="CO17">
            <v>5.0499999999999996E-2</v>
          </cell>
          <cell r="CP17">
            <v>205</v>
          </cell>
          <cell r="CQ17">
            <v>5.2295918367346941E-2</v>
          </cell>
          <cell r="CR17">
            <v>247</v>
          </cell>
          <cell r="CS17">
            <v>8</v>
          </cell>
          <cell r="CT17">
            <v>239</v>
          </cell>
          <cell r="CU17">
            <v>0.89712698548558967</v>
          </cell>
          <cell r="CV17">
            <v>130</v>
          </cell>
          <cell r="CW17">
            <v>168</v>
          </cell>
          <cell r="CX17">
            <v>0.51632972644659469</v>
          </cell>
          <cell r="CY17">
            <v>0.66402832692714997</v>
          </cell>
          <cell r="CZ17">
            <v>0.48058990740273499</v>
          </cell>
          <cell r="DA17">
            <v>0.60588621530441222</v>
          </cell>
          <cell r="DB17">
            <v>0.64215388951563079</v>
          </cell>
          <cell r="DC17">
            <v>0.75728343917928798</v>
          </cell>
          <cell r="DD17">
            <v>194</v>
          </cell>
          <cell r="DE17">
            <v>7</v>
          </cell>
          <cell r="DF17">
            <v>3.608247422680412E-2</v>
          </cell>
          <cell r="DG17">
            <v>1.758630667851303E-2</v>
          </cell>
          <cell r="DH17">
            <v>7.2594279974277642E-2</v>
          </cell>
          <cell r="DI17" t="str">
            <v>Sig better than Eng.</v>
          </cell>
          <cell r="DJ17">
            <v>208</v>
          </cell>
          <cell r="DK17">
            <v>7</v>
          </cell>
          <cell r="DL17">
            <v>3.3653846153846152E-2</v>
          </cell>
          <cell r="DM17">
            <v>1.6395766201128759E-2</v>
          </cell>
          <cell r="DN17">
            <v>6.782504175599266E-2</v>
          </cell>
          <cell r="DO17" t="str">
            <v>Sig better than Eng.</v>
          </cell>
          <cell r="DP17">
            <v>226</v>
          </cell>
          <cell r="DQ17">
            <v>10</v>
          </cell>
          <cell r="DR17">
            <v>4.4247787610619468E-2</v>
          </cell>
          <cell r="DS17">
            <v>2.4209353106802618E-2</v>
          </cell>
          <cell r="DT17">
            <v>7.9520665589665557E-2</v>
          </cell>
          <cell r="DU17" t="str">
            <v>Sig better than Eng.</v>
          </cell>
          <cell r="DV17">
            <v>234</v>
          </cell>
          <cell r="DW17">
            <v>9</v>
          </cell>
          <cell r="DX17">
            <v>3.8461538461538464E-2</v>
          </cell>
          <cell r="DY17">
            <v>2.0364448140159225E-2</v>
          </cell>
          <cell r="DZ17">
            <v>7.1467560160631355E-2</v>
          </cell>
          <cell r="EA17" t="str">
            <v>Sig better than Eng.</v>
          </cell>
          <cell r="EB17">
            <v>165</v>
          </cell>
          <cell r="EC17">
            <v>20</v>
          </cell>
          <cell r="ED17">
            <v>0.12121212121212122</v>
          </cell>
          <cell r="EE17">
            <v>7.9852303583502038E-2</v>
          </cell>
          <cell r="EF17">
            <v>0.17980820353905713</v>
          </cell>
          <cell r="EG17" t="str">
            <v>Sig better than Eng.</v>
          </cell>
          <cell r="EH17">
            <v>144</v>
          </cell>
          <cell r="EI17">
            <v>14</v>
          </cell>
          <cell r="EJ17">
            <v>9.7222222222222224E-2</v>
          </cell>
          <cell r="EK17">
            <v>5.8799052664080885E-2</v>
          </cell>
          <cell r="EL17">
            <v>0.15657665503447649</v>
          </cell>
          <cell r="EM17" t="str">
            <v>Sig better than Eng.</v>
          </cell>
          <cell r="EN17">
            <v>168</v>
          </cell>
          <cell r="EO17">
            <v>17</v>
          </cell>
          <cell r="EP17">
            <v>0.10119047619047619</v>
          </cell>
          <cell r="EQ17">
            <v>6.4142045214917287E-2</v>
          </cell>
          <cell r="ER17">
            <v>0.15606941644509648</v>
          </cell>
          <cell r="ES17" t="str">
            <v>Sig better than Eng.</v>
          </cell>
          <cell r="ET17">
            <v>157</v>
          </cell>
          <cell r="EU17">
            <v>14</v>
          </cell>
          <cell r="EV17">
            <v>8.9171974522292988E-2</v>
          </cell>
          <cell r="EW17">
            <v>5.3860798787169005E-2</v>
          </cell>
          <cell r="EX17">
            <v>0.14410718194465799</v>
          </cell>
          <cell r="EY17" t="str">
            <v>Sig better than Eng.</v>
          </cell>
          <cell r="EZ17">
            <v>272</v>
          </cell>
          <cell r="FA17">
            <v>163</v>
          </cell>
          <cell r="FB17">
            <v>0.59926470588235292</v>
          </cell>
          <cell r="FC17">
            <v>0.54003535664635594</v>
          </cell>
          <cell r="FD17">
            <v>0.6557292692763258</v>
          </cell>
          <cell r="FE17">
            <v>272</v>
          </cell>
          <cell r="FF17">
            <v>34</v>
          </cell>
          <cell r="FG17">
            <v>54</v>
          </cell>
          <cell r="FH17">
            <v>27.407407407407408</v>
          </cell>
          <cell r="FI17">
            <v>0.19389978213507622</v>
          </cell>
          <cell r="FJ17">
            <v>291</v>
          </cell>
          <cell r="FK17">
            <v>187</v>
          </cell>
          <cell r="FL17">
            <v>0.6426116838487973</v>
          </cell>
          <cell r="FM17">
            <v>0.58602068090959913</v>
          </cell>
          <cell r="FN17">
            <v>0.69548654108008678</v>
          </cell>
          <cell r="FO17">
            <v>291</v>
          </cell>
          <cell r="FP17">
            <v>34</v>
          </cell>
          <cell r="FQ17">
            <v>58</v>
          </cell>
          <cell r="FR17">
            <v>28.379310344827584</v>
          </cell>
          <cell r="FS17">
            <v>0.16531440162271813</v>
          </cell>
          <cell r="FT17">
            <v>3289</v>
          </cell>
          <cell r="FU17">
            <v>3245</v>
          </cell>
          <cell r="FV17">
            <v>44</v>
          </cell>
          <cell r="FW17">
            <v>36</v>
          </cell>
          <cell r="FX17">
            <v>8</v>
          </cell>
          <cell r="FY17">
            <v>0.81818181818181823</v>
          </cell>
          <cell r="FZ17">
            <v>0.18181818181818182</v>
          </cell>
          <cell r="GA17">
            <v>0.88936076994900526</v>
          </cell>
          <cell r="GB17">
            <v>3.9210658622423331E-2</v>
          </cell>
          <cell r="GC17">
            <v>2.1261640780226743E-2</v>
          </cell>
          <cell r="GD17">
            <v>8.0052890963794948E-2</v>
          </cell>
          <cell r="GE17">
            <v>0.91070530776413128</v>
          </cell>
          <cell r="GF17">
            <v>1.7866120807297277E-2</v>
          </cell>
          <cell r="GG17">
            <v>8.1306524115839253E-3</v>
          </cell>
          <cell r="GH17">
            <v>5.2334539866256941E-2</v>
          </cell>
          <cell r="GI17">
            <v>0.89753070458952811</v>
          </cell>
          <cell r="GJ17">
            <v>3.1040723981900449E-2</v>
          </cell>
          <cell r="GK17">
            <v>1.4399085841634563E-2</v>
          </cell>
          <cell r="GL17">
            <v>6.6490776169296717E-2</v>
          </cell>
          <cell r="GM17">
            <v>0.82585191769015309</v>
          </cell>
          <cell r="GN17">
            <v>0.10271951088127559</v>
          </cell>
          <cell r="GO17">
            <v>7.6896904231561619E-2</v>
          </cell>
          <cell r="GP17">
            <v>0.16739031564409299</v>
          </cell>
          <cell r="GQ17">
            <v>72</v>
          </cell>
          <cell r="GR17">
            <v>69</v>
          </cell>
          <cell r="GS17">
            <v>70</v>
          </cell>
          <cell r="GT17">
            <v>70</v>
          </cell>
          <cell r="GU17">
            <v>70</v>
          </cell>
          <cell r="GV17">
            <v>69</v>
          </cell>
          <cell r="GW17">
            <v>66</v>
          </cell>
          <cell r="GX17">
            <v>65</v>
          </cell>
          <cell r="GY17">
            <v>64</v>
          </cell>
          <cell r="GZ17">
            <v>66</v>
          </cell>
          <cell r="HA17">
            <v>66</v>
          </cell>
          <cell r="HB17">
            <v>63</v>
          </cell>
          <cell r="HC17">
            <v>68</v>
          </cell>
          <cell r="HD17">
            <v>86</v>
          </cell>
          <cell r="HE17">
            <v>81</v>
          </cell>
          <cell r="HF17">
            <v>77</v>
          </cell>
          <cell r="HG17">
            <v>73</v>
          </cell>
          <cell r="HH17">
            <v>77</v>
          </cell>
          <cell r="HI17">
            <v>76</v>
          </cell>
          <cell r="HJ17">
            <v>75</v>
          </cell>
          <cell r="HK17">
            <v>83</v>
          </cell>
          <cell r="HL17">
            <v>80</v>
          </cell>
          <cell r="HM17">
            <v>79</v>
          </cell>
          <cell r="HN17">
            <v>20</v>
          </cell>
          <cell r="HO17">
            <v>1.5117157974300832E-2</v>
          </cell>
          <cell r="HP17">
            <v>2067</v>
          </cell>
          <cell r="HQ17">
            <v>1975</v>
          </cell>
          <cell r="HR17">
            <v>92</v>
          </cell>
          <cell r="HS17">
            <v>4.450895016932753E-2</v>
          </cell>
        </row>
        <row r="18">
          <cell r="A18" t="str">
            <v>HH Urban</v>
          </cell>
          <cell r="C18" t="str">
            <v>Mid Sussex</v>
          </cell>
          <cell r="D18" t="str">
            <v>Mid Sussex</v>
          </cell>
          <cell r="E18" t="str">
            <v>Mid Sussex</v>
          </cell>
          <cell r="F18" t="str">
            <v>Mid Sussex</v>
          </cell>
          <cell r="G18" t="str">
            <v>Haywards Heath Ashenground, Haywards Heath Brentswood, Haywards Heath Franklands, Haywards Heath Heath</v>
          </cell>
          <cell r="H18" t="str">
            <v>Haywards Heath/Cuckfield</v>
          </cell>
          <cell r="I18" t="str">
            <v>C2</v>
          </cell>
          <cell r="J18" t="str">
            <v>Horsham and Mid Sussex</v>
          </cell>
          <cell r="K18" t="str">
            <v>Mid Sussex</v>
          </cell>
          <cell r="L18">
            <v>16860</v>
          </cell>
          <cell r="M18">
            <v>17050</v>
          </cell>
          <cell r="N18">
            <v>17235</v>
          </cell>
          <cell r="O18">
            <v>17490</v>
          </cell>
          <cell r="P18">
            <v>17540</v>
          </cell>
          <cell r="Q18">
            <v>17695</v>
          </cell>
          <cell r="R18">
            <v>17985</v>
          </cell>
          <cell r="S18">
            <v>18150</v>
          </cell>
          <cell r="T18">
            <v>18425</v>
          </cell>
          <cell r="U18">
            <v>18995</v>
          </cell>
          <cell r="V18">
            <v>1095</v>
          </cell>
          <cell r="W18">
            <v>1100</v>
          </cell>
          <cell r="X18">
            <v>1120</v>
          </cell>
          <cell r="Y18">
            <v>1200</v>
          </cell>
          <cell r="Z18">
            <v>1220</v>
          </cell>
          <cell r="AA18">
            <v>1205</v>
          </cell>
          <cell r="AB18">
            <v>1225</v>
          </cell>
          <cell r="AC18">
            <v>1230</v>
          </cell>
          <cell r="AD18">
            <v>1245</v>
          </cell>
          <cell r="AE18">
            <v>1320</v>
          </cell>
          <cell r="AF18">
            <v>0.80475799835931094</v>
          </cell>
          <cell r="AG18">
            <v>4.2657916324856437E-2</v>
          </cell>
          <cell r="AH18">
            <v>5.0861361771944218E-2</v>
          </cell>
          <cell r="AI18">
            <v>9.5980311730926984E-2</v>
          </cell>
          <cell r="AJ18">
            <v>5.742411812961444E-3</v>
          </cell>
          <cell r="AK18">
            <v>0</v>
          </cell>
          <cell r="AL18">
            <v>0.19524200164068908</v>
          </cell>
          <cell r="AM18">
            <v>2250</v>
          </cell>
          <cell r="AN18">
            <v>0.604982206405694</v>
          </cell>
          <cell r="AO18">
            <v>0.20862989323843417</v>
          </cell>
          <cell r="AP18">
            <v>0.18638790035587188</v>
          </cell>
          <cell r="AQ18">
            <v>243</v>
          </cell>
          <cell r="AR18">
            <v>242</v>
          </cell>
          <cell r="AS18">
            <v>260</v>
          </cell>
          <cell r="AT18">
            <v>236</v>
          </cell>
          <cell r="AU18">
            <v>254</v>
          </cell>
          <cell r="AV18">
            <v>11</v>
          </cell>
          <cell r="AW18">
            <v>9</v>
          </cell>
          <cell r="AX18">
            <v>6</v>
          </cell>
          <cell r="AY18">
            <v>9</v>
          </cell>
          <cell r="AZ18">
            <v>11</v>
          </cell>
          <cell r="BA18">
            <v>13</v>
          </cell>
          <cell r="BB18">
            <v>5.1181102362204724E-2</v>
          </cell>
          <cell r="BC18">
            <v>3.0151261764165438E-2</v>
          </cell>
          <cell r="BD18">
            <v>8.5584426969453661E-2</v>
          </cell>
          <cell r="BE18">
            <v>21</v>
          </cell>
          <cell r="BF18">
            <v>382</v>
          </cell>
          <cell r="BG18">
            <v>376</v>
          </cell>
          <cell r="BH18">
            <v>179</v>
          </cell>
          <cell r="BI18">
            <v>0.14581754480108117</v>
          </cell>
          <cell r="BJ18">
            <v>2212</v>
          </cell>
          <cell r="BK18">
            <v>3909</v>
          </cell>
          <cell r="BL18">
            <v>2175</v>
          </cell>
          <cell r="BM18">
            <v>1420</v>
          </cell>
          <cell r="BN18">
            <v>1</v>
          </cell>
          <cell r="BO18">
            <v>260</v>
          </cell>
          <cell r="BP18">
            <v>376</v>
          </cell>
          <cell r="BQ18">
            <v>118</v>
          </cell>
          <cell r="BR18">
            <v>100</v>
          </cell>
          <cell r="BS18">
            <v>95</v>
          </cell>
          <cell r="BT18">
            <v>95</v>
          </cell>
          <cell r="BU18">
            <v>384</v>
          </cell>
          <cell r="BV18">
            <v>122</v>
          </cell>
          <cell r="BW18">
            <v>0.31770833333333331</v>
          </cell>
          <cell r="BX18">
            <v>26</v>
          </cell>
          <cell r="BY18">
            <v>7</v>
          </cell>
          <cell r="BZ18">
            <v>248</v>
          </cell>
          <cell r="CA18">
            <v>3.1746031746031744E-2</v>
          </cell>
          <cell r="CB18">
            <v>165</v>
          </cell>
          <cell r="CC18">
            <v>130</v>
          </cell>
          <cell r="CD18">
            <v>155</v>
          </cell>
          <cell r="CE18">
            <v>145</v>
          </cell>
          <cell r="CF18">
            <v>405</v>
          </cell>
          <cell r="CG18">
            <v>0.11745454545454544</v>
          </cell>
          <cell r="CH18">
            <v>410</v>
          </cell>
          <cell r="CI18">
            <v>0.11699999999999998</v>
          </cell>
          <cell r="CJ18">
            <v>455</v>
          </cell>
          <cell r="CK18">
            <v>0.12945454545454546</v>
          </cell>
          <cell r="CL18">
            <v>420</v>
          </cell>
          <cell r="CM18">
            <v>0.11809090909090911</v>
          </cell>
          <cell r="CN18">
            <v>430</v>
          </cell>
          <cell r="CO18">
            <v>0.11572727272727272</v>
          </cell>
          <cell r="CP18">
            <v>370</v>
          </cell>
          <cell r="CQ18">
            <v>0.10914454277286136</v>
          </cell>
          <cell r="CR18">
            <v>237</v>
          </cell>
          <cell r="CS18">
            <v>2</v>
          </cell>
          <cell r="CT18">
            <v>235</v>
          </cell>
          <cell r="CU18">
            <v>0.99147727272727271</v>
          </cell>
          <cell r="CV18">
            <v>107</v>
          </cell>
          <cell r="CW18">
            <v>138</v>
          </cell>
          <cell r="CX18">
            <v>0.46357004386608791</v>
          </cell>
          <cell r="CY18">
            <v>0.59349185514040581</v>
          </cell>
          <cell r="CZ18">
            <v>0.39287546928976086</v>
          </cell>
          <cell r="DA18">
            <v>0.51920014902798606</v>
          </cell>
          <cell r="DB18">
            <v>0.52337579384151411</v>
          </cell>
          <cell r="DC18">
            <v>0.64828609420478922</v>
          </cell>
          <cell r="DD18">
            <v>177</v>
          </cell>
          <cell r="DE18">
            <v>8</v>
          </cell>
          <cell r="DF18">
            <v>4.519774011299435E-2</v>
          </cell>
          <cell r="DG18">
            <v>2.3077636816594912E-2</v>
          </cell>
          <cell r="DH18">
            <v>8.663978611332683E-2</v>
          </cell>
          <cell r="DI18" t="str">
            <v>Sig better than Eng.</v>
          </cell>
          <cell r="DJ18">
            <v>178</v>
          </cell>
          <cell r="DK18">
            <v>12</v>
          </cell>
          <cell r="DL18">
            <v>6.741573033707865E-2</v>
          </cell>
          <cell r="DM18">
            <v>3.898189964215943E-2</v>
          </cell>
          <cell r="DN18">
            <v>0.11412652239347418</v>
          </cell>
          <cell r="DO18" t="str">
            <v>No Sig diff</v>
          </cell>
          <cell r="DP18">
            <v>204</v>
          </cell>
          <cell r="DQ18">
            <v>11</v>
          </cell>
          <cell r="DR18">
            <v>5.3921568627450983E-2</v>
          </cell>
          <cell r="DS18">
            <v>3.0372420984158512E-2</v>
          </cell>
          <cell r="DT18">
            <v>9.3960130217705773E-2</v>
          </cell>
          <cell r="DU18" t="str">
            <v>Sig better than Eng.</v>
          </cell>
          <cell r="DV18">
            <v>197</v>
          </cell>
          <cell r="DW18">
            <v>17</v>
          </cell>
          <cell r="DX18">
            <v>8.6294416243654817E-2</v>
          </cell>
          <cell r="DY18">
            <v>5.4574988236147239E-2</v>
          </cell>
          <cell r="DZ18">
            <v>0.13383959032194798</v>
          </cell>
          <cell r="EA18" t="str">
            <v>No Sig diff</v>
          </cell>
          <cell r="EB18">
            <v>147</v>
          </cell>
          <cell r="EC18">
            <v>25</v>
          </cell>
          <cell r="ED18">
            <v>0.17006802721088435</v>
          </cell>
          <cell r="EE18">
            <v>0.11793015070055879</v>
          </cell>
          <cell r="EF18">
            <v>0.23901056865893572</v>
          </cell>
          <cell r="EG18" t="str">
            <v>No Sig diff</v>
          </cell>
          <cell r="EH18">
            <v>165</v>
          </cell>
          <cell r="EI18">
            <v>29</v>
          </cell>
          <cell r="EJ18">
            <v>0.17575757575757575</v>
          </cell>
          <cell r="EK18">
            <v>0.12525193987760452</v>
          </cell>
          <cell r="EL18">
            <v>0.24101745421930615</v>
          </cell>
          <cell r="EM18" t="str">
            <v>No Sig diff</v>
          </cell>
          <cell r="EN18">
            <v>149</v>
          </cell>
          <cell r="EO18">
            <v>32</v>
          </cell>
          <cell r="EP18">
            <v>0.21476510067114093</v>
          </cell>
          <cell r="EQ18">
            <v>0.15643634438513321</v>
          </cell>
          <cell r="ER18">
            <v>0.28743182688299307</v>
          </cell>
          <cell r="ES18" t="str">
            <v>No Sig diff</v>
          </cell>
          <cell r="ET18">
            <v>143</v>
          </cell>
          <cell r="EU18">
            <v>20</v>
          </cell>
          <cell r="EV18">
            <v>0.13986013986013987</v>
          </cell>
          <cell r="EW18">
            <v>9.2396955251221199E-2</v>
          </cell>
          <cell r="EX18">
            <v>0.2061662650599326</v>
          </cell>
          <cell r="EY18" t="str">
            <v>No Sig diff</v>
          </cell>
          <cell r="EZ18">
            <v>228</v>
          </cell>
          <cell r="FA18">
            <v>130</v>
          </cell>
          <cell r="FB18">
            <v>0.57017543859649122</v>
          </cell>
          <cell r="FC18">
            <v>0.50527816193920483</v>
          </cell>
          <cell r="FD18">
            <v>0.63274719453833861</v>
          </cell>
          <cell r="FE18">
            <v>228</v>
          </cell>
          <cell r="FF18">
            <v>34</v>
          </cell>
          <cell r="FG18">
            <v>45</v>
          </cell>
          <cell r="FH18">
            <v>23.866666666666671</v>
          </cell>
          <cell r="FI18">
            <v>0.29803921568627439</v>
          </cell>
          <cell r="FJ18">
            <v>247</v>
          </cell>
          <cell r="FK18">
            <v>141</v>
          </cell>
          <cell r="FL18">
            <v>0.57085020242914974</v>
          </cell>
          <cell r="FM18">
            <v>0.50850446183921483</v>
          </cell>
          <cell r="FN18">
            <v>0.63102590193936048</v>
          </cell>
          <cell r="FO18">
            <v>247</v>
          </cell>
          <cell r="FP18">
            <v>34</v>
          </cell>
          <cell r="FQ18">
            <v>49</v>
          </cell>
          <cell r="FR18">
            <v>24.959183673469393</v>
          </cell>
          <cell r="FS18">
            <v>0.26590636254501782</v>
          </cell>
          <cell r="FT18">
            <v>2747</v>
          </cell>
          <cell r="FU18">
            <v>2657</v>
          </cell>
          <cell r="FV18">
            <v>90</v>
          </cell>
          <cell r="FW18">
            <v>75</v>
          </cell>
          <cell r="FX18">
            <v>15</v>
          </cell>
          <cell r="FY18">
            <v>0.83333333333333337</v>
          </cell>
          <cell r="FZ18">
            <v>0.16666666666666666</v>
          </cell>
          <cell r="GA18">
            <v>0.90808540874330357</v>
          </cell>
          <cell r="GB18">
            <v>9.1914591256696501E-2</v>
          </cell>
          <cell r="GC18">
            <v>6.7227027172261908E-2</v>
          </cell>
          <cell r="GD18">
            <v>0.1593496190820943</v>
          </cell>
          <cell r="GE18">
            <v>0.95988835725677835</v>
          </cell>
          <cell r="GF18">
            <v>4.0111642743221688E-2</v>
          </cell>
          <cell r="GG18">
            <v>2.3753540562369307E-2</v>
          </cell>
          <cell r="GH18">
            <v>8.9084377199980441E-2</v>
          </cell>
          <cell r="GI18">
            <v>0.91131967447756923</v>
          </cell>
          <cell r="GJ18">
            <v>8.8680325522430783E-2</v>
          </cell>
          <cell r="GK18">
            <v>5.8070662732992634E-2</v>
          </cell>
          <cell r="GL18">
            <v>0.14575823782296227</v>
          </cell>
          <cell r="GM18">
            <v>0.83214431767063357</v>
          </cell>
          <cell r="GN18">
            <v>0.16785568232936654</v>
          </cell>
          <cell r="GO18">
            <v>0.12997636711378782</v>
          </cell>
          <cell r="GP18">
            <v>0.24446062618017678</v>
          </cell>
          <cell r="GQ18">
            <v>65</v>
          </cell>
          <cell r="GR18">
            <v>63</v>
          </cell>
          <cell r="GS18">
            <v>63</v>
          </cell>
          <cell r="GT18">
            <v>64</v>
          </cell>
          <cell r="GU18">
            <v>63</v>
          </cell>
          <cell r="GV18">
            <v>74</v>
          </cell>
          <cell r="GW18">
            <v>65</v>
          </cell>
          <cell r="GX18">
            <v>66</v>
          </cell>
          <cell r="GY18">
            <v>64</v>
          </cell>
          <cell r="GZ18">
            <v>66</v>
          </cell>
          <cell r="HA18">
            <v>71</v>
          </cell>
          <cell r="HB18">
            <v>66</v>
          </cell>
          <cell r="HC18">
            <v>67</v>
          </cell>
          <cell r="HD18">
            <v>72</v>
          </cell>
          <cell r="HE18">
            <v>68</v>
          </cell>
          <cell r="HF18">
            <v>67</v>
          </cell>
          <cell r="HG18">
            <v>63</v>
          </cell>
          <cell r="HH18">
            <v>66</v>
          </cell>
          <cell r="HI18">
            <v>66</v>
          </cell>
          <cell r="HJ18">
            <v>63</v>
          </cell>
          <cell r="HK18">
            <v>69</v>
          </cell>
          <cell r="HL18">
            <v>69</v>
          </cell>
          <cell r="HM18">
            <v>68</v>
          </cell>
          <cell r="HN18">
            <v>26</v>
          </cell>
          <cell r="HO18">
            <v>2.1346469622331693E-2</v>
          </cell>
          <cell r="HP18">
            <v>1900</v>
          </cell>
          <cell r="HQ18">
            <v>1785</v>
          </cell>
          <cell r="HR18">
            <v>115</v>
          </cell>
          <cell r="HS18">
            <v>6.0526315789473685E-2</v>
          </cell>
        </row>
        <row r="19">
          <cell r="A19" t="str">
            <v>Horsham Nursery School</v>
          </cell>
          <cell r="C19" t="str">
            <v>Horsham</v>
          </cell>
          <cell r="D19" t="str">
            <v>Horsham Town</v>
          </cell>
          <cell r="E19" t="str">
            <v>Horsham</v>
          </cell>
          <cell r="F19" t="str">
            <v>Horsham</v>
          </cell>
          <cell r="G19" t="str">
            <v>Forest, Holbrook East, Horsham Park, Roffey North, Roffey South</v>
          </cell>
          <cell r="H19" t="str">
            <v>Horsham E</v>
          </cell>
          <cell r="I19" t="str">
            <v>C3</v>
          </cell>
          <cell r="J19" t="str">
            <v>Horsham and Mid Sussex</v>
          </cell>
          <cell r="K19" t="str">
            <v>Horsham</v>
          </cell>
          <cell r="L19">
            <v>16890</v>
          </cell>
          <cell r="M19">
            <v>17035</v>
          </cell>
          <cell r="N19">
            <v>17080</v>
          </cell>
          <cell r="O19">
            <v>17315</v>
          </cell>
          <cell r="P19">
            <v>17440</v>
          </cell>
          <cell r="Q19">
            <v>17640</v>
          </cell>
          <cell r="R19">
            <v>17925</v>
          </cell>
          <cell r="S19">
            <v>18020</v>
          </cell>
          <cell r="T19">
            <v>18165</v>
          </cell>
          <cell r="U19">
            <v>18135</v>
          </cell>
          <cell r="V19">
            <v>985</v>
          </cell>
          <cell r="W19">
            <v>970</v>
          </cell>
          <cell r="X19">
            <v>935</v>
          </cell>
          <cell r="Y19">
            <v>955</v>
          </cell>
          <cell r="Z19">
            <v>1005</v>
          </cell>
          <cell r="AA19">
            <v>1025</v>
          </cell>
          <cell r="AB19">
            <v>1095</v>
          </cell>
          <cell r="AC19">
            <v>1110</v>
          </cell>
          <cell r="AD19">
            <v>1155</v>
          </cell>
          <cell r="AE19">
            <v>1095</v>
          </cell>
          <cell r="AF19">
            <v>0.83729433272394882</v>
          </cell>
          <cell r="AG19">
            <v>4.3875685557586835E-2</v>
          </cell>
          <cell r="AH19">
            <v>6.2157221206581355E-2</v>
          </cell>
          <cell r="AI19">
            <v>4.3875685557586835E-2</v>
          </cell>
          <cell r="AJ19">
            <v>7.3126142595978062E-3</v>
          </cell>
          <cell r="AK19">
            <v>5.4844606946983544E-3</v>
          </cell>
          <cell r="AL19">
            <v>0.16270566727605118</v>
          </cell>
          <cell r="AM19">
            <v>2085</v>
          </cell>
          <cell r="AN19">
            <v>0.66314779270633395</v>
          </cell>
          <cell r="AO19">
            <v>0.16794625719769674</v>
          </cell>
          <cell r="AP19">
            <v>0.16890595009596929</v>
          </cell>
          <cell r="AQ19">
            <v>203</v>
          </cell>
          <cell r="AR19">
            <v>201</v>
          </cell>
          <cell r="AS19">
            <v>193</v>
          </cell>
          <cell r="AT19">
            <v>194</v>
          </cell>
          <cell r="AU19">
            <v>199</v>
          </cell>
          <cell r="AV19">
            <v>6</v>
          </cell>
          <cell r="AW19">
            <v>6</v>
          </cell>
          <cell r="AX19">
            <v>3</v>
          </cell>
          <cell r="AY19">
            <v>6</v>
          </cell>
          <cell r="AZ19">
            <v>3</v>
          </cell>
          <cell r="BA19">
            <v>11</v>
          </cell>
          <cell r="BB19">
            <v>5.5276381909547742E-2</v>
          </cell>
          <cell r="BC19">
            <v>3.1142457209597071E-2</v>
          </cell>
          <cell r="BD19">
            <v>9.625486565987218E-2</v>
          </cell>
          <cell r="BE19">
            <v>9</v>
          </cell>
          <cell r="BF19">
            <v>298</v>
          </cell>
          <cell r="BG19">
            <v>371</v>
          </cell>
          <cell r="BH19">
            <v>148</v>
          </cell>
          <cell r="BI19">
            <v>0.15448969415237962</v>
          </cell>
          <cell r="BJ19">
            <v>2199</v>
          </cell>
          <cell r="BK19">
            <v>3972</v>
          </cell>
          <cell r="BL19">
            <v>2190</v>
          </cell>
          <cell r="BM19">
            <v>1385</v>
          </cell>
          <cell r="BN19">
            <v>5</v>
          </cell>
          <cell r="BO19">
            <v>246</v>
          </cell>
          <cell r="BP19">
            <v>405</v>
          </cell>
          <cell r="BQ19">
            <v>149</v>
          </cell>
          <cell r="BR19">
            <v>80</v>
          </cell>
          <cell r="BS19">
            <v>105</v>
          </cell>
          <cell r="BT19">
            <v>70</v>
          </cell>
          <cell r="BU19">
            <v>375</v>
          </cell>
          <cell r="BV19">
            <v>107</v>
          </cell>
          <cell r="BW19">
            <v>0.28533333333333333</v>
          </cell>
          <cell r="BX19">
            <v>35</v>
          </cell>
          <cell r="BY19">
            <v>7</v>
          </cell>
          <cell r="BZ19">
            <v>286</v>
          </cell>
          <cell r="CA19">
            <v>3.7725893681572351E-2</v>
          </cell>
          <cell r="CB19">
            <v>150</v>
          </cell>
          <cell r="CC19">
            <v>145</v>
          </cell>
          <cell r="CD19">
            <v>135</v>
          </cell>
          <cell r="CE19">
            <v>125</v>
          </cell>
          <cell r="CF19">
            <v>345</v>
          </cell>
          <cell r="CG19">
            <v>9.7272727272727275E-2</v>
          </cell>
          <cell r="CH19">
            <v>340</v>
          </cell>
          <cell r="CI19">
            <v>8.827272727272728E-2</v>
          </cell>
          <cell r="CJ19">
            <v>350</v>
          </cell>
          <cell r="CK19">
            <v>0.10281818181818182</v>
          </cell>
          <cell r="CL19">
            <v>305</v>
          </cell>
          <cell r="CM19">
            <v>9.7727272727272746E-2</v>
          </cell>
          <cell r="CN19">
            <v>335</v>
          </cell>
          <cell r="CO19">
            <v>0.10109090909090908</v>
          </cell>
          <cell r="CP19">
            <v>335</v>
          </cell>
          <cell r="CQ19">
            <v>0.10105580693815988</v>
          </cell>
          <cell r="CR19">
            <v>198</v>
          </cell>
          <cell r="CS19">
            <v>8</v>
          </cell>
          <cell r="CT19">
            <v>190</v>
          </cell>
          <cell r="CU19">
            <v>0.95203417272382795</v>
          </cell>
          <cell r="CV19">
            <v>93</v>
          </cell>
          <cell r="CW19">
            <v>115</v>
          </cell>
          <cell r="CX19">
            <v>0.51884419876961396</v>
          </cell>
          <cell r="CY19">
            <v>0.62537395540632246</v>
          </cell>
          <cell r="CZ19">
            <v>0.41930894701947735</v>
          </cell>
          <cell r="DA19">
            <v>0.56005564757734805</v>
          </cell>
          <cell r="DB19">
            <v>0.53433430731905218</v>
          </cell>
          <cell r="DC19">
            <v>0.67201974671269327</v>
          </cell>
          <cell r="DD19">
            <v>161</v>
          </cell>
          <cell r="DE19">
            <v>11</v>
          </cell>
          <cell r="DF19">
            <v>6.8322981366459631E-2</v>
          </cell>
          <cell r="DG19">
            <v>3.8575583671797267E-2</v>
          </cell>
          <cell r="DH19">
            <v>0.11818994731518039</v>
          </cell>
          <cell r="DI19" t="str">
            <v>No Sig diff</v>
          </cell>
          <cell r="DJ19">
            <v>168</v>
          </cell>
          <cell r="DK19">
            <v>11</v>
          </cell>
          <cell r="DL19">
            <v>6.5476190476190479E-2</v>
          </cell>
          <cell r="DM19">
            <v>3.695089521739349E-2</v>
          </cell>
          <cell r="DN19">
            <v>0.11342875703903946</v>
          </cell>
          <cell r="DO19" t="str">
            <v>No Sig diff</v>
          </cell>
          <cell r="DP19">
            <v>115</v>
          </cell>
          <cell r="DQ19">
            <v>6</v>
          </cell>
          <cell r="DR19">
            <v>5.2173913043478258E-2</v>
          </cell>
          <cell r="DS19">
            <v>2.4128549061825513E-2</v>
          </cell>
          <cell r="DT19">
            <v>0.10917054519277661</v>
          </cell>
          <cell r="DU19" t="str">
            <v>No Sig diff</v>
          </cell>
          <cell r="DV19">
            <v>172</v>
          </cell>
          <cell r="DW19">
            <v>14</v>
          </cell>
          <cell r="DX19">
            <v>8.1395348837209308E-2</v>
          </cell>
          <cell r="DY19">
            <v>4.910271749221258E-2</v>
          </cell>
          <cell r="DZ19">
            <v>0.13197777987310397</v>
          </cell>
          <cell r="EA19" t="str">
            <v>No Sig diff</v>
          </cell>
          <cell r="EB19">
            <v>181</v>
          </cell>
          <cell r="EC19">
            <v>18</v>
          </cell>
          <cell r="ED19">
            <v>9.9447513812154692E-2</v>
          </cell>
          <cell r="EE19">
            <v>6.3834231714869225E-2</v>
          </cell>
          <cell r="EF19">
            <v>0.15170972187047022</v>
          </cell>
          <cell r="EG19" t="str">
            <v>Sig better than Eng.</v>
          </cell>
          <cell r="EH19">
            <v>172</v>
          </cell>
          <cell r="EI19">
            <v>27</v>
          </cell>
          <cell r="EJ19">
            <v>0.15697674418604651</v>
          </cell>
          <cell r="EK19">
            <v>0.11018266234093407</v>
          </cell>
          <cell r="EL19">
            <v>0.21875830077786704</v>
          </cell>
          <cell r="EM19" t="str">
            <v>No Sig diff</v>
          </cell>
          <cell r="EN19">
            <v>196</v>
          </cell>
          <cell r="EO19">
            <v>24</v>
          </cell>
          <cell r="EP19">
            <v>0.12244897959183673</v>
          </cell>
          <cell r="EQ19">
            <v>8.3682204688779863E-2</v>
          </cell>
          <cell r="ER19">
            <v>0.1757307275757328</v>
          </cell>
          <cell r="ES19" t="str">
            <v>Sig better than Eng.</v>
          </cell>
          <cell r="ET19">
            <v>178</v>
          </cell>
          <cell r="EU19">
            <v>26</v>
          </cell>
          <cell r="EV19">
            <v>0.14606741573033707</v>
          </cell>
          <cell r="EW19">
            <v>0.10167044863273805</v>
          </cell>
          <cell r="EX19">
            <v>0.20541826030550761</v>
          </cell>
          <cell r="EY19" t="str">
            <v>No Sig diff</v>
          </cell>
          <cell r="EZ19">
            <v>197</v>
          </cell>
          <cell r="FA19">
            <v>96</v>
          </cell>
          <cell r="FB19">
            <v>0.48730964467005078</v>
          </cell>
          <cell r="FC19">
            <v>0.41842434381975807</v>
          </cell>
          <cell r="FD19">
            <v>0.55668039785380308</v>
          </cell>
          <cell r="FE19">
            <v>197</v>
          </cell>
          <cell r="FF19">
            <v>34</v>
          </cell>
          <cell r="FG19">
            <v>39</v>
          </cell>
          <cell r="FH19">
            <v>24.076923076923077</v>
          </cell>
          <cell r="FI19">
            <v>0.29185520361990952</v>
          </cell>
          <cell r="FJ19">
            <v>215</v>
          </cell>
          <cell r="FK19">
            <v>140</v>
          </cell>
          <cell r="FL19">
            <v>0.65116279069767447</v>
          </cell>
          <cell r="FM19">
            <v>0.58530853616604794</v>
          </cell>
          <cell r="FN19">
            <v>0.71171013822168405</v>
          </cell>
          <cell r="FO19">
            <v>215</v>
          </cell>
          <cell r="FP19">
            <v>34</v>
          </cell>
          <cell r="FQ19">
            <v>43</v>
          </cell>
          <cell r="FR19">
            <v>24.232558139534884</v>
          </cell>
          <cell r="FS19">
            <v>0.28727770177838574</v>
          </cell>
          <cell r="FT19">
            <v>2770</v>
          </cell>
          <cell r="FU19">
            <v>2686</v>
          </cell>
          <cell r="FV19">
            <v>84</v>
          </cell>
          <cell r="FW19">
            <v>74</v>
          </cell>
          <cell r="FX19">
            <v>10</v>
          </cell>
          <cell r="FY19">
            <v>0.88095238095238093</v>
          </cell>
          <cell r="FZ19">
            <v>0.11904761904761904</v>
          </cell>
          <cell r="GA19">
            <v>0.90972777222777235</v>
          </cell>
          <cell r="GB19">
            <v>9.0272227772227778E-2</v>
          </cell>
          <cell r="GC19">
            <v>4.2986910653413021E-2</v>
          </cell>
          <cell r="GD19">
            <v>0.13784827338561564</v>
          </cell>
          <cell r="GE19">
            <v>0.88209429459429456</v>
          </cell>
          <cell r="GF19">
            <v>0.11790570540570541</v>
          </cell>
          <cell r="GG19">
            <v>6.6278187495025204E-2</v>
          </cell>
          <cell r="GH19">
            <v>0.1752358718003717</v>
          </cell>
          <cell r="GI19">
            <v>0.87754884004884015</v>
          </cell>
          <cell r="GJ19">
            <v>0.12245115995115995</v>
          </cell>
          <cell r="GK19">
            <v>6.6278187495025204E-2</v>
          </cell>
          <cell r="GL19">
            <v>0.1752358718003717</v>
          </cell>
          <cell r="GM19">
            <v>0.77176874162520082</v>
          </cell>
          <cell r="GN19">
            <v>0.22823125837479907</v>
          </cell>
          <cell r="GO19">
            <v>0.16395460040058435</v>
          </cell>
          <cell r="GP19">
            <v>0.30869018535562776</v>
          </cell>
          <cell r="GQ19">
            <v>58</v>
          </cell>
          <cell r="GR19">
            <v>56</v>
          </cell>
          <cell r="GS19">
            <v>57</v>
          </cell>
          <cell r="GT19">
            <v>58</v>
          </cell>
          <cell r="GU19">
            <v>56</v>
          </cell>
          <cell r="GV19">
            <v>68</v>
          </cell>
          <cell r="GW19">
            <v>66</v>
          </cell>
          <cell r="GX19">
            <v>62</v>
          </cell>
          <cell r="GY19">
            <v>65</v>
          </cell>
          <cell r="GZ19">
            <v>63</v>
          </cell>
          <cell r="HA19">
            <v>65</v>
          </cell>
          <cell r="HB19">
            <v>65</v>
          </cell>
          <cell r="HC19">
            <v>66</v>
          </cell>
          <cell r="HD19">
            <v>56</v>
          </cell>
          <cell r="HE19">
            <v>52</v>
          </cell>
          <cell r="HF19">
            <v>49</v>
          </cell>
          <cell r="HG19">
            <v>48</v>
          </cell>
          <cell r="HH19">
            <v>48</v>
          </cell>
          <cell r="HI19">
            <v>51</v>
          </cell>
          <cell r="HJ19">
            <v>46</v>
          </cell>
          <cell r="HK19">
            <v>52</v>
          </cell>
          <cell r="HL19">
            <v>49</v>
          </cell>
          <cell r="HM19">
            <v>51</v>
          </cell>
          <cell r="HN19">
            <v>19</v>
          </cell>
          <cell r="HO19">
            <v>1.736745886654479E-2</v>
          </cell>
          <cell r="HP19">
            <v>1659</v>
          </cell>
          <cell r="HQ19">
            <v>1527</v>
          </cell>
          <cell r="HR19">
            <v>132</v>
          </cell>
          <cell r="HS19">
            <v>7.956600361663653E-2</v>
          </cell>
        </row>
        <row r="20">
          <cell r="A20" t="str">
            <v>Kingston Buci</v>
          </cell>
          <cell r="C20" t="str">
            <v>Adur</v>
          </cell>
          <cell r="D20" t="str">
            <v>Adur East</v>
          </cell>
          <cell r="E20" t="str">
            <v>Adur</v>
          </cell>
          <cell r="F20" t="str">
            <v>Adur</v>
          </cell>
          <cell r="G20" t="str">
            <v>Buckingham, St Mary's, St Nicolas, Southlands</v>
          </cell>
          <cell r="H20" t="str">
            <v>Shoreham</v>
          </cell>
          <cell r="I20" t="str">
            <v>B</v>
          </cell>
          <cell r="J20" t="str">
            <v>Coastal West Sussex</v>
          </cell>
          <cell r="K20" t="str">
            <v>East Worthing and Shoreham</v>
          </cell>
          <cell r="L20">
            <v>14170</v>
          </cell>
          <cell r="M20">
            <v>14160</v>
          </cell>
          <cell r="N20">
            <v>14375</v>
          </cell>
          <cell r="O20">
            <v>14435</v>
          </cell>
          <cell r="P20">
            <v>14450</v>
          </cell>
          <cell r="Q20">
            <v>14610</v>
          </cell>
          <cell r="R20">
            <v>14625</v>
          </cell>
          <cell r="S20">
            <v>14590</v>
          </cell>
          <cell r="T20">
            <v>14850</v>
          </cell>
          <cell r="U20">
            <v>15185</v>
          </cell>
          <cell r="V20">
            <v>770</v>
          </cell>
          <cell r="W20">
            <v>775</v>
          </cell>
          <cell r="X20">
            <v>805</v>
          </cell>
          <cell r="Y20">
            <v>800</v>
          </cell>
          <cell r="Z20">
            <v>830</v>
          </cell>
          <cell r="AA20">
            <v>815</v>
          </cell>
          <cell r="AB20">
            <v>860</v>
          </cell>
          <cell r="AC20">
            <v>905</v>
          </cell>
          <cell r="AD20">
            <v>945</v>
          </cell>
          <cell r="AE20">
            <v>990</v>
          </cell>
          <cell r="AF20">
            <v>0.89910313901345296</v>
          </cell>
          <cell r="AG20">
            <v>2.1300448430493273E-2</v>
          </cell>
          <cell r="AH20">
            <v>4.708520179372197E-2</v>
          </cell>
          <cell r="AI20">
            <v>2.8026905829596414E-2</v>
          </cell>
          <cell r="AJ20">
            <v>0</v>
          </cell>
          <cell r="AK20">
            <v>4.4843049327354259E-3</v>
          </cell>
          <cell r="AL20">
            <v>0.10089686098654709</v>
          </cell>
          <cell r="AM20">
            <v>1660</v>
          </cell>
          <cell r="AN20">
            <v>0.59975889089813139</v>
          </cell>
          <cell r="AO20">
            <v>0.20253164556962025</v>
          </cell>
          <cell r="AP20">
            <v>0.19770946353224833</v>
          </cell>
          <cell r="AQ20">
            <v>150</v>
          </cell>
          <cell r="AR20">
            <v>168</v>
          </cell>
          <cell r="AS20">
            <v>169</v>
          </cell>
          <cell r="AT20">
            <v>178</v>
          </cell>
          <cell r="AU20">
            <v>202</v>
          </cell>
          <cell r="AV20">
            <v>7</v>
          </cell>
          <cell r="AW20">
            <v>5</v>
          </cell>
          <cell r="AX20">
            <v>7</v>
          </cell>
          <cell r="AY20">
            <v>4</v>
          </cell>
          <cell r="AZ20">
            <v>6</v>
          </cell>
          <cell r="BA20">
            <v>16</v>
          </cell>
          <cell r="BB20">
            <v>7.9207920792079209E-2</v>
          </cell>
          <cell r="BC20">
            <v>4.9341090217535556E-2</v>
          </cell>
          <cell r="BD20">
            <v>0.12478058102419014</v>
          </cell>
          <cell r="BE20">
            <v>9</v>
          </cell>
          <cell r="BF20">
            <v>299</v>
          </cell>
          <cell r="BG20">
            <v>296</v>
          </cell>
          <cell r="BH20">
            <v>106</v>
          </cell>
          <cell r="BI20">
            <v>0.10826011162237827</v>
          </cell>
          <cell r="BJ20">
            <v>1701</v>
          </cell>
          <cell r="BK20">
            <v>2930</v>
          </cell>
          <cell r="BL20">
            <v>1708</v>
          </cell>
          <cell r="BM20">
            <v>897</v>
          </cell>
          <cell r="BN20">
            <v>3</v>
          </cell>
          <cell r="BO20">
            <v>278</v>
          </cell>
          <cell r="BP20">
            <v>406</v>
          </cell>
          <cell r="BQ20">
            <v>124</v>
          </cell>
          <cell r="BR20">
            <v>135</v>
          </cell>
          <cell r="BS20">
            <v>105</v>
          </cell>
          <cell r="BT20">
            <v>95</v>
          </cell>
          <cell r="BU20">
            <v>405</v>
          </cell>
          <cell r="BV20">
            <v>156</v>
          </cell>
          <cell r="BW20">
            <v>0.38518518518518519</v>
          </cell>
          <cell r="BX20">
            <v>30</v>
          </cell>
          <cell r="BY20">
            <v>3</v>
          </cell>
          <cell r="BZ20">
            <v>345</v>
          </cell>
          <cell r="CA20">
            <v>5.3889409559512651E-2</v>
          </cell>
          <cell r="CB20">
            <v>165</v>
          </cell>
          <cell r="CC20">
            <v>165</v>
          </cell>
          <cell r="CD20">
            <v>155</v>
          </cell>
          <cell r="CE20">
            <v>155</v>
          </cell>
          <cell r="CF20">
            <v>415</v>
          </cell>
          <cell r="CG20">
            <v>0.16354545454545455</v>
          </cell>
          <cell r="CH20">
            <v>425</v>
          </cell>
          <cell r="CI20">
            <v>0.15463636363636366</v>
          </cell>
          <cell r="CJ20">
            <v>420</v>
          </cell>
          <cell r="CK20">
            <v>0.15981818181818183</v>
          </cell>
          <cell r="CL20">
            <v>420</v>
          </cell>
          <cell r="CM20">
            <v>0.1598181818181818</v>
          </cell>
          <cell r="CN20">
            <v>445</v>
          </cell>
          <cell r="CO20">
            <v>0.15672727272727272</v>
          </cell>
          <cell r="CP20">
            <v>435</v>
          </cell>
          <cell r="CQ20">
            <v>0.16322701688555347</v>
          </cell>
          <cell r="CR20">
            <v>181</v>
          </cell>
          <cell r="CS20">
            <v>5</v>
          </cell>
          <cell r="CT20">
            <v>176</v>
          </cell>
          <cell r="CU20">
            <v>0.97242984471245353</v>
          </cell>
          <cell r="CV20">
            <v>73</v>
          </cell>
          <cell r="CW20">
            <v>95</v>
          </cell>
          <cell r="CX20">
            <v>0.42210762312085143</v>
          </cell>
          <cell r="CY20">
            <v>0.5499432456088803</v>
          </cell>
          <cell r="CZ20">
            <v>0.34456265326077334</v>
          </cell>
          <cell r="DA20">
            <v>0.48862388422554792</v>
          </cell>
          <cell r="DB20">
            <v>0.4660727025222357</v>
          </cell>
          <cell r="DC20">
            <v>0.61177357998414772</v>
          </cell>
          <cell r="DD20">
            <v>128</v>
          </cell>
          <cell r="DE20">
            <v>6</v>
          </cell>
          <cell r="DF20">
            <v>4.6875E-2</v>
          </cell>
          <cell r="DG20">
            <v>2.1657844171923776E-2</v>
          </cell>
          <cell r="DH20">
            <v>9.8497522450943217E-2</v>
          </cell>
          <cell r="DI20" t="str">
            <v>No Sig diff</v>
          </cell>
          <cell r="DJ20">
            <v>156</v>
          </cell>
          <cell r="DK20">
            <v>9</v>
          </cell>
          <cell r="DL20">
            <v>5.7692307692307696E-2</v>
          </cell>
          <cell r="DM20">
            <v>3.0645742163795515E-2</v>
          </cell>
          <cell r="DN20">
            <v>0.10599877410776384</v>
          </cell>
          <cell r="DO20" t="str">
            <v>No Sig diff</v>
          </cell>
          <cell r="DP20">
            <v>132</v>
          </cell>
          <cell r="DQ20">
            <v>9</v>
          </cell>
          <cell r="DR20">
            <v>6.8181818181818177E-2</v>
          </cell>
          <cell r="DS20">
            <v>3.6282334854811568E-2</v>
          </cell>
          <cell r="DT20">
            <v>0.12450406283489571</v>
          </cell>
          <cell r="DU20" t="str">
            <v>No Sig diff</v>
          </cell>
          <cell r="DV20">
            <v>165</v>
          </cell>
          <cell r="DW20">
            <v>17</v>
          </cell>
          <cell r="DX20">
            <v>0.10303030303030303</v>
          </cell>
          <cell r="DY20">
            <v>6.5326799711821093E-2</v>
          </cell>
          <cell r="DZ20">
            <v>0.15879741175262088</v>
          </cell>
          <cell r="EA20" t="str">
            <v>No Sig diff</v>
          </cell>
          <cell r="EB20">
            <v>135</v>
          </cell>
          <cell r="EC20">
            <v>25</v>
          </cell>
          <cell r="ED20">
            <v>0.18518518518518517</v>
          </cell>
          <cell r="EE20">
            <v>0.12869783265528051</v>
          </cell>
          <cell r="EF20">
            <v>0.25909310009649444</v>
          </cell>
          <cell r="EG20" t="str">
            <v>No Sig diff</v>
          </cell>
          <cell r="EH20">
            <v>120</v>
          </cell>
          <cell r="EI20">
            <v>27</v>
          </cell>
          <cell r="EJ20">
            <v>0.22500000000000001</v>
          </cell>
          <cell r="EK20">
            <v>0.15949154668383531</v>
          </cell>
          <cell r="EL20">
            <v>0.30756899484645162</v>
          </cell>
          <cell r="EM20" t="str">
            <v>No Sig diff</v>
          </cell>
          <cell r="EN20">
            <v>121</v>
          </cell>
          <cell r="EO20">
            <v>18</v>
          </cell>
          <cell r="EP20">
            <v>0.1487603305785124</v>
          </cell>
          <cell r="EQ20">
            <v>9.6217408704644847E-2</v>
          </cell>
          <cell r="ER20">
            <v>0.22291903200226135</v>
          </cell>
          <cell r="ES20" t="str">
            <v>No Sig diff</v>
          </cell>
          <cell r="ET20">
            <v>125</v>
          </cell>
          <cell r="EU20">
            <v>27</v>
          </cell>
          <cell r="EV20">
            <v>0.216</v>
          </cell>
          <cell r="EW20">
            <v>0.15290810140879452</v>
          </cell>
          <cell r="EX20">
            <v>0.2960270422175349</v>
          </cell>
          <cell r="EY20" t="str">
            <v>No Sig diff</v>
          </cell>
          <cell r="EZ20">
            <v>179</v>
          </cell>
          <cell r="FA20">
            <v>88</v>
          </cell>
          <cell r="FB20">
            <v>0.49162011173184356</v>
          </cell>
          <cell r="FC20">
            <v>0.41933238292420277</v>
          </cell>
          <cell r="FD20">
            <v>0.56425995975699406</v>
          </cell>
          <cell r="FE20">
            <v>179</v>
          </cell>
          <cell r="FF20">
            <v>34</v>
          </cell>
          <cell r="FG20">
            <v>35</v>
          </cell>
          <cell r="FH20">
            <v>23.971428571428568</v>
          </cell>
          <cell r="FI20">
            <v>0.29495798319327743</v>
          </cell>
          <cell r="FJ20">
            <v>172</v>
          </cell>
          <cell r="FK20">
            <v>106</v>
          </cell>
          <cell r="FL20">
            <v>0.61627906976744184</v>
          </cell>
          <cell r="FM20">
            <v>0.5418179440123243</v>
          </cell>
          <cell r="FN20">
            <v>0.6856596956084211</v>
          </cell>
          <cell r="FO20">
            <v>172</v>
          </cell>
          <cell r="FP20">
            <v>34</v>
          </cell>
          <cell r="FQ20">
            <v>34</v>
          </cell>
          <cell r="FR20">
            <v>26.941176470588232</v>
          </cell>
          <cell r="FS20">
            <v>0.20761245674740494</v>
          </cell>
          <cell r="FT20">
            <v>2048</v>
          </cell>
          <cell r="FU20">
            <v>2022</v>
          </cell>
          <cell r="FV20">
            <v>26</v>
          </cell>
          <cell r="FW20">
            <v>22</v>
          </cell>
          <cell r="FX20">
            <v>4</v>
          </cell>
          <cell r="FY20">
            <v>0.84615384615384615</v>
          </cell>
          <cell r="FZ20">
            <v>0.15384615384615385</v>
          </cell>
          <cell r="GA20">
            <v>0.92550505050505061</v>
          </cell>
          <cell r="GB20">
            <v>7.4494949494949489E-2</v>
          </cell>
          <cell r="GC20">
            <v>4.283011146065737E-2</v>
          </cell>
          <cell r="GD20">
            <v>0.15590067811002259</v>
          </cell>
          <cell r="GE20">
            <v>0.9412878787878789</v>
          </cell>
          <cell r="GF20">
            <v>5.8712121212121209E-2</v>
          </cell>
          <cell r="GG20">
            <v>2.8956279687604513E-2</v>
          </cell>
          <cell r="GH20">
            <v>0.12971104936160943</v>
          </cell>
          <cell r="GI20">
            <v>0.93118686868686884</v>
          </cell>
          <cell r="GJ20">
            <v>6.8813131313131312E-2</v>
          </cell>
          <cell r="GK20">
            <v>3.5767126237989492E-2</v>
          </cell>
          <cell r="GL20">
            <v>0.14293193307195745</v>
          </cell>
          <cell r="GM20">
            <v>0.79608585858585845</v>
          </cell>
          <cell r="GN20">
            <v>0.20391414141414141</v>
          </cell>
          <cell r="GO20">
            <v>0.14776236248775229</v>
          </cell>
          <cell r="GP20">
            <v>0.31138092047245669</v>
          </cell>
          <cell r="GQ20">
            <v>57</v>
          </cell>
          <cell r="GR20">
            <v>52</v>
          </cell>
          <cell r="GS20">
            <v>53</v>
          </cell>
          <cell r="GT20">
            <v>55</v>
          </cell>
          <cell r="GU20">
            <v>53</v>
          </cell>
          <cell r="GV20">
            <v>42</v>
          </cell>
          <cell r="GW20">
            <v>40</v>
          </cell>
          <cell r="GX20">
            <v>41</v>
          </cell>
          <cell r="GY20">
            <v>40</v>
          </cell>
          <cell r="GZ20">
            <v>41</v>
          </cell>
          <cell r="HA20">
            <v>41</v>
          </cell>
          <cell r="HB20">
            <v>40</v>
          </cell>
          <cell r="HC20">
            <v>41</v>
          </cell>
          <cell r="HD20">
            <v>41</v>
          </cell>
          <cell r="HE20">
            <v>38</v>
          </cell>
          <cell r="HF20">
            <v>37</v>
          </cell>
          <cell r="HG20">
            <v>37</v>
          </cell>
          <cell r="HH20">
            <v>37</v>
          </cell>
          <cell r="HI20">
            <v>38</v>
          </cell>
          <cell r="HJ20">
            <v>36</v>
          </cell>
          <cell r="HK20">
            <v>37</v>
          </cell>
          <cell r="HL20">
            <v>36</v>
          </cell>
          <cell r="HM20">
            <v>38</v>
          </cell>
          <cell r="HN20">
            <v>22</v>
          </cell>
          <cell r="HO20">
            <v>2.4663677130044841E-2</v>
          </cell>
          <cell r="HP20">
            <v>1387</v>
          </cell>
          <cell r="HQ20">
            <v>1218</v>
          </cell>
          <cell r="HR20">
            <v>169</v>
          </cell>
          <cell r="HS20">
            <v>0.12184571016582552</v>
          </cell>
        </row>
        <row r="21">
          <cell r="A21" t="str">
            <v>Lancing</v>
          </cell>
          <cell r="C21" t="str">
            <v>Adur</v>
          </cell>
          <cell r="D21" t="str">
            <v>Adur West</v>
          </cell>
          <cell r="E21" t="str">
            <v>Adur</v>
          </cell>
          <cell r="F21" t="str">
            <v>Adur</v>
          </cell>
          <cell r="G21" t="str">
            <v>Marine, Mash Barn, Widewater</v>
          </cell>
          <cell r="H21" t="str">
            <v>Lancing</v>
          </cell>
          <cell r="I21" t="str">
            <v>B</v>
          </cell>
          <cell r="J21" t="str">
            <v>Coastal West Sussex</v>
          </cell>
          <cell r="K21" t="str">
            <v>East Worthing and Shoreham</v>
          </cell>
          <cell r="L21">
            <v>13875</v>
          </cell>
          <cell r="M21">
            <v>13885</v>
          </cell>
          <cell r="N21">
            <v>14085</v>
          </cell>
          <cell r="O21">
            <v>14295</v>
          </cell>
          <cell r="P21">
            <v>14475</v>
          </cell>
          <cell r="Q21">
            <v>14595</v>
          </cell>
          <cell r="R21">
            <v>14705</v>
          </cell>
          <cell r="S21">
            <v>14760</v>
          </cell>
          <cell r="T21">
            <v>14890</v>
          </cell>
          <cell r="U21">
            <v>15055</v>
          </cell>
          <cell r="V21">
            <v>680</v>
          </cell>
          <cell r="W21">
            <v>650</v>
          </cell>
          <cell r="X21">
            <v>690</v>
          </cell>
          <cell r="Y21">
            <v>730</v>
          </cell>
          <cell r="Z21">
            <v>725</v>
          </cell>
          <cell r="AA21">
            <v>805</v>
          </cell>
          <cell r="AB21">
            <v>850</v>
          </cell>
          <cell r="AC21">
            <v>875</v>
          </cell>
          <cell r="AD21">
            <v>910</v>
          </cell>
          <cell r="AE21">
            <v>955</v>
          </cell>
          <cell r="AF21">
            <v>0.88173302107728335</v>
          </cell>
          <cell r="AG21">
            <v>3.864168618266979E-2</v>
          </cell>
          <cell r="AH21">
            <v>4.6838407494145202E-2</v>
          </cell>
          <cell r="AI21">
            <v>1.9906323185011711E-2</v>
          </cell>
          <cell r="AJ21">
            <v>5.8548009367681503E-3</v>
          </cell>
          <cell r="AK21">
            <v>7.0257611241217799E-3</v>
          </cell>
          <cell r="AL21">
            <v>0.11826697892271663</v>
          </cell>
          <cell r="AM21">
            <v>1580</v>
          </cell>
          <cell r="AN21">
            <v>0.6198608475648324</v>
          </cell>
          <cell r="AO21">
            <v>0.12397216951296648</v>
          </cell>
          <cell r="AP21">
            <v>0.25616698292220114</v>
          </cell>
          <cell r="AQ21">
            <v>180</v>
          </cell>
          <cell r="AR21">
            <v>169</v>
          </cell>
          <cell r="AS21">
            <v>185</v>
          </cell>
          <cell r="AT21">
            <v>195</v>
          </cell>
          <cell r="AU21">
            <v>199</v>
          </cell>
          <cell r="AV21">
            <v>11</v>
          </cell>
          <cell r="AW21">
            <v>12</v>
          </cell>
          <cell r="AX21">
            <v>7</v>
          </cell>
          <cell r="AY21">
            <v>13</v>
          </cell>
          <cell r="AZ21">
            <v>8</v>
          </cell>
          <cell r="BA21">
            <v>9</v>
          </cell>
          <cell r="BB21">
            <v>4.5226130653266333E-2</v>
          </cell>
          <cell r="BC21">
            <v>2.3973316045364932E-2</v>
          </cell>
          <cell r="BD21">
            <v>8.3704172312679903E-2</v>
          </cell>
          <cell r="BE21">
            <v>14</v>
          </cell>
          <cell r="BF21">
            <v>316</v>
          </cell>
          <cell r="BG21">
            <v>254</v>
          </cell>
          <cell r="BH21">
            <v>103</v>
          </cell>
          <cell r="BI21">
            <v>0.11967164501186521</v>
          </cell>
          <cell r="BJ21">
            <v>1619</v>
          </cell>
          <cell r="BK21">
            <v>2755</v>
          </cell>
          <cell r="BL21">
            <v>1633</v>
          </cell>
          <cell r="BM21">
            <v>831</v>
          </cell>
          <cell r="BN21">
            <v>0</v>
          </cell>
          <cell r="BO21">
            <v>297</v>
          </cell>
          <cell r="BP21">
            <v>388</v>
          </cell>
          <cell r="BQ21">
            <v>117</v>
          </cell>
          <cell r="BR21">
            <v>135</v>
          </cell>
          <cell r="BS21">
            <v>145</v>
          </cell>
          <cell r="BT21">
            <v>140</v>
          </cell>
          <cell r="BU21">
            <v>388</v>
          </cell>
          <cell r="BV21">
            <v>152</v>
          </cell>
          <cell r="BW21">
            <v>0.39175257731958762</v>
          </cell>
          <cell r="BX21">
            <v>44</v>
          </cell>
          <cell r="BY21">
            <v>3</v>
          </cell>
          <cell r="BZ21">
            <v>296</v>
          </cell>
          <cell r="CA21">
            <v>4.3929949539922825E-2</v>
          </cell>
          <cell r="CB21">
            <v>190</v>
          </cell>
          <cell r="CC21">
            <v>180</v>
          </cell>
          <cell r="CD21">
            <v>200</v>
          </cell>
          <cell r="CE21">
            <v>175</v>
          </cell>
          <cell r="CF21">
            <v>405</v>
          </cell>
          <cell r="CG21">
            <v>0.17611111111111108</v>
          </cell>
          <cell r="CH21">
            <v>375</v>
          </cell>
          <cell r="CI21">
            <v>0.15288888888888888</v>
          </cell>
          <cell r="CJ21">
            <v>460</v>
          </cell>
          <cell r="CK21">
            <v>0.18899999999999997</v>
          </cell>
          <cell r="CL21">
            <v>370</v>
          </cell>
          <cell r="CM21">
            <v>0.15466666666666665</v>
          </cell>
          <cell r="CN21">
            <v>420</v>
          </cell>
          <cell r="CO21">
            <v>0.16600000000000001</v>
          </cell>
          <cell r="CP21">
            <v>405</v>
          </cell>
          <cell r="CQ21">
            <v>0.16396761133603238</v>
          </cell>
          <cell r="CR21">
            <v>188</v>
          </cell>
          <cell r="CS21">
            <v>14</v>
          </cell>
          <cell r="CT21">
            <v>174</v>
          </cell>
          <cell r="CU21">
            <v>0.91221703151023581</v>
          </cell>
          <cell r="CV21">
            <v>68</v>
          </cell>
          <cell r="CW21">
            <v>86</v>
          </cell>
          <cell r="CX21">
            <v>0.35166311538860562</v>
          </cell>
          <cell r="CY21">
            <v>0.46023725729608089</v>
          </cell>
          <cell r="CZ21">
            <v>0.3214116321508444</v>
          </cell>
          <cell r="DA21">
            <v>0.46491507656072817</v>
          </cell>
          <cell r="DB21">
            <v>0.42089495809986699</v>
          </cell>
          <cell r="DC21">
            <v>0.56785907920074208</v>
          </cell>
          <cell r="DD21">
            <v>130</v>
          </cell>
          <cell r="DE21">
            <v>7</v>
          </cell>
          <cell r="DF21">
            <v>5.3846153846153849E-2</v>
          </cell>
          <cell r="DG21">
            <v>2.632495898818149E-2</v>
          </cell>
          <cell r="DH21">
            <v>0.10697797253915731</v>
          </cell>
          <cell r="DI21" t="str">
            <v>No Sig diff</v>
          </cell>
          <cell r="DJ21">
            <v>154</v>
          </cell>
          <cell r="DK21">
            <v>11</v>
          </cell>
          <cell r="DL21">
            <v>7.1428571428571425E-2</v>
          </cell>
          <cell r="DM21">
            <v>4.0349744563473719E-2</v>
          </cell>
          <cell r="DN21">
            <v>0.12336807085566588</v>
          </cell>
          <cell r="DO21" t="str">
            <v>No Sig diff</v>
          </cell>
          <cell r="DP21">
            <v>127</v>
          </cell>
          <cell r="DQ21">
            <v>12</v>
          </cell>
          <cell r="DR21">
            <v>9.4488188976377951E-2</v>
          </cell>
          <cell r="DS21">
            <v>5.4879198646489942E-2</v>
          </cell>
          <cell r="DT21">
            <v>0.15790854517443623</v>
          </cell>
          <cell r="DU21" t="str">
            <v>No Sig diff</v>
          </cell>
          <cell r="DV21">
            <v>158</v>
          </cell>
          <cell r="DW21">
            <v>10</v>
          </cell>
          <cell r="DX21">
            <v>6.3291139240506333E-2</v>
          </cell>
          <cell r="DY21">
            <v>3.4738438192433274E-2</v>
          </cell>
          <cell r="DZ21">
            <v>0.11257522911149487</v>
          </cell>
          <cell r="EA21" t="str">
            <v>No Sig diff</v>
          </cell>
          <cell r="EB21">
            <v>110</v>
          </cell>
          <cell r="EC21">
            <v>24</v>
          </cell>
          <cell r="ED21">
            <v>0.21818181818181817</v>
          </cell>
          <cell r="EE21">
            <v>0.15122956180325126</v>
          </cell>
          <cell r="EF21">
            <v>0.30415338354662314</v>
          </cell>
          <cell r="EG21" t="str">
            <v>No Sig diff</v>
          </cell>
          <cell r="EH21">
            <v>113</v>
          </cell>
          <cell r="EI21">
            <v>17</v>
          </cell>
          <cell r="EJ21">
            <v>0.15044247787610621</v>
          </cell>
          <cell r="EK21">
            <v>9.6100867119634975E-2</v>
          </cell>
          <cell r="EL21">
            <v>0.22776926598753502</v>
          </cell>
          <cell r="EM21" t="str">
            <v>No Sig diff</v>
          </cell>
          <cell r="EN21">
            <v>98</v>
          </cell>
          <cell r="EO21">
            <v>16</v>
          </cell>
          <cell r="EP21">
            <v>0.16326530612244897</v>
          </cell>
          <cell r="EQ21">
            <v>0.10306803521803502</v>
          </cell>
          <cell r="ER21">
            <v>0.24886583568023959</v>
          </cell>
          <cell r="ES21" t="str">
            <v>No Sig diff</v>
          </cell>
          <cell r="ET21">
            <v>126</v>
          </cell>
          <cell r="EU21">
            <v>11</v>
          </cell>
          <cell r="EV21">
            <v>8.7301587301587297E-2</v>
          </cell>
          <cell r="EW21">
            <v>4.9446843632529658E-2</v>
          </cell>
          <cell r="EX21">
            <v>0.14957632705118967</v>
          </cell>
          <cell r="EY21" t="str">
            <v>Sig better than Eng.</v>
          </cell>
          <cell r="EZ21">
            <v>171</v>
          </cell>
          <cell r="FA21">
            <v>83</v>
          </cell>
          <cell r="FB21">
            <v>0.4853801169590643</v>
          </cell>
          <cell r="FC21">
            <v>0.41161906981424612</v>
          </cell>
          <cell r="FD21">
            <v>0.55978359386904153</v>
          </cell>
          <cell r="FE21">
            <v>171</v>
          </cell>
          <cell r="FF21">
            <v>34</v>
          </cell>
          <cell r="FG21">
            <v>34</v>
          </cell>
          <cell r="FH21">
            <v>22.558823529411764</v>
          </cell>
          <cell r="FI21">
            <v>0.33650519031141868</v>
          </cell>
          <cell r="FJ21">
            <v>169</v>
          </cell>
          <cell r="FK21">
            <v>90</v>
          </cell>
          <cell r="FL21">
            <v>0.53254437869822491</v>
          </cell>
          <cell r="FM21">
            <v>0.45743480329711905</v>
          </cell>
          <cell r="FN21">
            <v>0.60620733485106337</v>
          </cell>
          <cell r="FO21">
            <v>169</v>
          </cell>
          <cell r="FP21">
            <v>34</v>
          </cell>
          <cell r="FQ21">
            <v>33</v>
          </cell>
          <cell r="FR21">
            <v>22.090909090909093</v>
          </cell>
          <cell r="FS21">
            <v>0.35026737967914429</v>
          </cell>
          <cell r="FT21">
            <v>1894</v>
          </cell>
          <cell r="FU21">
            <v>1869</v>
          </cell>
          <cell r="FV21">
            <v>25</v>
          </cell>
          <cell r="FW21">
            <v>20</v>
          </cell>
          <cell r="FX21">
            <v>5</v>
          </cell>
          <cell r="FY21">
            <v>0.8</v>
          </cell>
          <cell r="FZ21">
            <v>0.2</v>
          </cell>
          <cell r="GA21">
            <v>0.84947089947089938</v>
          </cell>
          <cell r="GB21">
            <v>0.15052910052910054</v>
          </cell>
          <cell r="GC21">
            <v>8.5202569718038565E-2</v>
          </cell>
          <cell r="GD21">
            <v>0.21470101193978974</v>
          </cell>
          <cell r="GE21">
            <v>0.87645502645502649</v>
          </cell>
          <cell r="GF21">
            <v>0.12354497354497355</v>
          </cell>
          <cell r="GG21">
            <v>7.1039064247299846E-2</v>
          </cell>
          <cell r="GH21">
            <v>0.19341659749446916</v>
          </cell>
          <cell r="GI21">
            <v>0.8838624338624339</v>
          </cell>
          <cell r="GJ21">
            <v>0.11613756613756615</v>
          </cell>
          <cell r="GK21">
            <v>7.1039064247299846E-2</v>
          </cell>
          <cell r="GL21">
            <v>0.19341659749446916</v>
          </cell>
          <cell r="GM21">
            <v>0.71941659704817595</v>
          </cell>
          <cell r="GN21">
            <v>0.28058340295182405</v>
          </cell>
          <cell r="GO21">
            <v>0.16829549205620981</v>
          </cell>
          <cell r="GP21">
            <v>0.3265716491399448</v>
          </cell>
          <cell r="GQ21">
            <v>53</v>
          </cell>
          <cell r="GR21">
            <v>51</v>
          </cell>
          <cell r="GS21">
            <v>51</v>
          </cell>
          <cell r="GT21">
            <v>52</v>
          </cell>
          <cell r="GU21">
            <v>51</v>
          </cell>
          <cell r="GV21">
            <v>58</v>
          </cell>
          <cell r="GW21">
            <v>54</v>
          </cell>
          <cell r="GX21">
            <v>56</v>
          </cell>
          <cell r="GY21">
            <v>52</v>
          </cell>
          <cell r="GZ21">
            <v>55</v>
          </cell>
          <cell r="HA21">
            <v>57</v>
          </cell>
          <cell r="HB21">
            <v>55</v>
          </cell>
          <cell r="HC21">
            <v>56</v>
          </cell>
          <cell r="HD21">
            <v>37</v>
          </cell>
          <cell r="HE21">
            <v>34</v>
          </cell>
          <cell r="HF21">
            <v>33</v>
          </cell>
          <cell r="HG21">
            <v>33</v>
          </cell>
          <cell r="HH21">
            <v>33</v>
          </cell>
          <cell r="HI21">
            <v>33</v>
          </cell>
          <cell r="HJ21">
            <v>33</v>
          </cell>
          <cell r="HK21">
            <v>35</v>
          </cell>
          <cell r="HL21">
            <v>34</v>
          </cell>
          <cell r="HM21">
            <v>34</v>
          </cell>
          <cell r="HN21">
            <v>12</v>
          </cell>
          <cell r="HO21">
            <v>1.405152224824356E-2</v>
          </cell>
          <cell r="HP21">
            <v>1322</v>
          </cell>
          <cell r="HQ21">
            <v>1162</v>
          </cell>
          <cell r="HR21">
            <v>160</v>
          </cell>
          <cell r="HS21">
            <v>0.12102874432677761</v>
          </cell>
        </row>
        <row r="22">
          <cell r="A22" t="str">
            <v>Langley Green</v>
          </cell>
          <cell r="C22" t="str">
            <v>Crawley</v>
          </cell>
          <cell r="D22" t="str">
            <v>Crawley</v>
          </cell>
          <cell r="E22" t="str">
            <v>Crawley</v>
          </cell>
          <cell r="F22" t="str">
            <v>Crawley</v>
          </cell>
          <cell r="G22" t="str">
            <v>Ifield, Langley Green</v>
          </cell>
          <cell r="H22" t="str">
            <v>Crawley NW</v>
          </cell>
          <cell r="I22" t="str">
            <v>C1</v>
          </cell>
          <cell r="J22" t="str">
            <v>Crawley</v>
          </cell>
          <cell r="K22" t="str">
            <v>Crawley</v>
          </cell>
          <cell r="L22">
            <v>15625</v>
          </cell>
          <cell r="M22">
            <v>15845</v>
          </cell>
          <cell r="N22">
            <v>16080</v>
          </cell>
          <cell r="O22">
            <v>16165</v>
          </cell>
          <cell r="P22">
            <v>16350</v>
          </cell>
          <cell r="Q22">
            <v>16480</v>
          </cell>
          <cell r="R22">
            <v>16875</v>
          </cell>
          <cell r="S22">
            <v>17185</v>
          </cell>
          <cell r="T22">
            <v>17290</v>
          </cell>
          <cell r="U22">
            <v>17405</v>
          </cell>
          <cell r="V22">
            <v>935</v>
          </cell>
          <cell r="W22">
            <v>940</v>
          </cell>
          <cell r="X22">
            <v>970</v>
          </cell>
          <cell r="Y22">
            <v>1025</v>
          </cell>
          <cell r="Z22">
            <v>1100</v>
          </cell>
          <cell r="AA22">
            <v>1170</v>
          </cell>
          <cell r="AB22">
            <v>1285</v>
          </cell>
          <cell r="AC22">
            <v>1305</v>
          </cell>
          <cell r="AD22">
            <v>1330</v>
          </cell>
          <cell r="AE22">
            <v>1310</v>
          </cell>
          <cell r="AF22">
            <v>0.57689364957918898</v>
          </cell>
          <cell r="AG22">
            <v>5.9678653404743688E-2</v>
          </cell>
          <cell r="AH22">
            <v>7.1155317521040554E-2</v>
          </cell>
          <cell r="AI22">
            <v>0.24483550114766642</v>
          </cell>
          <cell r="AJ22">
            <v>3.8255547054322873E-2</v>
          </cell>
          <cell r="AK22">
            <v>9.181331293037491E-3</v>
          </cell>
          <cell r="AL22">
            <v>0.42310635042081102</v>
          </cell>
          <cell r="AM22">
            <v>2405</v>
          </cell>
          <cell r="AN22">
            <v>0.44675540765391014</v>
          </cell>
          <cell r="AO22">
            <v>0.38019966722129783</v>
          </cell>
          <cell r="AP22">
            <v>0.17304492512479203</v>
          </cell>
          <cell r="AQ22">
            <v>278</v>
          </cell>
          <cell r="AR22">
            <v>290</v>
          </cell>
          <cell r="AS22">
            <v>295</v>
          </cell>
          <cell r="AT22">
            <v>260</v>
          </cell>
          <cell r="AU22">
            <v>242</v>
          </cell>
          <cell r="AV22">
            <v>16</v>
          </cell>
          <cell r="AW22">
            <v>8</v>
          </cell>
          <cell r="AX22">
            <v>11</v>
          </cell>
          <cell r="AY22">
            <v>12</v>
          </cell>
          <cell r="AZ22">
            <v>8</v>
          </cell>
          <cell r="BA22">
            <v>20</v>
          </cell>
          <cell r="BB22">
            <v>8.2644628099173556E-2</v>
          </cell>
          <cell r="BC22">
            <v>5.4134868300491863E-2</v>
          </cell>
          <cell r="BD22">
            <v>0.12419737488990565</v>
          </cell>
          <cell r="BE22">
            <v>25</v>
          </cell>
          <cell r="BF22">
            <v>379</v>
          </cell>
          <cell r="BG22">
            <v>343</v>
          </cell>
          <cell r="BH22">
            <v>285</v>
          </cell>
          <cell r="BI22">
            <v>0.19692138070707646</v>
          </cell>
          <cell r="BJ22">
            <v>2149</v>
          </cell>
          <cell r="BK22">
            <v>3986</v>
          </cell>
          <cell r="BL22">
            <v>2183</v>
          </cell>
          <cell r="BM22">
            <v>1076</v>
          </cell>
          <cell r="BN22">
            <v>1</v>
          </cell>
          <cell r="BO22">
            <v>300</v>
          </cell>
          <cell r="BP22">
            <v>546</v>
          </cell>
          <cell r="BQ22">
            <v>260</v>
          </cell>
          <cell r="BR22">
            <v>200</v>
          </cell>
          <cell r="BS22">
            <v>185</v>
          </cell>
          <cell r="BT22">
            <v>160</v>
          </cell>
          <cell r="BU22">
            <v>523</v>
          </cell>
          <cell r="BV22">
            <v>219</v>
          </cell>
          <cell r="BW22">
            <v>0.41873804971319312</v>
          </cell>
          <cell r="BX22">
            <v>47</v>
          </cell>
          <cell r="BY22">
            <v>3</v>
          </cell>
          <cell r="BZ22">
            <v>382</v>
          </cell>
          <cell r="CA22">
            <v>5.8276125095347062E-2</v>
          </cell>
          <cell r="CB22">
            <v>280</v>
          </cell>
          <cell r="CC22">
            <v>300</v>
          </cell>
          <cell r="CD22">
            <v>300</v>
          </cell>
          <cell r="CE22">
            <v>280</v>
          </cell>
          <cell r="CF22">
            <v>780</v>
          </cell>
          <cell r="CG22">
            <v>0.23018181818181818</v>
          </cell>
          <cell r="CH22">
            <v>810</v>
          </cell>
          <cell r="CI22">
            <v>0.21772727272727277</v>
          </cell>
          <cell r="CJ22">
            <v>750</v>
          </cell>
          <cell r="CK22">
            <v>0.22318181818181818</v>
          </cell>
          <cell r="CL22">
            <v>705</v>
          </cell>
          <cell r="CM22">
            <v>0.23072727272727275</v>
          </cell>
          <cell r="CN22">
            <v>725</v>
          </cell>
          <cell r="CO22">
            <v>0.21154545454545454</v>
          </cell>
          <cell r="CP22">
            <v>735</v>
          </cell>
          <cell r="CQ22">
            <v>0.19573901464713714</v>
          </cell>
          <cell r="CR22">
            <v>243</v>
          </cell>
          <cell r="CS22">
            <v>9</v>
          </cell>
          <cell r="CT22">
            <v>234</v>
          </cell>
          <cell r="CU22">
            <v>0.96748431604046592</v>
          </cell>
          <cell r="CV22">
            <v>83</v>
          </cell>
          <cell r="CW22">
            <v>121</v>
          </cell>
          <cell r="CX22">
            <v>0.36981045743336588</v>
          </cell>
          <cell r="CY22">
            <v>0.52300648035510899</v>
          </cell>
          <cell r="CZ22">
            <v>0.29619960630889919</v>
          </cell>
          <cell r="DA22">
            <v>0.41789582527245578</v>
          </cell>
          <cell r="DB22">
            <v>0.45330934839463238</v>
          </cell>
          <cell r="DC22">
            <v>0.58032648318403168</v>
          </cell>
          <cell r="DD22">
            <v>182</v>
          </cell>
          <cell r="DE22">
            <v>13</v>
          </cell>
          <cell r="DF22">
            <v>7.1428571428571425E-2</v>
          </cell>
          <cell r="DG22">
            <v>4.2215244868037641E-2</v>
          </cell>
          <cell r="DH22">
            <v>0.11835957525047065</v>
          </cell>
          <cell r="DI22" t="str">
            <v>No Sig diff</v>
          </cell>
          <cell r="DJ22">
            <v>199</v>
          </cell>
          <cell r="DK22">
            <v>23</v>
          </cell>
          <cell r="DL22">
            <v>0.11557788944723618</v>
          </cell>
          <cell r="DM22">
            <v>7.8261508207020325E-2</v>
          </cell>
          <cell r="DN22">
            <v>0.16745482173099549</v>
          </cell>
          <cell r="DO22" t="str">
            <v>No Sig diff</v>
          </cell>
          <cell r="DP22">
            <v>164</v>
          </cell>
          <cell r="DQ22">
            <v>16</v>
          </cell>
          <cell r="DR22">
            <v>9.7560975609756101E-2</v>
          </cell>
          <cell r="DS22">
            <v>6.0946967227705207E-2</v>
          </cell>
          <cell r="DT22">
            <v>0.15259657006354138</v>
          </cell>
          <cell r="DU22" t="str">
            <v>No Sig diff</v>
          </cell>
          <cell r="DV22">
            <v>175</v>
          </cell>
          <cell r="DW22">
            <v>13</v>
          </cell>
          <cell r="DX22">
            <v>7.4285714285714288E-2</v>
          </cell>
          <cell r="DY22">
            <v>4.3924003825929425E-2</v>
          </cell>
          <cell r="DZ22">
            <v>0.12293584521283889</v>
          </cell>
          <cell r="EA22" t="str">
            <v>No Sig diff</v>
          </cell>
          <cell r="EB22">
            <v>171</v>
          </cell>
          <cell r="EC22">
            <v>34</v>
          </cell>
          <cell r="ED22">
            <v>0.19883040935672514</v>
          </cell>
          <cell r="EE22">
            <v>0.14591834770221057</v>
          </cell>
          <cell r="EF22">
            <v>0.26497652417351536</v>
          </cell>
          <cell r="EG22" t="str">
            <v>No Sig diff</v>
          </cell>
          <cell r="EH22">
            <v>175</v>
          </cell>
          <cell r="EI22">
            <v>32</v>
          </cell>
          <cell r="EJ22">
            <v>0.18285714285714286</v>
          </cell>
          <cell r="EK22">
            <v>0.13260870016222265</v>
          </cell>
          <cell r="EL22">
            <v>0.24672984509484641</v>
          </cell>
          <cell r="EM22" t="str">
            <v>No Sig diff</v>
          </cell>
          <cell r="EN22">
            <v>188</v>
          </cell>
          <cell r="EO22">
            <v>36</v>
          </cell>
          <cell r="EP22">
            <v>0.19148936170212766</v>
          </cell>
          <cell r="EQ22">
            <v>0.14164627861962834</v>
          </cell>
          <cell r="ER22">
            <v>0.25368776067987386</v>
          </cell>
          <cell r="ES22" t="str">
            <v>No Sig diff</v>
          </cell>
          <cell r="ET22">
            <v>173</v>
          </cell>
          <cell r="EU22">
            <v>38</v>
          </cell>
          <cell r="EV22">
            <v>0.21965317919075145</v>
          </cell>
          <cell r="EW22">
            <v>0.16442041037655816</v>
          </cell>
          <cell r="EX22">
            <v>0.28706567978088754</v>
          </cell>
          <cell r="EY22" t="str">
            <v>No Sig diff</v>
          </cell>
          <cell r="EZ22">
            <v>213</v>
          </cell>
          <cell r="FA22">
            <v>77</v>
          </cell>
          <cell r="FB22">
            <v>0.36150234741784038</v>
          </cell>
          <cell r="FC22">
            <v>0.29996303420485582</v>
          </cell>
          <cell r="FD22">
            <v>0.42794877601411613</v>
          </cell>
          <cell r="FE22">
            <v>213</v>
          </cell>
          <cell r="FF22">
            <v>32</v>
          </cell>
          <cell r="FG22">
            <v>42</v>
          </cell>
          <cell r="FH22">
            <v>22.095238095238102</v>
          </cell>
          <cell r="FI22">
            <v>0.30952380952380931</v>
          </cell>
          <cell r="FJ22">
            <v>276</v>
          </cell>
          <cell r="FK22">
            <v>140</v>
          </cell>
          <cell r="FL22">
            <v>0.50724637681159424</v>
          </cell>
          <cell r="FM22">
            <v>0.44857125889871413</v>
          </cell>
          <cell r="FN22">
            <v>0.56572254880532213</v>
          </cell>
          <cell r="FO22">
            <v>276</v>
          </cell>
          <cell r="FP22">
            <v>34</v>
          </cell>
          <cell r="FQ22">
            <v>55</v>
          </cell>
          <cell r="FR22">
            <v>22.472727272727269</v>
          </cell>
          <cell r="FS22">
            <v>0.33903743315508034</v>
          </cell>
          <cell r="FT22">
            <v>2421</v>
          </cell>
          <cell r="FU22">
            <v>2397</v>
          </cell>
          <cell r="FV22">
            <v>24</v>
          </cell>
          <cell r="FW22">
            <v>18</v>
          </cell>
          <cell r="FX22">
            <v>6</v>
          </cell>
          <cell r="FY22">
            <v>0.75</v>
          </cell>
          <cell r="FZ22">
            <v>0.25</v>
          </cell>
          <cell r="GA22">
            <v>0.89145702782066427</v>
          </cell>
          <cell r="GB22">
            <v>0.1085429721793358</v>
          </cell>
          <cell r="GC22">
            <v>6.5066148885121536E-2</v>
          </cell>
          <cell r="GD22">
            <v>0.16697738327579825</v>
          </cell>
          <cell r="GE22">
            <v>0.94403778040141684</v>
          </cell>
          <cell r="GF22">
            <v>5.5962219598583232E-2</v>
          </cell>
          <cell r="GG22">
            <v>2.8820370601525466E-2</v>
          </cell>
          <cell r="GH22">
            <v>0.10722860307950929</v>
          </cell>
          <cell r="GI22">
            <v>0.88092210819483541</v>
          </cell>
          <cell r="GJ22">
            <v>0.1190778918051645</v>
          </cell>
          <cell r="GK22">
            <v>7.6104144741722793E-2</v>
          </cell>
          <cell r="GL22">
            <v>0.18336640412773555</v>
          </cell>
          <cell r="GM22">
            <v>0.72868041049859233</v>
          </cell>
          <cell r="GN22">
            <v>0.27131958950140767</v>
          </cell>
          <cell r="GO22">
            <v>0.20122466904115702</v>
          </cell>
          <cell r="GP22">
            <v>0.34756778676870415</v>
          </cell>
          <cell r="GQ22">
            <v>73</v>
          </cell>
          <cell r="GR22">
            <v>71</v>
          </cell>
          <cell r="GS22">
            <v>70</v>
          </cell>
          <cell r="GT22">
            <v>72</v>
          </cell>
          <cell r="GU22">
            <v>71</v>
          </cell>
          <cell r="GV22">
            <v>56</v>
          </cell>
          <cell r="GW22">
            <v>55</v>
          </cell>
          <cell r="GX22">
            <v>53</v>
          </cell>
          <cell r="GY22">
            <v>55</v>
          </cell>
          <cell r="GZ22">
            <v>54</v>
          </cell>
          <cell r="HA22">
            <v>53</v>
          </cell>
          <cell r="HB22">
            <v>56</v>
          </cell>
          <cell r="HC22">
            <v>56</v>
          </cell>
          <cell r="HD22">
            <v>66</v>
          </cell>
          <cell r="HE22">
            <v>64</v>
          </cell>
          <cell r="HF22">
            <v>60</v>
          </cell>
          <cell r="HG22">
            <v>64</v>
          </cell>
          <cell r="HH22">
            <v>59</v>
          </cell>
          <cell r="HI22">
            <v>61</v>
          </cell>
          <cell r="HJ22">
            <v>64</v>
          </cell>
          <cell r="HK22">
            <v>65</v>
          </cell>
          <cell r="HL22">
            <v>63</v>
          </cell>
          <cell r="HM22">
            <v>60</v>
          </cell>
          <cell r="HN22">
            <v>26</v>
          </cell>
          <cell r="HO22">
            <v>1.9892884468247895E-2</v>
          </cell>
          <cell r="HP22">
            <v>2123</v>
          </cell>
          <cell r="HQ22">
            <v>1864</v>
          </cell>
          <cell r="HR22">
            <v>259</v>
          </cell>
          <cell r="HS22">
            <v>0.12199717381064532</v>
          </cell>
        </row>
        <row r="23">
          <cell r="A23" t="str">
            <v>Littlehampton</v>
          </cell>
          <cell r="C23" t="str">
            <v>Arun East</v>
          </cell>
          <cell r="D23" t="str">
            <v>Arun East</v>
          </cell>
          <cell r="E23" t="str">
            <v>Arun</v>
          </cell>
          <cell r="F23" t="str">
            <v>Arun</v>
          </cell>
          <cell r="G23" t="str">
            <v>Beach, Brookfield, Ham, River, Wick with Toddington</v>
          </cell>
          <cell r="H23" t="str">
            <v>Littlehampton</v>
          </cell>
          <cell r="I23" t="str">
            <v>B</v>
          </cell>
          <cell r="J23" t="str">
            <v>Coastal West Sussex</v>
          </cell>
          <cell r="K23" t="str">
            <v>Bognor Regis and Littlehampton</v>
          </cell>
          <cell r="L23">
            <v>18555</v>
          </cell>
          <cell r="M23">
            <v>18535</v>
          </cell>
          <cell r="N23">
            <v>18740</v>
          </cell>
          <cell r="O23">
            <v>18880</v>
          </cell>
          <cell r="P23">
            <v>19110</v>
          </cell>
          <cell r="Q23">
            <v>19395</v>
          </cell>
          <cell r="R23">
            <v>19645</v>
          </cell>
          <cell r="S23">
            <v>19930</v>
          </cell>
          <cell r="T23">
            <v>20235</v>
          </cell>
          <cell r="U23">
            <v>20490</v>
          </cell>
          <cell r="V23">
            <v>960</v>
          </cell>
          <cell r="W23">
            <v>995</v>
          </cell>
          <cell r="X23">
            <v>1000</v>
          </cell>
          <cell r="Y23">
            <v>1025</v>
          </cell>
          <cell r="Z23">
            <v>1065</v>
          </cell>
          <cell r="AA23">
            <v>1165</v>
          </cell>
          <cell r="AB23">
            <v>1225</v>
          </cell>
          <cell r="AC23">
            <v>1320</v>
          </cell>
          <cell r="AD23">
            <v>1410</v>
          </cell>
          <cell r="AE23">
            <v>1430</v>
          </cell>
          <cell r="AF23">
            <v>0.83437499999999998</v>
          </cell>
          <cell r="AG23">
            <v>7.5781249999999994E-2</v>
          </cell>
          <cell r="AH23">
            <v>4.6093750000000003E-2</v>
          </cell>
          <cell r="AI23">
            <v>3.4375000000000003E-2</v>
          </cell>
          <cell r="AJ23">
            <v>4.6874999999999998E-3</v>
          </cell>
          <cell r="AK23">
            <v>4.6874999999999998E-3</v>
          </cell>
          <cell r="AL23">
            <v>0.16562499999999999</v>
          </cell>
          <cell r="AM23">
            <v>2345</v>
          </cell>
          <cell r="AN23">
            <v>0.4166311300639659</v>
          </cell>
          <cell r="AO23">
            <v>0.2298507462686567</v>
          </cell>
          <cell r="AP23">
            <v>0.35351812366737739</v>
          </cell>
          <cell r="AQ23">
            <v>268</v>
          </cell>
          <cell r="AR23">
            <v>267</v>
          </cell>
          <cell r="AS23">
            <v>297</v>
          </cell>
          <cell r="AT23">
            <v>321</v>
          </cell>
          <cell r="AU23">
            <v>285</v>
          </cell>
          <cell r="AV23">
            <v>30</v>
          </cell>
          <cell r="AW23">
            <v>20</v>
          </cell>
          <cell r="AX23">
            <v>31</v>
          </cell>
          <cell r="AY23">
            <v>19</v>
          </cell>
          <cell r="AZ23">
            <v>17</v>
          </cell>
          <cell r="BA23">
            <v>18</v>
          </cell>
          <cell r="BB23">
            <v>6.3157894736842107E-2</v>
          </cell>
          <cell r="BC23">
            <v>4.0320286324222479E-2</v>
          </cell>
          <cell r="BD23">
            <v>9.7615102118150499E-2</v>
          </cell>
          <cell r="BE23">
            <v>35</v>
          </cell>
          <cell r="BF23">
            <v>464</v>
          </cell>
          <cell r="BG23">
            <v>346</v>
          </cell>
          <cell r="BH23">
            <v>223</v>
          </cell>
          <cell r="BI23">
            <v>0.15733980667725542</v>
          </cell>
          <cell r="BJ23">
            <v>2358</v>
          </cell>
          <cell r="BK23">
            <v>4123</v>
          </cell>
          <cell r="BL23">
            <v>2370</v>
          </cell>
          <cell r="BM23">
            <v>1004</v>
          </cell>
          <cell r="BN23">
            <v>2</v>
          </cell>
          <cell r="BO23">
            <v>421</v>
          </cell>
          <cell r="BP23">
            <v>698</v>
          </cell>
          <cell r="BQ23">
            <v>245</v>
          </cell>
          <cell r="BR23">
            <v>300</v>
          </cell>
          <cell r="BS23">
            <v>285</v>
          </cell>
          <cell r="BT23">
            <v>235</v>
          </cell>
          <cell r="BU23">
            <v>697</v>
          </cell>
          <cell r="BV23">
            <v>280</v>
          </cell>
          <cell r="BW23">
            <v>0.40172166427546629</v>
          </cell>
          <cell r="BX23">
            <v>56</v>
          </cell>
          <cell r="BY23">
            <v>1</v>
          </cell>
          <cell r="BZ23">
            <v>653</v>
          </cell>
          <cell r="CA23">
            <v>7.3927318012000448E-2</v>
          </cell>
          <cell r="CB23">
            <v>380</v>
          </cell>
          <cell r="CC23">
            <v>445</v>
          </cell>
          <cell r="CD23">
            <v>420</v>
          </cell>
          <cell r="CE23">
            <v>390</v>
          </cell>
          <cell r="CF23">
            <v>1070</v>
          </cell>
          <cell r="CG23">
            <v>0.28491666666666665</v>
          </cell>
          <cell r="CH23">
            <v>1035</v>
          </cell>
          <cell r="CI23">
            <v>0.25833333333333336</v>
          </cell>
          <cell r="CJ23">
            <v>1095</v>
          </cell>
          <cell r="CK23">
            <v>0.28950000000000004</v>
          </cell>
          <cell r="CL23">
            <v>970</v>
          </cell>
          <cell r="CM23">
            <v>0.26874999999999999</v>
          </cell>
          <cell r="CN23">
            <v>1030</v>
          </cell>
          <cell r="CO23">
            <v>0.27366666666666667</v>
          </cell>
          <cell r="CP23">
            <v>1010</v>
          </cell>
          <cell r="CQ23">
            <v>0.25602027883396705</v>
          </cell>
          <cell r="CR23">
            <v>282</v>
          </cell>
          <cell r="CS23">
            <v>14</v>
          </cell>
          <cell r="CT23">
            <v>268</v>
          </cell>
          <cell r="CU23">
            <v>0.9510487396272832</v>
          </cell>
          <cell r="CV23">
            <v>87</v>
          </cell>
          <cell r="CW23">
            <v>115</v>
          </cell>
          <cell r="CX23">
            <v>0.31667658923114633</v>
          </cell>
          <cell r="CY23">
            <v>0.42742557459181335</v>
          </cell>
          <cell r="CZ23">
            <v>0.2713876119009872</v>
          </cell>
          <cell r="DA23">
            <v>0.38282278121029534</v>
          </cell>
          <cell r="DB23">
            <v>0.37125981974450212</v>
          </cell>
          <cell r="DC23">
            <v>0.48895289236431427</v>
          </cell>
          <cell r="DD23">
            <v>155</v>
          </cell>
          <cell r="DE23">
            <v>7</v>
          </cell>
          <cell r="DF23">
            <v>4.5161290322580643E-2</v>
          </cell>
          <cell r="DG23">
            <v>2.2045753492620307E-2</v>
          </cell>
          <cell r="DH23">
            <v>9.0276677648195372E-2</v>
          </cell>
          <cell r="DI23" t="str">
            <v>Sig better than Eng.</v>
          </cell>
          <cell r="DJ23">
            <v>201</v>
          </cell>
          <cell r="DK23">
            <v>20</v>
          </cell>
          <cell r="DL23">
            <v>9.950248756218906E-2</v>
          </cell>
          <cell r="DM23">
            <v>6.5338926232430275E-2</v>
          </cell>
          <cell r="DN23">
            <v>0.14868737036346685</v>
          </cell>
          <cell r="DO23" t="str">
            <v>No Sig diff</v>
          </cell>
          <cell r="DP23">
            <v>151</v>
          </cell>
          <cell r="DQ23">
            <v>12</v>
          </cell>
          <cell r="DR23">
            <v>7.9470198675496692E-2</v>
          </cell>
          <cell r="DS23">
            <v>4.604266587121892E-2</v>
          </cell>
          <cell r="DT23">
            <v>0.13376356324041994</v>
          </cell>
          <cell r="DU23" t="str">
            <v>No Sig diff</v>
          </cell>
          <cell r="DV23">
            <v>218</v>
          </cell>
          <cell r="DW23">
            <v>21</v>
          </cell>
          <cell r="DX23">
            <v>9.6330275229357804E-2</v>
          </cell>
          <cell r="DY23">
            <v>6.3870955682172159E-2</v>
          </cell>
          <cell r="DZ23">
            <v>0.14276967436230478</v>
          </cell>
          <cell r="EA23" t="str">
            <v>No Sig diff</v>
          </cell>
          <cell r="EB23">
            <v>168</v>
          </cell>
          <cell r="EC23">
            <v>28</v>
          </cell>
          <cell r="ED23">
            <v>0.16666666666666666</v>
          </cell>
          <cell r="EE23">
            <v>0.11790131485380641</v>
          </cell>
          <cell r="EF23">
            <v>0.23033513071277231</v>
          </cell>
          <cell r="EG23" t="str">
            <v>No Sig diff</v>
          </cell>
          <cell r="EH23">
            <v>185</v>
          </cell>
          <cell r="EI23">
            <v>34</v>
          </cell>
          <cell r="EJ23">
            <v>0.18378378378378379</v>
          </cell>
          <cell r="EK23">
            <v>0.13460281913919561</v>
          </cell>
          <cell r="EL23">
            <v>0.2458298425725948</v>
          </cell>
          <cell r="EM23" t="str">
            <v>No Sig diff</v>
          </cell>
          <cell r="EN23">
            <v>192</v>
          </cell>
          <cell r="EO23">
            <v>57</v>
          </cell>
          <cell r="EP23">
            <v>0.296875</v>
          </cell>
          <cell r="EQ23">
            <v>0.23674735383073847</v>
          </cell>
          <cell r="ER23">
            <v>0.36497129925888039</v>
          </cell>
          <cell r="ES23" t="str">
            <v>Sig worse than Eng.</v>
          </cell>
          <cell r="ET23">
            <v>188</v>
          </cell>
          <cell r="EU23">
            <v>39</v>
          </cell>
          <cell r="EV23">
            <v>0.20744680851063829</v>
          </cell>
          <cell r="EW23">
            <v>0.15562878542840139</v>
          </cell>
          <cell r="EX23">
            <v>0.27098107942457483</v>
          </cell>
          <cell r="EY23" t="str">
            <v>No Sig diff</v>
          </cell>
          <cell r="EZ23">
            <v>250</v>
          </cell>
          <cell r="FA23">
            <v>132</v>
          </cell>
          <cell r="FB23">
            <v>0.52800000000000002</v>
          </cell>
          <cell r="FC23">
            <v>0.46616258903849139</v>
          </cell>
          <cell r="FD23">
            <v>0.58898994618976364</v>
          </cell>
          <cell r="FE23">
            <v>250</v>
          </cell>
          <cell r="FF23">
            <v>34</v>
          </cell>
          <cell r="FG23">
            <v>50</v>
          </cell>
          <cell r="FH23">
            <v>22.36</v>
          </cell>
          <cell r="FI23">
            <v>0.34235294117647058</v>
          </cell>
          <cell r="FJ23">
            <v>253</v>
          </cell>
          <cell r="FK23">
            <v>137</v>
          </cell>
          <cell r="FL23">
            <v>0.54150197628458496</v>
          </cell>
          <cell r="FM23">
            <v>0.47994063804216835</v>
          </cell>
          <cell r="FN23">
            <v>0.6018218628267451</v>
          </cell>
          <cell r="FO23">
            <v>253</v>
          </cell>
          <cell r="FP23">
            <v>34</v>
          </cell>
          <cell r="FQ23">
            <v>50</v>
          </cell>
          <cell r="FR23">
            <v>24.740000000000006</v>
          </cell>
          <cell r="FS23">
            <v>0.27235294117647041</v>
          </cell>
          <cell r="FT23">
            <v>2884</v>
          </cell>
          <cell r="FU23">
            <v>2719</v>
          </cell>
          <cell r="FV23">
            <v>165</v>
          </cell>
          <cell r="FW23">
            <v>134</v>
          </cell>
          <cell r="FX23">
            <v>31</v>
          </cell>
          <cell r="FY23">
            <v>0.81212121212121213</v>
          </cell>
          <cell r="FZ23">
            <v>0.18787878787878787</v>
          </cell>
          <cell r="GA23">
            <v>0.83216741591741583</v>
          </cell>
          <cell r="GB23">
            <v>0.16783258408258406</v>
          </cell>
          <cell r="GC23">
            <v>0.13481123375916229</v>
          </cell>
          <cell r="GD23">
            <v>0.24417148861634683</v>
          </cell>
          <cell r="GE23">
            <v>0.84033272283272276</v>
          </cell>
          <cell r="GF23">
            <v>0.15966727716727719</v>
          </cell>
          <cell r="GG23">
            <v>0.12060131558197143</v>
          </cell>
          <cell r="GH23">
            <v>0.22580925295913523</v>
          </cell>
          <cell r="GI23">
            <v>0.81671092796092803</v>
          </cell>
          <cell r="GJ23">
            <v>0.18328907203907199</v>
          </cell>
          <cell r="GK23">
            <v>0.14772594103731715</v>
          </cell>
          <cell r="GL23">
            <v>0.2599586367030608</v>
          </cell>
          <cell r="GM23">
            <v>0.6699114774114775</v>
          </cell>
          <cell r="GN23">
            <v>0.33008852258852261</v>
          </cell>
          <cell r="GO23">
            <v>0.27049843060050693</v>
          </cell>
          <cell r="GP23">
            <v>0.40270685367004644</v>
          </cell>
          <cell r="GQ23">
            <v>93</v>
          </cell>
          <cell r="GR23">
            <v>90</v>
          </cell>
          <cell r="GS23">
            <v>90</v>
          </cell>
          <cell r="GT23">
            <v>92</v>
          </cell>
          <cell r="GU23">
            <v>90</v>
          </cell>
          <cell r="GV23">
            <v>66</v>
          </cell>
          <cell r="GW23">
            <v>56</v>
          </cell>
          <cell r="GX23">
            <v>60</v>
          </cell>
          <cell r="GY23">
            <v>58</v>
          </cell>
          <cell r="GZ23">
            <v>60</v>
          </cell>
          <cell r="HA23">
            <v>64</v>
          </cell>
          <cell r="HB23">
            <v>57</v>
          </cell>
          <cell r="HC23">
            <v>61</v>
          </cell>
          <cell r="HD23">
            <v>50</v>
          </cell>
          <cell r="HE23">
            <v>45</v>
          </cell>
          <cell r="HF23">
            <v>41</v>
          </cell>
          <cell r="HG23">
            <v>41</v>
          </cell>
          <cell r="HH23">
            <v>41</v>
          </cell>
          <cell r="HI23">
            <v>41</v>
          </cell>
          <cell r="HJ23">
            <v>41</v>
          </cell>
          <cell r="HK23">
            <v>44</v>
          </cell>
          <cell r="HL23">
            <v>40</v>
          </cell>
          <cell r="HM23">
            <v>45</v>
          </cell>
          <cell r="HN23">
            <v>17</v>
          </cell>
          <cell r="HO23">
            <v>1.328125E-2</v>
          </cell>
          <cell r="HP23">
            <v>2075</v>
          </cell>
          <cell r="HQ23">
            <v>1726</v>
          </cell>
          <cell r="HR23">
            <v>349</v>
          </cell>
          <cell r="HS23">
            <v>0.16819277108433736</v>
          </cell>
        </row>
        <row r="24">
          <cell r="A24" t="str">
            <v>Maidenbower and Pound Hill</v>
          </cell>
          <cell r="C24" t="str">
            <v>Crawley</v>
          </cell>
          <cell r="D24" t="str">
            <v>Crawley</v>
          </cell>
          <cell r="E24" t="str">
            <v>Crawley</v>
          </cell>
          <cell r="F24" t="str">
            <v>Crawley</v>
          </cell>
          <cell r="G24" t="str">
            <v>Maidenbower, Pound Hill North, Pound Hill South and Worth</v>
          </cell>
          <cell r="H24" t="str">
            <v>Crawley SE</v>
          </cell>
          <cell r="I24" t="str">
            <v>C1</v>
          </cell>
          <cell r="J24" t="str">
            <v>Crawley</v>
          </cell>
          <cell r="K24" t="str">
            <v>Crawley</v>
          </cell>
          <cell r="L24">
            <v>22545</v>
          </cell>
          <cell r="M24">
            <v>22820</v>
          </cell>
          <cell r="N24">
            <v>22870</v>
          </cell>
          <cell r="O24">
            <v>23175</v>
          </cell>
          <cell r="P24">
            <v>23725</v>
          </cell>
          <cell r="Q24">
            <v>24090</v>
          </cell>
          <cell r="R24">
            <v>24460</v>
          </cell>
          <cell r="S24">
            <v>24445</v>
          </cell>
          <cell r="T24">
            <v>24605</v>
          </cell>
          <cell r="U24">
            <v>24745</v>
          </cell>
          <cell r="V24">
            <v>1565</v>
          </cell>
          <cell r="W24">
            <v>1550</v>
          </cell>
          <cell r="X24">
            <v>1525</v>
          </cell>
          <cell r="Y24">
            <v>1580</v>
          </cell>
          <cell r="Z24">
            <v>1705</v>
          </cell>
          <cell r="AA24">
            <v>1710</v>
          </cell>
          <cell r="AB24">
            <v>1820</v>
          </cell>
          <cell r="AC24">
            <v>1840</v>
          </cell>
          <cell r="AD24">
            <v>1825</v>
          </cell>
          <cell r="AE24">
            <v>1825</v>
          </cell>
          <cell r="AF24">
            <v>0.7443897099069513</v>
          </cell>
          <cell r="AG24">
            <v>4.3787629994526546E-2</v>
          </cell>
          <cell r="AH24">
            <v>6.7870826491516142E-2</v>
          </cell>
          <cell r="AI24">
            <v>0.10509031198686371</v>
          </cell>
          <cell r="AJ24">
            <v>3.1746031746031744E-2</v>
          </cell>
          <cell r="AK24">
            <v>7.1154898741105635E-3</v>
          </cell>
          <cell r="AL24">
            <v>0.2556102900930487</v>
          </cell>
          <cell r="AM24">
            <v>3425</v>
          </cell>
          <cell r="AN24">
            <v>0.67952088810984512</v>
          </cell>
          <cell r="AO24">
            <v>0.12795793163891322</v>
          </cell>
          <cell r="AP24">
            <v>0.1925211802512416</v>
          </cell>
          <cell r="AQ24">
            <v>316</v>
          </cell>
          <cell r="AR24">
            <v>353</v>
          </cell>
          <cell r="AS24">
            <v>351</v>
          </cell>
          <cell r="AT24">
            <v>329</v>
          </cell>
          <cell r="AU24">
            <v>332</v>
          </cell>
          <cell r="AV24">
            <v>6</v>
          </cell>
          <cell r="AW24">
            <v>11</v>
          </cell>
          <cell r="AX24">
            <v>9</v>
          </cell>
          <cell r="AY24">
            <v>5</v>
          </cell>
          <cell r="AZ24">
            <v>8</v>
          </cell>
          <cell r="BA24">
            <v>23</v>
          </cell>
          <cell r="BB24">
            <v>6.9277108433734941E-2</v>
          </cell>
          <cell r="BC24">
            <v>4.6603311300102486E-2</v>
          </cell>
          <cell r="BD24">
            <v>0.10180438974941115</v>
          </cell>
          <cell r="BE24">
            <v>10</v>
          </cell>
          <cell r="BF24">
            <v>664</v>
          </cell>
          <cell r="BG24">
            <v>570</v>
          </cell>
          <cell r="BH24">
            <v>221</v>
          </cell>
          <cell r="BI24">
            <v>0.13170795051194636</v>
          </cell>
          <cell r="BJ24">
            <v>3454</v>
          </cell>
          <cell r="BK24">
            <v>5931</v>
          </cell>
          <cell r="BL24">
            <v>3289</v>
          </cell>
          <cell r="BM24">
            <v>2085</v>
          </cell>
          <cell r="BN24">
            <v>1</v>
          </cell>
          <cell r="BO24">
            <v>390</v>
          </cell>
          <cell r="BP24">
            <v>537</v>
          </cell>
          <cell r="BQ24">
            <v>276</v>
          </cell>
          <cell r="BR24">
            <v>140</v>
          </cell>
          <cell r="BS24">
            <v>130</v>
          </cell>
          <cell r="BT24">
            <v>110</v>
          </cell>
          <cell r="BU24">
            <v>602</v>
          </cell>
          <cell r="BV24">
            <v>174</v>
          </cell>
          <cell r="BW24">
            <v>0.28903654485049834</v>
          </cell>
          <cell r="BX24">
            <v>48</v>
          </cell>
          <cell r="BY24">
            <v>9</v>
          </cell>
          <cell r="BZ24">
            <v>211</v>
          </cell>
          <cell r="CA24">
            <v>2.1561414265276926E-2</v>
          </cell>
          <cell r="CB24">
            <v>220</v>
          </cell>
          <cell r="CC24">
            <v>200</v>
          </cell>
          <cell r="CD24">
            <v>185</v>
          </cell>
          <cell r="CE24">
            <v>170</v>
          </cell>
          <cell r="CF24">
            <v>445</v>
          </cell>
          <cell r="CG24">
            <v>0.08</v>
          </cell>
          <cell r="CH24">
            <v>485</v>
          </cell>
          <cell r="CI24">
            <v>8.257142857142856E-2</v>
          </cell>
          <cell r="CJ24">
            <v>450</v>
          </cell>
          <cell r="CK24">
            <v>9.1642857142857151E-2</v>
          </cell>
          <cell r="CL24">
            <v>405</v>
          </cell>
          <cell r="CM24">
            <v>9.6857142857142864E-2</v>
          </cell>
          <cell r="CN24">
            <v>365</v>
          </cell>
          <cell r="CO24">
            <v>8.7357142857142842E-2</v>
          </cell>
          <cell r="CP24">
            <v>410</v>
          </cell>
          <cell r="CQ24">
            <v>8.0313418217433888E-2</v>
          </cell>
          <cell r="CR24">
            <v>337</v>
          </cell>
          <cell r="CS24">
            <v>7</v>
          </cell>
          <cell r="CT24">
            <v>330</v>
          </cell>
          <cell r="CU24">
            <v>0.98116732804232809</v>
          </cell>
          <cell r="CV24">
            <v>122</v>
          </cell>
          <cell r="CW24">
            <v>194</v>
          </cell>
          <cell r="CX24">
            <v>0.37347750194862989</v>
          </cell>
          <cell r="CY24">
            <v>0.58998427864520797</v>
          </cell>
          <cell r="CZ24">
            <v>0.31939213882089795</v>
          </cell>
          <cell r="DA24">
            <v>0.4230006606384864</v>
          </cell>
          <cell r="DB24">
            <v>0.53405685232247369</v>
          </cell>
          <cell r="DC24">
            <v>0.63967823641422061</v>
          </cell>
          <cell r="DD24">
            <v>267</v>
          </cell>
          <cell r="DE24">
            <v>21</v>
          </cell>
          <cell r="DF24">
            <v>7.9000000000000001E-2</v>
          </cell>
          <cell r="DG24">
            <v>5.1999999999999998E-2</v>
          </cell>
          <cell r="DH24">
            <v>0.11700000000000001</v>
          </cell>
          <cell r="DI24" t="str">
            <v>No Sig diff</v>
          </cell>
          <cell r="DJ24">
            <v>276</v>
          </cell>
          <cell r="DK24">
            <v>23</v>
          </cell>
          <cell r="DL24">
            <v>8.3000000000000004E-2</v>
          </cell>
          <cell r="DM24">
            <v>5.6000000000000001E-2</v>
          </cell>
          <cell r="DN24">
            <v>0.122</v>
          </cell>
          <cell r="DO24" t="str">
            <v>No Sig diff</v>
          </cell>
          <cell r="DP24">
            <v>239</v>
          </cell>
          <cell r="DQ24">
            <v>10</v>
          </cell>
          <cell r="DR24">
            <v>4.1841004184100417E-2</v>
          </cell>
          <cell r="DS24">
            <v>2.2883426077391942E-2</v>
          </cell>
          <cell r="DT24">
            <v>7.5293627118033973E-2</v>
          </cell>
          <cell r="DU24" t="str">
            <v>Sig better than Eng.</v>
          </cell>
          <cell r="DV24">
            <v>265</v>
          </cell>
          <cell r="DW24">
            <v>23</v>
          </cell>
          <cell r="DX24">
            <v>8.6792452830188674E-2</v>
          </cell>
          <cell r="DY24">
            <v>5.8529585664442121E-2</v>
          </cell>
          <cell r="DZ24">
            <v>0.1268639136839462</v>
          </cell>
          <cell r="EA24" t="str">
            <v>No Sig diff</v>
          </cell>
          <cell r="EB24">
            <v>252</v>
          </cell>
          <cell r="EC24">
            <v>37</v>
          </cell>
          <cell r="ED24">
            <v>0.14699999999999999</v>
          </cell>
          <cell r="EE24">
            <v>0.108</v>
          </cell>
          <cell r="EF24">
            <v>0.19600000000000001</v>
          </cell>
          <cell r="EG24" t="str">
            <v>No Sig diff</v>
          </cell>
          <cell r="EH24">
            <v>282</v>
          </cell>
          <cell r="EI24">
            <v>34</v>
          </cell>
          <cell r="EJ24">
            <v>0.121</v>
          </cell>
          <cell r="EK24">
            <v>8.7999999999999995E-2</v>
          </cell>
          <cell r="EL24">
            <v>0.16400000000000001</v>
          </cell>
          <cell r="EM24" t="str">
            <v>Sig better than Eng.</v>
          </cell>
          <cell r="EN24">
            <v>263</v>
          </cell>
          <cell r="EO24">
            <v>38</v>
          </cell>
          <cell r="EP24">
            <v>0.14448669201520911</v>
          </cell>
          <cell r="EQ24">
            <v>0.10711124264128175</v>
          </cell>
          <cell r="ER24">
            <v>0.1920981050123905</v>
          </cell>
          <cell r="ES24" t="str">
            <v>No Sig diff</v>
          </cell>
          <cell r="ET24">
            <v>249</v>
          </cell>
          <cell r="EU24">
            <v>34</v>
          </cell>
          <cell r="EV24">
            <v>0.13654618473895583</v>
          </cell>
          <cell r="EW24">
            <v>9.9385816160059939E-2</v>
          </cell>
          <cell r="EX24">
            <v>0.1847505717400014</v>
          </cell>
          <cell r="EY24" t="str">
            <v>Sig better than Eng.</v>
          </cell>
          <cell r="EZ24">
            <v>324</v>
          </cell>
          <cell r="FA24">
            <v>210</v>
          </cell>
          <cell r="FB24">
            <v>0.64814814814814814</v>
          </cell>
          <cell r="FC24">
            <v>0.5946899178918934</v>
          </cell>
          <cell r="FD24">
            <v>0.69813454776699435</v>
          </cell>
          <cell r="FE24">
            <v>324</v>
          </cell>
          <cell r="FF24">
            <v>34</v>
          </cell>
          <cell r="FG24">
            <v>64</v>
          </cell>
          <cell r="FH24">
            <v>26.765625000000004</v>
          </cell>
          <cell r="FI24">
            <v>0.21277573529411753</v>
          </cell>
          <cell r="FJ24">
            <v>330</v>
          </cell>
          <cell r="FK24">
            <v>227</v>
          </cell>
          <cell r="FL24">
            <v>0.68787878787878787</v>
          </cell>
          <cell r="FM24">
            <v>0.63596542157199598</v>
          </cell>
          <cell r="FN24">
            <v>0.73546837349358407</v>
          </cell>
          <cell r="FO24">
            <v>330</v>
          </cell>
          <cell r="FP24">
            <v>34</v>
          </cell>
          <cell r="FQ24">
            <v>66</v>
          </cell>
          <cell r="FR24">
            <v>24.878787878787882</v>
          </cell>
          <cell r="FS24">
            <v>0.26827094474153285</v>
          </cell>
          <cell r="FT24">
            <v>2918</v>
          </cell>
          <cell r="FU24">
            <v>2877</v>
          </cell>
          <cell r="FV24">
            <v>41</v>
          </cell>
          <cell r="FW24">
            <v>31</v>
          </cell>
          <cell r="FX24">
            <v>10</v>
          </cell>
          <cell r="FY24">
            <v>0.75609756097560976</v>
          </cell>
          <cell r="FZ24">
            <v>0.24390243902439024</v>
          </cell>
          <cell r="GA24">
            <v>0.94883774022429479</v>
          </cell>
          <cell r="GB24">
            <v>5.1162259775705154E-2</v>
          </cell>
          <cell r="GC24">
            <v>3.5005301144816203E-2</v>
          </cell>
          <cell r="GD24">
            <v>0.10293256696562286</v>
          </cell>
          <cell r="GE24">
            <v>0.98154979940694231</v>
          </cell>
          <cell r="GF24">
            <v>1.8450200593057735E-2</v>
          </cell>
          <cell r="GG24">
            <v>1.0833366500687466E-2</v>
          </cell>
          <cell r="GH24">
            <v>5.7743180653120271E-2</v>
          </cell>
          <cell r="GI24">
            <v>0.94172540811196281</v>
          </cell>
          <cell r="GJ24">
            <v>5.8274591888037262E-2</v>
          </cell>
          <cell r="GK24">
            <v>3.8966557352548399E-2</v>
          </cell>
          <cell r="GL24">
            <v>0.10961620637767483</v>
          </cell>
          <cell r="GM24">
            <v>0.85018930649182767</v>
          </cell>
          <cell r="GN24">
            <v>0.14981069350817247</v>
          </cell>
          <cell r="GO24">
            <v>0.10020126624456825</v>
          </cell>
          <cell r="GP24">
            <v>0.19775294244526492</v>
          </cell>
          <cell r="GQ24">
            <v>97</v>
          </cell>
          <cell r="GR24">
            <v>96</v>
          </cell>
          <cell r="GS24">
            <v>96</v>
          </cell>
          <cell r="GT24">
            <v>96</v>
          </cell>
          <cell r="GU24">
            <v>96</v>
          </cell>
          <cell r="GV24">
            <v>83</v>
          </cell>
          <cell r="GW24">
            <v>80</v>
          </cell>
          <cell r="GX24">
            <v>82</v>
          </cell>
          <cell r="GY24">
            <v>80</v>
          </cell>
          <cell r="GZ24">
            <v>82</v>
          </cell>
          <cell r="HA24">
            <v>82</v>
          </cell>
          <cell r="HB24">
            <v>77</v>
          </cell>
          <cell r="HC24">
            <v>82</v>
          </cell>
          <cell r="HD24">
            <v>96</v>
          </cell>
          <cell r="HE24">
            <v>91</v>
          </cell>
          <cell r="HF24">
            <v>90</v>
          </cell>
          <cell r="HG24">
            <v>88</v>
          </cell>
          <cell r="HH24">
            <v>90</v>
          </cell>
          <cell r="HI24">
            <v>93</v>
          </cell>
          <cell r="HJ24">
            <v>83</v>
          </cell>
          <cell r="HK24">
            <v>88</v>
          </cell>
          <cell r="HL24">
            <v>84</v>
          </cell>
          <cell r="HM24">
            <v>92</v>
          </cell>
          <cell r="HN24">
            <v>25</v>
          </cell>
          <cell r="HO24">
            <v>1.3683634373289545E-2</v>
          </cell>
          <cell r="HP24">
            <v>2936</v>
          </cell>
          <cell r="HQ24">
            <v>2702</v>
          </cell>
          <cell r="HR24">
            <v>234</v>
          </cell>
          <cell r="HS24">
            <v>7.970027247956403E-2</v>
          </cell>
        </row>
        <row r="25">
          <cell r="A25" t="str">
            <v>Maybridge</v>
          </cell>
          <cell r="C25" t="str">
            <v>Worthing</v>
          </cell>
          <cell r="D25" t="str">
            <v>Worthing</v>
          </cell>
          <cell r="E25" t="str">
            <v>Worthing</v>
          </cell>
          <cell r="F25" t="str">
            <v>CCC</v>
          </cell>
          <cell r="G25" t="str">
            <v>Ferring, Castle, Goring</v>
          </cell>
          <cell r="H25" t="str">
            <v>Durrington</v>
          </cell>
          <cell r="I25" t="str">
            <v>B</v>
          </cell>
          <cell r="J25" t="str">
            <v>Coastal West Sussex</v>
          </cell>
          <cell r="K25" t="str">
            <v>Worthing West</v>
          </cell>
          <cell r="L25">
            <v>20310</v>
          </cell>
          <cell r="M25">
            <v>20305</v>
          </cell>
          <cell r="N25">
            <v>20430</v>
          </cell>
          <cell r="O25">
            <v>20645</v>
          </cell>
          <cell r="P25">
            <v>20655</v>
          </cell>
          <cell r="Q25">
            <v>20545</v>
          </cell>
          <cell r="R25">
            <v>20560</v>
          </cell>
          <cell r="S25">
            <v>20555</v>
          </cell>
          <cell r="T25">
            <v>20615</v>
          </cell>
          <cell r="U25">
            <v>20695</v>
          </cell>
          <cell r="V25">
            <v>925</v>
          </cell>
          <cell r="W25">
            <v>915</v>
          </cell>
          <cell r="X25">
            <v>910</v>
          </cell>
          <cell r="Y25">
            <v>865</v>
          </cell>
          <cell r="Z25">
            <v>915</v>
          </cell>
          <cell r="AA25">
            <v>930</v>
          </cell>
          <cell r="AB25">
            <v>910</v>
          </cell>
          <cell r="AC25">
            <v>900</v>
          </cell>
          <cell r="AD25">
            <v>900</v>
          </cell>
          <cell r="AE25">
            <v>900</v>
          </cell>
          <cell r="AF25">
            <v>0.87982359426681367</v>
          </cell>
          <cell r="AG25">
            <v>1.9845644983461964E-2</v>
          </cell>
          <cell r="AH25">
            <v>4.8511576626240352E-2</v>
          </cell>
          <cell r="AI25">
            <v>4.6306504961411248E-2</v>
          </cell>
          <cell r="AJ25">
            <v>4.410143329658214E-3</v>
          </cell>
          <cell r="AK25">
            <v>1.1025358324145535E-3</v>
          </cell>
          <cell r="AL25">
            <v>0.12017640573318633</v>
          </cell>
          <cell r="AM25">
            <v>1815</v>
          </cell>
          <cell r="AN25">
            <v>0.6644628099173554</v>
          </cell>
          <cell r="AO25">
            <v>0.13829201101928373</v>
          </cell>
          <cell r="AP25">
            <v>0.19724517906336089</v>
          </cell>
          <cell r="AQ25">
            <v>172</v>
          </cell>
          <cell r="AR25">
            <v>165</v>
          </cell>
          <cell r="AS25">
            <v>168</v>
          </cell>
          <cell r="AT25">
            <v>172</v>
          </cell>
          <cell r="AU25">
            <v>164</v>
          </cell>
          <cell r="AV25">
            <v>12</v>
          </cell>
          <cell r="AW25">
            <v>12</v>
          </cell>
          <cell r="AX25">
            <v>7</v>
          </cell>
          <cell r="AY25">
            <v>9</v>
          </cell>
          <cell r="AZ25">
            <v>6</v>
          </cell>
          <cell r="BA25">
            <v>1</v>
          </cell>
          <cell r="BB25">
            <v>6.0975609756097563E-3</v>
          </cell>
          <cell r="BC25">
            <v>1.0771813904626609E-3</v>
          </cell>
          <cell r="BD25">
            <v>3.3726250739703603E-2</v>
          </cell>
          <cell r="BE25">
            <v>17</v>
          </cell>
          <cell r="BF25">
            <v>272</v>
          </cell>
          <cell r="BG25">
            <v>292</v>
          </cell>
          <cell r="BH25">
            <v>145</v>
          </cell>
          <cell r="BI25">
            <v>0.14277798694365315</v>
          </cell>
          <cell r="BJ25">
            <v>2003</v>
          </cell>
          <cell r="BK25">
            <v>3568</v>
          </cell>
          <cell r="BL25">
            <v>2418</v>
          </cell>
          <cell r="BM25">
            <v>1461</v>
          </cell>
          <cell r="BN25">
            <v>1</v>
          </cell>
          <cell r="BO25">
            <v>289</v>
          </cell>
          <cell r="BP25">
            <v>506</v>
          </cell>
          <cell r="BQ25">
            <v>161</v>
          </cell>
          <cell r="BR25">
            <v>120</v>
          </cell>
          <cell r="BS25">
            <v>125</v>
          </cell>
          <cell r="BT25">
            <v>110</v>
          </cell>
          <cell r="BU25">
            <v>417</v>
          </cell>
          <cell r="BV25">
            <v>138</v>
          </cell>
          <cell r="BW25">
            <v>0.33093525179856115</v>
          </cell>
          <cell r="BX25">
            <v>42</v>
          </cell>
          <cell r="BY25">
            <v>5</v>
          </cell>
          <cell r="BZ25">
            <v>340</v>
          </cell>
          <cell r="CA25">
            <v>3.6135614836858329E-2</v>
          </cell>
          <cell r="CB25">
            <v>165</v>
          </cell>
          <cell r="CC25">
            <v>155</v>
          </cell>
          <cell r="CD25">
            <v>155</v>
          </cell>
          <cell r="CE25">
            <v>140</v>
          </cell>
          <cell r="CF25">
            <v>455</v>
          </cell>
          <cell r="CG25">
            <v>0.12730769230769229</v>
          </cell>
          <cell r="CH25">
            <v>505</v>
          </cell>
          <cell r="CI25">
            <v>0.1353076923076923</v>
          </cell>
          <cell r="CJ25">
            <v>490</v>
          </cell>
          <cell r="CK25">
            <v>0.13253846153846155</v>
          </cell>
          <cell r="CL25">
            <v>505</v>
          </cell>
          <cell r="CM25">
            <v>0.13207692307692306</v>
          </cell>
          <cell r="CN25">
            <v>475</v>
          </cell>
          <cell r="CO25">
            <v>0.11769230769230769</v>
          </cell>
          <cell r="CP25">
            <v>440</v>
          </cell>
          <cell r="CQ25">
            <v>0.14170692431561996</v>
          </cell>
          <cell r="CR25">
            <v>178</v>
          </cell>
          <cell r="CS25">
            <v>11</v>
          </cell>
          <cell r="CT25">
            <v>167</v>
          </cell>
          <cell r="CU25">
            <v>0.94481551272722752</v>
          </cell>
          <cell r="CV25">
            <v>65</v>
          </cell>
          <cell r="CW25">
            <v>80</v>
          </cell>
          <cell r="CX25">
            <v>0.39992320616052868</v>
          </cell>
          <cell r="CY25">
            <v>0.50120928204092507</v>
          </cell>
          <cell r="CZ25">
            <v>0.3185563025613693</v>
          </cell>
          <cell r="DA25">
            <v>0.46486881169651639</v>
          </cell>
          <cell r="DB25">
            <v>0.40460039183736535</v>
          </cell>
          <cell r="DC25">
            <v>0.5544259811303428</v>
          </cell>
          <cell r="DD25">
            <v>120</v>
          </cell>
          <cell r="DE25">
            <v>6</v>
          </cell>
          <cell r="DF25">
            <v>0.05</v>
          </cell>
          <cell r="DG25">
            <v>2.3114364414465797E-2</v>
          </cell>
          <cell r="DH25">
            <v>0.10480288536236734</v>
          </cell>
          <cell r="DI25" t="str">
            <v>No Sig diff</v>
          </cell>
          <cell r="DJ25">
            <v>159</v>
          </cell>
          <cell r="DK25">
            <v>8</v>
          </cell>
          <cell r="DL25">
            <v>5.0314465408805034E-2</v>
          </cell>
          <cell r="DM25">
            <v>2.5712676114661916E-2</v>
          </cell>
          <cell r="DN25">
            <v>9.6132577326242794E-2</v>
          </cell>
          <cell r="DO25" t="str">
            <v>No Sig diff</v>
          </cell>
          <cell r="DP25">
            <v>154</v>
          </cell>
          <cell r="DQ25">
            <v>12</v>
          </cell>
          <cell r="DR25">
            <v>7.792207792207792E-2</v>
          </cell>
          <cell r="DS25">
            <v>4.513428609205352E-2</v>
          </cell>
          <cell r="DT25">
            <v>0.13125447151770517</v>
          </cell>
          <cell r="DU25" t="str">
            <v>No Sig diff</v>
          </cell>
          <cell r="DV25">
            <v>200</v>
          </cell>
          <cell r="DW25">
            <v>13</v>
          </cell>
          <cell r="DX25">
            <v>6.5000000000000002E-2</v>
          </cell>
          <cell r="DY25">
            <v>3.8376354649152976E-2</v>
          </cell>
          <cell r="DZ25">
            <v>0.10801907929906893</v>
          </cell>
          <cell r="EA25" t="str">
            <v>No Sig diff</v>
          </cell>
          <cell r="EB25">
            <v>163</v>
          </cell>
          <cell r="EC25">
            <v>19</v>
          </cell>
          <cell r="ED25">
            <v>0.1165644171779141</v>
          </cell>
          <cell r="EE25">
            <v>7.5906003798999769E-2</v>
          </cell>
          <cell r="EF25">
            <v>0.17487973684632438</v>
          </cell>
          <cell r="EG25" t="str">
            <v>Sig better than Eng.</v>
          </cell>
          <cell r="EH25">
            <v>160</v>
          </cell>
          <cell r="EI25">
            <v>24</v>
          </cell>
          <cell r="EJ25">
            <v>0.15</v>
          </cell>
          <cell r="EK25">
            <v>0.10291845645016234</v>
          </cell>
          <cell r="EL25">
            <v>0.21349388016989129</v>
          </cell>
          <cell r="EM25" t="str">
            <v>No Sig diff</v>
          </cell>
          <cell r="EN25">
            <v>175</v>
          </cell>
          <cell r="EO25">
            <v>21</v>
          </cell>
          <cell r="EP25">
            <v>0.12</v>
          </cell>
          <cell r="EQ25">
            <v>7.984170687522997E-2</v>
          </cell>
          <cell r="ER25">
            <v>0.17648285636071756</v>
          </cell>
          <cell r="ES25" t="str">
            <v>Sig better than Eng.</v>
          </cell>
          <cell r="ET25">
            <v>183</v>
          </cell>
          <cell r="EU25">
            <v>38</v>
          </cell>
          <cell r="EV25">
            <v>0.20765027322404372</v>
          </cell>
          <cell r="EW25">
            <v>0.15518964041562014</v>
          </cell>
          <cell r="EX25">
            <v>0.27213232187603303</v>
          </cell>
          <cell r="EY25" t="str">
            <v>No Sig diff</v>
          </cell>
          <cell r="EZ25">
            <v>214</v>
          </cell>
          <cell r="FA25">
            <v>116</v>
          </cell>
          <cell r="FB25">
            <v>0.54205607476635509</v>
          </cell>
          <cell r="FC25">
            <v>0.47514868075029232</v>
          </cell>
          <cell r="FD25">
            <v>0.60748021871377078</v>
          </cell>
          <cell r="FE25">
            <v>214</v>
          </cell>
          <cell r="FF25">
            <v>34</v>
          </cell>
          <cell r="FG25">
            <v>42</v>
          </cell>
          <cell r="FH25">
            <v>24.166666666666668</v>
          </cell>
          <cell r="FI25">
            <v>0.28921568627450978</v>
          </cell>
          <cell r="FJ25">
            <v>197</v>
          </cell>
          <cell r="FK25">
            <v>114</v>
          </cell>
          <cell r="FL25">
            <v>0.57868020304568524</v>
          </cell>
          <cell r="FM25">
            <v>0.50887036539732466</v>
          </cell>
          <cell r="FN25">
            <v>0.64548023622659589</v>
          </cell>
          <cell r="FO25">
            <v>197</v>
          </cell>
          <cell r="FP25">
            <v>34</v>
          </cell>
          <cell r="FQ25">
            <v>39</v>
          </cell>
          <cell r="FR25">
            <v>22.820512820512818</v>
          </cell>
          <cell r="FS25">
            <v>0.32880844645550539</v>
          </cell>
          <cell r="FT25">
            <v>2557</v>
          </cell>
          <cell r="FU25">
            <v>2503</v>
          </cell>
          <cell r="FV25">
            <v>54</v>
          </cell>
          <cell r="FW25">
            <v>46</v>
          </cell>
          <cell r="FX25">
            <v>8</v>
          </cell>
          <cell r="FY25">
            <v>0.85185185185185186</v>
          </cell>
          <cell r="FZ25">
            <v>0.14814814814814814</v>
          </cell>
          <cell r="GA25">
            <v>0.84306526806526816</v>
          </cell>
          <cell r="GB25">
            <v>0.15693473193473192</v>
          </cell>
          <cell r="GC25">
            <v>0.1071850142576424</v>
          </cell>
          <cell r="GD25">
            <v>0.29145419217519991</v>
          </cell>
          <cell r="GE25">
            <v>0.86614219114219115</v>
          </cell>
          <cell r="GF25">
            <v>0.13385780885780885</v>
          </cell>
          <cell r="GG25">
            <v>7.3432373433468923E-2</v>
          </cell>
          <cell r="GH25">
            <v>0.23929814820406517</v>
          </cell>
          <cell r="GI25">
            <v>0.84114219114219102</v>
          </cell>
          <cell r="GJ25">
            <v>0.15885780885780887</v>
          </cell>
          <cell r="GK25">
            <v>0.10888765378062988</v>
          </cell>
          <cell r="GL25">
            <v>0.2955422258270492</v>
          </cell>
          <cell r="GM25">
            <v>0.80011655011655014</v>
          </cell>
          <cell r="GN25">
            <v>0.19988344988344989</v>
          </cell>
          <cell r="GO25">
            <v>0.14513708450988849</v>
          </cell>
          <cell r="GP25">
            <v>0.34644939808203273</v>
          </cell>
          <cell r="GQ25">
            <v>46</v>
          </cell>
          <cell r="GR25">
            <v>43</v>
          </cell>
          <cell r="GS25">
            <v>43</v>
          </cell>
          <cell r="GT25">
            <v>45</v>
          </cell>
          <cell r="GU25">
            <v>44</v>
          </cell>
          <cell r="GV25">
            <v>52</v>
          </cell>
          <cell r="GW25">
            <v>51</v>
          </cell>
          <cell r="GX25">
            <v>50</v>
          </cell>
          <cell r="GY25">
            <v>51</v>
          </cell>
          <cell r="GZ25">
            <v>50</v>
          </cell>
          <cell r="HA25">
            <v>52</v>
          </cell>
          <cell r="HB25">
            <v>51</v>
          </cell>
          <cell r="HC25">
            <v>51</v>
          </cell>
          <cell r="HD25">
            <v>53</v>
          </cell>
          <cell r="HE25">
            <v>50</v>
          </cell>
          <cell r="HF25">
            <v>48</v>
          </cell>
          <cell r="HG25">
            <v>44</v>
          </cell>
          <cell r="HH25">
            <v>48</v>
          </cell>
          <cell r="HI25">
            <v>49</v>
          </cell>
          <cell r="HJ25">
            <v>48</v>
          </cell>
          <cell r="HK25">
            <v>50</v>
          </cell>
          <cell r="HL25">
            <v>48</v>
          </cell>
          <cell r="HM25">
            <v>50</v>
          </cell>
          <cell r="HN25">
            <v>25</v>
          </cell>
          <cell r="HO25">
            <v>2.7563395810363836E-2</v>
          </cell>
          <cell r="HP25">
            <v>1438</v>
          </cell>
          <cell r="HQ25">
            <v>1280</v>
          </cell>
          <cell r="HR25">
            <v>158</v>
          </cell>
          <cell r="HS25">
            <v>0.10987482614742698</v>
          </cell>
        </row>
        <row r="26">
          <cell r="A26" t="str">
            <v>Mid Sussex Rural (North)</v>
          </cell>
          <cell r="C26" t="str">
            <v>Mid Sussex</v>
          </cell>
          <cell r="D26" t="str">
            <v>Mid Sussex</v>
          </cell>
          <cell r="E26" t="str">
            <v>Mid Sussex</v>
          </cell>
          <cell r="F26" t="str">
            <v>Mid Sussex</v>
          </cell>
          <cell r="G26" t="str">
            <v>Ardingly and Balcombe, Bolney, Crawley Down and Turners Hill, East Grinstead Herontye</v>
          </cell>
          <cell r="H26" t="str">
            <v>Haywards Heath/Cuckfield</v>
          </cell>
          <cell r="I26" t="str">
            <v>C2</v>
          </cell>
          <cell r="J26" t="str">
            <v>Horsham and Mid Sussex</v>
          </cell>
          <cell r="K26" t="str">
            <v>Mid Sussex</v>
          </cell>
          <cell r="L26">
            <v>23535</v>
          </cell>
          <cell r="M26">
            <v>23530</v>
          </cell>
          <cell r="N26">
            <v>23810</v>
          </cell>
          <cell r="O26">
            <v>24125</v>
          </cell>
          <cell r="P26">
            <v>24555</v>
          </cell>
          <cell r="Q26">
            <v>24770</v>
          </cell>
          <cell r="R26">
            <v>25010</v>
          </cell>
          <cell r="S26">
            <v>25180</v>
          </cell>
          <cell r="T26">
            <v>25165</v>
          </cell>
          <cell r="U26">
            <v>25335</v>
          </cell>
          <cell r="V26">
            <v>1215</v>
          </cell>
          <cell r="W26">
            <v>1180</v>
          </cell>
          <cell r="X26">
            <v>1200</v>
          </cell>
          <cell r="Y26">
            <v>1260</v>
          </cell>
          <cell r="Z26">
            <v>1290</v>
          </cell>
          <cell r="AA26">
            <v>1300</v>
          </cell>
          <cell r="AB26">
            <v>1280</v>
          </cell>
          <cell r="AC26">
            <v>1265</v>
          </cell>
          <cell r="AD26">
            <v>1230</v>
          </cell>
          <cell r="AE26">
            <v>1220</v>
          </cell>
          <cell r="AF26">
            <v>0.90383111806098515</v>
          </cell>
          <cell r="AG26">
            <v>5.0039093041438623E-2</v>
          </cell>
          <cell r="AH26">
            <v>3.4401876465989051E-2</v>
          </cell>
          <cell r="AI26">
            <v>9.3823299452697427E-3</v>
          </cell>
          <cell r="AJ26">
            <v>2.3455824863174357E-3</v>
          </cell>
          <cell r="AK26">
            <v>0</v>
          </cell>
          <cell r="AL26">
            <v>9.616888193901485E-2</v>
          </cell>
          <cell r="AM26">
            <v>2740</v>
          </cell>
          <cell r="AN26">
            <v>0.72023374726077427</v>
          </cell>
          <cell r="AO26">
            <v>8.8020452885317749E-2</v>
          </cell>
          <cell r="AP26">
            <v>0.19174579985390797</v>
          </cell>
          <cell r="AQ26">
            <v>215</v>
          </cell>
          <cell r="AR26">
            <v>227</v>
          </cell>
          <cell r="AS26">
            <v>201</v>
          </cell>
          <cell r="AT26">
            <v>208</v>
          </cell>
          <cell r="AU26">
            <v>187</v>
          </cell>
          <cell r="AV26">
            <v>6</v>
          </cell>
          <cell r="AW26">
            <v>3</v>
          </cell>
          <cell r="AX26">
            <v>7</v>
          </cell>
          <cell r="AY26">
            <v>5</v>
          </cell>
          <cell r="AZ26">
            <v>3</v>
          </cell>
          <cell r="BA26">
            <v>12</v>
          </cell>
          <cell r="BB26">
            <v>6.4171122994652413E-2</v>
          </cell>
          <cell r="BC26">
            <v>3.7086220493424561E-2</v>
          </cell>
          <cell r="BD26">
            <v>0.10880167510714658</v>
          </cell>
          <cell r="BE26">
            <v>8</v>
          </cell>
          <cell r="BF26">
            <v>356</v>
          </cell>
          <cell r="BG26">
            <v>433</v>
          </cell>
          <cell r="BH26">
            <v>209</v>
          </cell>
          <cell r="BI26">
            <v>0.16072889011779584</v>
          </cell>
          <cell r="BJ26">
            <v>2911</v>
          </cell>
          <cell r="BK26">
            <v>5302</v>
          </cell>
          <cell r="BL26">
            <v>2948</v>
          </cell>
          <cell r="BM26">
            <v>1976</v>
          </cell>
          <cell r="BN26">
            <v>2</v>
          </cell>
          <cell r="BO26">
            <v>342</v>
          </cell>
          <cell r="BP26">
            <v>453</v>
          </cell>
          <cell r="BQ26">
            <v>175</v>
          </cell>
          <cell r="BR26">
            <v>80</v>
          </cell>
          <cell r="BS26">
            <v>60</v>
          </cell>
          <cell r="BT26">
            <v>60</v>
          </cell>
          <cell r="BU26">
            <v>379</v>
          </cell>
          <cell r="BV26">
            <v>91</v>
          </cell>
          <cell r="BW26">
            <v>0.24010554089709762</v>
          </cell>
          <cell r="BX26">
            <v>49</v>
          </cell>
          <cell r="BY26">
            <v>10</v>
          </cell>
          <cell r="BZ26">
            <v>165</v>
          </cell>
          <cell r="CA26">
            <v>1.7013817281913798E-2</v>
          </cell>
          <cell r="CB26">
            <v>70</v>
          </cell>
          <cell r="CC26">
            <v>105</v>
          </cell>
          <cell r="CD26">
            <v>100</v>
          </cell>
          <cell r="CE26">
            <v>95</v>
          </cell>
          <cell r="CF26">
            <v>250</v>
          </cell>
          <cell r="CG26">
            <v>5.2600000000000001E-2</v>
          </cell>
          <cell r="CH26">
            <v>270</v>
          </cell>
          <cell r="CI26">
            <v>5.1533333333333348E-2</v>
          </cell>
          <cell r="CJ26">
            <v>270</v>
          </cell>
          <cell r="CK26">
            <v>6.1333333333333344E-2</v>
          </cell>
          <cell r="CL26">
            <v>215</v>
          </cell>
          <cell r="CM26">
            <v>6.2000000000000013E-2</v>
          </cell>
          <cell r="CN26">
            <v>220</v>
          </cell>
          <cell r="CO26">
            <v>6.0333333333333343E-2</v>
          </cell>
          <cell r="CP26">
            <v>245</v>
          </cell>
          <cell r="CQ26">
            <v>5.9178743961352656E-2</v>
          </cell>
          <cell r="CR26">
            <v>187</v>
          </cell>
          <cell r="CS26">
            <v>5</v>
          </cell>
          <cell r="CT26">
            <v>182</v>
          </cell>
          <cell r="CU26">
            <v>0.97033475783475776</v>
          </cell>
          <cell r="CV26">
            <v>95</v>
          </cell>
          <cell r="CW26">
            <v>118</v>
          </cell>
          <cell r="CX26">
            <v>0.55904556457188048</v>
          </cell>
          <cell r="CY26">
            <v>0.68774524695577322</v>
          </cell>
          <cell r="CZ26">
            <v>0.44970404802433445</v>
          </cell>
          <cell r="DA26">
            <v>0.59334336439570501</v>
          </cell>
          <cell r="DB26">
            <v>0.57656597835294798</v>
          </cell>
          <cell r="DC26">
            <v>0.71400405548231827</v>
          </cell>
          <cell r="DD26">
            <v>181</v>
          </cell>
          <cell r="DE26">
            <v>12</v>
          </cell>
          <cell r="DF26">
            <v>6.6000000000000003E-2</v>
          </cell>
          <cell r="DG26">
            <v>3.7999999999999999E-2</v>
          </cell>
          <cell r="DH26">
            <v>0.112</v>
          </cell>
          <cell r="DI26" t="str">
            <v>No Sig diff</v>
          </cell>
          <cell r="DJ26">
            <v>207</v>
          </cell>
          <cell r="DK26">
            <v>18</v>
          </cell>
          <cell r="DL26">
            <v>8.6999999999999994E-2</v>
          </cell>
          <cell r="DM26">
            <v>5.6000000000000001E-2</v>
          </cell>
          <cell r="DN26">
            <v>0.13300000000000001</v>
          </cell>
          <cell r="DO26" t="str">
            <v>No Sig diff</v>
          </cell>
          <cell r="DP26">
            <v>189</v>
          </cell>
          <cell r="DQ26">
            <v>9</v>
          </cell>
          <cell r="DR26">
            <v>4.7619047619047616E-2</v>
          </cell>
          <cell r="DS26">
            <v>2.5251906693033909E-2</v>
          </cell>
          <cell r="DT26">
            <v>8.8009312934030443E-2</v>
          </cell>
          <cell r="DU26" t="str">
            <v>Sig better than Eng.</v>
          </cell>
          <cell r="DV26">
            <v>190</v>
          </cell>
          <cell r="DW26">
            <v>15</v>
          </cell>
          <cell r="DX26">
            <v>7.8947368421052627E-2</v>
          </cell>
          <cell r="DY26">
            <v>4.8424492181179869E-2</v>
          </cell>
          <cell r="DZ26">
            <v>0.12615869052174186</v>
          </cell>
          <cell r="EA26" t="str">
            <v>No Sig diff</v>
          </cell>
          <cell r="EB26">
            <v>175</v>
          </cell>
          <cell r="EC26">
            <v>23</v>
          </cell>
          <cell r="ED26">
            <v>0.13100000000000001</v>
          </cell>
          <cell r="EE26">
            <v>8.8999999999999996E-2</v>
          </cell>
          <cell r="EF26">
            <v>0.189</v>
          </cell>
          <cell r="EG26" t="str">
            <v>No Sig diff</v>
          </cell>
          <cell r="EH26">
            <v>189</v>
          </cell>
          <cell r="EI26">
            <v>21</v>
          </cell>
          <cell r="EJ26">
            <v>0.111</v>
          </cell>
          <cell r="EK26">
            <v>7.3999999999999996E-2</v>
          </cell>
          <cell r="EL26">
            <v>0.16400000000000001</v>
          </cell>
          <cell r="EM26" t="str">
            <v>Sig better than Eng.</v>
          </cell>
          <cell r="EN26">
            <v>183</v>
          </cell>
          <cell r="EO26">
            <v>28</v>
          </cell>
          <cell r="EP26">
            <v>0.15300546448087432</v>
          </cell>
          <cell r="EQ26">
            <v>0.10803050767038307</v>
          </cell>
          <cell r="ER26">
            <v>0.21224883075055107</v>
          </cell>
          <cell r="ES26" t="str">
            <v>No Sig diff</v>
          </cell>
          <cell r="ET26">
            <v>174</v>
          </cell>
          <cell r="EU26">
            <v>14</v>
          </cell>
          <cell r="EV26">
            <v>8.0459770114942528E-2</v>
          </cell>
          <cell r="EW26">
            <v>4.8531099813854901E-2</v>
          </cell>
          <cell r="EX26">
            <v>0.13051297141589011</v>
          </cell>
          <cell r="EY26" t="str">
            <v>Sig better than Eng.</v>
          </cell>
          <cell r="EZ26">
            <v>238</v>
          </cell>
          <cell r="FA26">
            <v>133</v>
          </cell>
          <cell r="FB26">
            <v>0.55882352941176472</v>
          </cell>
          <cell r="FC26">
            <v>0.49530353405154642</v>
          </cell>
          <cell r="FD26">
            <v>0.62047479500972391</v>
          </cell>
          <cell r="FE26">
            <v>238</v>
          </cell>
          <cell r="FF26">
            <v>34</v>
          </cell>
          <cell r="FG26">
            <v>47</v>
          </cell>
          <cell r="FH26">
            <v>25.106382978723406</v>
          </cell>
          <cell r="FI26">
            <v>0.26157697121401746</v>
          </cell>
          <cell r="FJ26">
            <v>203</v>
          </cell>
          <cell r="FK26">
            <v>114</v>
          </cell>
          <cell r="FL26">
            <v>0.56157635467980294</v>
          </cell>
          <cell r="FM26">
            <v>0.49280222994584766</v>
          </cell>
          <cell r="FN26">
            <v>0.62806328774358189</v>
          </cell>
          <cell r="FO26">
            <v>203</v>
          </cell>
          <cell r="FP26">
            <v>34</v>
          </cell>
          <cell r="FQ26">
            <v>40</v>
          </cell>
          <cell r="FR26">
            <v>23.924999999999997</v>
          </cell>
          <cell r="FS26">
            <v>0.29632352941176476</v>
          </cell>
          <cell r="FT26">
            <v>4108</v>
          </cell>
          <cell r="FU26">
            <v>4023</v>
          </cell>
          <cell r="FV26">
            <v>85</v>
          </cell>
          <cell r="FW26">
            <v>80</v>
          </cell>
          <cell r="FX26">
            <v>5</v>
          </cell>
          <cell r="FY26">
            <v>0.94117647058823528</v>
          </cell>
          <cell r="FZ26">
            <v>5.8823529411764705E-2</v>
          </cell>
          <cell r="GA26">
            <v>0.89808802308802316</v>
          </cell>
          <cell r="GB26">
            <v>0.10191197691197691</v>
          </cell>
          <cell r="GC26">
            <v>5.4673224147554787E-2</v>
          </cell>
          <cell r="GD26">
            <v>0.15135598293107455</v>
          </cell>
          <cell r="GE26">
            <v>0.93512506012506003</v>
          </cell>
          <cell r="GF26">
            <v>6.4874939874939877E-2</v>
          </cell>
          <cell r="GG26">
            <v>3.3940885823589673E-2</v>
          </cell>
          <cell r="GH26">
            <v>0.11685557044311824</v>
          </cell>
          <cell r="GI26">
            <v>0.92475468975468966</v>
          </cell>
          <cell r="GJ26">
            <v>7.5245310245310254E-2</v>
          </cell>
          <cell r="GK26">
            <v>4.411767148383796E-2</v>
          </cell>
          <cell r="GL26">
            <v>0.13429516018883067</v>
          </cell>
          <cell r="GM26">
            <v>0.84827894327894338</v>
          </cell>
          <cell r="GN26">
            <v>0.15172105672105671</v>
          </cell>
          <cell r="GO26">
            <v>0.12307779859865452</v>
          </cell>
          <cell r="GP26">
            <v>0.24864966091573915</v>
          </cell>
          <cell r="GQ26">
            <v>41</v>
          </cell>
          <cell r="GR26">
            <v>37</v>
          </cell>
          <cell r="GS26">
            <v>37</v>
          </cell>
          <cell r="GT26">
            <v>37</v>
          </cell>
          <cell r="GU26">
            <v>37</v>
          </cell>
          <cell r="GV26">
            <v>58</v>
          </cell>
          <cell r="GW26">
            <v>54</v>
          </cell>
          <cell r="GX26">
            <v>56</v>
          </cell>
          <cell r="GY26">
            <v>55</v>
          </cell>
          <cell r="GZ26">
            <v>56</v>
          </cell>
          <cell r="HA26">
            <v>56</v>
          </cell>
          <cell r="HB26">
            <v>55</v>
          </cell>
          <cell r="HC26">
            <v>56</v>
          </cell>
          <cell r="HD26">
            <v>61</v>
          </cell>
          <cell r="HE26">
            <v>57</v>
          </cell>
          <cell r="HF26">
            <v>57</v>
          </cell>
          <cell r="HG26">
            <v>56</v>
          </cell>
          <cell r="HH26">
            <v>58</v>
          </cell>
          <cell r="HI26">
            <v>58</v>
          </cell>
          <cell r="HJ26">
            <v>54</v>
          </cell>
          <cell r="HK26">
            <v>57</v>
          </cell>
          <cell r="HL26">
            <v>57</v>
          </cell>
          <cell r="HM26">
            <v>58</v>
          </cell>
          <cell r="HN26">
            <v>33</v>
          </cell>
          <cell r="HO26">
            <v>2.5923016496465043E-2</v>
          </cell>
          <cell r="HP26">
            <v>2076</v>
          </cell>
          <cell r="HQ26">
            <v>1949</v>
          </cell>
          <cell r="HR26">
            <v>127</v>
          </cell>
          <cell r="HS26">
            <v>6.1175337186897882E-2</v>
          </cell>
        </row>
        <row r="27">
          <cell r="A27" t="str">
            <v>Midhurst</v>
          </cell>
          <cell r="C27" t="str">
            <v>Chichester</v>
          </cell>
          <cell r="D27" t="str">
            <v>Chichester Rural</v>
          </cell>
          <cell r="E27" t="str">
            <v>Chichester</v>
          </cell>
          <cell r="F27" t="str">
            <v>Arch</v>
          </cell>
          <cell r="G27" t="str">
            <v>Easebourne, Fernhurst, Harting, Midhurst, Rogate, Stedham</v>
          </cell>
          <cell r="H27" t="str">
            <v>Midhurst/Petworth</v>
          </cell>
          <cell r="I27" t="str">
            <v>A</v>
          </cell>
          <cell r="J27" t="str">
            <v>Coastal West Sussex</v>
          </cell>
          <cell r="K27" t="str">
            <v>Chichester</v>
          </cell>
          <cell r="L27">
            <v>15945</v>
          </cell>
          <cell r="M27">
            <v>15990</v>
          </cell>
          <cell r="N27">
            <v>15980</v>
          </cell>
          <cell r="O27">
            <v>16045</v>
          </cell>
          <cell r="P27">
            <v>16120</v>
          </cell>
          <cell r="Q27">
            <v>16080</v>
          </cell>
          <cell r="R27">
            <v>16020</v>
          </cell>
          <cell r="S27">
            <v>16095</v>
          </cell>
          <cell r="T27">
            <v>16150</v>
          </cell>
          <cell r="U27">
            <v>16255</v>
          </cell>
          <cell r="V27">
            <v>755</v>
          </cell>
          <cell r="W27">
            <v>770</v>
          </cell>
          <cell r="X27">
            <v>810</v>
          </cell>
          <cell r="Y27">
            <v>830</v>
          </cell>
          <cell r="Z27">
            <v>830</v>
          </cell>
          <cell r="AA27">
            <v>815</v>
          </cell>
          <cell r="AB27">
            <v>815</v>
          </cell>
          <cell r="AC27">
            <v>790</v>
          </cell>
          <cell r="AD27">
            <v>785</v>
          </cell>
          <cell r="AE27">
            <v>815</v>
          </cell>
          <cell r="AF27">
            <v>0.92874692874692877</v>
          </cell>
          <cell r="AG27">
            <v>1.7199017199017199E-2</v>
          </cell>
          <cell r="AH27">
            <v>4.1769041769041768E-2</v>
          </cell>
          <cell r="AI27">
            <v>7.3710073710073713E-3</v>
          </cell>
          <cell r="AJ27">
            <v>1.2285012285012285E-3</v>
          </cell>
          <cell r="AK27">
            <v>3.6855036855036856E-3</v>
          </cell>
          <cell r="AL27">
            <v>7.125307125307126E-2</v>
          </cell>
          <cell r="AM27">
            <v>1650</v>
          </cell>
          <cell r="AN27">
            <v>0.60097028502122496</v>
          </cell>
          <cell r="AO27">
            <v>0.1952698605215282</v>
          </cell>
          <cell r="AP27">
            <v>0.20375985445724681</v>
          </cell>
          <cell r="AQ27">
            <v>117</v>
          </cell>
          <cell r="AR27">
            <v>125</v>
          </cell>
          <cell r="AS27">
            <v>99</v>
          </cell>
          <cell r="AT27">
            <v>127</v>
          </cell>
          <cell r="AU27">
            <v>97</v>
          </cell>
          <cell r="AV27">
            <v>4</v>
          </cell>
          <cell r="AW27">
            <v>7</v>
          </cell>
          <cell r="AX27">
            <v>1</v>
          </cell>
          <cell r="AY27">
            <v>5</v>
          </cell>
          <cell r="AZ27">
            <v>3</v>
          </cell>
          <cell r="BA27">
            <v>13</v>
          </cell>
          <cell r="BB27">
            <v>0.13402061855670103</v>
          </cell>
          <cell r="BC27">
            <v>8.002456680409932E-2</v>
          </cell>
          <cell r="BD27">
            <v>0.21589993854994483</v>
          </cell>
          <cell r="BE27">
            <v>7</v>
          </cell>
          <cell r="BF27">
            <v>198</v>
          </cell>
          <cell r="BG27">
            <v>277</v>
          </cell>
          <cell r="BH27">
            <v>134</v>
          </cell>
          <cell r="BI27">
            <v>0.13288068869650085</v>
          </cell>
          <cell r="BJ27">
            <v>1708</v>
          </cell>
          <cell r="BK27">
            <v>3061</v>
          </cell>
          <cell r="BL27">
            <v>1612</v>
          </cell>
          <cell r="BM27">
            <v>1037</v>
          </cell>
          <cell r="BN27">
            <v>0</v>
          </cell>
          <cell r="BO27">
            <v>188</v>
          </cell>
          <cell r="BP27">
            <v>295</v>
          </cell>
          <cell r="BQ27">
            <v>92</v>
          </cell>
          <cell r="BR27">
            <v>70</v>
          </cell>
          <cell r="BS27">
            <v>70</v>
          </cell>
          <cell r="BT27">
            <v>55</v>
          </cell>
          <cell r="BU27">
            <v>308</v>
          </cell>
          <cell r="BV27">
            <v>98</v>
          </cell>
          <cell r="BW27">
            <v>0.31818181818181818</v>
          </cell>
          <cell r="BX27">
            <v>26</v>
          </cell>
          <cell r="BY27">
            <v>6</v>
          </cell>
          <cell r="BZ27">
            <v>207</v>
          </cell>
          <cell r="CA27">
            <v>2.8618830360846122E-2</v>
          </cell>
          <cell r="CB27">
            <v>85</v>
          </cell>
          <cell r="CC27">
            <v>95</v>
          </cell>
          <cell r="CD27">
            <v>95</v>
          </cell>
          <cell r="CE27">
            <v>80</v>
          </cell>
          <cell r="CF27">
            <v>250</v>
          </cell>
          <cell r="CG27">
            <v>8.1166666666666665E-2</v>
          </cell>
          <cell r="CH27">
            <v>240</v>
          </cell>
          <cell r="CI27">
            <v>7.4999999999999997E-2</v>
          </cell>
          <cell r="CJ27">
            <v>250</v>
          </cell>
          <cell r="CK27">
            <v>7.1749999999999994E-2</v>
          </cell>
          <cell r="CL27">
            <v>270</v>
          </cell>
          <cell r="CM27">
            <v>7.2083333333333333E-2</v>
          </cell>
          <cell r="CN27">
            <v>280</v>
          </cell>
          <cell r="CO27">
            <v>6.7708333333333329E-2</v>
          </cell>
          <cell r="CP27">
            <v>235</v>
          </cell>
          <cell r="CQ27">
            <v>8.7850467289719625E-2</v>
          </cell>
          <cell r="CR27">
            <v>138</v>
          </cell>
          <cell r="CS27">
            <v>4</v>
          </cell>
          <cell r="CT27">
            <v>134</v>
          </cell>
          <cell r="CU27">
            <v>0.73487494778613194</v>
          </cell>
          <cell r="CV27">
            <v>67</v>
          </cell>
          <cell r="CW27">
            <v>83</v>
          </cell>
          <cell r="CX27">
            <v>0.42403308238971876</v>
          </cell>
          <cell r="CY27">
            <v>0.51246345359498269</v>
          </cell>
          <cell r="CZ27">
            <v>0.41652894110160354</v>
          </cell>
          <cell r="DA27">
            <v>0.58347105889839646</v>
          </cell>
          <cell r="DB27">
            <v>0.53495096670916298</v>
          </cell>
          <cell r="DC27">
            <v>0.69719955969215563</v>
          </cell>
          <cell r="DD27">
            <v>114</v>
          </cell>
          <cell r="DE27">
            <v>10</v>
          </cell>
          <cell r="DF27">
            <v>8.771929824561403E-2</v>
          </cell>
          <cell r="DG27">
            <v>4.8345105411009885E-2</v>
          </cell>
          <cell r="DH27">
            <v>0.15397298415856125</v>
          </cell>
          <cell r="DI27" t="str">
            <v>No Sig diff</v>
          </cell>
          <cell r="DJ27">
            <v>133</v>
          </cell>
          <cell r="DK27">
            <v>9</v>
          </cell>
          <cell r="DL27">
            <v>6.7669172932330823E-2</v>
          </cell>
          <cell r="DM27">
            <v>3.6006387177108239E-2</v>
          </cell>
          <cell r="DN27">
            <v>0.12360502744039735</v>
          </cell>
          <cell r="DO27" t="str">
            <v>No Sig diff</v>
          </cell>
          <cell r="DP27">
            <v>141</v>
          </cell>
          <cell r="DQ27">
            <v>7</v>
          </cell>
          <cell r="DR27">
            <v>4.9645390070921988E-2</v>
          </cell>
          <cell r="DS27">
            <v>2.4253530324488033E-2</v>
          </cell>
          <cell r="DT27">
            <v>9.8925695885742834E-2</v>
          </cell>
          <cell r="DU27" t="str">
            <v>No Sig diff</v>
          </cell>
          <cell r="DV27">
            <v>123</v>
          </cell>
          <cell r="DW27">
            <v>6</v>
          </cell>
          <cell r="DX27">
            <v>4.878048780487805E-2</v>
          </cell>
          <cell r="DY27">
            <v>2.2545774253251705E-2</v>
          </cell>
          <cell r="DZ27">
            <v>0.10234603137544228</v>
          </cell>
          <cell r="EA27" t="str">
            <v>No Sig diff</v>
          </cell>
          <cell r="EB27">
            <v>88</v>
          </cell>
          <cell r="EC27">
            <v>10</v>
          </cell>
          <cell r="ED27">
            <v>0.11363636363636363</v>
          </cell>
          <cell r="EE27">
            <v>6.2908003751013547E-2</v>
          </cell>
          <cell r="EF27">
            <v>0.1966856386718577</v>
          </cell>
          <cell r="EG27" t="str">
            <v>No Sig diff</v>
          </cell>
          <cell r="EH27">
            <v>88</v>
          </cell>
          <cell r="EI27">
            <v>17</v>
          </cell>
          <cell r="EJ27">
            <v>0.19318181818181818</v>
          </cell>
          <cell r="EK27">
            <v>0.12425957732106709</v>
          </cell>
          <cell r="EL27">
            <v>0.2877706681323895</v>
          </cell>
          <cell r="EM27" t="str">
            <v>No Sig diff</v>
          </cell>
          <cell r="EN27">
            <v>91</v>
          </cell>
          <cell r="EO27">
            <v>13</v>
          </cell>
          <cell r="EP27">
            <v>0.14285714285714285</v>
          </cell>
          <cell r="EQ27">
            <v>8.542758136548774E-2</v>
          </cell>
          <cell r="ER27">
            <v>0.22921813572656949</v>
          </cell>
          <cell r="ES27" t="str">
            <v>No Sig diff</v>
          </cell>
          <cell r="ET27">
            <v>100</v>
          </cell>
          <cell r="EU27">
            <v>6</v>
          </cell>
          <cell r="EV27">
            <v>0.06</v>
          </cell>
          <cell r="EW27">
            <v>2.7786123963188188E-2</v>
          </cell>
          <cell r="EX27">
            <v>0.1247681544589592</v>
          </cell>
          <cell r="EY27" t="str">
            <v>Sig better than Eng.</v>
          </cell>
          <cell r="EZ27">
            <v>150</v>
          </cell>
          <cell r="FA27">
            <v>80</v>
          </cell>
          <cell r="FB27">
            <v>0.53333333333333333</v>
          </cell>
          <cell r="FC27">
            <v>0.45366249130807695</v>
          </cell>
          <cell r="FD27">
            <v>0.61133949240071794</v>
          </cell>
          <cell r="FE27">
            <v>150</v>
          </cell>
          <cell r="FF27">
            <v>34</v>
          </cell>
          <cell r="FG27">
            <v>30</v>
          </cell>
          <cell r="FH27">
            <v>25.433333333333334</v>
          </cell>
          <cell r="FI27">
            <v>0.25196078431372548</v>
          </cell>
          <cell r="FJ27">
            <v>166</v>
          </cell>
          <cell r="FK27">
            <v>90</v>
          </cell>
          <cell r="FL27">
            <v>0.54216867469879515</v>
          </cell>
          <cell r="FM27">
            <v>0.46628048237198927</v>
          </cell>
          <cell r="FN27">
            <v>0.61614933245184689</v>
          </cell>
          <cell r="FO27">
            <v>166</v>
          </cell>
          <cell r="FP27">
            <v>34</v>
          </cell>
          <cell r="FQ27">
            <v>33</v>
          </cell>
          <cell r="FR27">
            <v>25.515151515151519</v>
          </cell>
          <cell r="FS27">
            <v>0.2495543672014259</v>
          </cell>
          <cell r="FT27">
            <v>2265</v>
          </cell>
          <cell r="FU27">
            <v>2068</v>
          </cell>
          <cell r="FV27">
            <v>197</v>
          </cell>
          <cell r="FW27">
            <v>169</v>
          </cell>
          <cell r="FX27">
            <v>28</v>
          </cell>
          <cell r="FY27">
            <v>0.85786802030456855</v>
          </cell>
          <cell r="FZ27">
            <v>0.14213197969543148</v>
          </cell>
          <cell r="GB27">
            <v>0.15909090909090909</v>
          </cell>
          <cell r="GC27">
            <v>9.71981376163292E-2</v>
          </cell>
          <cell r="GD27">
            <v>0.24950313936490803</v>
          </cell>
          <cell r="GF27">
            <v>0.125</v>
          </cell>
          <cell r="GG27">
            <v>7.1252008979545867E-2</v>
          </cell>
          <cell r="GH27">
            <v>0.21011939569981511</v>
          </cell>
          <cell r="GJ27">
            <v>0.12643678160919541</v>
          </cell>
          <cell r="GK27">
            <v>7.2088787763500334E-2</v>
          </cell>
          <cell r="GL27">
            <v>0.21238000186592054</v>
          </cell>
          <cell r="GN27">
            <v>0.29545454545454547</v>
          </cell>
          <cell r="GO27">
            <v>0.21030723719315755</v>
          </cell>
          <cell r="GP27">
            <v>0.39771352899558482</v>
          </cell>
          <cell r="GQ27">
            <v>29</v>
          </cell>
          <cell r="GR27">
            <v>27</v>
          </cell>
          <cell r="GS27">
            <v>27</v>
          </cell>
          <cell r="GT27">
            <v>28</v>
          </cell>
          <cell r="GU27">
            <v>27</v>
          </cell>
          <cell r="GV27">
            <v>22</v>
          </cell>
          <cell r="GW27">
            <v>22</v>
          </cell>
          <cell r="GX27">
            <v>22</v>
          </cell>
          <cell r="GY27">
            <v>22</v>
          </cell>
          <cell r="GZ27">
            <v>22</v>
          </cell>
          <cell r="HA27">
            <v>22</v>
          </cell>
          <cell r="HB27">
            <v>22</v>
          </cell>
          <cell r="HC27">
            <v>22</v>
          </cell>
          <cell r="HD27">
            <v>39</v>
          </cell>
          <cell r="HE27">
            <v>33</v>
          </cell>
          <cell r="HF27">
            <v>33</v>
          </cell>
          <cell r="HG27">
            <v>33</v>
          </cell>
          <cell r="HH27">
            <v>33</v>
          </cell>
          <cell r="HI27">
            <v>34</v>
          </cell>
          <cell r="HJ27">
            <v>33</v>
          </cell>
          <cell r="HK27">
            <v>34</v>
          </cell>
          <cell r="HL27">
            <v>31</v>
          </cell>
          <cell r="HM27">
            <v>33</v>
          </cell>
          <cell r="HN27">
            <v>12</v>
          </cell>
          <cell r="HO27">
            <v>1.4742014742014743E-2</v>
          </cell>
          <cell r="HP27">
            <v>1220</v>
          </cell>
          <cell r="HQ27">
            <v>1116</v>
          </cell>
          <cell r="HR27">
            <v>104</v>
          </cell>
          <cell r="HS27">
            <v>8.5245901639344257E-2</v>
          </cell>
        </row>
        <row r="28">
          <cell r="A28" t="str">
            <v>Northgate</v>
          </cell>
          <cell r="C28" t="str">
            <v>Crawley</v>
          </cell>
          <cell r="D28" t="str">
            <v>Crawley</v>
          </cell>
          <cell r="E28" t="str">
            <v>Crawley</v>
          </cell>
          <cell r="F28" t="str">
            <v>Crawley</v>
          </cell>
          <cell r="G28" t="str">
            <v>Northgate, Three Bridges, West Green</v>
          </cell>
          <cell r="H28" t="str">
            <v>Crawley NE</v>
          </cell>
          <cell r="I28" t="str">
            <v>C1</v>
          </cell>
          <cell r="J28" t="str">
            <v>Crawley</v>
          </cell>
          <cell r="K28" t="str">
            <v>Crawley</v>
          </cell>
          <cell r="L28">
            <v>14675</v>
          </cell>
          <cell r="M28">
            <v>14925</v>
          </cell>
          <cell r="N28">
            <v>15190</v>
          </cell>
          <cell r="O28">
            <v>15405</v>
          </cell>
          <cell r="P28">
            <v>15880</v>
          </cell>
          <cell r="Q28">
            <v>16250</v>
          </cell>
          <cell r="R28">
            <v>17140</v>
          </cell>
          <cell r="S28">
            <v>17785</v>
          </cell>
          <cell r="T28">
            <v>18270</v>
          </cell>
          <cell r="U28">
            <v>18550</v>
          </cell>
          <cell r="V28">
            <v>795</v>
          </cell>
          <cell r="W28">
            <v>810</v>
          </cell>
          <cell r="X28">
            <v>830</v>
          </cell>
          <cell r="Y28">
            <v>825</v>
          </cell>
          <cell r="Z28">
            <v>895</v>
          </cell>
          <cell r="AA28">
            <v>980</v>
          </cell>
          <cell r="AB28">
            <v>1180</v>
          </cell>
          <cell r="AC28">
            <v>1340</v>
          </cell>
          <cell r="AD28">
            <v>1425</v>
          </cell>
          <cell r="AE28">
            <v>1455</v>
          </cell>
          <cell r="AF28">
            <v>0.5143939393939394</v>
          </cell>
          <cell r="AG28">
            <v>7.9545454545454544E-2</v>
          </cell>
          <cell r="AH28">
            <v>8.8636363636363638E-2</v>
          </cell>
          <cell r="AI28">
            <v>0.26212121212121214</v>
          </cell>
          <cell r="AJ28">
            <v>3.2575757575757577E-2</v>
          </cell>
          <cell r="AK28">
            <v>2.2727272727272728E-2</v>
          </cell>
          <cell r="AL28">
            <v>0.4856060606060606</v>
          </cell>
          <cell r="AM28">
            <v>2205</v>
          </cell>
          <cell r="AN28">
            <v>0.37431941923774953</v>
          </cell>
          <cell r="AO28">
            <v>0.37749546279491836</v>
          </cell>
          <cell r="AP28">
            <v>0.24818511796733211</v>
          </cell>
          <cell r="AQ28">
            <v>199</v>
          </cell>
          <cell r="AR28">
            <v>311</v>
          </cell>
          <cell r="AS28">
            <v>317</v>
          </cell>
          <cell r="AT28">
            <v>298</v>
          </cell>
          <cell r="AU28">
            <v>307</v>
          </cell>
          <cell r="AV28">
            <v>8</v>
          </cell>
          <cell r="AW28">
            <v>13</v>
          </cell>
          <cell r="AX28">
            <v>17</v>
          </cell>
          <cell r="AY28">
            <v>7</v>
          </cell>
          <cell r="AZ28">
            <v>9</v>
          </cell>
          <cell r="BA28">
            <v>21</v>
          </cell>
          <cell r="BB28">
            <v>6.8403908794788276E-2</v>
          </cell>
          <cell r="BC28">
            <v>4.517237630442774E-2</v>
          </cell>
          <cell r="BD28">
            <v>0.1023029926332059</v>
          </cell>
          <cell r="BE28">
            <v>20</v>
          </cell>
          <cell r="BF28">
            <v>514</v>
          </cell>
          <cell r="BG28">
            <v>330</v>
          </cell>
          <cell r="BH28">
            <v>171</v>
          </cell>
          <cell r="BI28">
            <v>0.13425414475583303</v>
          </cell>
          <cell r="BJ28">
            <v>2102</v>
          </cell>
          <cell r="BK28">
            <v>3595</v>
          </cell>
          <cell r="BL28">
            <v>2365</v>
          </cell>
          <cell r="BM28">
            <v>1231</v>
          </cell>
          <cell r="BN28">
            <v>5</v>
          </cell>
          <cell r="BO28">
            <v>338</v>
          </cell>
          <cell r="BP28">
            <v>561</v>
          </cell>
          <cell r="BQ28">
            <v>230</v>
          </cell>
          <cell r="BR28">
            <v>195</v>
          </cell>
          <cell r="BS28">
            <v>175</v>
          </cell>
          <cell r="BT28">
            <v>145</v>
          </cell>
          <cell r="BU28">
            <v>507</v>
          </cell>
          <cell r="BV28">
            <v>211</v>
          </cell>
          <cell r="BW28">
            <v>0.41617357001972388</v>
          </cell>
          <cell r="BX28">
            <v>30</v>
          </cell>
          <cell r="BY28">
            <v>3</v>
          </cell>
          <cell r="BZ28">
            <v>422</v>
          </cell>
          <cell r="CA28">
            <v>5.5687516495117446E-2</v>
          </cell>
          <cell r="CB28">
            <v>290</v>
          </cell>
          <cell r="CC28">
            <v>295</v>
          </cell>
          <cell r="CD28">
            <v>235</v>
          </cell>
          <cell r="CE28">
            <v>210</v>
          </cell>
          <cell r="CF28">
            <v>610</v>
          </cell>
          <cell r="CG28">
            <v>0.17241666666666666</v>
          </cell>
          <cell r="CH28">
            <v>635</v>
          </cell>
          <cell r="CI28">
            <v>0.18791666666666665</v>
          </cell>
          <cell r="CJ28">
            <v>580</v>
          </cell>
          <cell r="CK28">
            <v>0.19166666666666668</v>
          </cell>
          <cell r="CL28">
            <v>535</v>
          </cell>
          <cell r="CM28">
            <v>0.19466666666666668</v>
          </cell>
          <cell r="CN28">
            <v>475</v>
          </cell>
          <cell r="CO28">
            <v>0.17633333333333334</v>
          </cell>
          <cell r="CP28">
            <v>550</v>
          </cell>
          <cell r="CQ28">
            <v>0.17027863777089783</v>
          </cell>
          <cell r="CR28">
            <v>258</v>
          </cell>
          <cell r="CS28">
            <v>8</v>
          </cell>
          <cell r="CT28">
            <v>250</v>
          </cell>
          <cell r="CU28">
            <v>0.88818493037600588</v>
          </cell>
          <cell r="CV28">
            <v>108</v>
          </cell>
          <cell r="CW28">
            <v>155</v>
          </cell>
          <cell r="CX28">
            <v>0.39258947574164954</v>
          </cell>
          <cell r="CY28">
            <v>0.55961337374380848</v>
          </cell>
          <cell r="CZ28">
            <v>0.37208205941359102</v>
          </cell>
          <cell r="DA28">
            <v>0.49397614381235777</v>
          </cell>
          <cell r="DB28">
            <v>0.55844423217073813</v>
          </cell>
          <cell r="DC28">
            <v>0.67792364448935216</v>
          </cell>
          <cell r="DD28">
            <v>129</v>
          </cell>
          <cell r="DE28">
            <v>15</v>
          </cell>
          <cell r="DF28">
            <v>0.11627906976744186</v>
          </cell>
          <cell r="DG28">
            <v>7.1745771694535582E-2</v>
          </cell>
          <cell r="DH28">
            <v>0.18300495990027799</v>
          </cell>
          <cell r="DI28" t="str">
            <v>No Sig diff</v>
          </cell>
          <cell r="DJ28">
            <v>154</v>
          </cell>
          <cell r="DK28">
            <v>16</v>
          </cell>
          <cell r="DL28">
            <v>0.1038961038961039</v>
          </cell>
          <cell r="DM28">
            <v>6.4968878575839786E-2</v>
          </cell>
          <cell r="DN28">
            <v>0.1621036477963953</v>
          </cell>
          <cell r="DO28" t="str">
            <v>No Sig diff</v>
          </cell>
          <cell r="DP28">
            <v>132</v>
          </cell>
          <cell r="DQ28">
            <v>8</v>
          </cell>
          <cell r="DR28">
            <v>6.0606060606060608E-2</v>
          </cell>
          <cell r="DS28">
            <v>3.1026884470063115E-2</v>
          </cell>
          <cell r="DT28">
            <v>0.11503646756507763</v>
          </cell>
          <cell r="DU28" t="str">
            <v>No Sig diff</v>
          </cell>
          <cell r="DV28">
            <v>183</v>
          </cell>
          <cell r="DW28">
            <v>14</v>
          </cell>
          <cell r="DX28">
            <v>7.650273224043716E-2</v>
          </cell>
          <cell r="DY28">
            <v>4.6115353092286537E-2</v>
          </cell>
          <cell r="DZ28">
            <v>0.12430431190964095</v>
          </cell>
          <cell r="EA28" t="str">
            <v>No Sig diff</v>
          </cell>
          <cell r="EB28">
            <v>114</v>
          </cell>
          <cell r="EC28">
            <v>23</v>
          </cell>
          <cell r="ED28">
            <v>0.20175438596491227</v>
          </cell>
          <cell r="EE28">
            <v>0.13837064215120354</v>
          </cell>
          <cell r="EF28">
            <v>0.28458286945231603</v>
          </cell>
          <cell r="EG28" t="str">
            <v>No Sig diff</v>
          </cell>
          <cell r="EH28">
            <v>119</v>
          </cell>
          <cell r="EI28">
            <v>17</v>
          </cell>
          <cell r="EJ28">
            <v>0.14285714285714285</v>
          </cell>
          <cell r="EK28">
            <v>9.1145398332360461E-2</v>
          </cell>
          <cell r="EL28">
            <v>0.21690580184045349</v>
          </cell>
          <cell r="EM28" t="str">
            <v>No Sig diff</v>
          </cell>
          <cell r="EN28">
            <v>158</v>
          </cell>
          <cell r="EO28">
            <v>28</v>
          </cell>
          <cell r="EP28">
            <v>0.17721518987341772</v>
          </cell>
          <cell r="EQ28">
            <v>0.12555026627158597</v>
          </cell>
          <cell r="ER28">
            <v>0.24420331390957831</v>
          </cell>
          <cell r="ES28" t="str">
            <v>No Sig diff</v>
          </cell>
          <cell r="ET28">
            <v>146</v>
          </cell>
          <cell r="EU28">
            <v>35</v>
          </cell>
          <cell r="EV28">
            <v>0.23972602739726026</v>
          </cell>
          <cell r="EW28">
            <v>0.17771801912998342</v>
          </cell>
          <cell r="EX28">
            <v>0.31507923072231259</v>
          </cell>
          <cell r="EY28" t="str">
            <v>No Sig diff</v>
          </cell>
          <cell r="EZ28">
            <v>230</v>
          </cell>
          <cell r="FA28">
            <v>112</v>
          </cell>
          <cell r="FB28">
            <v>0.48695652173913045</v>
          </cell>
          <cell r="FC28">
            <v>0.42310710602431456</v>
          </cell>
          <cell r="FD28">
            <v>0.55123448408438924</v>
          </cell>
          <cell r="FE28">
            <v>230</v>
          </cell>
          <cell r="FF28">
            <v>34</v>
          </cell>
          <cell r="FG28">
            <v>46</v>
          </cell>
          <cell r="FH28">
            <v>21.304347826086961</v>
          </cell>
          <cell r="FI28">
            <v>0.3734015345268541</v>
          </cell>
          <cell r="FJ28">
            <v>236</v>
          </cell>
          <cell r="FK28">
            <v>118</v>
          </cell>
          <cell r="FL28">
            <v>0.5</v>
          </cell>
          <cell r="FM28">
            <v>0.43672153044647821</v>
          </cell>
          <cell r="FN28">
            <v>0.56327846955352179</v>
          </cell>
          <cell r="FO28">
            <v>236</v>
          </cell>
          <cell r="FP28">
            <v>34</v>
          </cell>
          <cell r="FQ28">
            <v>47</v>
          </cell>
          <cell r="FR28">
            <v>20.936170212765962</v>
          </cell>
          <cell r="FS28">
            <v>0.38423028785982466</v>
          </cell>
          <cell r="FT28">
            <v>2552</v>
          </cell>
          <cell r="FU28">
            <v>2532</v>
          </cell>
          <cell r="FV28">
            <v>20</v>
          </cell>
          <cell r="FW28">
            <v>19</v>
          </cell>
          <cell r="FX28">
            <v>1</v>
          </cell>
          <cell r="FY28">
            <v>0.95</v>
          </cell>
          <cell r="FZ28">
            <v>0.05</v>
          </cell>
          <cell r="GA28">
            <v>0.82305193716958425</v>
          </cell>
          <cell r="GB28">
            <v>9.3614729497082438E-2</v>
          </cell>
          <cell r="GC28">
            <v>5.5187336060682587E-2</v>
          </cell>
          <cell r="GD28">
            <v>0.14290024916446165</v>
          </cell>
          <cell r="GE28">
            <v>0.83183684507213929</v>
          </cell>
          <cell r="GF28">
            <v>8.4829821594527469E-2</v>
          </cell>
          <cell r="GG28">
            <v>4.6054075596845066E-2</v>
          </cell>
          <cell r="GH28">
            <v>0.12862000846698951</v>
          </cell>
          <cell r="GI28">
            <v>0.81074801560095677</v>
          </cell>
          <cell r="GJ28">
            <v>0.1059186510657099</v>
          </cell>
          <cell r="GK28">
            <v>6.927290603446952E-2</v>
          </cell>
          <cell r="GL28">
            <v>0.16393493093263919</v>
          </cell>
          <cell r="GM28">
            <v>0.66120358807858803</v>
          </cell>
          <cell r="GN28">
            <v>0.25546307858807854</v>
          </cell>
          <cell r="GO28">
            <v>0.19418660232856491</v>
          </cell>
          <cell r="GP28">
            <v>0.3260738074282723</v>
          </cell>
          <cell r="GQ28">
            <v>67</v>
          </cell>
          <cell r="GR28">
            <v>59</v>
          </cell>
          <cell r="GS28">
            <v>60</v>
          </cell>
          <cell r="GT28">
            <v>65</v>
          </cell>
          <cell r="GU28">
            <v>62</v>
          </cell>
          <cell r="GV28">
            <v>76</v>
          </cell>
          <cell r="GW28">
            <v>72</v>
          </cell>
          <cell r="GX28">
            <v>69</v>
          </cell>
          <cell r="GY28">
            <v>72</v>
          </cell>
          <cell r="GZ28">
            <v>70</v>
          </cell>
          <cell r="HA28">
            <v>73</v>
          </cell>
          <cell r="HB28">
            <v>73</v>
          </cell>
          <cell r="HC28">
            <v>74</v>
          </cell>
          <cell r="HD28">
            <v>63</v>
          </cell>
          <cell r="HE28">
            <v>60</v>
          </cell>
          <cell r="HF28">
            <v>55</v>
          </cell>
          <cell r="HG28">
            <v>56</v>
          </cell>
          <cell r="HH28">
            <v>56</v>
          </cell>
          <cell r="HI28">
            <v>59</v>
          </cell>
          <cell r="HJ28">
            <v>57</v>
          </cell>
          <cell r="HK28">
            <v>60</v>
          </cell>
          <cell r="HL28">
            <v>59</v>
          </cell>
          <cell r="HM28">
            <v>57</v>
          </cell>
          <cell r="HN28">
            <v>29</v>
          </cell>
          <cell r="HO28">
            <v>2.2137404580152672E-2</v>
          </cell>
          <cell r="HP28">
            <v>2102</v>
          </cell>
          <cell r="HQ28">
            <v>1792</v>
          </cell>
          <cell r="HR28">
            <v>310</v>
          </cell>
          <cell r="HS28">
            <v>0.14747859181731685</v>
          </cell>
        </row>
        <row r="29">
          <cell r="A29" t="str">
            <v>Petworth</v>
          </cell>
          <cell r="C29" t="str">
            <v>Chichester</v>
          </cell>
          <cell r="D29" t="str">
            <v>Chichester Rural</v>
          </cell>
          <cell r="E29" t="str">
            <v>Chichester</v>
          </cell>
          <cell r="F29" t="str">
            <v>Arch</v>
          </cell>
          <cell r="G29" t="str">
            <v>Bury, Fernhurst, Petworth, Plaistow</v>
          </cell>
          <cell r="H29" t="str">
            <v>Midhurst/Petworth</v>
          </cell>
          <cell r="I29" t="str">
            <v>A</v>
          </cell>
          <cell r="J29" t="str">
            <v>Coastal West Sussex</v>
          </cell>
          <cell r="K29" t="str">
            <v>Arundel and South Downs</v>
          </cell>
          <cell r="L29">
            <v>11195</v>
          </cell>
          <cell r="M29">
            <v>11265</v>
          </cell>
          <cell r="N29">
            <v>11190</v>
          </cell>
          <cell r="O29">
            <v>11230</v>
          </cell>
          <cell r="P29">
            <v>11395</v>
          </cell>
          <cell r="Q29">
            <v>11450</v>
          </cell>
          <cell r="R29">
            <v>11565</v>
          </cell>
          <cell r="S29">
            <v>11620</v>
          </cell>
          <cell r="T29">
            <v>11600</v>
          </cell>
          <cell r="U29">
            <v>11620</v>
          </cell>
          <cell r="V29">
            <v>595</v>
          </cell>
          <cell r="W29">
            <v>585</v>
          </cell>
          <cell r="X29">
            <v>580</v>
          </cell>
          <cell r="Y29">
            <v>590</v>
          </cell>
          <cell r="Z29">
            <v>610</v>
          </cell>
          <cell r="AA29">
            <v>605</v>
          </cell>
          <cell r="AB29">
            <v>620</v>
          </cell>
          <cell r="AC29">
            <v>635</v>
          </cell>
          <cell r="AD29">
            <v>630</v>
          </cell>
          <cell r="AE29">
            <v>605</v>
          </cell>
          <cell r="AF29">
            <v>0.92902208201892744</v>
          </cell>
          <cell r="AG29">
            <v>2.8391167192429023E-2</v>
          </cell>
          <cell r="AH29">
            <v>2.996845425867508E-2</v>
          </cell>
          <cell r="AI29">
            <v>4.7318611987381704E-3</v>
          </cell>
          <cell r="AJ29">
            <v>6.3091482649842269E-3</v>
          </cell>
          <cell r="AK29">
            <v>1.5772870662460567E-3</v>
          </cell>
          <cell r="AL29">
            <v>7.0977917981072558E-2</v>
          </cell>
          <cell r="AM29">
            <v>1325</v>
          </cell>
          <cell r="AN29">
            <v>0.63903541823662391</v>
          </cell>
          <cell r="AO29">
            <v>0.1680482290881688</v>
          </cell>
          <cell r="AP29">
            <v>0.19291635267520724</v>
          </cell>
          <cell r="AQ29">
            <v>99</v>
          </cell>
          <cell r="AR29">
            <v>95</v>
          </cell>
          <cell r="AS29">
            <v>81</v>
          </cell>
          <cell r="AT29">
            <v>61</v>
          </cell>
          <cell r="AU29">
            <v>55</v>
          </cell>
          <cell r="AV29">
            <v>4</v>
          </cell>
          <cell r="AW29">
            <v>5</v>
          </cell>
          <cell r="AX29">
            <v>3</v>
          </cell>
          <cell r="AY29">
            <v>2</v>
          </cell>
          <cell r="AZ29">
            <v>4</v>
          </cell>
          <cell r="BA29">
            <v>3</v>
          </cell>
          <cell r="BB29">
            <v>5.4545454545454543E-2</v>
          </cell>
          <cell r="BC29">
            <v>1.8723215554684484E-2</v>
          </cell>
          <cell r="BD29">
            <v>0.14853060544053792</v>
          </cell>
          <cell r="BE29">
            <v>5</v>
          </cell>
          <cell r="BF29">
            <v>168</v>
          </cell>
          <cell r="BG29">
            <v>209</v>
          </cell>
          <cell r="BH29">
            <v>102</v>
          </cell>
          <cell r="BI29">
            <v>0.17248256109179885</v>
          </cell>
          <cell r="BJ29">
            <v>1297</v>
          </cell>
          <cell r="BK29">
            <v>2364</v>
          </cell>
          <cell r="BL29">
            <v>1307</v>
          </cell>
          <cell r="BM29">
            <v>905</v>
          </cell>
          <cell r="BN29">
            <v>0</v>
          </cell>
          <cell r="BO29">
            <v>129</v>
          </cell>
          <cell r="BP29">
            <v>202</v>
          </cell>
          <cell r="BQ29">
            <v>71</v>
          </cell>
          <cell r="BR29">
            <v>35</v>
          </cell>
          <cell r="BS29">
            <v>40</v>
          </cell>
          <cell r="BT29">
            <v>40</v>
          </cell>
          <cell r="BU29">
            <v>201</v>
          </cell>
          <cell r="BV29">
            <v>60</v>
          </cell>
          <cell r="BW29">
            <v>0.29850746268656714</v>
          </cell>
          <cell r="BX29">
            <v>20</v>
          </cell>
          <cell r="BY29">
            <v>5</v>
          </cell>
          <cell r="BZ29">
            <v>104</v>
          </cell>
          <cell r="CA29">
            <v>2.2029231095106967E-2</v>
          </cell>
          <cell r="CB29">
            <v>60</v>
          </cell>
          <cell r="CC29">
            <v>60</v>
          </cell>
          <cell r="CD29">
            <v>50</v>
          </cell>
          <cell r="CE29">
            <v>55</v>
          </cell>
          <cell r="CF29">
            <v>175</v>
          </cell>
          <cell r="CG29">
            <v>8.8124999999999995E-2</v>
          </cell>
          <cell r="CH29">
            <v>200</v>
          </cell>
          <cell r="CI29">
            <v>9.0374999999999997E-2</v>
          </cell>
          <cell r="CJ29">
            <v>180</v>
          </cell>
          <cell r="CK29">
            <v>8.9249999999999996E-2</v>
          </cell>
          <cell r="CL29">
            <v>180</v>
          </cell>
          <cell r="CM29">
            <v>9.8250000000000004E-2</v>
          </cell>
          <cell r="CN29">
            <v>175</v>
          </cell>
          <cell r="CO29">
            <v>7.9125000000000001E-2</v>
          </cell>
          <cell r="CP29">
            <v>155</v>
          </cell>
          <cell r="CQ29">
            <v>7.5609756097560973E-2</v>
          </cell>
          <cell r="CR29">
            <v>61</v>
          </cell>
          <cell r="CS29">
            <v>0</v>
          </cell>
          <cell r="CT29">
            <v>61</v>
          </cell>
          <cell r="CU29">
            <v>0.75</v>
          </cell>
          <cell r="CV29">
            <v>22</v>
          </cell>
          <cell r="CW29">
            <v>28</v>
          </cell>
          <cell r="CX29">
            <v>0.26822916666666663</v>
          </cell>
          <cell r="CY29">
            <v>0.33784722222222219</v>
          </cell>
          <cell r="CZ29">
            <v>0.25173936505814554</v>
          </cell>
          <cell r="DA29">
            <v>0.48608326732600293</v>
          </cell>
          <cell r="DB29">
            <v>0.34012730888289117</v>
          </cell>
          <cell r="DC29">
            <v>0.58276170064185839</v>
          </cell>
          <cell r="DD29">
            <v>83</v>
          </cell>
          <cell r="DE29">
            <v>5</v>
          </cell>
          <cell r="DF29">
            <v>6.0240963855421686E-2</v>
          </cell>
          <cell r="DG29">
            <v>2.6003401041882011E-2</v>
          </cell>
          <cell r="DH29">
            <v>0.13338428093238414</v>
          </cell>
          <cell r="DI29" t="str">
            <v>No Sig diff</v>
          </cell>
          <cell r="DJ29">
            <v>89</v>
          </cell>
          <cell r="DK29">
            <v>8</v>
          </cell>
          <cell r="DL29">
            <v>8.98876404494382E-2</v>
          </cell>
          <cell r="DM29">
            <v>4.6252429145950645E-2</v>
          </cell>
          <cell r="DN29">
            <v>0.1674609169467059</v>
          </cell>
          <cell r="DO29" t="str">
            <v>No Sig diff</v>
          </cell>
          <cell r="DP29">
            <v>82</v>
          </cell>
          <cell r="DQ29">
            <v>5</v>
          </cell>
          <cell r="DR29">
            <v>6.097560975609756E-2</v>
          </cell>
          <cell r="DS29">
            <v>2.6323955067816089E-2</v>
          </cell>
          <cell r="DT29">
            <v>0.13492049500154024</v>
          </cell>
          <cell r="DU29" t="str">
            <v>No Sig diff</v>
          </cell>
          <cell r="DV29">
            <v>100</v>
          </cell>
          <cell r="DW29">
            <v>7</v>
          </cell>
          <cell r="DX29">
            <v>7.0000000000000007E-2</v>
          </cell>
          <cell r="DY29">
            <v>3.4319261067272677E-2</v>
          </cell>
          <cell r="DZ29">
            <v>0.13749514739073496</v>
          </cell>
          <cell r="EA29" t="str">
            <v>No Sig diff</v>
          </cell>
          <cell r="EB29">
            <v>65</v>
          </cell>
          <cell r="EC29">
            <v>13</v>
          </cell>
          <cell r="ED29">
            <v>0.2</v>
          </cell>
          <cell r="EE29">
            <v>0.12077959241205476</v>
          </cell>
          <cell r="EF29">
            <v>0.31270132638165932</v>
          </cell>
          <cell r="EG29" t="str">
            <v>No Sig diff</v>
          </cell>
          <cell r="EH29">
            <v>61</v>
          </cell>
          <cell r="EI29">
            <v>12</v>
          </cell>
          <cell r="EJ29">
            <v>0.19672131147540983</v>
          </cell>
          <cell r="EK29">
            <v>0.11627802231427166</v>
          </cell>
          <cell r="EL29">
            <v>0.31309940575507544</v>
          </cell>
          <cell r="EM29" t="str">
            <v>No Sig diff</v>
          </cell>
          <cell r="EN29">
            <v>64</v>
          </cell>
          <cell r="EO29">
            <v>8</v>
          </cell>
          <cell r="EP29">
            <v>0.125</v>
          </cell>
          <cell r="EQ29">
            <v>6.4722426633304547E-2</v>
          </cell>
          <cell r="ER29">
            <v>0.22774561821129938</v>
          </cell>
          <cell r="ES29" t="str">
            <v>No Sig diff</v>
          </cell>
          <cell r="ET29">
            <v>63</v>
          </cell>
          <cell r="EU29">
            <v>12</v>
          </cell>
          <cell r="EV29">
            <v>0.19047619047619047</v>
          </cell>
          <cell r="EW29">
            <v>0.11246191872292463</v>
          </cell>
          <cell r="EX29">
            <v>0.30406787149874537</v>
          </cell>
          <cell r="EY29" t="str">
            <v>No Sig diff</v>
          </cell>
          <cell r="EZ29">
            <v>121</v>
          </cell>
          <cell r="FA29">
            <v>66</v>
          </cell>
          <cell r="FB29">
            <v>0.54545454545454541</v>
          </cell>
          <cell r="FC29">
            <v>0.45669996779439898</v>
          </cell>
          <cell r="FD29">
            <v>0.63141178693764843</v>
          </cell>
          <cell r="FE29">
            <v>121</v>
          </cell>
          <cell r="FF29">
            <v>35</v>
          </cell>
          <cell r="FG29">
            <v>24</v>
          </cell>
          <cell r="FH29">
            <v>25.541666666666664</v>
          </cell>
          <cell r="FI29">
            <v>0.27023809523809533</v>
          </cell>
          <cell r="FJ29">
            <v>114</v>
          </cell>
          <cell r="FK29">
            <v>69</v>
          </cell>
          <cell r="FL29">
            <v>0.60526315789473684</v>
          </cell>
          <cell r="FM29">
            <v>0.51351296049528616</v>
          </cell>
          <cell r="FN29">
            <v>0.6901505059975892</v>
          </cell>
          <cell r="FO29">
            <v>114</v>
          </cell>
          <cell r="FP29">
            <v>34</v>
          </cell>
          <cell r="FQ29">
            <v>22</v>
          </cell>
          <cell r="FR29">
            <v>24.863636363636363</v>
          </cell>
          <cell r="FS29">
            <v>0.26871657754010697</v>
          </cell>
          <cell r="FT29">
            <v>2014</v>
          </cell>
          <cell r="FU29">
            <v>1726</v>
          </cell>
          <cell r="FV29">
            <v>288</v>
          </cell>
          <cell r="FW29">
            <v>243</v>
          </cell>
          <cell r="FX29">
            <v>45</v>
          </cell>
          <cell r="FY29">
            <v>0.84375</v>
          </cell>
          <cell r="FZ29">
            <v>0.15625</v>
          </cell>
          <cell r="GB29">
            <v>0.1111111111111111</v>
          </cell>
          <cell r="GC29">
            <v>4.4065689087418335E-2</v>
          </cell>
          <cell r="GD29">
            <v>0.25315129015036325</v>
          </cell>
          <cell r="GF29">
            <v>5.5555555555555552E-2</v>
          </cell>
          <cell r="GG29">
            <v>1.5369663767066871E-2</v>
          </cell>
          <cell r="GH29">
            <v>0.18144974107611211</v>
          </cell>
          <cell r="GJ29">
            <v>8.3333333333333329E-2</v>
          </cell>
          <cell r="GK29">
            <v>2.8748089271291792E-2</v>
          </cell>
          <cell r="GL29">
            <v>0.21827010276918851</v>
          </cell>
          <cell r="GN29">
            <v>0.14285714285714285</v>
          </cell>
          <cell r="GO29">
            <v>6.2601388048534976E-2</v>
          </cell>
          <cell r="GP29">
            <v>0.29375880308674268</v>
          </cell>
          <cell r="GQ29">
            <v>12</v>
          </cell>
          <cell r="GR29">
            <v>12</v>
          </cell>
          <cell r="GS29">
            <v>12</v>
          </cell>
          <cell r="GT29">
            <v>12</v>
          </cell>
          <cell r="GU29">
            <v>12</v>
          </cell>
          <cell r="GV29">
            <v>22</v>
          </cell>
          <cell r="GW29">
            <v>21</v>
          </cell>
          <cell r="GX29">
            <v>21</v>
          </cell>
          <cell r="GY29">
            <v>21</v>
          </cell>
          <cell r="GZ29">
            <v>21</v>
          </cell>
          <cell r="HA29">
            <v>20</v>
          </cell>
          <cell r="HB29">
            <v>20</v>
          </cell>
          <cell r="HC29">
            <v>21</v>
          </cell>
          <cell r="HD29">
            <v>21</v>
          </cell>
          <cell r="HE29">
            <v>20</v>
          </cell>
          <cell r="HF29">
            <v>17</v>
          </cell>
          <cell r="HG29">
            <v>20</v>
          </cell>
          <cell r="HH29">
            <v>17</v>
          </cell>
          <cell r="HI29">
            <v>17</v>
          </cell>
          <cell r="HJ29">
            <v>17</v>
          </cell>
          <cell r="HK29">
            <v>20</v>
          </cell>
          <cell r="HL29">
            <v>17</v>
          </cell>
          <cell r="HM29">
            <v>20</v>
          </cell>
          <cell r="HN29">
            <v>2</v>
          </cell>
          <cell r="HO29">
            <v>3.1645569620253164E-3</v>
          </cell>
          <cell r="HP29">
            <v>962</v>
          </cell>
          <cell r="HQ29">
            <v>907</v>
          </cell>
          <cell r="HR29">
            <v>55</v>
          </cell>
          <cell r="HS29">
            <v>5.7172557172557176E-2</v>
          </cell>
        </row>
        <row r="30">
          <cell r="A30" t="str">
            <v>Roffey</v>
          </cell>
          <cell r="C30" t="str">
            <v>Horsham</v>
          </cell>
          <cell r="D30" t="str">
            <v>Horsham Town</v>
          </cell>
          <cell r="E30" t="str">
            <v>Horsham</v>
          </cell>
          <cell r="F30" t="str">
            <v>Horsham</v>
          </cell>
          <cell r="G30" t="str">
            <v>Holbrook East, Holbrook West, Roffey North, Roffey South</v>
          </cell>
          <cell r="H30" t="str">
            <v>Horsham E</v>
          </cell>
          <cell r="I30" t="str">
            <v>C3</v>
          </cell>
          <cell r="J30" t="str">
            <v>Horsham and Mid Sussex</v>
          </cell>
          <cell r="K30" t="str">
            <v>Horsham</v>
          </cell>
          <cell r="L30">
            <v>15130</v>
          </cell>
          <cell r="M30">
            <v>15245</v>
          </cell>
          <cell r="N30">
            <v>15340</v>
          </cell>
          <cell r="O30">
            <v>15245</v>
          </cell>
          <cell r="P30">
            <v>15350</v>
          </cell>
          <cell r="Q30">
            <v>15440</v>
          </cell>
          <cell r="R30">
            <v>15490</v>
          </cell>
          <cell r="S30">
            <v>15465</v>
          </cell>
          <cell r="T30">
            <v>15390</v>
          </cell>
          <cell r="U30">
            <v>15370</v>
          </cell>
          <cell r="V30">
            <v>975</v>
          </cell>
          <cell r="W30">
            <v>950</v>
          </cell>
          <cell r="X30">
            <v>945</v>
          </cell>
          <cell r="Y30">
            <v>965</v>
          </cell>
          <cell r="Z30">
            <v>935</v>
          </cell>
          <cell r="AA30">
            <v>925</v>
          </cell>
          <cell r="AB30">
            <v>950</v>
          </cell>
          <cell r="AC30">
            <v>945</v>
          </cell>
          <cell r="AD30">
            <v>960</v>
          </cell>
          <cell r="AE30">
            <v>945</v>
          </cell>
          <cell r="AF30">
            <v>0.87763713080168781</v>
          </cell>
          <cell r="AG30">
            <v>2.8481012658227847E-2</v>
          </cell>
          <cell r="AH30">
            <v>5.8016877637130801E-2</v>
          </cell>
          <cell r="AI30">
            <v>2.9535864978902954E-2</v>
          </cell>
          <cell r="AJ30">
            <v>6.3291139240506328E-3</v>
          </cell>
          <cell r="AK30">
            <v>0</v>
          </cell>
          <cell r="AL30">
            <v>0.12236286919831224</v>
          </cell>
          <cell r="AM30">
            <v>1865</v>
          </cell>
          <cell r="AN30">
            <v>0.732583065380493</v>
          </cell>
          <cell r="AO30">
            <v>0.14094319399785638</v>
          </cell>
          <cell r="AP30">
            <v>0.12647374062165059</v>
          </cell>
          <cell r="AQ30">
            <v>201</v>
          </cell>
          <cell r="AR30">
            <v>179</v>
          </cell>
          <cell r="AS30">
            <v>176</v>
          </cell>
          <cell r="AT30">
            <v>195</v>
          </cell>
          <cell r="AU30">
            <v>159</v>
          </cell>
          <cell r="AV30">
            <v>10</v>
          </cell>
          <cell r="AW30">
            <v>7</v>
          </cell>
          <cell r="AX30">
            <v>1</v>
          </cell>
          <cell r="AY30">
            <v>5</v>
          </cell>
          <cell r="AZ30">
            <v>2</v>
          </cell>
          <cell r="BA30">
            <v>9</v>
          </cell>
          <cell r="BB30">
            <v>5.6603773584905662E-2</v>
          </cell>
          <cell r="BC30">
            <v>3.006197811963247E-2</v>
          </cell>
          <cell r="BD30">
            <v>0.10406515988853231</v>
          </cell>
          <cell r="BE30">
            <v>5</v>
          </cell>
          <cell r="BF30">
            <v>288</v>
          </cell>
          <cell r="BG30">
            <v>313</v>
          </cell>
          <cell r="BH30">
            <v>136</v>
          </cell>
          <cell r="BI30">
            <v>0.13651873938942266</v>
          </cell>
          <cell r="BJ30">
            <v>2026</v>
          </cell>
          <cell r="BK30">
            <v>3549</v>
          </cell>
          <cell r="BL30">
            <v>1808</v>
          </cell>
          <cell r="BM30">
            <v>1110</v>
          </cell>
          <cell r="BN30">
            <v>1</v>
          </cell>
          <cell r="BO30">
            <v>241</v>
          </cell>
          <cell r="BP30">
            <v>329</v>
          </cell>
          <cell r="BQ30">
            <v>127</v>
          </cell>
          <cell r="BR30">
            <v>75</v>
          </cell>
          <cell r="BS30">
            <v>60</v>
          </cell>
          <cell r="BT30">
            <v>65</v>
          </cell>
          <cell r="BU30">
            <v>323</v>
          </cell>
          <cell r="BV30">
            <v>88</v>
          </cell>
          <cell r="BW30">
            <v>0.27244582043343651</v>
          </cell>
          <cell r="BX30">
            <v>31</v>
          </cell>
          <cell r="BY30">
            <v>10</v>
          </cell>
          <cell r="BZ30">
            <v>206</v>
          </cell>
          <cell r="CA30">
            <v>3.2258064516129031E-2</v>
          </cell>
          <cell r="CB30">
            <v>90</v>
          </cell>
          <cell r="CC30">
            <v>100</v>
          </cell>
          <cell r="CD30">
            <v>110</v>
          </cell>
          <cell r="CE30">
            <v>115</v>
          </cell>
          <cell r="CF30">
            <v>265</v>
          </cell>
          <cell r="CG30">
            <v>8.4400000000000003E-2</v>
          </cell>
          <cell r="CH30">
            <v>270</v>
          </cell>
          <cell r="CI30">
            <v>7.3200000000000001E-2</v>
          </cell>
          <cell r="CJ30">
            <v>250</v>
          </cell>
          <cell r="CK30">
            <v>8.1699999999999995E-2</v>
          </cell>
          <cell r="CL30">
            <v>225</v>
          </cell>
          <cell r="CM30">
            <v>8.8000000000000009E-2</v>
          </cell>
          <cell r="CN30">
            <v>250</v>
          </cell>
          <cell r="CO30">
            <v>8.6200000000000013E-2</v>
          </cell>
          <cell r="CP30">
            <v>240</v>
          </cell>
          <cell r="CQ30">
            <v>8.067226890756303E-2</v>
          </cell>
          <cell r="CR30">
            <v>176</v>
          </cell>
          <cell r="CS30">
            <v>3</v>
          </cell>
          <cell r="CT30">
            <v>173</v>
          </cell>
          <cell r="CU30">
            <v>0.98462301587301593</v>
          </cell>
          <cell r="CV30">
            <v>78</v>
          </cell>
          <cell r="CW30">
            <v>107</v>
          </cell>
          <cell r="CX30">
            <v>0.45537665493547846</v>
          </cell>
          <cell r="CY30">
            <v>0.62435442553089615</v>
          </cell>
          <cell r="CZ30">
            <v>0.37858899286391479</v>
          </cell>
          <cell r="DA30">
            <v>0.52527978009448417</v>
          </cell>
          <cell r="DB30">
            <v>0.54428186792058009</v>
          </cell>
          <cell r="DC30">
            <v>0.68756403259151666</v>
          </cell>
          <cell r="DD30">
            <v>156</v>
          </cell>
          <cell r="DE30">
            <v>13</v>
          </cell>
          <cell r="DF30">
            <v>8.3333333333333329E-2</v>
          </cell>
          <cell r="DG30">
            <v>4.9345650854239163E-2</v>
          </cell>
          <cell r="DH30">
            <v>0.13734845867693996</v>
          </cell>
          <cell r="DI30" t="str">
            <v>No Sig diff</v>
          </cell>
          <cell r="DJ30">
            <v>181</v>
          </cell>
          <cell r="DK30">
            <v>10</v>
          </cell>
          <cell r="DL30">
            <v>5.5248618784530384E-2</v>
          </cell>
          <cell r="DM30">
            <v>3.0283475638943135E-2</v>
          </cell>
          <cell r="DN30">
            <v>9.8699810755813064E-2</v>
          </cell>
          <cell r="DO30" t="str">
            <v>No Sig diff</v>
          </cell>
          <cell r="DP30">
            <v>108</v>
          </cell>
          <cell r="DQ30">
            <v>12</v>
          </cell>
          <cell r="DR30">
            <v>0.1111111111111111</v>
          </cell>
          <cell r="DS30">
            <v>6.4712669289837363E-2</v>
          </cell>
          <cell r="DT30">
            <v>0.18422416606859585</v>
          </cell>
          <cell r="DU30" t="str">
            <v>No Sig diff</v>
          </cell>
          <cell r="DV30">
            <v>153</v>
          </cell>
          <cell r="DW30">
            <v>15</v>
          </cell>
          <cell r="DX30">
            <v>9.8039215686274508E-2</v>
          </cell>
          <cell r="DY30">
            <v>6.0315942800075413E-2</v>
          </cell>
          <cell r="DZ30">
            <v>0.15545263698202605</v>
          </cell>
          <cell r="EA30" t="str">
            <v>No Sig diff</v>
          </cell>
          <cell r="EB30">
            <v>171</v>
          </cell>
          <cell r="EC30">
            <v>23</v>
          </cell>
          <cell r="ED30">
            <v>0.13450292397660818</v>
          </cell>
          <cell r="EE30">
            <v>9.1326032311684457E-2</v>
          </cell>
          <cell r="EF30">
            <v>0.19374055977050725</v>
          </cell>
          <cell r="EG30" t="str">
            <v>No Sig diff</v>
          </cell>
          <cell r="EH30">
            <v>177</v>
          </cell>
          <cell r="EI30">
            <v>23</v>
          </cell>
          <cell r="EJ30">
            <v>0.12994350282485875</v>
          </cell>
          <cell r="EK30">
            <v>8.8171749186438317E-2</v>
          </cell>
          <cell r="EL30">
            <v>0.18743683717269055</v>
          </cell>
          <cell r="EM30" t="str">
            <v>Sig better than Eng.</v>
          </cell>
          <cell r="EN30">
            <v>183</v>
          </cell>
          <cell r="EO30">
            <v>21</v>
          </cell>
          <cell r="EP30">
            <v>0.11475409836065574</v>
          </cell>
          <cell r="EQ30">
            <v>7.6292257179258957E-2</v>
          </cell>
          <cell r="ER30">
            <v>0.16905724453217186</v>
          </cell>
          <cell r="ES30" t="str">
            <v>Sig better than Eng.</v>
          </cell>
          <cell r="ET30">
            <v>157</v>
          </cell>
          <cell r="EU30">
            <v>16</v>
          </cell>
          <cell r="EV30">
            <v>0.10191082802547771</v>
          </cell>
          <cell r="EW30">
            <v>6.3707629183896414E-2</v>
          </cell>
          <cell r="EX30">
            <v>0.15912956144771889</v>
          </cell>
          <cell r="EY30" t="str">
            <v>Sig better than Eng.</v>
          </cell>
          <cell r="EZ30">
            <v>180</v>
          </cell>
          <cell r="FA30">
            <v>111</v>
          </cell>
          <cell r="FB30">
            <v>0.6166666666666667</v>
          </cell>
          <cell r="FC30">
            <v>0.54390527473114403</v>
          </cell>
          <cell r="FD30">
            <v>0.68455244242047963</v>
          </cell>
          <cell r="FE30">
            <v>180</v>
          </cell>
          <cell r="FF30">
            <v>34</v>
          </cell>
          <cell r="FG30">
            <v>36</v>
          </cell>
          <cell r="FH30">
            <v>26.111111111111114</v>
          </cell>
          <cell r="FI30">
            <v>0.23202614379084957</v>
          </cell>
          <cell r="FJ30">
            <v>216</v>
          </cell>
          <cell r="FK30">
            <v>130</v>
          </cell>
          <cell r="FL30">
            <v>0.60185185185185186</v>
          </cell>
          <cell r="FM30">
            <v>0.53533927843598739</v>
          </cell>
          <cell r="FN30">
            <v>0.66480495384863836</v>
          </cell>
          <cell r="FO30">
            <v>216</v>
          </cell>
          <cell r="FP30">
            <v>34</v>
          </cell>
          <cell r="FQ30">
            <v>43</v>
          </cell>
          <cell r="FR30">
            <v>24.302325581395348</v>
          </cell>
          <cell r="FS30">
            <v>0.28522571819425446</v>
          </cell>
          <cell r="FT30">
            <v>2458</v>
          </cell>
          <cell r="FU30">
            <v>2411</v>
          </cell>
          <cell r="FV30">
            <v>47</v>
          </cell>
          <cell r="FW30">
            <v>44</v>
          </cell>
          <cell r="FX30">
            <v>3</v>
          </cell>
          <cell r="FY30">
            <v>0.93617021276595747</v>
          </cell>
          <cell r="FZ30">
            <v>6.3829787234042548E-2</v>
          </cell>
          <cell r="GA30">
            <v>0.96952380952380945</v>
          </cell>
          <cell r="GB30">
            <v>3.047619047619048E-2</v>
          </cell>
          <cell r="GC30">
            <v>1.3974386294255415E-2</v>
          </cell>
          <cell r="GD30">
            <v>8.8247958700979443E-2</v>
          </cell>
          <cell r="GE30">
            <v>0.96285714285714286</v>
          </cell>
          <cell r="GF30">
            <v>3.7142857142857144E-2</v>
          </cell>
          <cell r="GG30">
            <v>1.9216974525702958E-2</v>
          </cell>
          <cell r="GH30">
            <v>0.10027032537346971</v>
          </cell>
          <cell r="GI30">
            <v>0.94946428571428565</v>
          </cell>
          <cell r="GJ30">
            <v>5.0535714285714281E-2</v>
          </cell>
          <cell r="GK30">
            <v>3.0601532803567904E-2</v>
          </cell>
          <cell r="GL30">
            <v>0.12341567690348033</v>
          </cell>
          <cell r="GM30">
            <v>0.8962286324786326</v>
          </cell>
          <cell r="GN30">
            <v>0.10377136752136751</v>
          </cell>
          <cell r="GO30">
            <v>6.3513981388531537E-2</v>
          </cell>
          <cell r="GP30">
            <v>0.18105039578114984</v>
          </cell>
          <cell r="GQ30">
            <v>45</v>
          </cell>
          <cell r="GR30">
            <v>44</v>
          </cell>
          <cell r="GS30">
            <v>43</v>
          </cell>
          <cell r="GT30">
            <v>43</v>
          </cell>
          <cell r="GU30">
            <v>44</v>
          </cell>
          <cell r="GV30">
            <v>36</v>
          </cell>
          <cell r="GW30">
            <v>33</v>
          </cell>
          <cell r="GX30">
            <v>32</v>
          </cell>
          <cell r="GY30">
            <v>35</v>
          </cell>
          <cell r="GZ30">
            <v>32</v>
          </cell>
          <cell r="HA30">
            <v>33</v>
          </cell>
          <cell r="HB30">
            <v>36</v>
          </cell>
          <cell r="HC30">
            <v>34</v>
          </cell>
          <cell r="HD30">
            <v>34</v>
          </cell>
          <cell r="HE30">
            <v>30</v>
          </cell>
          <cell r="HF30">
            <v>29</v>
          </cell>
          <cell r="HG30">
            <v>29</v>
          </cell>
          <cell r="HH30">
            <v>30</v>
          </cell>
          <cell r="HI30">
            <v>32</v>
          </cell>
          <cell r="HJ30">
            <v>30</v>
          </cell>
          <cell r="HK30">
            <v>33</v>
          </cell>
          <cell r="HL30">
            <v>31</v>
          </cell>
          <cell r="HM30">
            <v>31</v>
          </cell>
          <cell r="HN30">
            <v>19</v>
          </cell>
          <cell r="HO30">
            <v>2.0169851380042462E-2</v>
          </cell>
          <cell r="HP30">
            <v>1483</v>
          </cell>
          <cell r="HQ30">
            <v>1384</v>
          </cell>
          <cell r="HR30">
            <v>99</v>
          </cell>
          <cell r="HS30">
            <v>6.6756574511126099E-2</v>
          </cell>
        </row>
        <row r="31">
          <cell r="A31" t="str">
            <v>Rural Chichester</v>
          </cell>
          <cell r="C31" t="str">
            <v>Chichester</v>
          </cell>
          <cell r="D31" t="str">
            <v>Chichester Central</v>
          </cell>
          <cell r="E31" t="str">
            <v>Chichester</v>
          </cell>
          <cell r="F31" t="str">
            <v>Arch</v>
          </cell>
          <cell r="G31" t="str">
            <v>Boxgrove, Chichester North, Chichester West, Donnington, Funtington, Lavant, North Mundham, Sidlesham, Tangmere, Westbourne</v>
          </cell>
          <cell r="H31" t="str">
            <v>Chichester</v>
          </cell>
          <cell r="I31" t="str">
            <v>A</v>
          </cell>
          <cell r="J31" t="str">
            <v>Coastal West Sussex</v>
          </cell>
          <cell r="K31" t="str">
            <v>Chichester</v>
          </cell>
          <cell r="L31">
            <v>21745</v>
          </cell>
          <cell r="M31">
            <v>21680</v>
          </cell>
          <cell r="N31">
            <v>21900</v>
          </cell>
          <cell r="O31">
            <v>21990</v>
          </cell>
          <cell r="P31">
            <v>22135</v>
          </cell>
          <cell r="Q31">
            <v>22310</v>
          </cell>
          <cell r="R31">
            <v>22585</v>
          </cell>
          <cell r="S31">
            <v>22720</v>
          </cell>
          <cell r="T31">
            <v>22920</v>
          </cell>
          <cell r="U31">
            <v>23175</v>
          </cell>
          <cell r="V31">
            <v>1110</v>
          </cell>
          <cell r="W31">
            <v>1095</v>
          </cell>
          <cell r="X31">
            <v>1100</v>
          </cell>
          <cell r="Y31">
            <v>1115</v>
          </cell>
          <cell r="Z31">
            <v>1085</v>
          </cell>
          <cell r="AA31">
            <v>1110</v>
          </cell>
          <cell r="AB31">
            <v>1135</v>
          </cell>
          <cell r="AC31">
            <v>1105</v>
          </cell>
          <cell r="AD31">
            <v>1145</v>
          </cell>
          <cell r="AE31">
            <v>1145</v>
          </cell>
          <cell r="AF31">
            <v>0.92321589882565491</v>
          </cell>
          <cell r="AG31">
            <v>3.6133694670280034E-2</v>
          </cell>
          <cell r="AH31">
            <v>2.1680216802168022E-2</v>
          </cell>
          <cell r="AI31">
            <v>9.9367660343270096E-3</v>
          </cell>
          <cell r="AJ31">
            <v>1.8066847335140017E-3</v>
          </cell>
          <cell r="AK31">
            <v>7.2267389340560069E-3</v>
          </cell>
          <cell r="AL31">
            <v>7.6784101174345074E-2</v>
          </cell>
          <cell r="AM31">
            <v>2290</v>
          </cell>
          <cell r="AN31">
            <v>0.56968108344255131</v>
          </cell>
          <cell r="AO31">
            <v>0.23503713411970292</v>
          </cell>
          <cell r="AP31">
            <v>0.19528178243774574</v>
          </cell>
          <cell r="AQ31">
            <v>210</v>
          </cell>
          <cell r="AR31">
            <v>200</v>
          </cell>
          <cell r="AS31">
            <v>234</v>
          </cell>
          <cell r="AT31">
            <v>217</v>
          </cell>
          <cell r="AU31">
            <v>181</v>
          </cell>
          <cell r="AV31">
            <v>12</v>
          </cell>
          <cell r="AW31">
            <v>13</v>
          </cell>
          <cell r="AX31">
            <v>17</v>
          </cell>
          <cell r="AY31">
            <v>11</v>
          </cell>
          <cell r="AZ31">
            <v>12</v>
          </cell>
          <cell r="BA31">
            <v>5</v>
          </cell>
          <cell r="BB31">
            <v>2.7624309392265192E-2</v>
          </cell>
          <cell r="BC31">
            <v>1.1855936781179247E-2</v>
          </cell>
          <cell r="BD31">
            <v>6.302693261946242E-2</v>
          </cell>
          <cell r="BE31">
            <v>26</v>
          </cell>
          <cell r="BF31">
            <v>312</v>
          </cell>
          <cell r="BG31">
            <v>362</v>
          </cell>
          <cell r="BH31">
            <v>186</v>
          </cell>
          <cell r="BI31">
            <v>0.16446757547648186</v>
          </cell>
          <cell r="BJ31">
            <v>2468</v>
          </cell>
          <cell r="BK31">
            <v>4506</v>
          </cell>
          <cell r="BL31">
            <v>2479</v>
          </cell>
          <cell r="BM31">
            <v>1534</v>
          </cell>
          <cell r="BN31">
            <v>0</v>
          </cell>
          <cell r="BO31">
            <v>288</v>
          </cell>
          <cell r="BP31">
            <v>484</v>
          </cell>
          <cell r="BQ31">
            <v>173</v>
          </cell>
          <cell r="BR31">
            <v>115</v>
          </cell>
          <cell r="BS31">
            <v>100</v>
          </cell>
          <cell r="BT31">
            <v>100</v>
          </cell>
          <cell r="BU31">
            <v>484</v>
          </cell>
          <cell r="BV31">
            <v>157</v>
          </cell>
          <cell r="BW31">
            <v>0.32438016528925617</v>
          </cell>
          <cell r="BX31">
            <v>39</v>
          </cell>
          <cell r="BY31">
            <v>6</v>
          </cell>
          <cell r="BZ31">
            <v>268</v>
          </cell>
          <cell r="CA31">
            <v>2.7515400410677619E-2</v>
          </cell>
          <cell r="CB31">
            <v>165</v>
          </cell>
          <cell r="CC31">
            <v>180</v>
          </cell>
          <cell r="CD31">
            <v>180</v>
          </cell>
          <cell r="CE31">
            <v>155</v>
          </cell>
          <cell r="CF31">
            <v>455</v>
          </cell>
          <cell r="CG31">
            <v>0.11899999999999999</v>
          </cell>
          <cell r="CH31">
            <v>480</v>
          </cell>
          <cell r="CI31">
            <v>0.12423076923076923</v>
          </cell>
          <cell r="CJ31">
            <v>520</v>
          </cell>
          <cell r="CK31">
            <v>0.12946153846153849</v>
          </cell>
          <cell r="CL31">
            <v>500</v>
          </cell>
          <cell r="CM31">
            <v>0.11853846153846151</v>
          </cell>
          <cell r="CN31">
            <v>490</v>
          </cell>
          <cell r="CO31">
            <v>0.11215384615384615</v>
          </cell>
          <cell r="CP31">
            <v>430</v>
          </cell>
          <cell r="CQ31">
            <v>0.11154345006485085</v>
          </cell>
          <cell r="CR31">
            <v>204</v>
          </cell>
          <cell r="CS31">
            <v>20</v>
          </cell>
          <cell r="CT31">
            <v>184</v>
          </cell>
          <cell r="CU31">
            <v>0.90197211785948439</v>
          </cell>
          <cell r="CV31">
            <v>80</v>
          </cell>
          <cell r="CW31">
            <v>106</v>
          </cell>
          <cell r="CX31">
            <v>0.45657078592598954</v>
          </cell>
          <cell r="CY31">
            <v>0.59504290957910866</v>
          </cell>
          <cell r="CZ31">
            <v>0.3652107328102534</v>
          </cell>
          <cell r="DA31">
            <v>0.50702204203834245</v>
          </cell>
          <cell r="DB31">
            <v>0.50384253148518054</v>
          </cell>
          <cell r="DC31">
            <v>0.64521923119145763</v>
          </cell>
          <cell r="DD31">
            <v>160</v>
          </cell>
          <cell r="DE31">
            <v>19</v>
          </cell>
          <cell r="DF31">
            <v>0.11874999999999999</v>
          </cell>
          <cell r="DG31">
            <v>7.7354868005923477E-2</v>
          </cell>
          <cell r="DH31">
            <v>0.17802285581234925</v>
          </cell>
          <cell r="DI31" t="str">
            <v>No Sig diff</v>
          </cell>
          <cell r="DJ31">
            <v>205</v>
          </cell>
          <cell r="DK31">
            <v>13</v>
          </cell>
          <cell r="DL31">
            <v>6.3414634146341464E-2</v>
          </cell>
          <cell r="DM31">
            <v>3.7430869080185898E-2</v>
          </cell>
          <cell r="DN31">
            <v>0.1054596230146583</v>
          </cell>
          <cell r="DO31" t="str">
            <v>No Sig diff</v>
          </cell>
          <cell r="DP31">
            <v>206</v>
          </cell>
          <cell r="DQ31">
            <v>15</v>
          </cell>
          <cell r="DR31">
            <v>7.281553398058252E-2</v>
          </cell>
          <cell r="DS31">
            <v>4.4620647992736441E-2</v>
          </cell>
          <cell r="DT31">
            <v>0.11665090916704798</v>
          </cell>
          <cell r="DU31" t="str">
            <v>No Sig diff</v>
          </cell>
          <cell r="DV31">
            <v>187</v>
          </cell>
          <cell r="DW31">
            <v>11</v>
          </cell>
          <cell r="DX31">
            <v>5.8823529411764705E-2</v>
          </cell>
          <cell r="DY31">
            <v>3.3160194848180356E-2</v>
          </cell>
          <cell r="DZ31">
            <v>0.1022477976309254</v>
          </cell>
          <cell r="EA31" t="str">
            <v>No Sig diff</v>
          </cell>
          <cell r="EB31">
            <v>179</v>
          </cell>
          <cell r="EC31">
            <v>28</v>
          </cell>
          <cell r="ED31">
            <v>0.15642458100558659</v>
          </cell>
          <cell r="EE31">
            <v>0.11049727235884879</v>
          </cell>
          <cell r="EF31">
            <v>0.21678877757022358</v>
          </cell>
          <cell r="EG31" t="str">
            <v>No Sig diff</v>
          </cell>
          <cell r="EH31">
            <v>160</v>
          </cell>
          <cell r="EI31">
            <v>20</v>
          </cell>
          <cell r="EJ31">
            <v>0.125</v>
          </cell>
          <cell r="EK31">
            <v>8.2394535844441938E-2</v>
          </cell>
          <cell r="EL31">
            <v>0.18519011053418696</v>
          </cell>
          <cell r="EM31" t="str">
            <v>Sig better than Eng.</v>
          </cell>
          <cell r="EN31">
            <v>175</v>
          </cell>
          <cell r="EO31">
            <v>28</v>
          </cell>
          <cell r="EP31">
            <v>0.16</v>
          </cell>
          <cell r="EQ31">
            <v>0.11307943399181344</v>
          </cell>
          <cell r="ER31">
            <v>0.22152675416666595</v>
          </cell>
          <cell r="ES31" t="str">
            <v>No Sig diff</v>
          </cell>
          <cell r="ET31">
            <v>180</v>
          </cell>
          <cell r="EU31">
            <v>22</v>
          </cell>
          <cell r="EV31">
            <v>0.12222222222222222</v>
          </cell>
          <cell r="EW31">
            <v>8.2115405015210363E-2</v>
          </cell>
          <cell r="EX31">
            <v>0.17811674897000837</v>
          </cell>
          <cell r="EY31" t="str">
            <v>Sig better than Eng.</v>
          </cell>
          <cell r="EZ31">
            <v>230</v>
          </cell>
          <cell r="FA31">
            <v>120</v>
          </cell>
          <cell r="FB31">
            <v>0.52173913043478259</v>
          </cell>
          <cell r="FC31">
            <v>0.45735647256549594</v>
          </cell>
          <cell r="FD31">
            <v>0.5854075439199975</v>
          </cell>
          <cell r="FE31">
            <v>230</v>
          </cell>
          <cell r="FF31">
            <v>34</v>
          </cell>
          <cell r="FG31">
            <v>46</v>
          </cell>
          <cell r="FH31">
            <v>19.760869565217394</v>
          </cell>
          <cell r="FI31">
            <v>0.41879795396419428</v>
          </cell>
          <cell r="FJ31">
            <v>234</v>
          </cell>
          <cell r="FK31">
            <v>126</v>
          </cell>
          <cell r="FL31">
            <v>0.53846153846153844</v>
          </cell>
          <cell r="FM31">
            <v>0.4744816006810863</v>
          </cell>
          <cell r="FN31">
            <v>0.60119906529384781</v>
          </cell>
          <cell r="FO31">
            <v>234</v>
          </cell>
          <cell r="FP31">
            <v>34</v>
          </cell>
          <cell r="FQ31">
            <v>46</v>
          </cell>
          <cell r="FR31">
            <v>22.347826086956527</v>
          </cell>
          <cell r="FS31">
            <v>0.34271099744245509</v>
          </cell>
          <cell r="FT31">
            <v>3372</v>
          </cell>
          <cell r="FU31">
            <v>3112</v>
          </cell>
          <cell r="FV31">
            <v>260</v>
          </cell>
          <cell r="FW31">
            <v>221</v>
          </cell>
          <cell r="FX31">
            <v>39</v>
          </cell>
          <cell r="FY31">
            <v>0.85</v>
          </cell>
          <cell r="FZ31">
            <v>0.15</v>
          </cell>
          <cell r="GB31">
            <v>0.17647058823529413</v>
          </cell>
          <cell r="GC31">
            <v>9.5722957258098984E-2</v>
          </cell>
          <cell r="GD31">
            <v>0.30254405172778037</v>
          </cell>
          <cell r="GF31">
            <v>0.17647058823529413</v>
          </cell>
          <cell r="GG31">
            <v>9.5722957258098984E-2</v>
          </cell>
          <cell r="GH31">
            <v>0.30254405172778037</v>
          </cell>
          <cell r="GJ31">
            <v>0.18</v>
          </cell>
          <cell r="GK31">
            <v>9.7700827324537901E-2</v>
          </cell>
          <cell r="GL31">
            <v>0.30796319454702614</v>
          </cell>
          <cell r="GN31">
            <v>0.28000000000000003</v>
          </cell>
          <cell r="GO31">
            <v>0.17474014357680359</v>
          </cell>
          <cell r="GP31">
            <v>0.41665387145989663</v>
          </cell>
          <cell r="GQ31">
            <v>54</v>
          </cell>
          <cell r="GR31">
            <v>50</v>
          </cell>
          <cell r="GS31">
            <v>50</v>
          </cell>
          <cell r="GT31">
            <v>54</v>
          </cell>
          <cell r="GU31">
            <v>50</v>
          </cell>
          <cell r="GV31">
            <v>45</v>
          </cell>
          <cell r="GW31">
            <v>44</v>
          </cell>
          <cell r="GX31">
            <v>45</v>
          </cell>
          <cell r="GY31">
            <v>43</v>
          </cell>
          <cell r="GZ31">
            <v>45</v>
          </cell>
          <cell r="HA31">
            <v>45</v>
          </cell>
          <cell r="HB31">
            <v>43</v>
          </cell>
          <cell r="HC31">
            <v>45</v>
          </cell>
          <cell r="HD31">
            <v>69</v>
          </cell>
          <cell r="HE31">
            <v>67</v>
          </cell>
          <cell r="HF31">
            <v>65</v>
          </cell>
          <cell r="HG31">
            <v>66</v>
          </cell>
          <cell r="HH31">
            <v>66</v>
          </cell>
          <cell r="HI31">
            <v>67</v>
          </cell>
          <cell r="HJ31">
            <v>63</v>
          </cell>
          <cell r="HK31">
            <v>66</v>
          </cell>
          <cell r="HL31">
            <v>64</v>
          </cell>
          <cell r="HM31">
            <v>67</v>
          </cell>
          <cell r="HN31">
            <v>21</v>
          </cell>
          <cell r="HO31">
            <v>1.8987341772151899E-2</v>
          </cell>
          <cell r="HP31">
            <v>1723</v>
          </cell>
          <cell r="HQ31">
            <v>1581</v>
          </cell>
          <cell r="HR31">
            <v>142</v>
          </cell>
          <cell r="HS31">
            <v>8.2414393499709804E-2</v>
          </cell>
        </row>
        <row r="32">
          <cell r="A32" t="str">
            <v>Rural Henfield, Steyning and Upper Beeding</v>
          </cell>
          <cell r="C32" t="str">
            <v>Horsham</v>
          </cell>
          <cell r="D32" t="str">
            <v>Horsham Rural</v>
          </cell>
          <cell r="E32" t="str">
            <v>Horsham</v>
          </cell>
          <cell r="F32" t="str">
            <v>based on 2 sites</v>
          </cell>
          <cell r="G32" t="str">
            <v>Bramber, Upper Beeding and Woodmancote, Cowfold, Shermanbury and West Grinstead, Henfield, Nuthurst, Buckingham, Manor, Steyning</v>
          </cell>
          <cell r="H32" t="str">
            <v>Billingshurst, Steyning/Storrington</v>
          </cell>
          <cell r="I32" t="str">
            <v>C3/B</v>
          </cell>
          <cell r="J32" t="str">
            <v>Horsham and Mid Sussex</v>
          </cell>
          <cell r="K32" t="str">
            <v>Arundel and South Downs</v>
          </cell>
          <cell r="L32">
            <v>27235</v>
          </cell>
          <cell r="M32">
            <v>27490</v>
          </cell>
          <cell r="N32">
            <v>27485</v>
          </cell>
          <cell r="O32">
            <v>27665</v>
          </cell>
          <cell r="P32">
            <v>27665</v>
          </cell>
          <cell r="Q32">
            <v>27750</v>
          </cell>
          <cell r="R32">
            <v>27890</v>
          </cell>
          <cell r="S32">
            <v>27850</v>
          </cell>
          <cell r="T32">
            <v>27865</v>
          </cell>
          <cell r="U32">
            <v>27915</v>
          </cell>
          <cell r="V32">
            <v>1275</v>
          </cell>
          <cell r="W32">
            <v>1285</v>
          </cell>
          <cell r="X32">
            <v>1260</v>
          </cell>
          <cell r="Y32">
            <v>1305</v>
          </cell>
          <cell r="Z32">
            <v>1265</v>
          </cell>
          <cell r="AA32">
            <v>1265</v>
          </cell>
          <cell r="AB32">
            <v>1275</v>
          </cell>
          <cell r="AC32">
            <v>1280</v>
          </cell>
          <cell r="AD32">
            <v>1325</v>
          </cell>
          <cell r="AE32">
            <v>1305</v>
          </cell>
          <cell r="AF32">
            <v>0.93570875290472499</v>
          </cell>
          <cell r="AG32">
            <v>2.2463206816421378E-2</v>
          </cell>
          <cell r="AH32">
            <v>2.7110766847405113E-2</v>
          </cell>
          <cell r="AI32">
            <v>1.0069713400464756E-2</v>
          </cell>
          <cell r="AJ32">
            <v>1.5491866769945779E-3</v>
          </cell>
          <cell r="AK32">
            <v>3.0983733539891559E-3</v>
          </cell>
          <cell r="AL32">
            <v>6.4291247095274978E-2</v>
          </cell>
          <cell r="AM32">
            <v>2715</v>
          </cell>
          <cell r="AN32">
            <v>0.70202578268876614</v>
          </cell>
          <cell r="AO32">
            <v>0.11344383057090239</v>
          </cell>
          <cell r="AP32">
            <v>0.18453038674033148</v>
          </cell>
          <cell r="AQ32">
            <v>246</v>
          </cell>
          <cell r="AR32">
            <v>238</v>
          </cell>
          <cell r="AS32">
            <v>240</v>
          </cell>
          <cell r="AT32">
            <v>238</v>
          </cell>
          <cell r="AU32">
            <v>228</v>
          </cell>
          <cell r="AV32">
            <v>12</v>
          </cell>
          <cell r="AW32">
            <v>10</v>
          </cell>
          <cell r="AX32">
            <v>8</v>
          </cell>
          <cell r="AY32">
            <v>16</v>
          </cell>
          <cell r="AZ32">
            <v>9</v>
          </cell>
          <cell r="BA32">
            <v>14</v>
          </cell>
          <cell r="BB32">
            <v>6.1403508771929821E-2</v>
          </cell>
          <cell r="BC32">
            <v>3.6925597628576258E-2</v>
          </cell>
          <cell r="BD32">
            <v>0.10041592438677761</v>
          </cell>
          <cell r="BE32">
            <v>23</v>
          </cell>
          <cell r="BF32">
            <v>355</v>
          </cell>
          <cell r="BG32">
            <v>458</v>
          </cell>
          <cell r="BH32">
            <v>190</v>
          </cell>
          <cell r="BI32">
            <v>0.13331078684521894</v>
          </cell>
          <cell r="BJ32">
            <v>3084</v>
          </cell>
          <cell r="BK32">
            <v>5413</v>
          </cell>
          <cell r="BL32">
            <v>3469</v>
          </cell>
          <cell r="BM32">
            <v>2348</v>
          </cell>
          <cell r="BN32">
            <v>1</v>
          </cell>
          <cell r="BO32">
            <v>415</v>
          </cell>
          <cell r="BP32">
            <v>523</v>
          </cell>
          <cell r="BQ32">
            <v>182</v>
          </cell>
          <cell r="BR32">
            <v>110</v>
          </cell>
          <cell r="BS32">
            <v>105</v>
          </cell>
          <cell r="BT32">
            <v>85</v>
          </cell>
          <cell r="BU32">
            <v>497</v>
          </cell>
          <cell r="BV32">
            <v>134</v>
          </cell>
          <cell r="BW32">
            <v>0.26961770623742454</v>
          </cell>
          <cell r="BX32">
            <v>57</v>
          </cell>
          <cell r="BY32">
            <v>8</v>
          </cell>
          <cell r="BZ32">
            <v>280</v>
          </cell>
          <cell r="CA32">
            <v>2.3984923762206612E-2</v>
          </cell>
          <cell r="CB32">
            <v>160</v>
          </cell>
          <cell r="CC32">
            <v>160</v>
          </cell>
          <cell r="CD32">
            <v>135</v>
          </cell>
          <cell r="CE32">
            <v>120</v>
          </cell>
          <cell r="CF32">
            <v>405</v>
          </cell>
          <cell r="CG32">
            <v>8.0611111111111119E-2</v>
          </cell>
          <cell r="CH32">
            <v>425</v>
          </cell>
          <cell r="CI32">
            <v>7.5333333333333322E-2</v>
          </cell>
          <cell r="CJ32">
            <v>415</v>
          </cell>
          <cell r="CK32">
            <v>8.6388888888888904E-2</v>
          </cell>
          <cell r="CL32">
            <v>380</v>
          </cell>
          <cell r="CM32">
            <v>8.6000000000000021E-2</v>
          </cell>
          <cell r="CN32">
            <v>395</v>
          </cell>
          <cell r="CO32">
            <v>8.3666666666666653E-2</v>
          </cell>
          <cell r="CP32">
            <v>330</v>
          </cell>
          <cell r="CQ32">
            <v>7.3660714285714288E-2</v>
          </cell>
          <cell r="CR32">
            <v>242</v>
          </cell>
          <cell r="CS32">
            <v>2</v>
          </cell>
          <cell r="CT32">
            <v>240</v>
          </cell>
          <cell r="CU32">
            <v>0.99047619047619051</v>
          </cell>
          <cell r="CV32">
            <v>111</v>
          </cell>
          <cell r="CW32">
            <v>149</v>
          </cell>
          <cell r="CX32">
            <v>0.46062186270519612</v>
          </cell>
          <cell r="CY32">
            <v>0.62584221334221335</v>
          </cell>
          <cell r="CZ32">
            <v>0.40050631657407987</v>
          </cell>
          <cell r="DA32">
            <v>0.52567527016091531</v>
          </cell>
          <cell r="DB32">
            <v>0.5580016762847223</v>
          </cell>
          <cell r="DC32">
            <v>0.67985765534695974</v>
          </cell>
          <cell r="DD32">
            <v>231</v>
          </cell>
          <cell r="DE32">
            <v>14</v>
          </cell>
          <cell r="DF32">
            <v>6.0999999999999999E-2</v>
          </cell>
          <cell r="DG32">
            <v>3.5999999999999997E-2</v>
          </cell>
          <cell r="DH32">
            <v>9.9000000000000005E-2</v>
          </cell>
          <cell r="DI32" t="str">
            <v>No Sig diff</v>
          </cell>
          <cell r="DJ32">
            <v>230</v>
          </cell>
          <cell r="DK32">
            <v>15</v>
          </cell>
          <cell r="DL32">
            <v>6.5000000000000002E-2</v>
          </cell>
          <cell r="DM32">
            <v>0.04</v>
          </cell>
          <cell r="DN32">
            <v>0.105</v>
          </cell>
          <cell r="DO32" t="str">
            <v>No Sig diff</v>
          </cell>
          <cell r="DP32">
            <v>176</v>
          </cell>
          <cell r="DQ32">
            <v>13</v>
          </cell>
          <cell r="DR32">
            <v>7.3863636363636367E-2</v>
          </cell>
          <cell r="DS32">
            <v>4.3671472994869648E-2</v>
          </cell>
          <cell r="DT32">
            <v>0.12226055967645509</v>
          </cell>
          <cell r="DU32" t="str">
            <v>No Sig diff</v>
          </cell>
          <cell r="DV32">
            <v>236</v>
          </cell>
          <cell r="DW32">
            <v>18</v>
          </cell>
          <cell r="DX32">
            <v>7.6271186440677971E-2</v>
          </cell>
          <cell r="DY32">
            <v>4.8786992568433107E-2</v>
          </cell>
          <cell r="DZ32">
            <v>0.11732882000457022</v>
          </cell>
          <cell r="EA32" t="str">
            <v>No Sig diff</v>
          </cell>
          <cell r="EB32">
            <v>265</v>
          </cell>
          <cell r="EC32">
            <v>31</v>
          </cell>
          <cell r="ED32">
            <v>0.11700000000000001</v>
          </cell>
          <cell r="EE32">
            <v>8.4000000000000005E-2</v>
          </cell>
          <cell r="EF32">
            <v>0.161</v>
          </cell>
          <cell r="EG32" t="str">
            <v>Sig better than Eng.</v>
          </cell>
          <cell r="EH32">
            <v>230</v>
          </cell>
          <cell r="EI32">
            <v>31</v>
          </cell>
          <cell r="EJ32">
            <v>0.13500000000000001</v>
          </cell>
          <cell r="EK32">
            <v>9.7000000000000003E-2</v>
          </cell>
          <cell r="EL32">
            <v>0.185</v>
          </cell>
          <cell r="EM32" t="str">
            <v>Sig better than Eng.</v>
          </cell>
          <cell r="EN32">
            <v>219</v>
          </cell>
          <cell r="EO32">
            <v>30</v>
          </cell>
          <cell r="EP32">
            <v>0.13698630136986301</v>
          </cell>
          <cell r="EQ32">
            <v>9.7668720477282839E-2</v>
          </cell>
          <cell r="ER32">
            <v>0.18881952618270312</v>
          </cell>
          <cell r="ES32" t="str">
            <v>Sig better than Eng.</v>
          </cell>
          <cell r="ET32">
            <v>201</v>
          </cell>
          <cell r="EU32">
            <v>23</v>
          </cell>
          <cell r="EV32">
            <v>0.11442786069651742</v>
          </cell>
          <cell r="EW32">
            <v>7.7469981483862999E-2</v>
          </cell>
          <cell r="EX32">
            <v>0.16584726058050997</v>
          </cell>
          <cell r="EY32" t="str">
            <v>Sig better than Eng.</v>
          </cell>
          <cell r="EZ32">
            <v>270</v>
          </cell>
          <cell r="FA32">
            <v>155</v>
          </cell>
          <cell r="FB32">
            <v>0.57407407407407407</v>
          </cell>
          <cell r="FC32">
            <v>0.51445921214610213</v>
          </cell>
          <cell r="FD32">
            <v>0.63161070791735763</v>
          </cell>
          <cell r="FE32">
            <v>270</v>
          </cell>
          <cell r="FF32">
            <v>34</v>
          </cell>
          <cell r="FG32">
            <v>54</v>
          </cell>
          <cell r="FH32">
            <v>24.518518518518523</v>
          </cell>
          <cell r="FI32">
            <v>0.27886710239651402</v>
          </cell>
          <cell r="FJ32">
            <v>260</v>
          </cell>
          <cell r="FK32">
            <v>153</v>
          </cell>
          <cell r="FL32">
            <v>0.58846153846153848</v>
          </cell>
          <cell r="FM32">
            <v>0.52777950947191454</v>
          </cell>
          <cell r="FN32">
            <v>0.64656761628159143</v>
          </cell>
          <cell r="FO32">
            <v>260</v>
          </cell>
          <cell r="FP32">
            <v>34</v>
          </cell>
          <cell r="FQ32">
            <v>52</v>
          </cell>
          <cell r="FR32">
            <v>27.500000000000011</v>
          </cell>
          <cell r="FS32">
            <v>0.19117647058823498</v>
          </cell>
          <cell r="FT32">
            <v>3945</v>
          </cell>
          <cell r="FU32">
            <v>3878</v>
          </cell>
          <cell r="FV32">
            <v>67</v>
          </cell>
          <cell r="FW32">
            <v>60</v>
          </cell>
          <cell r="FX32">
            <v>7</v>
          </cell>
          <cell r="FY32">
            <v>0.89552238805970152</v>
          </cell>
          <cell r="FZ32">
            <v>0.1044776119402985</v>
          </cell>
          <cell r="GA32">
            <v>0.89917119917119925</v>
          </cell>
          <cell r="GB32">
            <v>0.10082880082880083</v>
          </cell>
          <cell r="GC32">
            <v>7.1581992836351707E-2</v>
          </cell>
          <cell r="GD32">
            <v>0.17759209866429901</v>
          </cell>
          <cell r="GE32">
            <v>0.9474488474488475</v>
          </cell>
          <cell r="GF32">
            <v>5.2551152551152558E-2</v>
          </cell>
          <cell r="GG32">
            <v>2.9236134754816855E-2</v>
          </cell>
          <cell r="GH32">
            <v>0.10870448882000433</v>
          </cell>
          <cell r="GI32">
            <v>0.90750453250453256</v>
          </cell>
          <cell r="GJ32">
            <v>9.2495467495467498E-2</v>
          </cell>
          <cell r="GK32">
            <v>7.1581992836351707E-2</v>
          </cell>
          <cell r="GL32">
            <v>0.17759209866429901</v>
          </cell>
          <cell r="GM32">
            <v>0.80558793058793066</v>
          </cell>
          <cell r="GN32">
            <v>0.19441206941206943</v>
          </cell>
          <cell r="GO32">
            <v>0.15442678106920676</v>
          </cell>
          <cell r="GP32">
            <v>0.28940587930164563</v>
          </cell>
          <cell r="GQ32">
            <v>81</v>
          </cell>
          <cell r="GR32">
            <v>79</v>
          </cell>
          <cell r="GS32">
            <v>80</v>
          </cell>
          <cell r="GT32">
            <v>80</v>
          </cell>
          <cell r="GU32">
            <v>80</v>
          </cell>
          <cell r="GV32">
            <v>51</v>
          </cell>
          <cell r="GW32">
            <v>48</v>
          </cell>
          <cell r="GX32">
            <v>49</v>
          </cell>
          <cell r="GY32">
            <v>48</v>
          </cell>
          <cell r="GZ32">
            <v>49</v>
          </cell>
          <cell r="HA32">
            <v>51</v>
          </cell>
          <cell r="HB32">
            <v>47</v>
          </cell>
          <cell r="HC32">
            <v>49</v>
          </cell>
          <cell r="HD32">
            <v>71</v>
          </cell>
          <cell r="HE32">
            <v>69</v>
          </cell>
          <cell r="HF32">
            <v>65</v>
          </cell>
          <cell r="HG32">
            <v>67</v>
          </cell>
          <cell r="HH32">
            <v>66</v>
          </cell>
          <cell r="HI32">
            <v>69</v>
          </cell>
          <cell r="HJ32">
            <v>67</v>
          </cell>
          <cell r="HK32">
            <v>68</v>
          </cell>
          <cell r="HL32">
            <v>70</v>
          </cell>
          <cell r="HM32">
            <v>69</v>
          </cell>
          <cell r="HN32">
            <v>19</v>
          </cell>
          <cell r="HO32">
            <v>1.4740108611326609E-2</v>
          </cell>
          <cell r="HP32">
            <v>2032</v>
          </cell>
          <cell r="HQ32">
            <v>1891</v>
          </cell>
          <cell r="HR32">
            <v>141</v>
          </cell>
          <cell r="HS32">
            <v>6.9389763779527561E-2</v>
          </cell>
        </row>
        <row r="33">
          <cell r="A33" t="str">
            <v>Rural Horsham</v>
          </cell>
          <cell r="C33" t="str">
            <v>Horsham</v>
          </cell>
          <cell r="D33" t="str">
            <v>Horsham Rural</v>
          </cell>
          <cell r="E33" t="str">
            <v>Horsham</v>
          </cell>
          <cell r="F33" t="str">
            <v>Chanctonbury</v>
          </cell>
          <cell r="G33" t="str">
            <v>Billingshurst and Shipley, Broadbridge Heath, Itchingfield, Slinfold and Warnham, Rudgwick, Rusper and Colgate</v>
          </cell>
          <cell r="H33" t="str">
            <v>Billingshurst</v>
          </cell>
          <cell r="I33" t="str">
            <v>C3</v>
          </cell>
          <cell r="J33" t="str">
            <v>Coastal West Sussex</v>
          </cell>
          <cell r="K33" t="str">
            <v>Horsham</v>
          </cell>
          <cell r="L33">
            <v>14005</v>
          </cell>
          <cell r="M33">
            <v>14120</v>
          </cell>
          <cell r="N33">
            <v>14350</v>
          </cell>
          <cell r="O33">
            <v>14600</v>
          </cell>
          <cell r="P33">
            <v>14705</v>
          </cell>
          <cell r="Q33">
            <v>14730</v>
          </cell>
          <cell r="R33">
            <v>14765</v>
          </cell>
          <cell r="S33">
            <v>14770</v>
          </cell>
          <cell r="T33">
            <v>14845</v>
          </cell>
          <cell r="U33">
            <v>15110</v>
          </cell>
          <cell r="V33">
            <v>785</v>
          </cell>
          <cell r="W33">
            <v>780</v>
          </cell>
          <cell r="X33">
            <v>795</v>
          </cell>
          <cell r="Y33">
            <v>825</v>
          </cell>
          <cell r="Z33">
            <v>825</v>
          </cell>
          <cell r="AA33">
            <v>785</v>
          </cell>
          <cell r="AB33">
            <v>765</v>
          </cell>
          <cell r="AC33">
            <v>780</v>
          </cell>
          <cell r="AD33">
            <v>730</v>
          </cell>
          <cell r="AE33">
            <v>790</v>
          </cell>
          <cell r="AF33">
            <v>0.91592356687898091</v>
          </cell>
          <cell r="AG33">
            <v>4.2038216560509552E-2</v>
          </cell>
          <cell r="AH33">
            <v>2.6751592356687899E-2</v>
          </cell>
          <cell r="AI33">
            <v>1.4012738853503185E-2</v>
          </cell>
          <cell r="AJ33">
            <v>1.2738853503184713E-3</v>
          </cell>
          <cell r="AK33">
            <v>0</v>
          </cell>
          <cell r="AL33">
            <v>8.4076433121019103E-2</v>
          </cell>
          <cell r="AM33">
            <v>1660</v>
          </cell>
          <cell r="AN33">
            <v>0.67108433734939754</v>
          </cell>
          <cell r="AO33">
            <v>0.16385542168674699</v>
          </cell>
          <cell r="AP33">
            <v>0.16506024096385541</v>
          </cell>
          <cell r="AQ33">
            <v>122</v>
          </cell>
          <cell r="AR33">
            <v>155</v>
          </cell>
          <cell r="AS33">
            <v>123</v>
          </cell>
          <cell r="AT33">
            <v>135</v>
          </cell>
          <cell r="AU33">
            <v>134</v>
          </cell>
          <cell r="AV33">
            <v>4</v>
          </cell>
          <cell r="AW33">
            <v>5</v>
          </cell>
          <cell r="AX33">
            <v>1</v>
          </cell>
          <cell r="AY33">
            <v>3</v>
          </cell>
          <cell r="AZ33">
            <v>4</v>
          </cell>
          <cell r="BA33">
            <v>9</v>
          </cell>
          <cell r="BB33">
            <v>6.7164179104477612E-2</v>
          </cell>
          <cell r="BC33">
            <v>3.573460604589504E-2</v>
          </cell>
          <cell r="BD33">
            <v>0.12271887382554017</v>
          </cell>
          <cell r="BE33">
            <v>6</v>
          </cell>
          <cell r="BF33">
            <v>221</v>
          </cell>
          <cell r="BG33">
            <v>276</v>
          </cell>
          <cell r="BH33">
            <v>114</v>
          </cell>
          <cell r="BI33">
            <v>0.14875269216837225</v>
          </cell>
          <cell r="BJ33">
            <v>1769</v>
          </cell>
          <cell r="BK33">
            <v>3153</v>
          </cell>
          <cell r="BL33">
            <v>1642</v>
          </cell>
          <cell r="BM33">
            <v>1054</v>
          </cell>
          <cell r="BN33">
            <v>0</v>
          </cell>
          <cell r="BO33">
            <v>190</v>
          </cell>
          <cell r="BP33">
            <v>298</v>
          </cell>
          <cell r="BQ33">
            <v>100</v>
          </cell>
          <cell r="BR33">
            <v>75</v>
          </cell>
          <cell r="BS33">
            <v>55</v>
          </cell>
          <cell r="BT33">
            <v>45</v>
          </cell>
          <cell r="BU33">
            <v>303</v>
          </cell>
          <cell r="BV33">
            <v>102</v>
          </cell>
          <cell r="BW33">
            <v>0.33663366336633666</v>
          </cell>
          <cell r="BX33">
            <v>32</v>
          </cell>
          <cell r="BY33">
            <v>6</v>
          </cell>
          <cell r="BZ33">
            <v>170</v>
          </cell>
          <cell r="CA33">
            <v>2.8504359490274984E-2</v>
          </cell>
          <cell r="CB33">
            <v>95</v>
          </cell>
          <cell r="CC33">
            <v>80</v>
          </cell>
          <cell r="CD33">
            <v>80</v>
          </cell>
          <cell r="CE33">
            <v>85</v>
          </cell>
          <cell r="CF33">
            <v>245</v>
          </cell>
          <cell r="CG33">
            <v>8.4000000000000019E-2</v>
          </cell>
          <cell r="CH33">
            <v>260</v>
          </cell>
          <cell r="CI33">
            <v>8.8625000000000009E-2</v>
          </cell>
          <cell r="CJ33">
            <v>270</v>
          </cell>
          <cell r="CK33">
            <v>9.3500000000000014E-2</v>
          </cell>
          <cell r="CL33">
            <v>270</v>
          </cell>
          <cell r="CM33">
            <v>9.2000000000000012E-2</v>
          </cell>
          <cell r="CN33">
            <v>250</v>
          </cell>
          <cell r="CO33">
            <v>8.5499999999999993E-2</v>
          </cell>
          <cell r="CP33">
            <v>240</v>
          </cell>
          <cell r="CQ33">
            <v>9.03954802259887E-2</v>
          </cell>
          <cell r="CR33">
            <v>142</v>
          </cell>
          <cell r="CS33">
            <v>8</v>
          </cell>
          <cell r="CT33">
            <v>134</v>
          </cell>
          <cell r="CU33">
            <v>0.94747924685521445</v>
          </cell>
          <cell r="CV33">
            <v>52</v>
          </cell>
          <cell r="CW33">
            <v>71</v>
          </cell>
          <cell r="CX33">
            <v>0.40079365079365081</v>
          </cell>
          <cell r="CY33">
            <v>0.53690476190476188</v>
          </cell>
          <cell r="CZ33">
            <v>0.30976736607385452</v>
          </cell>
          <cell r="DA33">
            <v>0.47259151542490918</v>
          </cell>
          <cell r="DB33">
            <v>0.44569249320882598</v>
          </cell>
          <cell r="DC33">
            <v>0.61234513839150362</v>
          </cell>
          <cell r="DD33">
            <v>145</v>
          </cell>
          <cell r="DE33">
            <v>10</v>
          </cell>
          <cell r="DF33">
            <v>6.8965517241379309E-2</v>
          </cell>
          <cell r="DG33">
            <v>3.7888953275645364E-2</v>
          </cell>
          <cell r="DH33">
            <v>0.12229127479787401</v>
          </cell>
          <cell r="DI33" t="str">
            <v>No Sig diff</v>
          </cell>
          <cell r="DJ33">
            <v>131</v>
          </cell>
          <cell r="DK33">
            <v>13</v>
          </cell>
          <cell r="DL33">
            <v>9.9236641221374045E-2</v>
          </cell>
          <cell r="DM33">
            <v>5.8914886907542818E-2</v>
          </cell>
          <cell r="DN33">
            <v>0.16239285539726198</v>
          </cell>
          <cell r="DO33" t="str">
            <v>No Sig diff</v>
          </cell>
          <cell r="DP33">
            <v>82</v>
          </cell>
          <cell r="DQ33">
            <v>6</v>
          </cell>
          <cell r="DR33">
            <v>7.3170731707317069E-2</v>
          </cell>
          <cell r="DS33">
            <v>3.3964777256659195E-2</v>
          </cell>
          <cell r="DT33">
            <v>0.15057843808854837</v>
          </cell>
          <cell r="DU33" t="str">
            <v>No Sig diff</v>
          </cell>
          <cell r="DV33">
            <v>122</v>
          </cell>
          <cell r="DW33">
            <v>13</v>
          </cell>
          <cell r="DX33">
            <v>0.10655737704918032</v>
          </cell>
          <cell r="DY33">
            <v>6.3336996121428416E-2</v>
          </cell>
          <cell r="DZ33">
            <v>0.1737983573650079</v>
          </cell>
          <cell r="EA33" t="str">
            <v>No Sig diff</v>
          </cell>
          <cell r="EB33">
            <v>123</v>
          </cell>
          <cell r="EC33">
            <v>23</v>
          </cell>
          <cell r="ED33">
            <v>0.18699186991869918</v>
          </cell>
          <cell r="EE33">
            <v>0.12795837432731735</v>
          </cell>
          <cell r="EF33">
            <v>0.26498458993763258</v>
          </cell>
          <cell r="EG33" t="str">
            <v>No Sig diff</v>
          </cell>
          <cell r="EH33">
            <v>128</v>
          </cell>
          <cell r="EI33">
            <v>18</v>
          </cell>
          <cell r="EJ33">
            <v>0.140625</v>
          </cell>
          <cell r="EK33">
            <v>9.083969494262252E-2</v>
          </cell>
          <cell r="EL33">
            <v>0.21135249237896167</v>
          </cell>
          <cell r="EM33" t="str">
            <v>No Sig diff</v>
          </cell>
          <cell r="EN33">
            <v>125</v>
          </cell>
          <cell r="EO33">
            <v>19</v>
          </cell>
          <cell r="EP33">
            <v>0.152</v>
          </cell>
          <cell r="EQ33">
            <v>9.9520834204329611E-2</v>
          </cell>
          <cell r="ER33">
            <v>0.22523067981666553</v>
          </cell>
          <cell r="ES33" t="str">
            <v>No Sig diff</v>
          </cell>
          <cell r="ET33">
            <v>103</v>
          </cell>
          <cell r="EU33">
            <v>18</v>
          </cell>
          <cell r="EV33">
            <v>0.17475728155339806</v>
          </cell>
          <cell r="EW33">
            <v>0.11349896556855764</v>
          </cell>
          <cell r="EX33">
            <v>0.25940364415299016</v>
          </cell>
          <cell r="EY33" t="str">
            <v>No Sig diff</v>
          </cell>
          <cell r="EZ33">
            <v>152</v>
          </cell>
          <cell r="FA33">
            <v>85</v>
          </cell>
          <cell r="FB33">
            <v>0.55921052631578949</v>
          </cell>
          <cell r="FC33">
            <v>0.47978845905599204</v>
          </cell>
          <cell r="FD33">
            <v>0.63571353981011325</v>
          </cell>
          <cell r="FE33">
            <v>152</v>
          </cell>
          <cell r="FF33">
            <v>34</v>
          </cell>
          <cell r="FG33">
            <v>30</v>
          </cell>
          <cell r="FH33">
            <v>24.766666666666669</v>
          </cell>
          <cell r="FI33">
            <v>0.27156862745098032</v>
          </cell>
          <cell r="FJ33">
            <v>150</v>
          </cell>
          <cell r="FK33">
            <v>89</v>
          </cell>
          <cell r="FL33">
            <v>0.59333333333333338</v>
          </cell>
          <cell r="FM33">
            <v>0.51334665051332073</v>
          </cell>
          <cell r="FN33">
            <v>0.668658903871305</v>
          </cell>
          <cell r="FO33">
            <v>150</v>
          </cell>
          <cell r="FP33">
            <v>34</v>
          </cell>
          <cell r="FQ33">
            <v>30</v>
          </cell>
          <cell r="FR33">
            <v>26.6</v>
          </cell>
          <cell r="FS33">
            <v>0.21764705882352936</v>
          </cell>
          <cell r="FT33">
            <v>2449</v>
          </cell>
          <cell r="FU33">
            <v>2382</v>
          </cell>
          <cell r="FV33">
            <v>67</v>
          </cell>
          <cell r="FW33">
            <v>52</v>
          </cell>
          <cell r="FX33">
            <v>15</v>
          </cell>
          <cell r="FY33">
            <v>0.77611940298507465</v>
          </cell>
          <cell r="FZ33">
            <v>0.22388059701492538</v>
          </cell>
          <cell r="GA33">
            <v>0.900595238095238</v>
          </cell>
          <cell r="GB33">
            <v>9.9404761904761912E-2</v>
          </cell>
          <cell r="GC33">
            <v>3.9457573336373918E-2</v>
          </cell>
          <cell r="GD33">
            <v>0.19577736249133981</v>
          </cell>
          <cell r="GE33">
            <v>0.91845238095238091</v>
          </cell>
          <cell r="GF33">
            <v>8.1547619047619049E-2</v>
          </cell>
          <cell r="GG33">
            <v>2.864359650368855E-2</v>
          </cell>
          <cell r="GH33">
            <v>0.17260178091636799</v>
          </cell>
          <cell r="GI33">
            <v>0.88511904761904758</v>
          </cell>
          <cell r="GJ33">
            <v>0.11488095238095238</v>
          </cell>
          <cell r="GK33">
            <v>5.0966556283051322E-2</v>
          </cell>
          <cell r="GL33">
            <v>0.21825793795231954</v>
          </cell>
          <cell r="GM33">
            <v>0.76557539682539688</v>
          </cell>
          <cell r="GN33">
            <v>0.23442460317460317</v>
          </cell>
          <cell r="GO33">
            <v>0.13195287989578958</v>
          </cell>
          <cell r="GP33">
            <v>0.34938926831587819</v>
          </cell>
          <cell r="GQ33">
            <v>40</v>
          </cell>
          <cell r="GR33">
            <v>39</v>
          </cell>
          <cell r="GS33">
            <v>39</v>
          </cell>
          <cell r="GT33">
            <v>39</v>
          </cell>
          <cell r="GU33">
            <v>39</v>
          </cell>
          <cell r="GV33">
            <v>33</v>
          </cell>
          <cell r="GW33">
            <v>32</v>
          </cell>
          <cell r="GX33">
            <v>33</v>
          </cell>
          <cell r="GY33">
            <v>32</v>
          </cell>
          <cell r="GZ33">
            <v>33</v>
          </cell>
          <cell r="HA33">
            <v>33</v>
          </cell>
          <cell r="HB33">
            <v>32</v>
          </cell>
          <cell r="HC33">
            <v>33</v>
          </cell>
          <cell r="HD33">
            <v>45</v>
          </cell>
          <cell r="HE33">
            <v>39</v>
          </cell>
          <cell r="HF33">
            <v>42</v>
          </cell>
          <cell r="HG33">
            <v>37</v>
          </cell>
          <cell r="HH33">
            <v>42</v>
          </cell>
          <cell r="HI33">
            <v>43</v>
          </cell>
          <cell r="HJ33">
            <v>38</v>
          </cell>
          <cell r="HK33">
            <v>39</v>
          </cell>
          <cell r="HL33">
            <v>38</v>
          </cell>
          <cell r="HM33">
            <v>43</v>
          </cell>
          <cell r="HN33">
            <v>13</v>
          </cell>
          <cell r="HO33">
            <v>1.6602809706257982E-2</v>
          </cell>
          <cell r="HP33">
            <v>1220</v>
          </cell>
          <cell r="HQ33">
            <v>1127</v>
          </cell>
          <cell r="HR33">
            <v>93</v>
          </cell>
          <cell r="HS33">
            <v>7.6229508196721307E-2</v>
          </cell>
        </row>
        <row r="34">
          <cell r="A34" t="str">
            <v>Selsey</v>
          </cell>
          <cell r="C34" t="str">
            <v>Chichester</v>
          </cell>
          <cell r="D34" t="str">
            <v>Chichester Rural</v>
          </cell>
          <cell r="E34" t="str">
            <v>Chichester</v>
          </cell>
          <cell r="F34" t="str">
            <v>Arch</v>
          </cell>
          <cell r="G34" t="str">
            <v>East Wittering, Selsey North, Selsey South, Sidlesham, West Wittering</v>
          </cell>
          <cell r="H34" t="str">
            <v>Manhood</v>
          </cell>
          <cell r="I34" t="str">
            <v>A</v>
          </cell>
          <cell r="J34" t="str">
            <v>Coastal West Sussex</v>
          </cell>
          <cell r="K34" t="str">
            <v>Chichester</v>
          </cell>
          <cell r="L34">
            <v>20565</v>
          </cell>
          <cell r="M34">
            <v>20845</v>
          </cell>
          <cell r="N34">
            <v>21190</v>
          </cell>
          <cell r="O34">
            <v>21470</v>
          </cell>
          <cell r="P34">
            <v>21585</v>
          </cell>
          <cell r="Q34">
            <v>21515</v>
          </cell>
          <cell r="R34">
            <v>21515</v>
          </cell>
          <cell r="S34">
            <v>21455</v>
          </cell>
          <cell r="T34">
            <v>21385</v>
          </cell>
          <cell r="U34">
            <v>21365</v>
          </cell>
          <cell r="V34">
            <v>740</v>
          </cell>
          <cell r="W34">
            <v>740</v>
          </cell>
          <cell r="X34">
            <v>770</v>
          </cell>
          <cell r="Y34">
            <v>825</v>
          </cell>
          <cell r="Z34">
            <v>875</v>
          </cell>
          <cell r="AA34">
            <v>890</v>
          </cell>
          <cell r="AB34">
            <v>885</v>
          </cell>
          <cell r="AC34">
            <v>890</v>
          </cell>
          <cell r="AD34">
            <v>910</v>
          </cell>
          <cell r="AE34">
            <v>885</v>
          </cell>
          <cell r="AF34">
            <v>0.94813979706877116</v>
          </cell>
          <cell r="AG34">
            <v>3.269447576099211E-2</v>
          </cell>
          <cell r="AH34">
            <v>1.2401352874859075E-2</v>
          </cell>
          <cell r="AI34">
            <v>5.6369785794813977E-3</v>
          </cell>
          <cell r="AJ34">
            <v>1.1273957158962795E-3</v>
          </cell>
          <cell r="AK34">
            <v>0</v>
          </cell>
          <cell r="AL34">
            <v>5.1860202931228859E-2</v>
          </cell>
          <cell r="AM34">
            <v>1790</v>
          </cell>
          <cell r="AN34">
            <v>0.61353467561521258</v>
          </cell>
          <cell r="AO34">
            <v>0.13646532438478748</v>
          </cell>
          <cell r="AP34">
            <v>0.25</v>
          </cell>
          <cell r="AQ34">
            <v>201</v>
          </cell>
          <cell r="AR34">
            <v>175</v>
          </cell>
          <cell r="AS34">
            <v>189</v>
          </cell>
          <cell r="AT34">
            <v>190</v>
          </cell>
          <cell r="AU34">
            <v>177</v>
          </cell>
          <cell r="AV34">
            <v>15</v>
          </cell>
          <cell r="AW34">
            <v>11</v>
          </cell>
          <cell r="AX34">
            <v>14</v>
          </cell>
          <cell r="AY34">
            <v>11</v>
          </cell>
          <cell r="AZ34">
            <v>12</v>
          </cell>
          <cell r="BA34">
            <v>19</v>
          </cell>
          <cell r="BB34">
            <v>0.10734463276836158</v>
          </cell>
          <cell r="BC34">
            <v>6.9804882037872676E-2</v>
          </cell>
          <cell r="BD34">
            <v>0.16156606074013427</v>
          </cell>
          <cell r="BE34">
            <v>20</v>
          </cell>
          <cell r="BF34">
            <v>259</v>
          </cell>
          <cell r="BG34">
            <v>270</v>
          </cell>
          <cell r="BH34">
            <v>166</v>
          </cell>
          <cell r="BI34">
            <v>0.15413943008047112</v>
          </cell>
          <cell r="BJ34">
            <v>1966</v>
          </cell>
          <cell r="BK34">
            <v>3509</v>
          </cell>
          <cell r="BL34">
            <v>1980</v>
          </cell>
          <cell r="BM34">
            <v>1107</v>
          </cell>
          <cell r="BN34">
            <v>3</v>
          </cell>
          <cell r="BO34">
            <v>259</v>
          </cell>
          <cell r="BP34">
            <v>429</v>
          </cell>
          <cell r="BQ34">
            <v>182</v>
          </cell>
          <cell r="BR34">
            <v>145</v>
          </cell>
          <cell r="BS34">
            <v>105</v>
          </cell>
          <cell r="BT34">
            <v>100</v>
          </cell>
          <cell r="BU34">
            <v>427</v>
          </cell>
          <cell r="BV34">
            <v>142</v>
          </cell>
          <cell r="BW34">
            <v>0.33255269320843089</v>
          </cell>
          <cell r="BX34">
            <v>39</v>
          </cell>
          <cell r="BY34">
            <v>4</v>
          </cell>
          <cell r="BZ34">
            <v>306</v>
          </cell>
          <cell r="CA34">
            <v>3.1436202999794535E-2</v>
          </cell>
          <cell r="CB34">
            <v>170</v>
          </cell>
          <cell r="CC34">
            <v>150</v>
          </cell>
          <cell r="CD34">
            <v>165</v>
          </cell>
          <cell r="CE34">
            <v>170</v>
          </cell>
          <cell r="CF34">
            <v>490</v>
          </cell>
          <cell r="CG34">
            <v>0.14400000000000004</v>
          </cell>
          <cell r="CH34">
            <v>525</v>
          </cell>
          <cell r="CI34">
            <v>0.14028571428571429</v>
          </cell>
          <cell r="CJ34">
            <v>555</v>
          </cell>
          <cell r="CK34">
            <v>0.1622142857142857</v>
          </cell>
          <cell r="CL34">
            <v>490</v>
          </cell>
          <cell r="CM34">
            <v>0.15200000000000005</v>
          </cell>
          <cell r="CN34">
            <v>520</v>
          </cell>
          <cell r="CO34">
            <v>0.14157142857142854</v>
          </cell>
          <cell r="CP34">
            <v>450</v>
          </cell>
          <cell r="CQ34">
            <v>0.14285714285714285</v>
          </cell>
          <cell r="CR34">
            <v>173</v>
          </cell>
          <cell r="CS34">
            <v>21</v>
          </cell>
          <cell r="CT34">
            <v>152</v>
          </cell>
          <cell r="CU34">
            <v>0.87554299579069161</v>
          </cell>
          <cell r="CV34">
            <v>48</v>
          </cell>
          <cell r="CW34">
            <v>66</v>
          </cell>
          <cell r="CX34">
            <v>0.35143869513617415</v>
          </cell>
          <cell r="CY34">
            <v>0.47400011286565907</v>
          </cell>
          <cell r="CZ34">
            <v>0.24720854569312695</v>
          </cell>
          <cell r="DA34">
            <v>0.39345222781022515</v>
          </cell>
          <cell r="DB34">
            <v>0.35799524971462582</v>
          </cell>
          <cell r="DC34">
            <v>0.5136693122508571</v>
          </cell>
          <cell r="DD34">
            <v>191</v>
          </cell>
          <cell r="DE34">
            <v>20</v>
          </cell>
          <cell r="DF34">
            <v>0.10471204188481675</v>
          </cell>
          <cell r="DG34">
            <v>6.8812850350840088E-2</v>
          </cell>
          <cell r="DH34">
            <v>0.15619808462188514</v>
          </cell>
          <cell r="DI34" t="str">
            <v>No Sig diff</v>
          </cell>
          <cell r="DJ34">
            <v>162</v>
          </cell>
          <cell r="DK34">
            <v>19</v>
          </cell>
          <cell r="DL34">
            <v>0.11728395061728394</v>
          </cell>
          <cell r="DM34">
            <v>7.6382886848500614E-2</v>
          </cell>
          <cell r="DN34">
            <v>0.1759150555250806</v>
          </cell>
          <cell r="DO34" t="str">
            <v>No Sig diff</v>
          </cell>
          <cell r="DP34">
            <v>179</v>
          </cell>
          <cell r="DQ34">
            <v>16</v>
          </cell>
          <cell r="DR34">
            <v>8.9385474860335198E-2</v>
          </cell>
          <cell r="DS34">
            <v>5.5768700800059426E-2</v>
          </cell>
          <cell r="DT34">
            <v>0.14025609057858801</v>
          </cell>
          <cell r="DU34" t="str">
            <v>No Sig diff</v>
          </cell>
          <cell r="DV34">
            <v>176</v>
          </cell>
          <cell r="DW34">
            <v>30</v>
          </cell>
          <cell r="DX34">
            <v>0.17045454545454544</v>
          </cell>
          <cell r="DY34">
            <v>0.12208717509263066</v>
          </cell>
          <cell r="DZ34">
            <v>0.23290026350652712</v>
          </cell>
          <cell r="EA34" t="str">
            <v>Sig worse than Eng.</v>
          </cell>
          <cell r="EB34">
            <v>165</v>
          </cell>
          <cell r="EC34">
            <v>31</v>
          </cell>
          <cell r="ED34">
            <v>0.18787878787878787</v>
          </cell>
          <cell r="EE34">
            <v>0.13563438589221086</v>
          </cell>
          <cell r="EF34">
            <v>0.25432587197677792</v>
          </cell>
          <cell r="EG34" t="str">
            <v>No Sig diff</v>
          </cell>
          <cell r="EH34">
            <v>159</v>
          </cell>
          <cell r="EI34">
            <v>31</v>
          </cell>
          <cell r="EJ34">
            <v>0.19496855345911951</v>
          </cell>
          <cell r="EK34">
            <v>0.14089118738057674</v>
          </cell>
          <cell r="EL34">
            <v>0.26343741110730967</v>
          </cell>
          <cell r="EM34" t="str">
            <v>No Sig diff</v>
          </cell>
          <cell r="EN34">
            <v>156</v>
          </cell>
          <cell r="EO34">
            <v>22</v>
          </cell>
          <cell r="EP34">
            <v>0.14102564102564102</v>
          </cell>
          <cell r="EQ34">
            <v>9.5011143828233793E-2</v>
          </cell>
          <cell r="ER34">
            <v>0.20429455053708973</v>
          </cell>
          <cell r="ES34" t="str">
            <v>No Sig diff</v>
          </cell>
          <cell r="ET34">
            <v>156</v>
          </cell>
          <cell r="EU34">
            <v>30</v>
          </cell>
          <cell r="EV34">
            <v>0.19230769230769232</v>
          </cell>
          <cell r="EW34">
            <v>0.13815889455002239</v>
          </cell>
          <cell r="EX34">
            <v>0.2612459863345406</v>
          </cell>
          <cell r="EY34" t="str">
            <v>No Sig diff</v>
          </cell>
          <cell r="EZ34">
            <v>198</v>
          </cell>
          <cell r="FA34">
            <v>122</v>
          </cell>
          <cell r="FB34">
            <v>0.61616161616161613</v>
          </cell>
          <cell r="FC34">
            <v>0.54682338136658892</v>
          </cell>
          <cell r="FD34">
            <v>0.68107826118378578</v>
          </cell>
          <cell r="FE34">
            <v>198</v>
          </cell>
          <cell r="FF34">
            <v>34</v>
          </cell>
          <cell r="FG34">
            <v>39</v>
          </cell>
          <cell r="FH34">
            <v>25.512820512820511</v>
          </cell>
          <cell r="FI34">
            <v>0.24962292609351439</v>
          </cell>
          <cell r="FJ34">
            <v>206</v>
          </cell>
          <cell r="FK34">
            <v>130</v>
          </cell>
          <cell r="FL34">
            <v>0.6310679611650486</v>
          </cell>
          <cell r="FM34">
            <v>0.5633394478729038</v>
          </cell>
          <cell r="FN34">
            <v>0.69399768799852601</v>
          </cell>
          <cell r="FO34">
            <v>206</v>
          </cell>
          <cell r="FP34">
            <v>34</v>
          </cell>
          <cell r="FQ34">
            <v>41</v>
          </cell>
          <cell r="FR34">
            <v>23.317073170731703</v>
          </cell>
          <cell r="FS34">
            <v>0.31420373027259696</v>
          </cell>
          <cell r="FT34">
            <v>4313</v>
          </cell>
          <cell r="FU34">
            <v>3997</v>
          </cell>
          <cell r="FV34">
            <v>316</v>
          </cell>
          <cell r="FW34">
            <v>261</v>
          </cell>
          <cell r="FX34">
            <v>55</v>
          </cell>
          <cell r="FY34">
            <v>0.82594936708860756</v>
          </cell>
          <cell r="FZ34">
            <v>0.17405063291139242</v>
          </cell>
          <cell r="GB34">
            <v>0.17543859649122806</v>
          </cell>
          <cell r="GC34">
            <v>9.8187471335966101E-2</v>
          </cell>
          <cell r="GD34">
            <v>0.29367599050593152</v>
          </cell>
          <cell r="GF34">
            <v>0.14035087719298245</v>
          </cell>
          <cell r="GG34">
            <v>7.2871892271282851E-2</v>
          </cell>
          <cell r="GH34">
            <v>0.25324707895892806</v>
          </cell>
          <cell r="GJ34">
            <v>0.17543859649122806</v>
          </cell>
          <cell r="GK34">
            <v>9.8187471335966101E-2</v>
          </cell>
          <cell r="GL34">
            <v>0.29367599050593152</v>
          </cell>
          <cell r="GN34">
            <v>0.23636363636363636</v>
          </cell>
          <cell r="GO34">
            <v>0.1436652158745749</v>
          </cell>
          <cell r="GP34">
            <v>0.36348618721439618</v>
          </cell>
          <cell r="GQ34">
            <v>61</v>
          </cell>
          <cell r="GR34">
            <v>55</v>
          </cell>
          <cell r="GS34">
            <v>56</v>
          </cell>
          <cell r="GT34">
            <v>58</v>
          </cell>
          <cell r="GU34">
            <v>56</v>
          </cell>
          <cell r="GV34">
            <v>45</v>
          </cell>
          <cell r="GW34">
            <v>41</v>
          </cell>
          <cell r="GX34">
            <v>43</v>
          </cell>
          <cell r="GY34">
            <v>41</v>
          </cell>
          <cell r="GZ34">
            <v>43</v>
          </cell>
          <cell r="HA34">
            <v>44</v>
          </cell>
          <cell r="HB34">
            <v>40</v>
          </cell>
          <cell r="HC34">
            <v>43</v>
          </cell>
          <cell r="HD34">
            <v>47</v>
          </cell>
          <cell r="HE34">
            <v>42</v>
          </cell>
          <cell r="HF34">
            <v>41</v>
          </cell>
          <cell r="HG34">
            <v>37</v>
          </cell>
          <cell r="HH34">
            <v>40</v>
          </cell>
          <cell r="HI34">
            <v>41</v>
          </cell>
          <cell r="HJ34">
            <v>40</v>
          </cell>
          <cell r="HK34">
            <v>42</v>
          </cell>
          <cell r="HL34">
            <v>42</v>
          </cell>
          <cell r="HM34">
            <v>42</v>
          </cell>
          <cell r="HN34">
            <v>16</v>
          </cell>
          <cell r="HO34">
            <v>1.8079096045197741E-2</v>
          </cell>
          <cell r="HP34">
            <v>1409</v>
          </cell>
          <cell r="HQ34">
            <v>1255</v>
          </cell>
          <cell r="HR34">
            <v>154</v>
          </cell>
          <cell r="HS34">
            <v>0.10929737402413059</v>
          </cell>
        </row>
        <row r="35">
          <cell r="A35" t="str">
            <v>Sidney West</v>
          </cell>
          <cell r="C35" t="str">
            <v>Mid Sussex</v>
          </cell>
          <cell r="D35" t="str">
            <v>Mid Sussex</v>
          </cell>
          <cell r="E35" t="str">
            <v>Mid Sussex</v>
          </cell>
          <cell r="F35" t="str">
            <v>Mid Sussex</v>
          </cell>
          <cell r="G35" t="str">
            <v>Burgess Hill Franklands, Burgess Hill Leylands, Burgess Hill Meeds, Burgess Hill St Andrews</v>
          </cell>
          <cell r="H35" t="str">
            <v>Burgess Hill</v>
          </cell>
          <cell r="I35" t="str">
            <v>C2</v>
          </cell>
          <cell r="J35" t="str">
            <v>Horsham and Mid Sussex</v>
          </cell>
          <cell r="K35" t="str">
            <v>Mid Sussex</v>
          </cell>
          <cell r="L35">
            <v>18300</v>
          </cell>
          <cell r="M35">
            <v>18330</v>
          </cell>
          <cell r="N35">
            <v>18385</v>
          </cell>
          <cell r="O35">
            <v>18520</v>
          </cell>
          <cell r="P35">
            <v>18660</v>
          </cell>
          <cell r="Q35">
            <v>18865</v>
          </cell>
          <cell r="R35">
            <v>18970</v>
          </cell>
          <cell r="S35">
            <v>19140</v>
          </cell>
          <cell r="T35">
            <v>19245</v>
          </cell>
          <cell r="U35">
            <v>19340</v>
          </cell>
          <cell r="V35">
            <v>940</v>
          </cell>
          <cell r="W35">
            <v>945</v>
          </cell>
          <cell r="X35">
            <v>975</v>
          </cell>
          <cell r="Y35">
            <v>985</v>
          </cell>
          <cell r="Z35">
            <v>970</v>
          </cell>
          <cell r="AA35">
            <v>975</v>
          </cell>
          <cell r="AB35">
            <v>980</v>
          </cell>
          <cell r="AC35">
            <v>1035</v>
          </cell>
          <cell r="AD35">
            <v>1055</v>
          </cell>
          <cell r="AE35">
            <v>1050</v>
          </cell>
          <cell r="AF35">
            <v>0.83477425552353501</v>
          </cell>
          <cell r="AG35">
            <v>3.8424591738712779E-2</v>
          </cell>
          <cell r="AH35">
            <v>4.226705091258405E-2</v>
          </cell>
          <cell r="AI35">
            <v>7.0124879923150821E-2</v>
          </cell>
          <cell r="AJ35">
            <v>1.1527377521613832E-2</v>
          </cell>
          <cell r="AK35">
            <v>2.881844380403458E-3</v>
          </cell>
          <cell r="AL35">
            <v>0.16522574447646493</v>
          </cell>
          <cell r="AM35">
            <v>2000</v>
          </cell>
          <cell r="AN35">
            <v>0.72177822177822182</v>
          </cell>
          <cell r="AO35">
            <v>0.12387612387612387</v>
          </cell>
          <cell r="AP35">
            <v>0.15434565434565434</v>
          </cell>
          <cell r="AQ35">
            <v>190</v>
          </cell>
          <cell r="AR35">
            <v>212</v>
          </cell>
          <cell r="AS35">
            <v>187</v>
          </cell>
          <cell r="AT35">
            <v>194</v>
          </cell>
          <cell r="AU35">
            <v>193</v>
          </cell>
          <cell r="AV35">
            <v>8</v>
          </cell>
          <cell r="AW35">
            <v>9</v>
          </cell>
          <cell r="AX35">
            <v>5</v>
          </cell>
          <cell r="AY35">
            <v>3</v>
          </cell>
          <cell r="AZ35">
            <v>7</v>
          </cell>
          <cell r="BA35">
            <v>9</v>
          </cell>
          <cell r="BB35">
            <v>4.6632124352331605E-2</v>
          </cell>
          <cell r="BC35">
            <v>2.4724444791412101E-2</v>
          </cell>
          <cell r="BD35">
            <v>8.6235202386319071E-2</v>
          </cell>
          <cell r="BE35">
            <v>11</v>
          </cell>
          <cell r="BF35">
            <v>335</v>
          </cell>
          <cell r="BG35">
            <v>330</v>
          </cell>
          <cell r="BH35">
            <v>155</v>
          </cell>
          <cell r="BI35">
            <v>0.14777997878599203</v>
          </cell>
          <cell r="BJ35">
            <v>2200</v>
          </cell>
          <cell r="BK35">
            <v>3896</v>
          </cell>
          <cell r="BL35">
            <v>2431</v>
          </cell>
          <cell r="BM35">
            <v>1630</v>
          </cell>
          <cell r="BN35">
            <v>1</v>
          </cell>
          <cell r="BO35">
            <v>287</v>
          </cell>
          <cell r="BP35">
            <v>375</v>
          </cell>
          <cell r="BQ35">
            <v>138</v>
          </cell>
          <cell r="BR35">
            <v>80</v>
          </cell>
          <cell r="BS35">
            <v>80</v>
          </cell>
          <cell r="BT35">
            <v>70</v>
          </cell>
          <cell r="BU35">
            <v>332</v>
          </cell>
          <cell r="BV35">
            <v>85</v>
          </cell>
          <cell r="BW35">
            <v>0.25602409638554219</v>
          </cell>
          <cell r="BX35">
            <v>24</v>
          </cell>
          <cell r="BY35">
            <v>8</v>
          </cell>
          <cell r="BZ35">
            <v>227</v>
          </cell>
          <cell r="CA35">
            <v>2.8865717192268565E-2</v>
          </cell>
          <cell r="CB35">
            <v>120</v>
          </cell>
          <cell r="CC35">
            <v>120</v>
          </cell>
          <cell r="CD35">
            <v>130</v>
          </cell>
          <cell r="CE35">
            <v>110</v>
          </cell>
          <cell r="CF35">
            <v>320</v>
          </cell>
          <cell r="CG35">
            <v>9.7166666666666665E-2</v>
          </cell>
          <cell r="CH35">
            <v>335</v>
          </cell>
          <cell r="CI35">
            <v>9.3916666666666662E-2</v>
          </cell>
          <cell r="CJ35">
            <v>365</v>
          </cell>
          <cell r="CK35">
            <v>0.10033333333333333</v>
          </cell>
          <cell r="CL35">
            <v>325</v>
          </cell>
          <cell r="CM35">
            <v>9.4999999999999987E-2</v>
          </cell>
          <cell r="CN35">
            <v>335</v>
          </cell>
          <cell r="CO35">
            <v>8.900000000000001E-2</v>
          </cell>
          <cell r="CP35">
            <v>300</v>
          </cell>
          <cell r="CQ35">
            <v>9.202453987730061E-2</v>
          </cell>
          <cell r="CR35">
            <v>192</v>
          </cell>
          <cell r="CS35">
            <v>1</v>
          </cell>
          <cell r="CT35">
            <v>191</v>
          </cell>
          <cell r="CU35">
            <v>0.99444444444444458</v>
          </cell>
          <cell r="CV35">
            <v>88</v>
          </cell>
          <cell r="CW35">
            <v>111</v>
          </cell>
          <cell r="CX35">
            <v>0.46398508099859925</v>
          </cell>
          <cell r="CY35">
            <v>0.60055105210604576</v>
          </cell>
          <cell r="CZ35">
            <v>0.39151197448052188</v>
          </cell>
          <cell r="DA35">
            <v>0.5315024125908222</v>
          </cell>
          <cell r="DB35">
            <v>0.51025644147427418</v>
          </cell>
          <cell r="DC35">
            <v>0.64884715857828135</v>
          </cell>
          <cell r="DD35">
            <v>158</v>
          </cell>
          <cell r="DE35">
            <v>14</v>
          </cell>
          <cell r="DF35">
            <v>8.8607594936708861E-2</v>
          </cell>
          <cell r="DG35">
            <v>5.3515080428758875E-2</v>
          </cell>
          <cell r="DH35">
            <v>0.14322967862566621</v>
          </cell>
          <cell r="DI35" t="str">
            <v>No Sig diff</v>
          </cell>
          <cell r="DJ35">
            <v>169</v>
          </cell>
          <cell r="DK35">
            <v>14</v>
          </cell>
          <cell r="DL35">
            <v>8.2840236686390539E-2</v>
          </cell>
          <cell r="DM35">
            <v>4.9985852761348988E-2</v>
          </cell>
          <cell r="DN35">
            <v>0.13423764915740352</v>
          </cell>
          <cell r="DO35" t="str">
            <v>No Sig diff</v>
          </cell>
          <cell r="DP35">
            <v>180</v>
          </cell>
          <cell r="DQ35">
            <v>10</v>
          </cell>
          <cell r="DR35">
            <v>5.5555555555555552E-2</v>
          </cell>
          <cell r="DS35">
            <v>3.0453273623977831E-2</v>
          </cell>
          <cell r="DT35">
            <v>9.9231613417455969E-2</v>
          </cell>
          <cell r="DU35" t="str">
            <v>No Sig diff</v>
          </cell>
          <cell r="DV35">
            <v>134</v>
          </cell>
          <cell r="DW35">
            <v>11</v>
          </cell>
          <cell r="DX35">
            <v>8.2089552238805971E-2</v>
          </cell>
          <cell r="DY35">
            <v>4.6454325805087827E-2</v>
          </cell>
          <cell r="DZ35">
            <v>0.14101799958802202</v>
          </cell>
          <cell r="EA35" t="str">
            <v>No Sig diff</v>
          </cell>
          <cell r="EB35">
            <v>190</v>
          </cell>
          <cell r="EC35">
            <v>26</v>
          </cell>
          <cell r="ED35">
            <v>0.1368421052631579</v>
          </cell>
          <cell r="EE35">
            <v>9.5125099973102326E-2</v>
          </cell>
          <cell r="EF35">
            <v>0.19295289510816771</v>
          </cell>
          <cell r="EG35" t="str">
            <v>No Sig diff</v>
          </cell>
          <cell r="EH35">
            <v>159</v>
          </cell>
          <cell r="EI35">
            <v>18</v>
          </cell>
          <cell r="EJ35">
            <v>0.11320754716981132</v>
          </cell>
          <cell r="EK35">
            <v>7.2819302607958283E-2</v>
          </cell>
          <cell r="EL35">
            <v>0.17184479650554718</v>
          </cell>
          <cell r="EM35" t="str">
            <v>Sig better than Eng.</v>
          </cell>
          <cell r="EN35">
            <v>164</v>
          </cell>
          <cell r="EO35">
            <v>17</v>
          </cell>
          <cell r="EP35">
            <v>0.10365853658536585</v>
          </cell>
          <cell r="EQ35">
            <v>6.573150818853768E-2</v>
          </cell>
          <cell r="ER35">
            <v>0.15972803611344755</v>
          </cell>
          <cell r="ES35" t="str">
            <v>Sig better than Eng.</v>
          </cell>
          <cell r="ET35">
            <v>150</v>
          </cell>
          <cell r="EU35">
            <v>21</v>
          </cell>
          <cell r="EV35">
            <v>0.14000000000000001</v>
          </cell>
          <cell r="EW35">
            <v>9.3426488185517978E-2</v>
          </cell>
          <cell r="EX35">
            <v>0.20455208775949715</v>
          </cell>
          <cell r="EY35" t="str">
            <v>No Sig diff</v>
          </cell>
          <cell r="EZ35">
            <v>200</v>
          </cell>
          <cell r="FA35">
            <v>104</v>
          </cell>
          <cell r="FB35">
            <v>0.52</v>
          </cell>
          <cell r="FC35">
            <v>0.4510378507281424</v>
          </cell>
          <cell r="FD35">
            <v>0.58820833621676694</v>
          </cell>
          <cell r="FE35">
            <v>200</v>
          </cell>
          <cell r="FF35">
            <v>34</v>
          </cell>
          <cell r="FG35">
            <v>40</v>
          </cell>
          <cell r="FH35">
            <v>24.45000000000001</v>
          </cell>
          <cell r="FI35">
            <v>0.28088235294117619</v>
          </cell>
          <cell r="FJ35">
            <v>202</v>
          </cell>
          <cell r="FK35">
            <v>134</v>
          </cell>
          <cell r="FL35">
            <v>0.6633663366336634</v>
          </cell>
          <cell r="FM35">
            <v>0.59568952589790047</v>
          </cell>
          <cell r="FN35">
            <v>0.72494558997295899</v>
          </cell>
          <cell r="FO35">
            <v>202</v>
          </cell>
          <cell r="FP35">
            <v>35</v>
          </cell>
          <cell r="FQ35">
            <v>40</v>
          </cell>
          <cell r="FR35">
            <v>27.400000000000006</v>
          </cell>
          <cell r="FS35">
            <v>0.21714285714285697</v>
          </cell>
          <cell r="FT35">
            <v>2703</v>
          </cell>
          <cell r="FU35">
            <v>2643</v>
          </cell>
          <cell r="FV35">
            <v>60</v>
          </cell>
          <cell r="FW35">
            <v>50</v>
          </cell>
          <cell r="FX35">
            <v>10</v>
          </cell>
          <cell r="FY35">
            <v>0.83333333333333337</v>
          </cell>
          <cell r="FZ35">
            <v>0.16666666666666666</v>
          </cell>
          <cell r="GA35">
            <v>0.88718554729584154</v>
          </cell>
          <cell r="GB35">
            <v>0.11281445270415857</v>
          </cell>
          <cell r="GC35">
            <v>7.8935572345810806E-2</v>
          </cell>
          <cell r="GD35">
            <v>0.18974640797818437</v>
          </cell>
          <cell r="GE35">
            <v>0.92006639194139206</v>
          </cell>
          <cell r="GF35">
            <v>7.9933608058608052E-2</v>
          </cell>
          <cell r="GG35">
            <v>4.5422997117338167E-2</v>
          </cell>
          <cell r="GH35">
            <v>0.13805688382692829</v>
          </cell>
          <cell r="GI35">
            <v>0.90631995319495318</v>
          </cell>
          <cell r="GJ35">
            <v>9.368004680504681E-2</v>
          </cell>
          <cell r="GK35">
            <v>5.6294191320769182E-2</v>
          </cell>
          <cell r="GL35">
            <v>0.15558638941674016</v>
          </cell>
          <cell r="GM35">
            <v>0.74459946371711061</v>
          </cell>
          <cell r="GN35">
            <v>0.25540053628288922</v>
          </cell>
          <cell r="GO35">
            <v>0.19125353600433309</v>
          </cell>
          <cell r="GP35">
            <v>0.3367839006382683</v>
          </cell>
          <cell r="GQ35">
            <v>50</v>
          </cell>
          <cell r="GR35">
            <v>50</v>
          </cell>
          <cell r="GS35">
            <v>50</v>
          </cell>
          <cell r="GT35">
            <v>49</v>
          </cell>
          <cell r="GU35">
            <v>50</v>
          </cell>
          <cell r="GV35">
            <v>62</v>
          </cell>
          <cell r="GW35">
            <v>58</v>
          </cell>
          <cell r="GX35">
            <v>56</v>
          </cell>
          <cell r="GY35">
            <v>57</v>
          </cell>
          <cell r="GZ35">
            <v>57</v>
          </cell>
          <cell r="HA35">
            <v>57</v>
          </cell>
          <cell r="HB35">
            <v>58</v>
          </cell>
          <cell r="HC35">
            <v>59</v>
          </cell>
          <cell r="HD35">
            <v>66</v>
          </cell>
          <cell r="HE35">
            <v>60</v>
          </cell>
          <cell r="HF35">
            <v>59</v>
          </cell>
          <cell r="HG35">
            <v>63</v>
          </cell>
          <cell r="HH35">
            <v>63</v>
          </cell>
          <cell r="HI35">
            <v>63</v>
          </cell>
          <cell r="HJ35">
            <v>65</v>
          </cell>
          <cell r="HK35">
            <v>64</v>
          </cell>
          <cell r="HL35">
            <v>63</v>
          </cell>
          <cell r="HM35">
            <v>61</v>
          </cell>
          <cell r="HN35">
            <v>12</v>
          </cell>
          <cell r="HO35">
            <v>1.1527377521613832E-2</v>
          </cell>
          <cell r="HP35">
            <v>1671</v>
          </cell>
          <cell r="HQ35">
            <v>1556</v>
          </cell>
          <cell r="HR35">
            <v>115</v>
          </cell>
          <cell r="HS35">
            <v>6.8821065230400963E-2</v>
          </cell>
        </row>
        <row r="36">
          <cell r="A36" t="str">
            <v>Southbourne</v>
          </cell>
          <cell r="C36" t="str">
            <v>Chichester</v>
          </cell>
          <cell r="D36" t="str">
            <v>Chichester Rural</v>
          </cell>
          <cell r="E36" t="str">
            <v>Chichester</v>
          </cell>
          <cell r="F36" t="str">
            <v>Arch</v>
          </cell>
          <cell r="G36" t="str">
            <v>Bosham, Fishbourne, Southbourne</v>
          </cell>
          <cell r="H36" t="str">
            <v>Southbourne</v>
          </cell>
          <cell r="I36" t="str">
            <v>A</v>
          </cell>
          <cell r="J36" t="str">
            <v>Coastal West Sussex</v>
          </cell>
          <cell r="K36" t="str">
            <v>Chichester</v>
          </cell>
          <cell r="L36">
            <v>13500</v>
          </cell>
          <cell r="M36">
            <v>13545</v>
          </cell>
          <cell r="N36">
            <v>13600</v>
          </cell>
          <cell r="O36">
            <v>13605</v>
          </cell>
          <cell r="P36">
            <v>13840</v>
          </cell>
          <cell r="Q36">
            <v>14100</v>
          </cell>
          <cell r="R36">
            <v>14275</v>
          </cell>
          <cell r="S36">
            <v>14155</v>
          </cell>
          <cell r="T36">
            <v>14250</v>
          </cell>
          <cell r="U36">
            <v>14385</v>
          </cell>
          <cell r="V36">
            <v>635</v>
          </cell>
          <cell r="W36">
            <v>670</v>
          </cell>
          <cell r="X36">
            <v>670</v>
          </cell>
          <cell r="Y36">
            <v>685</v>
          </cell>
          <cell r="Z36">
            <v>735</v>
          </cell>
          <cell r="AA36">
            <v>745</v>
          </cell>
          <cell r="AB36">
            <v>735</v>
          </cell>
          <cell r="AC36">
            <v>735</v>
          </cell>
          <cell r="AD36">
            <v>780</v>
          </cell>
          <cell r="AE36">
            <v>775</v>
          </cell>
          <cell r="AF36">
            <v>0.91393442622950816</v>
          </cell>
          <cell r="AG36">
            <v>2.185792349726776E-2</v>
          </cell>
          <cell r="AH36">
            <v>1.2295081967213115E-2</v>
          </cell>
          <cell r="AI36">
            <v>1.092896174863388E-2</v>
          </cell>
          <cell r="AJ36">
            <v>3.5519125683060107E-2</v>
          </cell>
          <cell r="AK36">
            <v>5.4644808743169399E-3</v>
          </cell>
          <cell r="AL36">
            <v>8.6065573770491802E-2</v>
          </cell>
          <cell r="AM36">
            <v>1435</v>
          </cell>
          <cell r="AN36">
            <v>0.6020905923344948</v>
          </cell>
          <cell r="AO36">
            <v>9.1289198606271771E-2</v>
          </cell>
          <cell r="AP36">
            <v>0.30662020905923343</v>
          </cell>
          <cell r="AQ36">
            <v>129</v>
          </cell>
          <cell r="AR36">
            <v>143</v>
          </cell>
          <cell r="AS36">
            <v>129</v>
          </cell>
          <cell r="AT36">
            <v>106</v>
          </cell>
          <cell r="AU36">
            <v>105</v>
          </cell>
          <cell r="AV36">
            <v>0</v>
          </cell>
          <cell r="AW36">
            <v>5</v>
          </cell>
          <cell r="AX36">
            <v>4</v>
          </cell>
          <cell r="AY36">
            <v>3</v>
          </cell>
          <cell r="AZ36">
            <v>8</v>
          </cell>
          <cell r="BA36">
            <v>5</v>
          </cell>
          <cell r="BB36">
            <v>4.7619047619047616E-2</v>
          </cell>
          <cell r="BC36">
            <v>2.0509165674361975E-2</v>
          </cell>
          <cell r="BD36">
            <v>0.10666166583292792</v>
          </cell>
          <cell r="BE36">
            <v>10</v>
          </cell>
          <cell r="BF36">
            <v>199</v>
          </cell>
          <cell r="BG36">
            <v>254</v>
          </cell>
          <cell r="BH36">
            <v>95</v>
          </cell>
          <cell r="BI36">
            <v>0.13236886877011231</v>
          </cell>
          <cell r="BJ36">
            <v>1511</v>
          </cell>
          <cell r="BK36">
            <v>2682</v>
          </cell>
          <cell r="BL36">
            <v>1519</v>
          </cell>
          <cell r="BM36">
            <v>1015</v>
          </cell>
          <cell r="BN36">
            <v>1</v>
          </cell>
          <cell r="BO36">
            <v>170</v>
          </cell>
          <cell r="BP36">
            <v>225</v>
          </cell>
          <cell r="BQ36">
            <v>108</v>
          </cell>
          <cell r="BR36">
            <v>45</v>
          </cell>
          <cell r="BS36">
            <v>40</v>
          </cell>
          <cell r="BT36">
            <v>35</v>
          </cell>
          <cell r="BU36">
            <v>224</v>
          </cell>
          <cell r="BV36">
            <v>53</v>
          </cell>
          <cell r="BW36">
            <v>0.23660714285714285</v>
          </cell>
          <cell r="BX36">
            <v>25</v>
          </cell>
          <cell r="BY36">
            <v>7</v>
          </cell>
          <cell r="BZ36">
            <v>137</v>
          </cell>
          <cell r="CA36">
            <v>2.3406799931658978E-2</v>
          </cell>
          <cell r="CB36">
            <v>45</v>
          </cell>
          <cell r="CC36">
            <v>45</v>
          </cell>
          <cell r="CD36">
            <v>75</v>
          </cell>
          <cell r="CE36">
            <v>50</v>
          </cell>
          <cell r="CF36">
            <v>185</v>
          </cell>
          <cell r="CG36">
            <v>8.5222222222222227E-2</v>
          </cell>
          <cell r="CH36">
            <v>205</v>
          </cell>
          <cell r="CI36">
            <v>7.7888888888888896E-2</v>
          </cell>
          <cell r="CJ36">
            <v>175</v>
          </cell>
          <cell r="CK36">
            <v>7.8E-2</v>
          </cell>
          <cell r="CL36">
            <v>180</v>
          </cell>
          <cell r="CM36">
            <v>8.5777777777777786E-2</v>
          </cell>
          <cell r="CN36">
            <v>190</v>
          </cell>
          <cell r="CO36">
            <v>8.0000000000000016E-2</v>
          </cell>
          <cell r="CP36">
            <v>170</v>
          </cell>
          <cell r="CQ36">
            <v>7.0981210855949897E-2</v>
          </cell>
          <cell r="CR36">
            <v>95</v>
          </cell>
          <cell r="CS36">
            <v>2</v>
          </cell>
          <cell r="CT36">
            <v>93</v>
          </cell>
          <cell r="CU36">
            <v>0.98733776511554294</v>
          </cell>
          <cell r="CV36">
            <v>49</v>
          </cell>
          <cell r="CW36">
            <v>60</v>
          </cell>
          <cell r="CX36">
            <v>0.45890652557319223</v>
          </cell>
          <cell r="CY36">
            <v>0.56956993623660279</v>
          </cell>
          <cell r="CZ36">
            <v>0.42636839646712893</v>
          </cell>
          <cell r="DA36">
            <v>0.62526230769306668</v>
          </cell>
          <cell r="DB36">
            <v>0.54393306563242183</v>
          </cell>
          <cell r="DC36">
            <v>0.73487273683263454</v>
          </cell>
          <cell r="DD36">
            <v>126</v>
          </cell>
          <cell r="DE36">
            <v>18</v>
          </cell>
          <cell r="DF36">
            <v>0.14285714285714285</v>
          </cell>
          <cell r="DG36">
            <v>9.2313796541076673E-2</v>
          </cell>
          <cell r="DH36">
            <v>0.21453317808906508</v>
          </cell>
          <cell r="DI36" t="str">
            <v>No Sig diff</v>
          </cell>
          <cell r="DJ36">
            <v>108</v>
          </cell>
          <cell r="DK36">
            <v>6</v>
          </cell>
          <cell r="DL36">
            <v>5.5555555555555552E-2</v>
          </cell>
          <cell r="DM36">
            <v>2.5707729609183876E-2</v>
          </cell>
          <cell r="DN36">
            <v>0.11593436794331127</v>
          </cell>
          <cell r="DO36" t="str">
            <v>No Sig diff</v>
          </cell>
          <cell r="DP36">
            <v>112</v>
          </cell>
          <cell r="DQ36">
            <v>6</v>
          </cell>
          <cell r="DR36">
            <v>5.3571428571428568E-2</v>
          </cell>
          <cell r="DS36">
            <v>2.4780939016041947E-2</v>
          </cell>
          <cell r="DT36">
            <v>0.11197026372230079</v>
          </cell>
          <cell r="DU36" t="str">
            <v>No Sig diff</v>
          </cell>
          <cell r="DV36">
            <v>138</v>
          </cell>
          <cell r="DW36">
            <v>8</v>
          </cell>
          <cell r="DX36">
            <v>5.7971014492753624E-2</v>
          </cell>
          <cell r="DY36">
            <v>2.9664427433011134E-2</v>
          </cell>
          <cell r="DZ36">
            <v>0.11022033535539391</v>
          </cell>
          <cell r="EA36" t="str">
            <v>No Sig diff</v>
          </cell>
          <cell r="EB36">
            <v>111</v>
          </cell>
          <cell r="EC36">
            <v>15</v>
          </cell>
          <cell r="ED36">
            <v>0.13513513513513514</v>
          </cell>
          <cell r="EE36">
            <v>8.3634396766943495E-2</v>
          </cell>
          <cell r="EF36">
            <v>0.21104540936066715</v>
          </cell>
          <cell r="EG36" t="str">
            <v>No Sig diff</v>
          </cell>
          <cell r="EH36">
            <v>107</v>
          </cell>
          <cell r="EI36">
            <v>12</v>
          </cell>
          <cell r="EJ36">
            <v>0.11214953271028037</v>
          </cell>
          <cell r="EK36">
            <v>6.5328818815477516E-2</v>
          </cell>
          <cell r="EL36">
            <v>0.18585389852616863</v>
          </cell>
          <cell r="EM36" t="str">
            <v>Sig better than Eng.</v>
          </cell>
          <cell r="EN36">
            <v>91</v>
          </cell>
          <cell r="EO36">
            <v>13</v>
          </cell>
          <cell r="EP36">
            <v>0.14285714285714285</v>
          </cell>
          <cell r="EQ36">
            <v>8.542758136548774E-2</v>
          </cell>
          <cell r="ER36">
            <v>0.22921813572656949</v>
          </cell>
          <cell r="ES36" t="str">
            <v>No Sig diff</v>
          </cell>
          <cell r="ET36">
            <v>100</v>
          </cell>
          <cell r="EU36">
            <v>8</v>
          </cell>
          <cell r="EV36">
            <v>0.08</v>
          </cell>
          <cell r="EW36">
            <v>4.109346148438061E-2</v>
          </cell>
          <cell r="EX36">
            <v>0.14998107700948732</v>
          </cell>
          <cell r="EY36" t="str">
            <v>Sig better than Eng.</v>
          </cell>
          <cell r="EZ36">
            <v>154</v>
          </cell>
          <cell r="FA36">
            <v>81</v>
          </cell>
          <cell r="FB36">
            <v>0.52597402597402598</v>
          </cell>
          <cell r="FC36">
            <v>0.44744231332063877</v>
          </cell>
          <cell r="FD36">
            <v>0.6032414554418376</v>
          </cell>
          <cell r="FE36">
            <v>154</v>
          </cell>
          <cell r="FF36">
            <v>34</v>
          </cell>
          <cell r="FG36">
            <v>30</v>
          </cell>
          <cell r="FH36">
            <v>23.266666666666662</v>
          </cell>
          <cell r="FI36">
            <v>0.31568627450980408</v>
          </cell>
          <cell r="FJ36">
            <v>153</v>
          </cell>
          <cell r="FK36">
            <v>92</v>
          </cell>
          <cell r="FL36">
            <v>0.60130718954248363</v>
          </cell>
          <cell r="FM36">
            <v>0.52215817780146556</v>
          </cell>
          <cell r="FN36">
            <v>0.67549364355426489</v>
          </cell>
          <cell r="FO36">
            <v>153</v>
          </cell>
          <cell r="FP36">
            <v>34</v>
          </cell>
          <cell r="FQ36">
            <v>30</v>
          </cell>
          <cell r="FR36">
            <v>23.633333333333333</v>
          </cell>
          <cell r="FS36">
            <v>0.30490196078431375</v>
          </cell>
          <cell r="FT36">
            <v>2577</v>
          </cell>
          <cell r="FU36">
            <v>2448</v>
          </cell>
          <cell r="FV36">
            <v>129</v>
          </cell>
          <cell r="FW36">
            <v>114</v>
          </cell>
          <cell r="FX36">
            <v>15</v>
          </cell>
          <cell r="FY36">
            <v>0.88372093023255816</v>
          </cell>
          <cell r="FZ36">
            <v>0.11627906976744186</v>
          </cell>
          <cell r="GA36">
            <v>0.87962962962962965</v>
          </cell>
          <cell r="GB36">
            <v>0.12037037037037036</v>
          </cell>
          <cell r="GC36">
            <v>7.3067660241051213E-2</v>
          </cell>
          <cell r="GD36">
            <v>0.38517021976637866</v>
          </cell>
          <cell r="GE36">
            <v>0.91666666666666663</v>
          </cell>
          <cell r="GF36">
            <v>8.3333333333333329E-2</v>
          </cell>
          <cell r="GG36">
            <v>4.7489172642362694E-2</v>
          </cell>
          <cell r="GH36">
            <v>0.33335411879470006</v>
          </cell>
          <cell r="GI36">
            <v>0.87962962962962965</v>
          </cell>
          <cell r="GJ36">
            <v>0.12037037037037036</v>
          </cell>
          <cell r="GK36">
            <v>7.3067660241051213E-2</v>
          </cell>
          <cell r="GL36">
            <v>0.38517021976637866</v>
          </cell>
          <cell r="GM36">
            <v>0.74074074074074081</v>
          </cell>
          <cell r="GN36">
            <v>0.25925925925925924</v>
          </cell>
          <cell r="GO36">
            <v>0.13150582015814438</v>
          </cell>
          <cell r="GP36">
            <v>0.48152123699001981</v>
          </cell>
          <cell r="GQ36">
            <v>34</v>
          </cell>
          <cell r="GR36">
            <v>33</v>
          </cell>
          <cell r="GS36">
            <v>33</v>
          </cell>
          <cell r="GT36">
            <v>33</v>
          </cell>
          <cell r="GU36">
            <v>33</v>
          </cell>
          <cell r="GV36">
            <v>29</v>
          </cell>
          <cell r="GW36">
            <v>25</v>
          </cell>
          <cell r="GX36">
            <v>28</v>
          </cell>
          <cell r="GY36">
            <v>25</v>
          </cell>
          <cell r="GZ36">
            <v>28</v>
          </cell>
          <cell r="HA36">
            <v>28</v>
          </cell>
          <cell r="HB36">
            <v>25</v>
          </cell>
          <cell r="HC36">
            <v>29</v>
          </cell>
          <cell r="HD36">
            <v>41</v>
          </cell>
          <cell r="HE36">
            <v>32</v>
          </cell>
          <cell r="HF36">
            <v>32</v>
          </cell>
          <cell r="HG36">
            <v>31</v>
          </cell>
          <cell r="HH36">
            <v>32</v>
          </cell>
          <cell r="HI36">
            <v>32</v>
          </cell>
          <cell r="HJ36">
            <v>26</v>
          </cell>
          <cell r="HK36">
            <v>36</v>
          </cell>
          <cell r="HL36">
            <v>32</v>
          </cell>
          <cell r="HM36">
            <v>33</v>
          </cell>
          <cell r="HN36">
            <v>11</v>
          </cell>
          <cell r="HO36">
            <v>1.5027322404371584E-2</v>
          </cell>
          <cell r="HP36">
            <v>1117</v>
          </cell>
          <cell r="HQ36">
            <v>1045</v>
          </cell>
          <cell r="HR36">
            <v>72</v>
          </cell>
          <cell r="HS36">
            <v>6.445837063563116E-2</v>
          </cell>
        </row>
        <row r="37">
          <cell r="A37" t="str">
            <v>Southgate</v>
          </cell>
          <cell r="C37" t="str">
            <v>Crawley</v>
          </cell>
          <cell r="D37" t="str">
            <v>Crawley</v>
          </cell>
          <cell r="E37" t="str">
            <v>Crawley</v>
          </cell>
          <cell r="F37" t="str">
            <v>Crawley</v>
          </cell>
          <cell r="G37" t="str">
            <v>Furnace Green, Southgate, Tilgate</v>
          </cell>
          <cell r="H37" t="str">
            <v>Crawley NW</v>
          </cell>
          <cell r="I37" t="str">
            <v>C1</v>
          </cell>
          <cell r="J37" t="str">
            <v>Crawley</v>
          </cell>
          <cell r="K37" t="str">
            <v>Crawley</v>
          </cell>
          <cell r="L37">
            <v>19675</v>
          </cell>
          <cell r="M37">
            <v>19775</v>
          </cell>
          <cell r="N37">
            <v>20055</v>
          </cell>
          <cell r="O37">
            <v>20095</v>
          </cell>
          <cell r="P37">
            <v>19945</v>
          </cell>
          <cell r="Q37">
            <v>19970</v>
          </cell>
          <cell r="R37">
            <v>19880</v>
          </cell>
          <cell r="S37">
            <v>20140</v>
          </cell>
          <cell r="T37">
            <v>20365</v>
          </cell>
          <cell r="U37">
            <v>20375</v>
          </cell>
          <cell r="V37">
            <v>1085</v>
          </cell>
          <cell r="W37">
            <v>1070</v>
          </cell>
          <cell r="X37">
            <v>1135</v>
          </cell>
          <cell r="Y37">
            <v>1175</v>
          </cell>
          <cell r="Z37">
            <v>1180</v>
          </cell>
          <cell r="AA37">
            <v>1225</v>
          </cell>
          <cell r="AB37">
            <v>1275</v>
          </cell>
          <cell r="AC37">
            <v>1355</v>
          </cell>
          <cell r="AD37">
            <v>1395</v>
          </cell>
          <cell r="AE37">
            <v>1385</v>
          </cell>
          <cell r="AF37">
            <v>0.6339285714285714</v>
          </cell>
          <cell r="AG37">
            <v>7.1428571428571425E-2</v>
          </cell>
          <cell r="AH37">
            <v>7.5892857142857137E-2</v>
          </cell>
          <cell r="AI37">
            <v>0.16220238095238096</v>
          </cell>
          <cell r="AJ37">
            <v>4.1666666666666664E-2</v>
          </cell>
          <cell r="AK37">
            <v>1.488095238095238E-2</v>
          </cell>
          <cell r="AL37">
            <v>0.36607142857142855</v>
          </cell>
          <cell r="AM37">
            <v>2455</v>
          </cell>
          <cell r="AN37">
            <v>0.4969450101832994</v>
          </cell>
          <cell r="AO37">
            <v>0.33319755600814666</v>
          </cell>
          <cell r="AP37">
            <v>0.16985743380855398</v>
          </cell>
          <cell r="AQ37">
            <v>253</v>
          </cell>
          <cell r="AR37">
            <v>277</v>
          </cell>
          <cell r="AS37">
            <v>274</v>
          </cell>
          <cell r="AT37">
            <v>292</v>
          </cell>
          <cell r="AU37">
            <v>274</v>
          </cell>
          <cell r="AV37">
            <v>6</v>
          </cell>
          <cell r="AW37">
            <v>17</v>
          </cell>
          <cell r="AX37">
            <v>19</v>
          </cell>
          <cell r="AY37">
            <v>12</v>
          </cell>
          <cell r="AZ37">
            <v>11</v>
          </cell>
          <cell r="BA37">
            <v>19</v>
          </cell>
          <cell r="BB37">
            <v>6.9343065693430656E-2</v>
          </cell>
          <cell r="BC37">
            <v>4.4838959197899111E-2</v>
          </cell>
          <cell r="BD37">
            <v>0.10575576845106792</v>
          </cell>
          <cell r="BE37">
            <v>30</v>
          </cell>
          <cell r="BF37">
            <v>447</v>
          </cell>
          <cell r="BG37">
            <v>385</v>
          </cell>
          <cell r="BH37">
            <v>216</v>
          </cell>
          <cell r="BI37">
            <v>0.15552949746409514</v>
          </cell>
          <cell r="BJ37">
            <v>2399</v>
          </cell>
          <cell r="BK37">
            <v>4278</v>
          </cell>
          <cell r="BL37">
            <v>2497</v>
          </cell>
          <cell r="BM37">
            <v>1229</v>
          </cell>
          <cell r="BN37">
            <v>1</v>
          </cell>
          <cell r="BO37">
            <v>327</v>
          </cell>
          <cell r="BP37">
            <v>652</v>
          </cell>
          <cell r="BQ37">
            <v>288</v>
          </cell>
          <cell r="BR37">
            <v>210</v>
          </cell>
          <cell r="BS37">
            <v>210</v>
          </cell>
          <cell r="BT37">
            <v>165</v>
          </cell>
          <cell r="BU37">
            <v>588</v>
          </cell>
          <cell r="BV37">
            <v>253</v>
          </cell>
          <cell r="BW37">
            <v>0.43027210884353739</v>
          </cell>
          <cell r="BX37">
            <v>46</v>
          </cell>
          <cell r="BY37">
            <v>4</v>
          </cell>
          <cell r="BZ37">
            <v>428</v>
          </cell>
          <cell r="CA37">
            <v>5.1460863292052419E-2</v>
          </cell>
          <cell r="CB37">
            <v>300</v>
          </cell>
          <cell r="CC37">
            <v>285</v>
          </cell>
          <cell r="CD37">
            <v>265</v>
          </cell>
          <cell r="CE37">
            <v>265</v>
          </cell>
          <cell r="CF37">
            <v>735</v>
          </cell>
          <cell r="CG37">
            <v>0.16492307692307692</v>
          </cell>
          <cell r="CH37">
            <v>690</v>
          </cell>
          <cell r="CI37">
            <v>0.16269230769230766</v>
          </cell>
          <cell r="CJ37">
            <v>715</v>
          </cell>
          <cell r="CK37">
            <v>0.18615384615384611</v>
          </cell>
          <cell r="CL37">
            <v>590</v>
          </cell>
          <cell r="CM37">
            <v>0.17861538461538462</v>
          </cell>
          <cell r="CN37">
            <v>575</v>
          </cell>
          <cell r="CO37">
            <v>0.18884615384615386</v>
          </cell>
          <cell r="CP37">
            <v>665</v>
          </cell>
          <cell r="CQ37">
            <v>0.17007672634271101</v>
          </cell>
          <cell r="CR37">
            <v>280</v>
          </cell>
          <cell r="CS37">
            <v>10</v>
          </cell>
          <cell r="CT37">
            <v>270</v>
          </cell>
          <cell r="CU37">
            <v>0.97171594722401788</v>
          </cell>
          <cell r="CV37">
            <v>102</v>
          </cell>
          <cell r="CW37">
            <v>153</v>
          </cell>
          <cell r="CX37">
            <v>0.38011153374425688</v>
          </cell>
          <cell r="CY37">
            <v>0.55492143481273926</v>
          </cell>
          <cell r="CZ37">
            <v>0.3220422730435234</v>
          </cell>
          <cell r="DA37">
            <v>0.4369424831074778</v>
          </cell>
          <cell r="DB37">
            <v>0.50703166405729405</v>
          </cell>
          <cell r="DC37">
            <v>0.62443119622397802</v>
          </cell>
          <cell r="DD37">
            <v>179</v>
          </cell>
          <cell r="DE37">
            <v>16</v>
          </cell>
          <cell r="DF37">
            <v>8.9385474860335198E-2</v>
          </cell>
          <cell r="DG37">
            <v>5.5768700800059426E-2</v>
          </cell>
          <cell r="DH37">
            <v>0.14025609057858804</v>
          </cell>
          <cell r="DI37" t="str">
            <v>No Sig diff</v>
          </cell>
          <cell r="DJ37">
            <v>208</v>
          </cell>
          <cell r="DK37">
            <v>21</v>
          </cell>
          <cell r="DL37">
            <v>0.10096153846153846</v>
          </cell>
          <cell r="DM37">
            <v>6.6986875276411589E-2</v>
          </cell>
          <cell r="DN37">
            <v>0.14940824905803252</v>
          </cell>
          <cell r="DO37" t="str">
            <v>No Sig diff</v>
          </cell>
          <cell r="DP37">
            <v>165</v>
          </cell>
          <cell r="DQ37">
            <v>17</v>
          </cell>
          <cell r="DR37">
            <v>0.10303030303030303</v>
          </cell>
          <cell r="DS37">
            <v>6.5326799711821093E-2</v>
          </cell>
          <cell r="DT37">
            <v>0.15879741175262088</v>
          </cell>
          <cell r="DU37" t="str">
            <v>No Sig diff</v>
          </cell>
          <cell r="DV37">
            <v>218</v>
          </cell>
          <cell r="DW37">
            <v>19</v>
          </cell>
          <cell r="DX37">
            <v>8.7155963302752298E-2</v>
          </cell>
          <cell r="DY37">
            <v>5.6505621010586905E-2</v>
          </cell>
          <cell r="DZ37">
            <v>0.13210411426217361</v>
          </cell>
          <cell r="EA37" t="str">
            <v>No Sig diff</v>
          </cell>
          <cell r="EB37">
            <v>171</v>
          </cell>
          <cell r="EC37">
            <v>37</v>
          </cell>
          <cell r="ED37">
            <v>0.21637426900584794</v>
          </cell>
          <cell r="EE37">
            <v>0.16125297547340778</v>
          </cell>
          <cell r="EF37">
            <v>0.283958699982373</v>
          </cell>
          <cell r="EG37" t="str">
            <v>No Sig diff</v>
          </cell>
          <cell r="EH37">
            <v>190</v>
          </cell>
          <cell r="EI37">
            <v>32</v>
          </cell>
          <cell r="EJ37">
            <v>0.16842105263157894</v>
          </cell>
          <cell r="EK37">
            <v>0.12190040489443893</v>
          </cell>
          <cell r="EL37">
            <v>0.22808385148411195</v>
          </cell>
          <cell r="EM37" t="str">
            <v>No Sig diff</v>
          </cell>
          <cell r="EN37">
            <v>189</v>
          </cell>
          <cell r="EO37">
            <v>33</v>
          </cell>
          <cell r="EP37">
            <v>0.17460317460317459</v>
          </cell>
          <cell r="EQ37">
            <v>0.12711418630815544</v>
          </cell>
          <cell r="ER37">
            <v>0.23505616465166279</v>
          </cell>
          <cell r="ES37" t="str">
            <v>No Sig diff</v>
          </cell>
          <cell r="ET37">
            <v>189</v>
          </cell>
          <cell r="EU37">
            <v>40</v>
          </cell>
          <cell r="EV37">
            <v>0.21164021164021163</v>
          </cell>
          <cell r="EW37">
            <v>0.15944764778291518</v>
          </cell>
          <cell r="EX37">
            <v>0.27532119981562292</v>
          </cell>
          <cell r="EY37" t="str">
            <v>No Sig diff</v>
          </cell>
          <cell r="EZ37">
            <v>254</v>
          </cell>
          <cell r="FA37">
            <v>120</v>
          </cell>
          <cell r="FB37">
            <v>0.47244094488188976</v>
          </cell>
          <cell r="FC37">
            <v>0.41191315776587761</v>
          </cell>
          <cell r="FD37">
            <v>0.53378991084057259</v>
          </cell>
          <cell r="FE37">
            <v>254</v>
          </cell>
          <cell r="FF37">
            <v>33</v>
          </cell>
          <cell r="FG37">
            <v>50</v>
          </cell>
          <cell r="FH37">
            <v>21.019999999999996</v>
          </cell>
          <cell r="FI37">
            <v>0.36303030303030315</v>
          </cell>
          <cell r="FJ37">
            <v>261</v>
          </cell>
          <cell r="FK37">
            <v>134</v>
          </cell>
          <cell r="FL37">
            <v>0.51340996168582376</v>
          </cell>
          <cell r="FM37">
            <v>0.45301896964169136</v>
          </cell>
          <cell r="FN37">
            <v>0.57341193747976205</v>
          </cell>
          <cell r="FO37">
            <v>261</v>
          </cell>
          <cell r="FP37">
            <v>34</v>
          </cell>
          <cell r="FQ37">
            <v>52</v>
          </cell>
          <cell r="FR37">
            <v>21.84615384615384</v>
          </cell>
          <cell r="FS37">
            <v>0.35746606334841646</v>
          </cell>
          <cell r="FT37">
            <v>2479</v>
          </cell>
          <cell r="FU37">
            <v>2437</v>
          </cell>
          <cell r="FV37">
            <v>42</v>
          </cell>
          <cell r="FW37">
            <v>38</v>
          </cell>
          <cell r="FX37">
            <v>4</v>
          </cell>
          <cell r="FY37">
            <v>0.90476190476190477</v>
          </cell>
          <cell r="FZ37">
            <v>9.5238095238095233E-2</v>
          </cell>
          <cell r="GA37">
            <v>0.9010472433549358</v>
          </cell>
          <cell r="GB37">
            <v>9.8952756645064338E-2</v>
          </cell>
          <cell r="GC37">
            <v>5.4924788135547763E-2</v>
          </cell>
          <cell r="GD37">
            <v>0.14680656785678886</v>
          </cell>
          <cell r="GE37">
            <v>0.92725806956576196</v>
          </cell>
          <cell r="GF37">
            <v>7.2741930434238128E-2</v>
          </cell>
          <cell r="GG37">
            <v>3.5650162878397382E-2</v>
          </cell>
          <cell r="GH37">
            <v>0.11539746968488125</v>
          </cell>
          <cell r="GI37">
            <v>0.88393757239911097</v>
          </cell>
          <cell r="GJ37">
            <v>0.11606242760088913</v>
          </cell>
          <cell r="GK37">
            <v>6.5399908149707864E-2</v>
          </cell>
          <cell r="GL37">
            <v>0.16312109648171647</v>
          </cell>
          <cell r="GM37">
            <v>0.78786982248520698</v>
          </cell>
          <cell r="GN37">
            <v>0.21213017751479291</v>
          </cell>
          <cell r="GO37">
            <v>0.16251159892911632</v>
          </cell>
          <cell r="GP37">
            <v>0.2926383742085103</v>
          </cell>
          <cell r="GQ37">
            <v>80</v>
          </cell>
          <cell r="GR37">
            <v>77</v>
          </cell>
          <cell r="GS37">
            <v>77</v>
          </cell>
          <cell r="GT37">
            <v>79</v>
          </cell>
          <cell r="GU37">
            <v>78</v>
          </cell>
          <cell r="GV37">
            <v>75</v>
          </cell>
          <cell r="GW37">
            <v>73</v>
          </cell>
          <cell r="GX37">
            <v>72</v>
          </cell>
          <cell r="GY37">
            <v>73</v>
          </cell>
          <cell r="GZ37">
            <v>72</v>
          </cell>
          <cell r="HA37">
            <v>73</v>
          </cell>
          <cell r="HB37">
            <v>74</v>
          </cell>
          <cell r="HC37">
            <v>73</v>
          </cell>
          <cell r="HD37">
            <v>78</v>
          </cell>
          <cell r="HE37">
            <v>71</v>
          </cell>
          <cell r="HF37">
            <v>71</v>
          </cell>
          <cell r="HG37">
            <v>69</v>
          </cell>
          <cell r="HH37">
            <v>71</v>
          </cell>
          <cell r="HI37">
            <v>73</v>
          </cell>
          <cell r="HJ37">
            <v>70</v>
          </cell>
          <cell r="HK37">
            <v>74</v>
          </cell>
          <cell r="HL37">
            <v>72</v>
          </cell>
          <cell r="HM37">
            <v>72</v>
          </cell>
          <cell r="HN37">
            <v>31</v>
          </cell>
          <cell r="HO37">
            <v>2.3082650781831721E-2</v>
          </cell>
          <cell r="HP37">
            <v>2126</v>
          </cell>
          <cell r="HQ37">
            <v>1832</v>
          </cell>
          <cell r="HR37">
            <v>294</v>
          </cell>
          <cell r="HS37">
            <v>0.13828786453433678</v>
          </cell>
        </row>
        <row r="38">
          <cell r="A38" t="str">
            <v>Southwater</v>
          </cell>
          <cell r="C38" t="str">
            <v>Horsham</v>
          </cell>
          <cell r="D38" t="str">
            <v>Horsham Town</v>
          </cell>
          <cell r="E38" t="str">
            <v>Horsham</v>
          </cell>
          <cell r="F38" t="str">
            <v>Horsham</v>
          </cell>
          <cell r="G38" t="str">
            <v>Southwater</v>
          </cell>
          <cell r="H38" t="str">
            <v>Horsham W</v>
          </cell>
          <cell r="I38" t="str">
            <v>C3</v>
          </cell>
          <cell r="J38" t="str">
            <v>Horsham and Mid Sussex</v>
          </cell>
          <cell r="K38" t="str">
            <v>Horsham</v>
          </cell>
          <cell r="L38">
            <v>10025</v>
          </cell>
          <cell r="M38">
            <v>10140</v>
          </cell>
          <cell r="N38">
            <v>10345</v>
          </cell>
          <cell r="O38">
            <v>10460</v>
          </cell>
          <cell r="P38">
            <v>10555</v>
          </cell>
          <cell r="Q38">
            <v>10600</v>
          </cell>
          <cell r="R38">
            <v>10635</v>
          </cell>
          <cell r="S38">
            <v>10750</v>
          </cell>
          <cell r="T38">
            <v>10925</v>
          </cell>
          <cell r="U38">
            <v>10975</v>
          </cell>
          <cell r="V38">
            <v>695</v>
          </cell>
          <cell r="W38">
            <v>630</v>
          </cell>
          <cell r="X38">
            <v>645</v>
          </cell>
          <cell r="Y38">
            <v>645</v>
          </cell>
          <cell r="Z38">
            <v>635</v>
          </cell>
          <cell r="AA38">
            <v>635</v>
          </cell>
          <cell r="AB38">
            <v>620</v>
          </cell>
          <cell r="AC38">
            <v>635</v>
          </cell>
          <cell r="AD38">
            <v>605</v>
          </cell>
          <cell r="AE38">
            <v>570</v>
          </cell>
          <cell r="AF38">
            <v>0.91379310344827591</v>
          </cell>
          <cell r="AG38">
            <v>1.7241379310344827E-2</v>
          </cell>
          <cell r="AH38">
            <v>4.2319749216300939E-2</v>
          </cell>
          <cell r="AI38">
            <v>2.037617554858934E-2</v>
          </cell>
          <cell r="AJ38">
            <v>4.7021943573667714E-3</v>
          </cell>
          <cell r="AK38">
            <v>1.567398119122257E-3</v>
          </cell>
          <cell r="AL38">
            <v>8.6206896551724144E-2</v>
          </cell>
          <cell r="AM38">
            <v>1330</v>
          </cell>
          <cell r="AN38">
            <v>0.78270676691729324</v>
          </cell>
          <cell r="AO38">
            <v>9.2481203007518803E-2</v>
          </cell>
          <cell r="AP38">
            <v>0.12481203007518797</v>
          </cell>
          <cell r="AQ38">
            <v>123</v>
          </cell>
          <cell r="AR38">
            <v>104</v>
          </cell>
          <cell r="AS38">
            <v>126</v>
          </cell>
          <cell r="AT38">
            <v>91</v>
          </cell>
          <cell r="AU38">
            <v>78</v>
          </cell>
          <cell r="AV38">
            <v>5</v>
          </cell>
          <cell r="AW38">
            <v>3</v>
          </cell>
          <cell r="AX38">
            <v>2</v>
          </cell>
          <cell r="AY38">
            <v>1</v>
          </cell>
          <cell r="AZ38">
            <v>0</v>
          </cell>
          <cell r="BA38">
            <v>4</v>
          </cell>
          <cell r="BB38">
            <v>5.128205128205128E-2</v>
          </cell>
          <cell r="BC38">
            <v>2.0121012473896145E-2</v>
          </cell>
          <cell r="BD38">
            <v>0.12456676547294485</v>
          </cell>
          <cell r="BE38">
            <v>3</v>
          </cell>
          <cell r="BF38">
            <v>166</v>
          </cell>
          <cell r="BG38">
            <v>218</v>
          </cell>
          <cell r="BH38">
            <v>106</v>
          </cell>
          <cell r="BI38">
            <v>0.14678649905805458</v>
          </cell>
          <cell r="BJ38">
            <v>1433</v>
          </cell>
          <cell r="BK38">
            <v>2576</v>
          </cell>
          <cell r="BL38">
            <v>1414</v>
          </cell>
          <cell r="BM38">
            <v>1047</v>
          </cell>
          <cell r="BN38">
            <v>0</v>
          </cell>
          <cell r="BO38">
            <v>134</v>
          </cell>
          <cell r="BP38">
            <v>144</v>
          </cell>
          <cell r="BQ38">
            <v>89</v>
          </cell>
          <cell r="BR38">
            <v>50</v>
          </cell>
          <cell r="BS38">
            <v>25</v>
          </cell>
          <cell r="BT38">
            <v>20</v>
          </cell>
          <cell r="BU38">
            <v>183</v>
          </cell>
          <cell r="BV38">
            <v>42</v>
          </cell>
          <cell r="BW38">
            <v>0.22950819672131148</v>
          </cell>
          <cell r="BX38">
            <v>23</v>
          </cell>
          <cell r="BY38">
            <v>10</v>
          </cell>
          <cell r="BZ38">
            <v>63</v>
          </cell>
          <cell r="CA38">
            <v>1.6406250000000001E-2</v>
          </cell>
          <cell r="CB38">
            <v>40</v>
          </cell>
          <cell r="CC38">
            <v>60</v>
          </cell>
          <cell r="CD38">
            <v>40</v>
          </cell>
          <cell r="CE38">
            <v>35</v>
          </cell>
          <cell r="CF38">
            <v>130</v>
          </cell>
          <cell r="CG38">
            <v>6.6285714285714281E-2</v>
          </cell>
          <cell r="CH38">
            <v>140</v>
          </cell>
          <cell r="CI38">
            <v>7.1714285714285717E-2</v>
          </cell>
          <cell r="CJ38">
            <v>160</v>
          </cell>
          <cell r="CK38">
            <v>7.5428571428571428E-2</v>
          </cell>
          <cell r="CL38">
            <v>155</v>
          </cell>
          <cell r="CM38">
            <v>6.8285714285714297E-2</v>
          </cell>
          <cell r="CN38">
            <v>155</v>
          </cell>
          <cell r="CO38">
            <v>6.0285714285714283E-2</v>
          </cell>
          <cell r="CP38">
            <v>115</v>
          </cell>
          <cell r="CQ38">
            <v>5.4245283018867926E-2</v>
          </cell>
          <cell r="CR38">
            <v>89</v>
          </cell>
          <cell r="CS38">
            <v>2</v>
          </cell>
          <cell r="CT38">
            <v>87</v>
          </cell>
          <cell r="CU38">
            <v>0.97922077922077932</v>
          </cell>
          <cell r="CV38">
            <v>39</v>
          </cell>
          <cell r="CW38">
            <v>54</v>
          </cell>
          <cell r="CX38">
            <v>0.46383656026513165</v>
          </cell>
          <cell r="CY38">
            <v>0.62045177045177058</v>
          </cell>
          <cell r="CZ38">
            <v>0.34817004727070094</v>
          </cell>
          <cell r="DA38">
            <v>0.55275640052414199</v>
          </cell>
          <cell r="DB38">
            <v>0.51567426573095965</v>
          </cell>
          <cell r="DC38">
            <v>0.71549735608107345</v>
          </cell>
          <cell r="DD38">
            <v>118</v>
          </cell>
          <cell r="DE38">
            <v>11</v>
          </cell>
          <cell r="DF38">
            <v>9.3220338983050849E-2</v>
          </cell>
          <cell r="DG38">
            <v>5.2851600772239334E-2</v>
          </cell>
          <cell r="DH38">
            <v>0.15923925131385774</v>
          </cell>
          <cell r="DI38" t="str">
            <v>No Sig diff</v>
          </cell>
          <cell r="DJ38">
            <v>116</v>
          </cell>
          <cell r="DK38">
            <v>11</v>
          </cell>
          <cell r="DL38">
            <v>9.4827586206896547E-2</v>
          </cell>
          <cell r="DM38">
            <v>5.3777363581140956E-2</v>
          </cell>
          <cell r="DN38">
            <v>0.16185301237546282</v>
          </cell>
          <cell r="DO38" t="str">
            <v>No Sig diff</v>
          </cell>
          <cell r="DP38">
            <v>87</v>
          </cell>
          <cell r="DQ38">
            <v>9</v>
          </cell>
          <cell r="DR38">
            <v>0.10344827586206896</v>
          </cell>
          <cell r="DS38">
            <v>5.5385110337884548E-2</v>
          </cell>
          <cell r="DT38">
            <v>0.18504980896262463</v>
          </cell>
          <cell r="DU38" t="str">
            <v>No Sig diff</v>
          </cell>
          <cell r="DV38">
            <v>110</v>
          </cell>
          <cell r="DW38">
            <v>3</v>
          </cell>
          <cell r="DX38">
            <v>2.7272727272727271E-2</v>
          </cell>
          <cell r="DY38">
            <v>9.3179698578722808E-3</v>
          </cell>
          <cell r="DZ38">
            <v>7.7130841696755659E-2</v>
          </cell>
          <cell r="EA38" t="str">
            <v>Sig better than Eng.</v>
          </cell>
          <cell r="EB38">
            <v>116</v>
          </cell>
          <cell r="EC38">
            <v>15</v>
          </cell>
          <cell r="ED38">
            <v>0.12931034482758622</v>
          </cell>
          <cell r="EE38">
            <v>7.995391352718767E-2</v>
          </cell>
          <cell r="EF38">
            <v>0.20243132405013073</v>
          </cell>
          <cell r="EG38" t="str">
            <v>No Sig diff</v>
          </cell>
          <cell r="EH38">
            <v>123</v>
          </cell>
          <cell r="EI38">
            <v>14</v>
          </cell>
          <cell r="EJ38">
            <v>0.11382113821138211</v>
          </cell>
          <cell r="EK38">
            <v>6.9022844406854716E-2</v>
          </cell>
          <cell r="EL38">
            <v>0.18201068293301853</v>
          </cell>
          <cell r="EM38" t="str">
            <v>Sig better than Eng.</v>
          </cell>
          <cell r="EN38">
            <v>107</v>
          </cell>
          <cell r="EO38">
            <v>13</v>
          </cell>
          <cell r="EP38">
            <v>0.12149532710280374</v>
          </cell>
          <cell r="EQ38">
            <v>7.2394341667617434E-2</v>
          </cell>
          <cell r="ER38">
            <v>0.19683216561760347</v>
          </cell>
          <cell r="ES38" t="str">
            <v>No Sig diff</v>
          </cell>
          <cell r="ET38">
            <v>126</v>
          </cell>
          <cell r="EU38">
            <v>21</v>
          </cell>
          <cell r="EV38">
            <v>0.16666666666666666</v>
          </cell>
          <cell r="EW38">
            <v>0.11167188880425907</v>
          </cell>
          <cell r="EX38">
            <v>0.2413852875172065</v>
          </cell>
          <cell r="EY38" t="str">
            <v>No Sig diff</v>
          </cell>
          <cell r="EZ38">
            <v>134</v>
          </cell>
          <cell r="FA38">
            <v>89</v>
          </cell>
          <cell r="FB38">
            <v>0.66417910447761197</v>
          </cell>
          <cell r="FC38">
            <v>0.58062954335825934</v>
          </cell>
          <cell r="FD38">
            <v>0.73857775738016174</v>
          </cell>
          <cell r="FE38">
            <v>134</v>
          </cell>
          <cell r="FF38">
            <v>34</v>
          </cell>
          <cell r="FG38">
            <v>26</v>
          </cell>
          <cell r="FH38">
            <v>27.038461538461537</v>
          </cell>
          <cell r="FI38">
            <v>0.20475113122171951</v>
          </cell>
          <cell r="FJ38">
            <v>135</v>
          </cell>
          <cell r="FK38">
            <v>97</v>
          </cell>
          <cell r="FL38">
            <v>0.71851851851851856</v>
          </cell>
          <cell r="FM38">
            <v>0.63742332520504075</v>
          </cell>
          <cell r="FN38">
            <v>0.78752179206137429</v>
          </cell>
          <cell r="FO38">
            <v>135</v>
          </cell>
          <cell r="FP38">
            <v>35</v>
          </cell>
          <cell r="FQ38">
            <v>27</v>
          </cell>
          <cell r="FR38">
            <v>25.407407407407412</v>
          </cell>
          <cell r="FS38">
            <v>0.27407407407407397</v>
          </cell>
          <cell r="FT38">
            <v>2308</v>
          </cell>
          <cell r="FU38">
            <v>2278</v>
          </cell>
          <cell r="FV38">
            <v>30</v>
          </cell>
          <cell r="FW38">
            <v>29</v>
          </cell>
          <cell r="FX38">
            <v>1</v>
          </cell>
          <cell r="FY38">
            <v>0.96666666666666667</v>
          </cell>
          <cell r="FZ38">
            <v>3.3333333333333333E-2</v>
          </cell>
          <cell r="GA38">
            <v>0.9821428571428571</v>
          </cell>
          <cell r="GB38">
            <v>1.7857142857142856E-2</v>
          </cell>
          <cell r="GC38">
            <v>3.4696032534422437E-3</v>
          </cell>
          <cell r="GD38">
            <v>0.10304807675589374</v>
          </cell>
          <cell r="GE38">
            <v>0.96785714285714286</v>
          </cell>
          <cell r="GF38">
            <v>3.2142857142857147E-2</v>
          </cell>
          <cell r="GG38">
            <v>1.0820856268751204E-2</v>
          </cell>
          <cell r="GH38">
            <v>0.1321654898626527</v>
          </cell>
          <cell r="GI38">
            <v>0.9821428571428571</v>
          </cell>
          <cell r="GJ38">
            <v>1.7857142857142856E-2</v>
          </cell>
          <cell r="GK38">
            <v>3.4696032534422437E-3</v>
          </cell>
          <cell r="GL38">
            <v>0.10304807675589374</v>
          </cell>
          <cell r="GM38">
            <v>0.94387755102040816</v>
          </cell>
          <cell r="GN38">
            <v>5.6122448979591837E-2</v>
          </cell>
          <cell r="GO38">
            <v>2.0206272864052088E-2</v>
          </cell>
          <cell r="GP38">
            <v>0.15924873938941972</v>
          </cell>
          <cell r="GQ38">
            <v>29</v>
          </cell>
          <cell r="GR38">
            <v>28</v>
          </cell>
          <cell r="GS38">
            <v>28</v>
          </cell>
          <cell r="GT38">
            <v>28</v>
          </cell>
          <cell r="GU38">
            <v>28</v>
          </cell>
          <cell r="GV38">
            <v>31</v>
          </cell>
          <cell r="GW38">
            <v>31</v>
          </cell>
          <cell r="GX38">
            <v>30</v>
          </cell>
          <cell r="GY38">
            <v>30</v>
          </cell>
          <cell r="GZ38">
            <v>30</v>
          </cell>
          <cell r="HA38">
            <v>31</v>
          </cell>
          <cell r="HB38">
            <v>30</v>
          </cell>
          <cell r="HC38">
            <v>31</v>
          </cell>
          <cell r="HD38">
            <v>30</v>
          </cell>
          <cell r="HE38">
            <v>28</v>
          </cell>
          <cell r="HF38">
            <v>29</v>
          </cell>
          <cell r="HG38">
            <v>27</v>
          </cell>
          <cell r="HH38">
            <v>28</v>
          </cell>
          <cell r="HI38">
            <v>29</v>
          </cell>
          <cell r="HJ38">
            <v>26</v>
          </cell>
          <cell r="HK38">
            <v>27</v>
          </cell>
          <cell r="HL38">
            <v>29</v>
          </cell>
          <cell r="HM38">
            <v>29</v>
          </cell>
          <cell r="HN38">
            <v>12</v>
          </cell>
          <cell r="HO38">
            <v>1.889763779527559E-2</v>
          </cell>
          <cell r="HP38">
            <v>1003</v>
          </cell>
          <cell r="HQ38">
            <v>964</v>
          </cell>
          <cell r="HR38">
            <v>39</v>
          </cell>
          <cell r="HS38">
            <v>3.8883349950149554E-2</v>
          </cell>
        </row>
        <row r="39">
          <cell r="A39" t="str">
            <v>Stepping Stones</v>
          </cell>
          <cell r="C39" t="str">
            <v>Adur</v>
          </cell>
          <cell r="D39" t="str">
            <v>Adur East</v>
          </cell>
          <cell r="E39" t="str">
            <v>Adur</v>
          </cell>
          <cell r="F39" t="str">
            <v>Adur</v>
          </cell>
          <cell r="G39" t="str">
            <v>Eastbrook, Hillside, Southwich Green</v>
          </cell>
          <cell r="H39" t="str">
            <v>Shoreham</v>
          </cell>
          <cell r="I39" t="str">
            <v>B</v>
          </cell>
          <cell r="J39" t="str">
            <v>Coastal West Sussex</v>
          </cell>
          <cell r="K39" t="str">
            <v>East Worthing and Shoreham</v>
          </cell>
          <cell r="L39">
            <v>13130</v>
          </cell>
          <cell r="M39">
            <v>13040</v>
          </cell>
          <cell r="N39">
            <v>13085</v>
          </cell>
          <cell r="O39">
            <v>13055</v>
          </cell>
          <cell r="P39">
            <v>13065</v>
          </cell>
          <cell r="Q39">
            <v>13160</v>
          </cell>
          <cell r="R39">
            <v>13195</v>
          </cell>
          <cell r="S39">
            <v>13265</v>
          </cell>
          <cell r="T39">
            <v>13280</v>
          </cell>
          <cell r="U39">
            <v>13390</v>
          </cell>
          <cell r="V39">
            <v>700</v>
          </cell>
          <cell r="W39">
            <v>680</v>
          </cell>
          <cell r="X39">
            <v>705</v>
          </cell>
          <cell r="Y39">
            <v>710</v>
          </cell>
          <cell r="Z39">
            <v>735</v>
          </cell>
          <cell r="AA39">
            <v>775</v>
          </cell>
          <cell r="AB39">
            <v>775</v>
          </cell>
          <cell r="AC39">
            <v>805</v>
          </cell>
          <cell r="AD39">
            <v>825</v>
          </cell>
          <cell r="AE39">
            <v>830</v>
          </cell>
          <cell r="AF39">
            <v>0.88930348258706471</v>
          </cell>
          <cell r="AG39">
            <v>1.8656716417910446E-2</v>
          </cell>
          <cell r="AH39">
            <v>3.3582089552238806E-2</v>
          </cell>
          <cell r="AI39">
            <v>3.109452736318408E-2</v>
          </cell>
          <cell r="AJ39">
            <v>7.462686567164179E-3</v>
          </cell>
          <cell r="AK39">
            <v>1.9900497512437811E-2</v>
          </cell>
          <cell r="AL39">
            <v>0.11069651741293532</v>
          </cell>
          <cell r="AM39">
            <v>1550</v>
          </cell>
          <cell r="AN39">
            <v>0.59199483537766295</v>
          </cell>
          <cell r="AO39">
            <v>0.20787604906391219</v>
          </cell>
          <cell r="AP39">
            <v>0.2001291155584248</v>
          </cell>
          <cell r="AQ39">
            <v>109</v>
          </cell>
          <cell r="AR39">
            <v>125</v>
          </cell>
          <cell r="AS39">
            <v>107</v>
          </cell>
          <cell r="AT39">
            <v>138</v>
          </cell>
          <cell r="AU39">
            <v>115</v>
          </cell>
          <cell r="AV39">
            <v>10</v>
          </cell>
          <cell r="AW39">
            <v>7</v>
          </cell>
          <cell r="AX39">
            <v>5</v>
          </cell>
          <cell r="AY39">
            <v>7</v>
          </cell>
          <cell r="AZ39">
            <v>7</v>
          </cell>
          <cell r="BA39">
            <v>5</v>
          </cell>
          <cell r="BB39">
            <v>4.3478260869565216E-2</v>
          </cell>
          <cell r="BC39">
            <v>1.8712101106831382E-2</v>
          </cell>
          <cell r="BD39">
            <v>9.7757849346889233E-2</v>
          </cell>
          <cell r="BE39">
            <v>15</v>
          </cell>
          <cell r="BF39">
            <v>256</v>
          </cell>
          <cell r="BG39">
            <v>276</v>
          </cell>
          <cell r="BH39">
            <v>106</v>
          </cell>
          <cell r="BI39">
            <v>0.12492352662605885</v>
          </cell>
          <cell r="BJ39">
            <v>1665</v>
          </cell>
          <cell r="BK39">
            <v>2857</v>
          </cell>
          <cell r="BL39">
            <v>1670</v>
          </cell>
          <cell r="BM39">
            <v>843</v>
          </cell>
          <cell r="BN39">
            <v>1</v>
          </cell>
          <cell r="BO39">
            <v>307</v>
          </cell>
          <cell r="BP39">
            <v>384</v>
          </cell>
          <cell r="BQ39">
            <v>135</v>
          </cell>
          <cell r="BR39">
            <v>145</v>
          </cell>
          <cell r="BS39">
            <v>130</v>
          </cell>
          <cell r="BT39">
            <v>105</v>
          </cell>
          <cell r="BU39">
            <v>384</v>
          </cell>
          <cell r="BV39">
            <v>151</v>
          </cell>
          <cell r="BW39">
            <v>0.39322916666666669</v>
          </cell>
          <cell r="BX39">
            <v>34</v>
          </cell>
          <cell r="BY39">
            <v>2</v>
          </cell>
          <cell r="BZ39">
            <v>300</v>
          </cell>
          <cell r="CA39">
            <v>5.3229240596167494E-2</v>
          </cell>
          <cell r="CB39">
            <v>215</v>
          </cell>
          <cell r="CC39">
            <v>210</v>
          </cell>
          <cell r="CD39">
            <v>215</v>
          </cell>
          <cell r="CE39">
            <v>185</v>
          </cell>
          <cell r="CF39">
            <v>480</v>
          </cell>
          <cell r="CG39">
            <v>0.19444444444444442</v>
          </cell>
          <cell r="CH39">
            <v>480</v>
          </cell>
          <cell r="CI39">
            <v>0.18844444444444447</v>
          </cell>
          <cell r="CJ39">
            <v>555</v>
          </cell>
          <cell r="CK39">
            <v>0.20177777777777775</v>
          </cell>
          <cell r="CL39">
            <v>515</v>
          </cell>
          <cell r="CM39">
            <v>0.17744444444444449</v>
          </cell>
          <cell r="CN39">
            <v>520</v>
          </cell>
          <cell r="CO39">
            <v>0.17844444444444446</v>
          </cell>
          <cell r="CP39">
            <v>495</v>
          </cell>
          <cell r="CQ39">
            <v>0.19919517102615694</v>
          </cell>
          <cell r="CR39">
            <v>138</v>
          </cell>
          <cell r="CS39">
            <v>15</v>
          </cell>
          <cell r="CT39">
            <v>123</v>
          </cell>
          <cell r="CU39">
            <v>0.90037632661901679</v>
          </cell>
          <cell r="CV39">
            <v>51</v>
          </cell>
          <cell r="CW39">
            <v>71</v>
          </cell>
          <cell r="CX39">
            <v>0.39368252379312629</v>
          </cell>
          <cell r="CY39">
            <v>0.56805227360147259</v>
          </cell>
          <cell r="CZ39">
            <v>0.33144299050634901</v>
          </cell>
          <cell r="DA39">
            <v>0.50299618402314283</v>
          </cell>
          <cell r="DB39">
            <v>0.48889394915995515</v>
          </cell>
          <cell r="DC39">
            <v>0.66089917864669501</v>
          </cell>
          <cell r="DD39">
            <v>85</v>
          </cell>
          <cell r="DE39">
            <v>4</v>
          </cell>
          <cell r="DF39">
            <v>4.7058823529411764E-2</v>
          </cell>
          <cell r="DG39">
            <v>1.8450260833070709E-2</v>
          </cell>
          <cell r="DH39">
            <v>0.11483727156318768</v>
          </cell>
          <cell r="DI39" t="str">
            <v>No Sig diff</v>
          </cell>
          <cell r="DJ39">
            <v>120</v>
          </cell>
          <cell r="DK39">
            <v>6</v>
          </cell>
          <cell r="DL39">
            <v>0.05</v>
          </cell>
          <cell r="DM39">
            <v>2.3114364414465797E-2</v>
          </cell>
          <cell r="DN39">
            <v>0.10480288536236734</v>
          </cell>
          <cell r="DO39" t="str">
            <v>No Sig diff</v>
          </cell>
          <cell r="DP39">
            <v>92</v>
          </cell>
          <cell r="DQ39">
            <v>13</v>
          </cell>
          <cell r="DR39">
            <v>0.14130434782608695</v>
          </cell>
          <cell r="DS39">
            <v>8.4476933783828992E-2</v>
          </cell>
          <cell r="DT39">
            <v>0.22688580200803002</v>
          </cell>
          <cell r="DU39" t="str">
            <v>No Sig diff</v>
          </cell>
          <cell r="DV39">
            <v>114</v>
          </cell>
          <cell r="DW39">
            <v>11</v>
          </cell>
          <cell r="DX39">
            <v>9.6491228070175433E-2</v>
          </cell>
          <cell r="DY39">
            <v>5.4736149045213803E-2</v>
          </cell>
          <cell r="DZ39">
            <v>0.16455389606543028</v>
          </cell>
          <cell r="EA39" t="str">
            <v>No Sig diff</v>
          </cell>
          <cell r="EB39">
            <v>103</v>
          </cell>
          <cell r="EC39">
            <v>19</v>
          </cell>
          <cell r="ED39">
            <v>0.18446601941747573</v>
          </cell>
          <cell r="EE39">
            <v>0.12139537223023854</v>
          </cell>
          <cell r="EF39">
            <v>0.27022656257424815</v>
          </cell>
          <cell r="EG39" t="str">
            <v>No Sig diff</v>
          </cell>
          <cell r="EH39">
            <v>94</v>
          </cell>
          <cell r="EI39">
            <v>19</v>
          </cell>
          <cell r="EJ39">
            <v>0.20212765957446807</v>
          </cell>
          <cell r="EK39">
            <v>0.1333948198921881</v>
          </cell>
          <cell r="EL39">
            <v>0.29425067236660452</v>
          </cell>
          <cell r="EM39" t="str">
            <v>No Sig diff</v>
          </cell>
          <cell r="EN39">
            <v>97</v>
          </cell>
          <cell r="EO39">
            <v>18</v>
          </cell>
          <cell r="EP39">
            <v>0.18556701030927836</v>
          </cell>
          <cell r="EQ39">
            <v>0.12072903379332831</v>
          </cell>
          <cell r="ER39">
            <v>0.27436103418690677</v>
          </cell>
          <cell r="ES39" t="str">
            <v>No Sig diff</v>
          </cell>
          <cell r="ET39">
            <v>90</v>
          </cell>
          <cell r="EU39">
            <v>19</v>
          </cell>
          <cell r="EV39">
            <v>0.21111111111111111</v>
          </cell>
          <cell r="EW39">
            <v>0.13952592118014923</v>
          </cell>
          <cell r="EX39">
            <v>0.30634799581257288</v>
          </cell>
          <cell r="EY39" t="str">
            <v>No Sig diff</v>
          </cell>
          <cell r="EZ39">
            <v>135</v>
          </cell>
          <cell r="FA39">
            <v>68</v>
          </cell>
          <cell r="FB39">
            <v>0.50370370370370365</v>
          </cell>
          <cell r="FC39">
            <v>0.42043501688207358</v>
          </cell>
          <cell r="FD39">
            <v>0.5867674427326115</v>
          </cell>
          <cell r="FE39">
            <v>135</v>
          </cell>
          <cell r="FF39">
            <v>34</v>
          </cell>
          <cell r="FG39">
            <v>27</v>
          </cell>
          <cell r="FH39">
            <v>21.518518518518519</v>
          </cell>
          <cell r="FI39">
            <v>0.36710239651416121</v>
          </cell>
          <cell r="FJ39">
            <v>122</v>
          </cell>
          <cell r="FK39">
            <v>68</v>
          </cell>
          <cell r="FL39">
            <v>0.55737704918032782</v>
          </cell>
          <cell r="FM39">
            <v>0.46882625948307327</v>
          </cell>
          <cell r="FN39">
            <v>0.64242483480015478</v>
          </cell>
          <cell r="FO39">
            <v>122</v>
          </cell>
          <cell r="FP39">
            <v>34</v>
          </cell>
          <cell r="FQ39">
            <v>24</v>
          </cell>
          <cell r="FR39">
            <v>23.166666666666668</v>
          </cell>
          <cell r="FS39">
            <v>0.31862745098039214</v>
          </cell>
          <cell r="FT39">
            <v>2004</v>
          </cell>
          <cell r="FU39">
            <v>1951</v>
          </cell>
          <cell r="FV39">
            <v>53</v>
          </cell>
          <cell r="FW39">
            <v>51</v>
          </cell>
          <cell r="FX39">
            <v>2</v>
          </cell>
          <cell r="FY39">
            <v>0.96226415094339623</v>
          </cell>
          <cell r="FZ39">
            <v>3.7735849056603772E-2</v>
          </cell>
          <cell r="GA39">
            <v>0.93227513227513237</v>
          </cell>
          <cell r="GB39">
            <v>6.7724867724867729E-2</v>
          </cell>
          <cell r="GC39">
            <v>5.315354431925607E-2</v>
          </cell>
          <cell r="GD39">
            <v>0.20601533031468619</v>
          </cell>
          <cell r="GE39">
            <v>0.84338624338624335</v>
          </cell>
          <cell r="GF39">
            <v>0.15661375661375662</v>
          </cell>
          <cell r="GG39">
            <v>4.2994504137461961E-2</v>
          </cell>
          <cell r="GH39">
            <v>0.18712216950173294</v>
          </cell>
          <cell r="GI39">
            <v>0.81005291005291002</v>
          </cell>
          <cell r="GJ39">
            <v>0.18994708994708998</v>
          </cell>
          <cell r="GK39">
            <v>7.459006187684232E-2</v>
          </cell>
          <cell r="GL39">
            <v>0.24268321474659466</v>
          </cell>
          <cell r="GM39">
            <v>0.78822751322751317</v>
          </cell>
          <cell r="GN39">
            <v>0.21177248677248675</v>
          </cell>
          <cell r="GO39">
            <v>0.17018055060319134</v>
          </cell>
          <cell r="GP39">
            <v>0.37951033397822453</v>
          </cell>
          <cell r="GQ39">
            <v>36</v>
          </cell>
          <cell r="GR39">
            <v>33</v>
          </cell>
          <cell r="GS39">
            <v>33</v>
          </cell>
          <cell r="GT39">
            <v>33</v>
          </cell>
          <cell r="GU39">
            <v>33</v>
          </cell>
          <cell r="GV39">
            <v>24</v>
          </cell>
          <cell r="GW39">
            <v>24</v>
          </cell>
          <cell r="GX39">
            <v>24</v>
          </cell>
          <cell r="GY39">
            <v>22</v>
          </cell>
          <cell r="GZ39">
            <v>24</v>
          </cell>
          <cell r="HA39">
            <v>24</v>
          </cell>
          <cell r="HB39">
            <v>22</v>
          </cell>
          <cell r="HC39">
            <v>24</v>
          </cell>
          <cell r="HD39">
            <v>30</v>
          </cell>
          <cell r="HE39">
            <v>29</v>
          </cell>
          <cell r="HF39">
            <v>30</v>
          </cell>
          <cell r="HG39">
            <v>27</v>
          </cell>
          <cell r="HH39">
            <v>30</v>
          </cell>
          <cell r="HI39">
            <v>30</v>
          </cell>
          <cell r="HJ39">
            <v>27</v>
          </cell>
          <cell r="HK39">
            <v>29</v>
          </cell>
          <cell r="HL39">
            <v>27</v>
          </cell>
          <cell r="HM39">
            <v>30</v>
          </cell>
          <cell r="HN39">
            <v>26</v>
          </cell>
          <cell r="HO39">
            <v>3.2338308457711441E-2</v>
          </cell>
          <cell r="HP39">
            <v>1254</v>
          </cell>
          <cell r="HQ39">
            <v>1069</v>
          </cell>
          <cell r="HR39">
            <v>185</v>
          </cell>
          <cell r="HS39">
            <v>0.14752791068580542</v>
          </cell>
        </row>
        <row r="40">
          <cell r="A40" t="str">
            <v>Storrington (Little Footsteps)</v>
          </cell>
          <cell r="C40" t="str">
            <v>Horsham</v>
          </cell>
          <cell r="D40" t="str">
            <v>Horsham Rural</v>
          </cell>
          <cell r="E40" t="str">
            <v>Horsham</v>
          </cell>
          <cell r="F40" t="str">
            <v>Chanctonbury</v>
          </cell>
          <cell r="G40" t="str">
            <v>Chanctonbury, Chantry</v>
          </cell>
          <cell r="H40" t="str">
            <v>Steyning/Storrington</v>
          </cell>
          <cell r="I40" t="str">
            <v>B</v>
          </cell>
          <cell r="J40" t="str">
            <v>Coastal West Sussex</v>
          </cell>
          <cell r="K40" t="str">
            <v>Arundel and South Downs</v>
          </cell>
          <cell r="L40">
            <v>12250</v>
          </cell>
          <cell r="M40">
            <v>12260</v>
          </cell>
          <cell r="N40">
            <v>12325</v>
          </cell>
          <cell r="O40">
            <v>12385</v>
          </cell>
          <cell r="P40">
            <v>12470</v>
          </cell>
          <cell r="Q40">
            <v>12475</v>
          </cell>
          <cell r="R40">
            <v>12705</v>
          </cell>
          <cell r="S40">
            <v>12710</v>
          </cell>
          <cell r="T40">
            <v>12795</v>
          </cell>
          <cell r="U40">
            <v>12795</v>
          </cell>
          <cell r="V40">
            <v>625</v>
          </cell>
          <cell r="W40">
            <v>595</v>
          </cell>
          <cell r="X40">
            <v>560</v>
          </cell>
          <cell r="Y40">
            <v>605</v>
          </cell>
          <cell r="Z40">
            <v>610</v>
          </cell>
          <cell r="AA40">
            <v>600</v>
          </cell>
          <cell r="AB40">
            <v>615</v>
          </cell>
          <cell r="AC40">
            <v>600</v>
          </cell>
          <cell r="AD40">
            <v>605</v>
          </cell>
          <cell r="AE40">
            <v>590</v>
          </cell>
          <cell r="AF40">
            <v>0.93080724876441512</v>
          </cell>
          <cell r="AG40">
            <v>3.2948929159802305E-2</v>
          </cell>
          <cell r="AH40">
            <v>2.6359143327841845E-2</v>
          </cell>
          <cell r="AI40">
            <v>9.8846787479406912E-3</v>
          </cell>
          <cell r="AJ40">
            <v>0</v>
          </cell>
          <cell r="AK40">
            <v>0</v>
          </cell>
          <cell r="AL40">
            <v>6.919275123558484E-2</v>
          </cell>
          <cell r="AM40">
            <v>1245</v>
          </cell>
          <cell r="AN40">
            <v>0.68890675241157562</v>
          </cell>
          <cell r="AO40">
            <v>0.16157556270096463</v>
          </cell>
          <cell r="AP40">
            <v>0.14951768488745981</v>
          </cell>
          <cell r="AQ40">
            <v>115</v>
          </cell>
          <cell r="AR40">
            <v>103</v>
          </cell>
          <cell r="AS40">
            <v>98</v>
          </cell>
          <cell r="AT40">
            <v>111</v>
          </cell>
          <cell r="AU40">
            <v>96</v>
          </cell>
          <cell r="AV40">
            <v>7</v>
          </cell>
          <cell r="AW40">
            <v>6</v>
          </cell>
          <cell r="AX40">
            <v>2</v>
          </cell>
          <cell r="AY40">
            <v>1</v>
          </cell>
          <cell r="AZ40">
            <v>5</v>
          </cell>
          <cell r="BA40">
            <v>8</v>
          </cell>
          <cell r="BB40">
            <v>8.3333333333333329E-2</v>
          </cell>
          <cell r="BC40">
            <v>4.2830624150967216E-2</v>
          </cell>
          <cell r="BD40">
            <v>0.15589903239709582</v>
          </cell>
          <cell r="BE40">
            <v>7</v>
          </cell>
          <cell r="BF40">
            <v>168</v>
          </cell>
          <cell r="BG40">
            <v>196</v>
          </cell>
          <cell r="BH40">
            <v>100</v>
          </cell>
          <cell r="BI40">
            <v>0.14694188556472054</v>
          </cell>
          <cell r="BJ40">
            <v>1359</v>
          </cell>
          <cell r="BK40">
            <v>2423</v>
          </cell>
          <cell r="BL40">
            <v>1459</v>
          </cell>
          <cell r="BM40">
            <v>1025</v>
          </cell>
          <cell r="BN40">
            <v>0</v>
          </cell>
          <cell r="BO40">
            <v>140</v>
          </cell>
          <cell r="BP40">
            <v>205</v>
          </cell>
          <cell r="BQ40">
            <v>89</v>
          </cell>
          <cell r="BR40">
            <v>35</v>
          </cell>
          <cell r="BS40">
            <v>40</v>
          </cell>
          <cell r="BT40">
            <v>45</v>
          </cell>
          <cell r="BU40">
            <v>209</v>
          </cell>
          <cell r="BV40">
            <v>51</v>
          </cell>
          <cell r="BW40">
            <v>0.24401913875598086</v>
          </cell>
          <cell r="BX40">
            <v>15</v>
          </cell>
          <cell r="BY40">
            <v>7</v>
          </cell>
          <cell r="BZ40">
            <v>132</v>
          </cell>
          <cell r="CA40">
            <v>2.4242424242424242E-2</v>
          </cell>
          <cell r="CB40">
            <v>65</v>
          </cell>
          <cell r="CC40">
            <v>50</v>
          </cell>
          <cell r="CD40">
            <v>70</v>
          </cell>
          <cell r="CE40">
            <v>90</v>
          </cell>
          <cell r="CF40">
            <v>175</v>
          </cell>
          <cell r="CG40">
            <v>0.12362499999999998</v>
          </cell>
          <cell r="CH40">
            <v>195</v>
          </cell>
          <cell r="CI40">
            <v>0.10725</v>
          </cell>
          <cell r="CJ40">
            <v>215</v>
          </cell>
          <cell r="CK40">
            <v>0.11975000000000001</v>
          </cell>
          <cell r="CL40">
            <v>195</v>
          </cell>
          <cell r="CM40">
            <v>0.104375</v>
          </cell>
          <cell r="CN40">
            <v>235</v>
          </cell>
          <cell r="CO40">
            <v>9.1999999999999998E-2</v>
          </cell>
          <cell r="CP40">
            <v>160</v>
          </cell>
          <cell r="CQ40">
            <v>7.9800498753117205E-2</v>
          </cell>
          <cell r="CR40">
            <v>122</v>
          </cell>
          <cell r="CS40">
            <v>4</v>
          </cell>
          <cell r="CT40">
            <v>118</v>
          </cell>
          <cell r="CU40">
            <v>0.96772660818713452</v>
          </cell>
          <cell r="CV40">
            <v>58</v>
          </cell>
          <cell r="CW40">
            <v>75</v>
          </cell>
          <cell r="CX40">
            <v>0.50400219298245619</v>
          </cell>
          <cell r="CY40">
            <v>0.63892490110079125</v>
          </cell>
          <cell r="CZ40">
            <v>0.40302228798677547</v>
          </cell>
          <cell r="DA40">
            <v>0.5805629571183446</v>
          </cell>
          <cell r="DB40">
            <v>0.54575544867159853</v>
          </cell>
          <cell r="DC40">
            <v>0.71688062964648003</v>
          </cell>
          <cell r="DD40">
            <v>106</v>
          </cell>
          <cell r="DE40">
            <v>7</v>
          </cell>
          <cell r="DF40">
            <v>6.6000000000000003E-2</v>
          </cell>
          <cell r="DG40">
            <v>3.2000000000000001E-2</v>
          </cell>
          <cell r="DH40">
            <v>0.13</v>
          </cell>
          <cell r="DI40" t="str">
            <v>No Sig diff</v>
          </cell>
          <cell r="DJ40">
            <v>96</v>
          </cell>
          <cell r="DK40">
            <v>11</v>
          </cell>
          <cell r="DL40">
            <v>0.115</v>
          </cell>
          <cell r="DM40">
            <v>6.5000000000000002E-2</v>
          </cell>
          <cell r="DN40">
            <v>0.19400000000000001</v>
          </cell>
          <cell r="DO40" t="str">
            <v>No Sig diff</v>
          </cell>
          <cell r="DP40">
            <v>91</v>
          </cell>
          <cell r="DQ40">
            <v>11</v>
          </cell>
          <cell r="DR40">
            <v>0.12087912087912088</v>
          </cell>
          <cell r="DS40">
            <v>6.885508485107264E-2</v>
          </cell>
          <cell r="DT40">
            <v>0.20361498406203427</v>
          </cell>
          <cell r="DU40" t="str">
            <v>No Sig diff</v>
          </cell>
          <cell r="DV40">
            <v>106</v>
          </cell>
          <cell r="DW40">
            <v>7</v>
          </cell>
          <cell r="DX40">
            <v>6.6037735849056603E-2</v>
          </cell>
          <cell r="DY40">
            <v>3.2354147112036276E-2</v>
          </cell>
          <cell r="DZ40">
            <v>0.13007503957437352</v>
          </cell>
          <cell r="EA40" t="str">
            <v>No Sig diff</v>
          </cell>
          <cell r="EB40">
            <v>120</v>
          </cell>
          <cell r="EC40">
            <v>21</v>
          </cell>
          <cell r="ED40">
            <v>0.17499999999999999</v>
          </cell>
          <cell r="EE40">
            <v>0.11700000000000001</v>
          </cell>
          <cell r="EF40">
            <v>0.253</v>
          </cell>
          <cell r="EG40" t="str">
            <v>No Sig diff</v>
          </cell>
          <cell r="EH40">
            <v>112</v>
          </cell>
          <cell r="EI40">
            <v>22</v>
          </cell>
          <cell r="EJ40">
            <v>0.19600000000000001</v>
          </cell>
          <cell r="EK40">
            <v>0.13300000000000001</v>
          </cell>
          <cell r="EL40">
            <v>0.28000000000000003</v>
          </cell>
          <cell r="EM40" t="str">
            <v>No Sig diff</v>
          </cell>
          <cell r="EN40">
            <v>104</v>
          </cell>
          <cell r="EO40">
            <v>13</v>
          </cell>
          <cell r="EP40">
            <v>0.125</v>
          </cell>
          <cell r="EQ40">
            <v>7.4526025237809115E-2</v>
          </cell>
          <cell r="ER40">
            <v>0.20218999054152978</v>
          </cell>
          <cell r="ES40" t="str">
            <v>No Sig diff</v>
          </cell>
          <cell r="ET40">
            <v>94</v>
          </cell>
          <cell r="EU40">
            <v>14</v>
          </cell>
          <cell r="EV40">
            <v>0.14893617021276595</v>
          </cell>
          <cell r="EW40">
            <v>9.0840479586594094E-2</v>
          </cell>
          <cell r="EX40">
            <v>0.23459885057555427</v>
          </cell>
          <cell r="EY40" t="str">
            <v>No Sig diff</v>
          </cell>
          <cell r="EZ40">
            <v>117</v>
          </cell>
          <cell r="FA40">
            <v>64</v>
          </cell>
          <cell r="FB40">
            <v>0.54700854700854706</v>
          </cell>
          <cell r="FC40">
            <v>0.45674877894037469</v>
          </cell>
          <cell r="FD40">
            <v>0.63427958257851358</v>
          </cell>
          <cell r="FE40">
            <v>117</v>
          </cell>
          <cell r="FF40">
            <v>34</v>
          </cell>
          <cell r="FG40">
            <v>23</v>
          </cell>
          <cell r="FH40">
            <v>28.869565217391305</v>
          </cell>
          <cell r="FI40">
            <v>0.15089514066496162</v>
          </cell>
          <cell r="FJ40">
            <v>134</v>
          </cell>
          <cell r="FK40">
            <v>83</v>
          </cell>
          <cell r="FL40">
            <v>0.61940298507462688</v>
          </cell>
          <cell r="FM40">
            <v>0.53495253716790758</v>
          </cell>
          <cell r="FN40">
            <v>0.69719822700548961</v>
          </cell>
          <cell r="FO40">
            <v>134</v>
          </cell>
          <cell r="FP40">
            <v>34</v>
          </cell>
          <cell r="FQ40">
            <v>26</v>
          </cell>
          <cell r="FR40">
            <v>26.192307692307693</v>
          </cell>
          <cell r="FS40">
            <v>0.22963800904977372</v>
          </cell>
          <cell r="FT40">
            <v>1921</v>
          </cell>
          <cell r="FU40">
            <v>1896</v>
          </cell>
          <cell r="FV40">
            <v>25</v>
          </cell>
          <cell r="FW40">
            <v>21</v>
          </cell>
          <cell r="FX40">
            <v>4</v>
          </cell>
          <cell r="FY40">
            <v>0.84</v>
          </cell>
          <cell r="FZ40">
            <v>0.16</v>
          </cell>
          <cell r="GA40">
            <v>0.923408189033189</v>
          </cell>
          <cell r="GB40">
            <v>7.6591810966810961E-2</v>
          </cell>
          <cell r="GC40">
            <v>4.2492043037232537E-2</v>
          </cell>
          <cell r="GD40">
            <v>0.16780102074279987</v>
          </cell>
          <cell r="GE40">
            <v>0.93233676046176039</v>
          </cell>
          <cell r="GF40">
            <v>6.7663239538239536E-2</v>
          </cell>
          <cell r="GG40">
            <v>3.4389161893526081E-2</v>
          </cell>
          <cell r="GH40">
            <v>0.15233056050680582</v>
          </cell>
          <cell r="GI40">
            <v>0.923408189033189</v>
          </cell>
          <cell r="GJ40">
            <v>7.6591810966810961E-2</v>
          </cell>
          <cell r="GK40">
            <v>4.2492043037232537E-2</v>
          </cell>
          <cell r="GL40">
            <v>0.16780102074279987</v>
          </cell>
          <cell r="GM40">
            <v>0.85197961760461771</v>
          </cell>
          <cell r="GN40">
            <v>0.1480203823953824</v>
          </cell>
          <cell r="GO40">
            <v>0.11556188621286038</v>
          </cell>
          <cell r="GP40">
            <v>0.28331790860477624</v>
          </cell>
          <cell r="GQ40">
            <v>35</v>
          </cell>
          <cell r="GR40">
            <v>35</v>
          </cell>
          <cell r="GS40">
            <v>35</v>
          </cell>
          <cell r="GT40">
            <v>35</v>
          </cell>
          <cell r="GU40">
            <v>35</v>
          </cell>
          <cell r="GV40">
            <v>18</v>
          </cell>
          <cell r="GW40">
            <v>16</v>
          </cell>
          <cell r="GX40">
            <v>18</v>
          </cell>
          <cell r="GY40">
            <v>16</v>
          </cell>
          <cell r="GZ40">
            <v>18</v>
          </cell>
          <cell r="HA40">
            <v>18</v>
          </cell>
          <cell r="HB40">
            <v>16</v>
          </cell>
          <cell r="HC40">
            <v>18</v>
          </cell>
          <cell r="HD40">
            <v>30</v>
          </cell>
          <cell r="HE40">
            <v>30</v>
          </cell>
          <cell r="HF40">
            <v>30</v>
          </cell>
          <cell r="HG40">
            <v>29</v>
          </cell>
          <cell r="HH40">
            <v>30</v>
          </cell>
          <cell r="HI40">
            <v>30</v>
          </cell>
          <cell r="HJ40">
            <v>29</v>
          </cell>
          <cell r="HK40">
            <v>29</v>
          </cell>
          <cell r="HL40">
            <v>29</v>
          </cell>
          <cell r="HM40">
            <v>30</v>
          </cell>
          <cell r="HN40">
            <v>14</v>
          </cell>
          <cell r="HO40">
            <v>2.3102310231023101E-2</v>
          </cell>
          <cell r="HP40">
            <v>939</v>
          </cell>
          <cell r="HQ40">
            <v>864</v>
          </cell>
          <cell r="HR40">
            <v>75</v>
          </cell>
          <cell r="HS40">
            <v>7.9872204472843447E-2</v>
          </cell>
        </row>
        <row r="41">
          <cell r="A41" t="str">
            <v>Sussex Downs</v>
          </cell>
          <cell r="C41" t="str">
            <v>Mid Sussex</v>
          </cell>
          <cell r="D41" t="str">
            <v>Mid Sussex</v>
          </cell>
          <cell r="E41" t="str">
            <v>Mid Sussex</v>
          </cell>
          <cell r="F41" t="str">
            <v>Mid Sussex</v>
          </cell>
          <cell r="G41" t="str">
            <v>Bolney, Cuckfield, Hassocks, Hurstpierpoint and Downs</v>
          </cell>
          <cell r="H41" t="str">
            <v>Hassocks</v>
          </cell>
          <cell r="I41" t="str">
            <v>C2</v>
          </cell>
          <cell r="J41" t="str">
            <v>Horsham and Mid Sussex</v>
          </cell>
          <cell r="K41" t="str">
            <v>Mid Sussex</v>
          </cell>
          <cell r="L41">
            <v>17565</v>
          </cell>
          <cell r="M41">
            <v>17650</v>
          </cell>
          <cell r="N41">
            <v>17895</v>
          </cell>
          <cell r="O41">
            <v>18095</v>
          </cell>
          <cell r="P41">
            <v>18490</v>
          </cell>
          <cell r="Q41">
            <v>18770</v>
          </cell>
          <cell r="R41">
            <v>19185</v>
          </cell>
          <cell r="S41">
            <v>19470</v>
          </cell>
          <cell r="T41">
            <v>19695</v>
          </cell>
          <cell r="U41">
            <v>19975</v>
          </cell>
          <cell r="V41">
            <v>885</v>
          </cell>
          <cell r="W41">
            <v>890</v>
          </cell>
          <cell r="X41">
            <v>920</v>
          </cell>
          <cell r="Y41">
            <v>960</v>
          </cell>
          <cell r="Z41">
            <v>1000</v>
          </cell>
          <cell r="AA41">
            <v>1015</v>
          </cell>
          <cell r="AB41">
            <v>1065</v>
          </cell>
          <cell r="AC41">
            <v>1135</v>
          </cell>
          <cell r="AD41">
            <v>1170</v>
          </cell>
          <cell r="AE41">
            <v>1195</v>
          </cell>
          <cell r="AF41">
            <v>0.92307692307692313</v>
          </cell>
          <cell r="AG41">
            <v>2.8293545534924844E-2</v>
          </cell>
          <cell r="AH41">
            <v>3.8019451812555262E-2</v>
          </cell>
          <cell r="AI41">
            <v>8.8417329796640146E-3</v>
          </cell>
          <cell r="AJ41">
            <v>8.8417329796640137E-4</v>
          </cell>
          <cell r="AK41">
            <v>8.8417329796640137E-4</v>
          </cell>
          <cell r="AL41">
            <v>7.6923076923076927E-2</v>
          </cell>
          <cell r="AM41">
            <v>2290</v>
          </cell>
          <cell r="AN41">
            <v>0.74083769633507857</v>
          </cell>
          <cell r="AO41">
            <v>0.11343804537521815</v>
          </cell>
          <cell r="AP41">
            <v>0.14572425828970331</v>
          </cell>
          <cell r="AQ41">
            <v>177</v>
          </cell>
          <cell r="AR41">
            <v>186</v>
          </cell>
          <cell r="AS41">
            <v>202</v>
          </cell>
          <cell r="AT41">
            <v>176</v>
          </cell>
          <cell r="AU41">
            <v>217</v>
          </cell>
          <cell r="AV41">
            <v>5</v>
          </cell>
          <cell r="AW41">
            <v>6</v>
          </cell>
          <cell r="AX41">
            <v>7</v>
          </cell>
          <cell r="AY41">
            <v>2</v>
          </cell>
          <cell r="AZ41">
            <v>3</v>
          </cell>
          <cell r="BA41">
            <v>6</v>
          </cell>
          <cell r="BB41">
            <v>2.7649769585253458E-2</v>
          </cell>
          <cell r="BC41">
            <v>1.2732431477870355E-2</v>
          </cell>
          <cell r="BD41">
            <v>5.899983702501134E-2</v>
          </cell>
          <cell r="BE41">
            <v>7</v>
          </cell>
          <cell r="BF41">
            <v>294</v>
          </cell>
          <cell r="BG41">
            <v>388</v>
          </cell>
          <cell r="BH41">
            <v>185</v>
          </cell>
          <cell r="BI41">
            <v>0.15331473238785223</v>
          </cell>
          <cell r="BJ41">
            <v>2368</v>
          </cell>
          <cell r="BK41">
            <v>4334</v>
          </cell>
          <cell r="BL41">
            <v>2179</v>
          </cell>
          <cell r="BM41">
            <v>1435</v>
          </cell>
          <cell r="BN41">
            <v>2</v>
          </cell>
          <cell r="BO41">
            <v>250</v>
          </cell>
          <cell r="BP41">
            <v>324</v>
          </cell>
          <cell r="BQ41">
            <v>168</v>
          </cell>
          <cell r="BR41">
            <v>55</v>
          </cell>
          <cell r="BS41">
            <v>60</v>
          </cell>
          <cell r="BT41">
            <v>50</v>
          </cell>
          <cell r="BU41">
            <v>364</v>
          </cell>
          <cell r="BV41">
            <v>82</v>
          </cell>
          <cell r="BW41">
            <v>0.22527472527472528</v>
          </cell>
          <cell r="BX41">
            <v>27</v>
          </cell>
          <cell r="BY41">
            <v>9</v>
          </cell>
          <cell r="BZ41">
            <v>158</v>
          </cell>
          <cell r="CA41">
            <v>1.961271102284012E-2</v>
          </cell>
          <cell r="CB41">
            <v>85</v>
          </cell>
          <cell r="CC41">
            <v>80</v>
          </cell>
          <cell r="CD41">
            <v>95</v>
          </cell>
          <cell r="CE41">
            <v>75</v>
          </cell>
          <cell r="CF41">
            <v>275</v>
          </cell>
          <cell r="CG41">
            <v>8.4749999999999992E-2</v>
          </cell>
          <cell r="CH41">
            <v>275</v>
          </cell>
          <cell r="CI41">
            <v>7.2499999999999995E-2</v>
          </cell>
          <cell r="CJ41">
            <v>275</v>
          </cell>
          <cell r="CK41">
            <v>7.3083333333333347E-2</v>
          </cell>
          <cell r="CL41">
            <v>265</v>
          </cell>
          <cell r="CM41">
            <v>7.3416666666666672E-2</v>
          </cell>
          <cell r="CN41">
            <v>305</v>
          </cell>
          <cell r="CO41">
            <v>6.9916666666666669E-2</v>
          </cell>
          <cell r="CP41">
            <v>245</v>
          </cell>
          <cell r="CQ41">
            <v>6.6939890710382519E-2</v>
          </cell>
          <cell r="CR41">
            <v>205</v>
          </cell>
          <cell r="CS41">
            <v>7</v>
          </cell>
          <cell r="CT41">
            <v>198</v>
          </cell>
          <cell r="CU41">
            <v>0.96602240352240354</v>
          </cell>
          <cell r="CV41">
            <v>105</v>
          </cell>
          <cell r="CW41">
            <v>142</v>
          </cell>
          <cell r="CX41">
            <v>0.52804169514695831</v>
          </cell>
          <cell r="CY41">
            <v>0.73110749387065188</v>
          </cell>
          <cell r="CZ41">
            <v>0.46087105556409669</v>
          </cell>
          <cell r="DA41">
            <v>0.59858150525587306</v>
          </cell>
          <cell r="DB41">
            <v>0.65076780881350293</v>
          </cell>
          <cell r="DC41">
            <v>0.7753088770629466</v>
          </cell>
          <cell r="DD41">
            <v>165</v>
          </cell>
          <cell r="DE41">
            <v>2</v>
          </cell>
          <cell r="DF41">
            <v>1.2E-2</v>
          </cell>
          <cell r="DG41">
            <v>3.0000000000000001E-3</v>
          </cell>
          <cell r="DH41">
            <v>4.2999999999999997E-2</v>
          </cell>
          <cell r="DI41" t="str">
            <v>Sig better than Eng.</v>
          </cell>
          <cell r="DJ41">
            <v>191</v>
          </cell>
          <cell r="DK41">
            <v>5</v>
          </cell>
          <cell r="DL41">
            <v>2.5999999999999999E-2</v>
          </cell>
          <cell r="DM41">
            <v>1.0999999999999999E-2</v>
          </cell>
          <cell r="DN41">
            <v>0.06</v>
          </cell>
          <cell r="DO41" t="str">
            <v>Sig better than Eng.</v>
          </cell>
          <cell r="DP41">
            <v>203</v>
          </cell>
          <cell r="DQ41">
            <v>8</v>
          </cell>
          <cell r="DR41">
            <v>3.9408866995073892E-2</v>
          </cell>
          <cell r="DS41">
            <v>2.0102050271229469E-2</v>
          </cell>
          <cell r="DT41">
            <v>7.5823877411838186E-2</v>
          </cell>
          <cell r="DU41" t="str">
            <v>Sig better than Eng.</v>
          </cell>
          <cell r="DV41">
            <v>175</v>
          </cell>
          <cell r="DW41">
            <v>11</v>
          </cell>
          <cell r="DX41">
            <v>6.2857142857142861E-2</v>
          </cell>
          <cell r="DY41">
            <v>3.5457550361549364E-2</v>
          </cell>
          <cell r="DZ41">
            <v>0.10903612012792414</v>
          </cell>
          <cell r="EA41" t="str">
            <v>No Sig diff</v>
          </cell>
          <cell r="EB41">
            <v>174</v>
          </cell>
          <cell r="EC41">
            <v>14</v>
          </cell>
          <cell r="ED41">
            <v>0.08</v>
          </cell>
          <cell r="EE41">
            <v>4.9000000000000002E-2</v>
          </cell>
          <cell r="EF41">
            <v>0.13100000000000001</v>
          </cell>
          <cell r="EG41" t="str">
            <v>Sig better than Eng.</v>
          </cell>
          <cell r="EH41">
            <v>162</v>
          </cell>
          <cell r="EI41">
            <v>21</v>
          </cell>
          <cell r="EJ41">
            <v>0.13</v>
          </cell>
          <cell r="EK41">
            <v>8.5999999999999993E-2</v>
          </cell>
          <cell r="EL41">
            <v>0.19</v>
          </cell>
          <cell r="EM41" t="str">
            <v>No Sig diff</v>
          </cell>
          <cell r="EN41">
            <v>169</v>
          </cell>
          <cell r="EO41">
            <v>20</v>
          </cell>
          <cell r="EP41">
            <v>0.11834319526627218</v>
          </cell>
          <cell r="EQ41">
            <v>7.7928809241215022E-2</v>
          </cell>
          <cell r="ER41">
            <v>0.17572247974828192</v>
          </cell>
          <cell r="ES41" t="str">
            <v>Sig better than Eng.</v>
          </cell>
          <cell r="ET41">
            <v>178</v>
          </cell>
          <cell r="EU41">
            <v>18</v>
          </cell>
          <cell r="EV41">
            <v>0.10112359550561797</v>
          </cell>
          <cell r="EW41">
            <v>6.4926616688432873E-2</v>
          </cell>
          <cell r="EX41">
            <v>0.1541733568768916</v>
          </cell>
          <cell r="EY41" t="str">
            <v>Sig better than Eng.</v>
          </cell>
          <cell r="EZ41">
            <v>230</v>
          </cell>
          <cell r="FA41">
            <v>126</v>
          </cell>
          <cell r="FB41">
            <v>0.54782608695652169</v>
          </cell>
          <cell r="FC41">
            <v>0.48324428174249945</v>
          </cell>
          <cell r="FD41">
            <v>0.61083655452558616</v>
          </cell>
          <cell r="FE41">
            <v>230</v>
          </cell>
          <cell r="FF41">
            <v>34</v>
          </cell>
          <cell r="FG41">
            <v>46</v>
          </cell>
          <cell r="FH41">
            <v>24.347826086956513</v>
          </cell>
          <cell r="FI41">
            <v>0.28388746803069081</v>
          </cell>
          <cell r="FJ41">
            <v>254</v>
          </cell>
          <cell r="FK41">
            <v>168</v>
          </cell>
          <cell r="FL41">
            <v>0.66141732283464572</v>
          </cell>
          <cell r="FM41">
            <v>0.60120044816600826</v>
          </cell>
          <cell r="FN41">
            <v>0.71682443571049714</v>
          </cell>
          <cell r="FO41">
            <v>254</v>
          </cell>
          <cell r="FP41">
            <v>34</v>
          </cell>
          <cell r="FQ41">
            <v>50</v>
          </cell>
          <cell r="FR41">
            <v>27.059999999999995</v>
          </cell>
          <cell r="FS41">
            <v>0.20411764705882368</v>
          </cell>
          <cell r="FT41">
            <v>3264</v>
          </cell>
          <cell r="FU41">
            <v>3239</v>
          </cell>
          <cell r="FV41">
            <v>25</v>
          </cell>
          <cell r="FW41">
            <v>24</v>
          </cell>
          <cell r="FX41">
            <v>1</v>
          </cell>
          <cell r="FY41">
            <v>0.96</v>
          </cell>
          <cell r="FZ41">
            <v>0.04</v>
          </cell>
          <cell r="GA41">
            <v>0.91988817509650833</v>
          </cell>
          <cell r="GB41">
            <v>8.0111824903491571E-2</v>
          </cell>
          <cell r="GC41">
            <v>5.2836307068052514E-2</v>
          </cell>
          <cell r="GD41">
            <v>0.14150749816822447</v>
          </cell>
          <cell r="GE41">
            <v>0.93379961088294428</v>
          </cell>
          <cell r="GF41">
            <v>6.620038911705578E-2</v>
          </cell>
          <cell r="GG41">
            <v>4.3420566103405354E-2</v>
          </cell>
          <cell r="GH41">
            <v>0.12650941504912244</v>
          </cell>
          <cell r="GI41">
            <v>0.90401766443433107</v>
          </cell>
          <cell r="GJ41">
            <v>9.5982335565668889E-2</v>
          </cell>
          <cell r="GK41">
            <v>6.740122032002023E-2</v>
          </cell>
          <cell r="GL41">
            <v>0.16356332104188054</v>
          </cell>
          <cell r="GM41">
            <v>0.8422166953416953</v>
          </cell>
          <cell r="GN41">
            <v>0.15778330465830465</v>
          </cell>
          <cell r="GO41">
            <v>0.11864352018350914</v>
          </cell>
          <cell r="GP41">
            <v>0.23439014159713753</v>
          </cell>
          <cell r="GQ41">
            <v>56</v>
          </cell>
          <cell r="GR41">
            <v>52</v>
          </cell>
          <cell r="GS41">
            <v>52</v>
          </cell>
          <cell r="GT41">
            <v>53</v>
          </cell>
          <cell r="GU41">
            <v>52</v>
          </cell>
          <cell r="GV41">
            <v>70</v>
          </cell>
          <cell r="GW41">
            <v>63</v>
          </cell>
          <cell r="GX41">
            <v>63</v>
          </cell>
          <cell r="GY41">
            <v>60</v>
          </cell>
          <cell r="GZ41">
            <v>64</v>
          </cell>
          <cell r="HA41">
            <v>67</v>
          </cell>
          <cell r="HB41">
            <v>67</v>
          </cell>
          <cell r="HC41">
            <v>68</v>
          </cell>
          <cell r="HD41">
            <v>74</v>
          </cell>
          <cell r="HE41">
            <v>70</v>
          </cell>
          <cell r="HF41">
            <v>72</v>
          </cell>
          <cell r="HG41">
            <v>67</v>
          </cell>
          <cell r="HH41">
            <v>72</v>
          </cell>
          <cell r="HI41">
            <v>71</v>
          </cell>
          <cell r="HJ41">
            <v>56</v>
          </cell>
          <cell r="HK41">
            <v>71</v>
          </cell>
          <cell r="HL41">
            <v>67</v>
          </cell>
          <cell r="HM41">
            <v>72</v>
          </cell>
          <cell r="HN41">
            <v>14</v>
          </cell>
          <cell r="HO41">
            <v>1.237842617152962E-2</v>
          </cell>
          <cell r="HP41">
            <v>1748</v>
          </cell>
          <cell r="HQ41">
            <v>1643</v>
          </cell>
          <cell r="HR41">
            <v>105</v>
          </cell>
          <cell r="HS41">
            <v>6.0068649885583525E-2</v>
          </cell>
        </row>
        <row r="42">
          <cell r="A42" t="str">
            <v>The Gattons</v>
          </cell>
          <cell r="C42" t="str">
            <v>Mid Sussex</v>
          </cell>
          <cell r="D42" t="str">
            <v>Mid Sussex</v>
          </cell>
          <cell r="E42" t="str">
            <v>Mid Sussex</v>
          </cell>
          <cell r="F42" t="str">
            <v>Mid Sussex</v>
          </cell>
          <cell r="G42" t="str">
            <v>Burgess Hill Dunstall, Burgess Hill Victoria</v>
          </cell>
          <cell r="H42" t="str">
            <v>Burgess Hill</v>
          </cell>
          <cell r="I42" t="str">
            <v>C2</v>
          </cell>
          <cell r="J42" t="str">
            <v>Horsham and Mid Sussex</v>
          </cell>
          <cell r="K42" t="str">
            <v>Mid Sussex</v>
          </cell>
          <cell r="L42">
            <v>10660</v>
          </cell>
          <cell r="M42">
            <v>10735</v>
          </cell>
          <cell r="N42">
            <v>10835</v>
          </cell>
          <cell r="O42">
            <v>10865</v>
          </cell>
          <cell r="P42">
            <v>10945</v>
          </cell>
          <cell r="Q42">
            <v>10870</v>
          </cell>
          <cell r="R42">
            <v>11015</v>
          </cell>
          <cell r="S42">
            <v>11065</v>
          </cell>
          <cell r="T42">
            <v>11080</v>
          </cell>
          <cell r="U42">
            <v>11015</v>
          </cell>
          <cell r="V42">
            <v>895</v>
          </cell>
          <cell r="W42">
            <v>880</v>
          </cell>
          <cell r="X42">
            <v>890</v>
          </cell>
          <cell r="Y42">
            <v>855</v>
          </cell>
          <cell r="Z42">
            <v>850</v>
          </cell>
          <cell r="AA42">
            <v>815</v>
          </cell>
          <cell r="AB42">
            <v>825</v>
          </cell>
          <cell r="AC42">
            <v>810</v>
          </cell>
          <cell r="AD42">
            <v>780</v>
          </cell>
          <cell r="AE42">
            <v>765</v>
          </cell>
          <cell r="AF42">
            <v>0.89027431421446379</v>
          </cell>
          <cell r="AG42">
            <v>2.2443890274314215E-2</v>
          </cell>
          <cell r="AH42">
            <v>3.8653366583541147E-2</v>
          </cell>
          <cell r="AI42">
            <v>4.3640897755610975E-2</v>
          </cell>
          <cell r="AJ42">
            <v>4.9875311720698253E-3</v>
          </cell>
          <cell r="AK42">
            <v>0</v>
          </cell>
          <cell r="AL42">
            <v>0.10972568578553615</v>
          </cell>
          <cell r="AM42">
            <v>1615</v>
          </cell>
          <cell r="AN42">
            <v>0.71065675340768275</v>
          </cell>
          <cell r="AO42">
            <v>0.13444857496902107</v>
          </cell>
          <cell r="AP42">
            <v>0.15489467162329615</v>
          </cell>
          <cell r="AQ42">
            <v>146</v>
          </cell>
          <cell r="AR42">
            <v>149</v>
          </cell>
          <cell r="AS42">
            <v>140</v>
          </cell>
          <cell r="AT42">
            <v>139</v>
          </cell>
          <cell r="AU42">
            <v>139</v>
          </cell>
          <cell r="AV42">
            <v>5</v>
          </cell>
          <cell r="AW42">
            <v>5</v>
          </cell>
          <cell r="AX42">
            <v>3</v>
          </cell>
          <cell r="AY42">
            <v>0</v>
          </cell>
          <cell r="AZ42">
            <v>6</v>
          </cell>
          <cell r="BA42">
            <v>8</v>
          </cell>
          <cell r="BB42">
            <v>5.7553956834532377E-2</v>
          </cell>
          <cell r="BC42">
            <v>2.9448901559716051E-2</v>
          </cell>
          <cell r="BD42">
            <v>0.10945656037343801</v>
          </cell>
          <cell r="BE42">
            <v>7</v>
          </cell>
          <cell r="BF42">
            <v>258</v>
          </cell>
          <cell r="BG42">
            <v>268</v>
          </cell>
          <cell r="BH42">
            <v>121</v>
          </cell>
          <cell r="BI42">
            <v>0.14698135896818981</v>
          </cell>
          <cell r="BJ42">
            <v>1656</v>
          </cell>
          <cell r="BK42">
            <v>2925</v>
          </cell>
          <cell r="BL42">
            <v>1282</v>
          </cell>
          <cell r="BM42">
            <v>848</v>
          </cell>
          <cell r="BN42">
            <v>1</v>
          </cell>
          <cell r="BO42">
            <v>170</v>
          </cell>
          <cell r="BP42">
            <v>202</v>
          </cell>
          <cell r="BQ42">
            <v>61</v>
          </cell>
          <cell r="BR42">
            <v>55</v>
          </cell>
          <cell r="BS42">
            <v>60</v>
          </cell>
          <cell r="BT42">
            <v>40</v>
          </cell>
          <cell r="BU42">
            <v>291</v>
          </cell>
          <cell r="BV42">
            <v>68</v>
          </cell>
          <cell r="BW42">
            <v>0.23367697594501718</v>
          </cell>
          <cell r="BX42">
            <v>18</v>
          </cell>
          <cell r="BY42">
            <v>9</v>
          </cell>
          <cell r="BZ42">
            <v>96</v>
          </cell>
          <cell r="CA42">
            <v>2.2524636320976069E-2</v>
          </cell>
          <cell r="CB42">
            <v>95</v>
          </cell>
          <cell r="CC42">
            <v>90</v>
          </cell>
          <cell r="CD42">
            <v>80</v>
          </cell>
          <cell r="CE42">
            <v>70</v>
          </cell>
          <cell r="CF42">
            <v>245</v>
          </cell>
          <cell r="CG42">
            <v>0.10257142857142856</v>
          </cell>
          <cell r="CH42">
            <v>225</v>
          </cell>
          <cell r="CI42">
            <v>9.0142857142857122E-2</v>
          </cell>
          <cell r="CJ42">
            <v>250</v>
          </cell>
          <cell r="CK42">
            <v>9.9000000000000005E-2</v>
          </cell>
          <cell r="CL42">
            <v>230</v>
          </cell>
          <cell r="CM42">
            <v>8.7714285714285731E-2</v>
          </cell>
          <cell r="CN42">
            <v>260</v>
          </cell>
          <cell r="CO42">
            <v>0.10242857142857142</v>
          </cell>
          <cell r="CP42">
            <v>200</v>
          </cell>
          <cell r="CQ42">
            <v>8.1632653061224483E-2</v>
          </cell>
          <cell r="CR42">
            <v>128</v>
          </cell>
          <cell r="CS42">
            <v>4</v>
          </cell>
          <cell r="CT42">
            <v>124</v>
          </cell>
          <cell r="CU42">
            <v>0.96561533704390845</v>
          </cell>
          <cell r="CV42">
            <v>50</v>
          </cell>
          <cell r="CW42">
            <v>63</v>
          </cell>
          <cell r="CX42">
            <v>0.39850440176070434</v>
          </cell>
          <cell r="CY42">
            <v>0.50356309190342807</v>
          </cell>
          <cell r="CZ42">
            <v>0.32104885004590489</v>
          </cell>
          <cell r="DA42">
            <v>0.49121883120964888</v>
          </cell>
          <cell r="DB42">
            <v>0.42115888884621255</v>
          </cell>
          <cell r="DC42">
            <v>0.59448547104915794</v>
          </cell>
          <cell r="DD42">
            <v>151</v>
          </cell>
          <cell r="DE42">
            <v>12</v>
          </cell>
          <cell r="DF42">
            <v>7.9470198675496692E-2</v>
          </cell>
          <cell r="DG42">
            <v>4.604266587121892E-2</v>
          </cell>
          <cell r="DH42">
            <v>0.13376356324041996</v>
          </cell>
          <cell r="DI42" t="str">
            <v>No Sig diff</v>
          </cell>
          <cell r="DJ42">
            <v>141</v>
          </cell>
          <cell r="DK42">
            <v>7</v>
          </cell>
          <cell r="DL42">
            <v>4.9645390070921988E-2</v>
          </cell>
          <cell r="DM42">
            <v>2.4253530324488039E-2</v>
          </cell>
          <cell r="DN42">
            <v>9.8925695885742862E-2</v>
          </cell>
          <cell r="DO42" t="str">
            <v>No Sig diff</v>
          </cell>
          <cell r="DP42">
            <v>143</v>
          </cell>
          <cell r="DQ42">
            <v>12</v>
          </cell>
          <cell r="DR42">
            <v>8.3916083916083919E-2</v>
          </cell>
          <cell r="DS42">
            <v>4.8653962460813528E-2</v>
          </cell>
          <cell r="DT42">
            <v>0.14094820469479138</v>
          </cell>
          <cell r="DU42" t="str">
            <v>No Sig diff</v>
          </cell>
          <cell r="DV42">
            <v>101</v>
          </cell>
          <cell r="DW42">
            <v>5</v>
          </cell>
          <cell r="DX42">
            <v>4.9504950495049507E-2</v>
          </cell>
          <cell r="DY42">
            <v>2.1328509888006445E-2</v>
          </cell>
          <cell r="DZ42">
            <v>0.11069425072968564</v>
          </cell>
          <cell r="EA42" t="str">
            <v>No Sig diff</v>
          </cell>
          <cell r="EB42">
            <v>159</v>
          </cell>
          <cell r="EC42">
            <v>34</v>
          </cell>
          <cell r="ED42">
            <v>0.21383647798742139</v>
          </cell>
          <cell r="EE42">
            <v>0.15725209441968857</v>
          </cell>
          <cell r="EF42">
            <v>0.28392215776997809</v>
          </cell>
          <cell r="EG42" t="str">
            <v>No Sig diff</v>
          </cell>
          <cell r="EH42">
            <v>120</v>
          </cell>
          <cell r="EI42">
            <v>18</v>
          </cell>
          <cell r="EJ42">
            <v>0.15</v>
          </cell>
          <cell r="EK42">
            <v>9.7038122925847389E-2</v>
          </cell>
          <cell r="EL42">
            <v>0.22467529356724508</v>
          </cell>
          <cell r="EM42" t="str">
            <v>No Sig diff</v>
          </cell>
          <cell r="EN42">
            <v>135</v>
          </cell>
          <cell r="EO42">
            <v>16</v>
          </cell>
          <cell r="EP42">
            <v>0.11851851851851852</v>
          </cell>
          <cell r="EQ42">
            <v>7.4283486027595741E-2</v>
          </cell>
          <cell r="ER42">
            <v>0.18386317365984914</v>
          </cell>
          <cell r="ES42" t="str">
            <v>Sig better than Eng.</v>
          </cell>
          <cell r="ET42">
            <v>128</v>
          </cell>
          <cell r="EU42">
            <v>21</v>
          </cell>
          <cell r="EV42">
            <v>0.1640625</v>
          </cell>
          <cell r="EW42">
            <v>0.10988331645919329</v>
          </cell>
          <cell r="EX42">
            <v>0.23781807603707014</v>
          </cell>
          <cell r="EY42" t="str">
            <v>No Sig diff</v>
          </cell>
          <cell r="EZ42">
            <v>163</v>
          </cell>
          <cell r="FA42">
            <v>108</v>
          </cell>
          <cell r="FB42">
            <v>0.66257668711656437</v>
          </cell>
          <cell r="FC42">
            <v>0.58698917481437962</v>
          </cell>
          <cell r="FD42">
            <v>0.73067767115200299</v>
          </cell>
          <cell r="FE42">
            <v>163</v>
          </cell>
          <cell r="FF42">
            <v>35</v>
          </cell>
          <cell r="FG42">
            <v>32</v>
          </cell>
          <cell r="FH42">
            <v>26.906250000000004</v>
          </cell>
          <cell r="FI42">
            <v>0.2312499999999999</v>
          </cell>
          <cell r="FJ42">
            <v>150</v>
          </cell>
          <cell r="FK42">
            <v>107</v>
          </cell>
          <cell r="FL42">
            <v>0.71333333333333337</v>
          </cell>
          <cell r="FM42">
            <v>0.63635082260833997</v>
          </cell>
          <cell r="FN42">
            <v>0.77966187312794732</v>
          </cell>
          <cell r="FO42">
            <v>150</v>
          </cell>
          <cell r="FP42">
            <v>34</v>
          </cell>
          <cell r="FQ42">
            <v>30</v>
          </cell>
          <cell r="FR42">
            <v>29.633333333333329</v>
          </cell>
          <cell r="FS42">
            <v>0.12843137254901973</v>
          </cell>
          <cell r="FT42">
            <v>2111</v>
          </cell>
          <cell r="FU42">
            <v>2085</v>
          </cell>
          <cell r="FV42">
            <v>26</v>
          </cell>
          <cell r="FW42">
            <v>25</v>
          </cell>
          <cell r="FX42">
            <v>1</v>
          </cell>
          <cell r="FY42">
            <v>0.96153846153846156</v>
          </cell>
          <cell r="FZ42">
            <v>3.8461538461538464E-2</v>
          </cell>
          <cell r="GA42">
            <v>0.94065934065934076</v>
          </cell>
          <cell r="GB42">
            <v>5.9340659340659338E-2</v>
          </cell>
          <cell r="GC42">
            <v>2.5950008789329414E-2</v>
          </cell>
          <cell r="GD42">
            <v>0.11697106055647577</v>
          </cell>
          <cell r="GE42">
            <v>0.9580586080586081</v>
          </cell>
          <cell r="GF42">
            <v>4.1941391941391945E-2</v>
          </cell>
          <cell r="GG42">
            <v>1.4631662528342755E-2</v>
          </cell>
          <cell r="GH42">
            <v>9.2201872895180545E-2</v>
          </cell>
          <cell r="GI42">
            <v>0.9580586080586081</v>
          </cell>
          <cell r="GJ42">
            <v>4.1941391941391945E-2</v>
          </cell>
          <cell r="GK42">
            <v>1.4631662528342755E-2</v>
          </cell>
          <cell r="GL42">
            <v>9.2201872895180545E-2</v>
          </cell>
          <cell r="GM42">
            <v>0.88284465534465539</v>
          </cell>
          <cell r="GN42">
            <v>0.11715534465534468</v>
          </cell>
          <cell r="GO42">
            <v>7.3800941708644846E-2</v>
          </cell>
          <cell r="GP42">
            <v>0.20037363859888463</v>
          </cell>
          <cell r="GQ42">
            <v>35</v>
          </cell>
          <cell r="GR42">
            <v>34</v>
          </cell>
          <cell r="GS42">
            <v>34</v>
          </cell>
          <cell r="GT42">
            <v>35</v>
          </cell>
          <cell r="GU42">
            <v>34</v>
          </cell>
          <cell r="GV42">
            <v>38</v>
          </cell>
          <cell r="GW42">
            <v>38</v>
          </cell>
          <cell r="GX42">
            <v>38</v>
          </cell>
          <cell r="GY42">
            <v>38</v>
          </cell>
          <cell r="GZ42">
            <v>38</v>
          </cell>
          <cell r="HA42">
            <v>38</v>
          </cell>
          <cell r="HB42">
            <v>37</v>
          </cell>
          <cell r="HC42">
            <v>38</v>
          </cell>
          <cell r="HD42">
            <v>46</v>
          </cell>
          <cell r="HE42">
            <v>45</v>
          </cell>
          <cell r="HF42">
            <v>43</v>
          </cell>
          <cell r="HG42">
            <v>44</v>
          </cell>
          <cell r="HH42">
            <v>43</v>
          </cell>
          <cell r="HI42">
            <v>43</v>
          </cell>
          <cell r="HJ42">
            <v>42</v>
          </cell>
          <cell r="HK42">
            <v>43</v>
          </cell>
          <cell r="HL42">
            <v>42</v>
          </cell>
          <cell r="HM42">
            <v>43</v>
          </cell>
          <cell r="HN42">
            <v>7</v>
          </cell>
          <cell r="HO42">
            <v>8.7281795511221939E-3</v>
          </cell>
          <cell r="HP42">
            <v>1306</v>
          </cell>
          <cell r="HQ42">
            <v>1227</v>
          </cell>
          <cell r="HR42">
            <v>79</v>
          </cell>
          <cell r="HS42">
            <v>6.0490045941807041E-2</v>
          </cell>
        </row>
        <row r="43">
          <cell r="A43" t="str">
            <v>The Needles</v>
          </cell>
          <cell r="C43" t="str">
            <v>Horsham</v>
          </cell>
          <cell r="D43" t="str">
            <v>Horsham Town</v>
          </cell>
          <cell r="E43" t="str">
            <v>Horsham</v>
          </cell>
          <cell r="F43" t="str">
            <v>Horsham</v>
          </cell>
          <cell r="G43" t="str">
            <v>Denne, Holbrook West, Trafalgar</v>
          </cell>
          <cell r="H43" t="str">
            <v>Horsham E</v>
          </cell>
          <cell r="I43" t="str">
            <v>C3</v>
          </cell>
          <cell r="J43" t="str">
            <v>Horsham and Mid Sussex</v>
          </cell>
          <cell r="K43" t="str">
            <v>Horsham</v>
          </cell>
          <cell r="L43">
            <v>13510</v>
          </cell>
          <cell r="M43">
            <v>13700</v>
          </cell>
          <cell r="N43">
            <v>14090</v>
          </cell>
          <cell r="O43">
            <v>14320</v>
          </cell>
          <cell r="P43">
            <v>14400</v>
          </cell>
          <cell r="Q43">
            <v>14500</v>
          </cell>
          <cell r="R43">
            <v>14600</v>
          </cell>
          <cell r="S43">
            <v>14840</v>
          </cell>
          <cell r="T43">
            <v>15055</v>
          </cell>
          <cell r="U43">
            <v>15260</v>
          </cell>
          <cell r="V43">
            <v>820</v>
          </cell>
          <cell r="W43">
            <v>775</v>
          </cell>
          <cell r="X43">
            <v>800</v>
          </cell>
          <cell r="Y43">
            <v>865</v>
          </cell>
          <cell r="Z43">
            <v>865</v>
          </cell>
          <cell r="AA43">
            <v>900</v>
          </cell>
          <cell r="AB43">
            <v>900</v>
          </cell>
          <cell r="AC43">
            <v>915</v>
          </cell>
          <cell r="AD43">
            <v>940</v>
          </cell>
          <cell r="AE43">
            <v>985</v>
          </cell>
          <cell r="AF43">
            <v>0.83986562150055988</v>
          </cell>
          <cell r="AG43">
            <v>4.3673012318029114E-2</v>
          </cell>
          <cell r="AH43">
            <v>4.9272116461366179E-2</v>
          </cell>
          <cell r="AI43">
            <v>5.5991041433370664E-2</v>
          </cell>
          <cell r="AJ43">
            <v>6.7189249720044789E-3</v>
          </cell>
          <cell r="AK43">
            <v>4.4792833146696529E-3</v>
          </cell>
          <cell r="AL43">
            <v>0.16013437849944009</v>
          </cell>
          <cell r="AM43">
            <v>1710</v>
          </cell>
          <cell r="AN43">
            <v>0.66764189584552369</v>
          </cell>
          <cell r="AO43">
            <v>0.14921006436512579</v>
          </cell>
          <cell r="AP43">
            <v>0.18314803978935049</v>
          </cell>
          <cell r="AQ43">
            <v>174</v>
          </cell>
          <cell r="AR43">
            <v>164</v>
          </cell>
          <cell r="AS43">
            <v>195</v>
          </cell>
          <cell r="AT43">
            <v>156</v>
          </cell>
          <cell r="AU43">
            <v>196</v>
          </cell>
          <cell r="AV43">
            <v>2</v>
          </cell>
          <cell r="AW43">
            <v>3</v>
          </cell>
          <cell r="AX43">
            <v>3</v>
          </cell>
          <cell r="AY43">
            <v>1</v>
          </cell>
          <cell r="AZ43">
            <v>2</v>
          </cell>
          <cell r="BA43">
            <v>16</v>
          </cell>
          <cell r="BB43">
            <v>8.1632653061224483E-2</v>
          </cell>
          <cell r="BC43">
            <v>5.0870551452464711E-2</v>
          </cell>
          <cell r="BD43">
            <v>0.12847891402983311</v>
          </cell>
          <cell r="BE43">
            <v>4</v>
          </cell>
          <cell r="BF43">
            <v>291</v>
          </cell>
          <cell r="BG43">
            <v>299</v>
          </cell>
          <cell r="BH43">
            <v>111</v>
          </cell>
          <cell r="BI43">
            <v>0.13630790713323415</v>
          </cell>
          <cell r="BJ43">
            <v>1691</v>
          </cell>
          <cell r="BK43">
            <v>2953</v>
          </cell>
          <cell r="BL43">
            <v>1667</v>
          </cell>
          <cell r="BM43">
            <v>1141</v>
          </cell>
          <cell r="BN43">
            <v>1</v>
          </cell>
          <cell r="BO43">
            <v>169</v>
          </cell>
          <cell r="BP43">
            <v>262</v>
          </cell>
          <cell r="BQ43">
            <v>94</v>
          </cell>
          <cell r="BR43">
            <v>65</v>
          </cell>
          <cell r="BS43">
            <v>70</v>
          </cell>
          <cell r="BT43">
            <v>70</v>
          </cell>
          <cell r="BU43">
            <v>286</v>
          </cell>
          <cell r="BV43">
            <v>85</v>
          </cell>
          <cell r="BW43">
            <v>0.29720279720279719</v>
          </cell>
          <cell r="BX43">
            <v>31</v>
          </cell>
          <cell r="BY43">
            <v>9</v>
          </cell>
          <cell r="BZ43">
            <v>200</v>
          </cell>
          <cell r="CA43">
            <v>3.0211480362537766E-2</v>
          </cell>
          <cell r="CB43">
            <v>95</v>
          </cell>
          <cell r="CC43">
            <v>80</v>
          </cell>
          <cell r="CD43">
            <v>105</v>
          </cell>
          <cell r="CE43">
            <v>100</v>
          </cell>
          <cell r="CF43">
            <v>235</v>
          </cell>
          <cell r="CG43">
            <v>0.1037777777777778</v>
          </cell>
          <cell r="CH43">
            <v>235</v>
          </cell>
          <cell r="CI43">
            <v>0.10033333333333334</v>
          </cell>
          <cell r="CJ43">
            <v>245</v>
          </cell>
          <cell r="CK43">
            <v>9.6000000000000016E-2</v>
          </cell>
          <cell r="CL43">
            <v>250</v>
          </cell>
          <cell r="CM43">
            <v>9.2000000000000026E-2</v>
          </cell>
          <cell r="CN43">
            <v>260</v>
          </cell>
          <cell r="CO43">
            <v>8.8888888888888906E-2</v>
          </cell>
          <cell r="CP43">
            <v>230</v>
          </cell>
          <cell r="CQ43">
            <v>8.9668615984405453E-2</v>
          </cell>
          <cell r="CR43">
            <v>154</v>
          </cell>
          <cell r="CS43">
            <v>3</v>
          </cell>
          <cell r="CT43">
            <v>151</v>
          </cell>
          <cell r="CU43">
            <v>0.9781201369436664</v>
          </cell>
          <cell r="CV43">
            <v>73</v>
          </cell>
          <cell r="CW43">
            <v>92</v>
          </cell>
          <cell r="CX43">
            <v>0.48621979871979876</v>
          </cell>
          <cell r="CY43">
            <v>0.60651000234333574</v>
          </cell>
          <cell r="CZ43">
            <v>0.40514083756405994</v>
          </cell>
          <cell r="DA43">
            <v>0.56256809853579959</v>
          </cell>
          <cell r="DB43">
            <v>0.52966070139484978</v>
          </cell>
          <cell r="DC43">
            <v>0.68346032034607762</v>
          </cell>
          <cell r="DD43">
            <v>149</v>
          </cell>
          <cell r="DE43">
            <v>5</v>
          </cell>
          <cell r="DF43">
            <v>3.3557046979865772E-2</v>
          </cell>
          <cell r="DG43">
            <v>1.4417106348108081E-2</v>
          </cell>
          <cell r="DH43">
            <v>7.6143785490357191E-2</v>
          </cell>
          <cell r="DI43" t="str">
            <v>Sig better than Eng.</v>
          </cell>
          <cell r="DJ43">
            <v>141</v>
          </cell>
          <cell r="DK43">
            <v>9</v>
          </cell>
          <cell r="DL43">
            <v>6.3829787234042548E-2</v>
          </cell>
          <cell r="DM43">
            <v>3.3941271284132213E-2</v>
          </cell>
          <cell r="DN43">
            <v>0.11685435725018591</v>
          </cell>
          <cell r="DO43" t="str">
            <v>No Sig diff</v>
          </cell>
          <cell r="DP43">
            <v>80</v>
          </cell>
          <cell r="DQ43">
            <v>8</v>
          </cell>
          <cell r="DR43">
            <v>0.1</v>
          </cell>
          <cell r="DS43">
            <v>5.1547615567380821E-2</v>
          </cell>
          <cell r="DT43">
            <v>0.18510688806104081</v>
          </cell>
          <cell r="DU43" t="str">
            <v>No Sig diff</v>
          </cell>
          <cell r="DV43">
            <v>133</v>
          </cell>
          <cell r="DW43">
            <v>7</v>
          </cell>
          <cell r="DX43">
            <v>5.2631578947368418E-2</v>
          </cell>
          <cell r="DY43">
            <v>2.5725728312537676E-2</v>
          </cell>
          <cell r="DZ43">
            <v>0.10465477898731589</v>
          </cell>
          <cell r="EA43" t="str">
            <v>No Sig diff</v>
          </cell>
          <cell r="EB43">
            <v>125</v>
          </cell>
          <cell r="EC43">
            <v>23</v>
          </cell>
          <cell r="ED43">
            <v>0.184</v>
          </cell>
          <cell r="EE43">
            <v>0.12585414090214395</v>
          </cell>
          <cell r="EF43">
            <v>0.26098918792151837</v>
          </cell>
          <cell r="EG43" t="str">
            <v>No Sig diff</v>
          </cell>
          <cell r="EH43">
            <v>158</v>
          </cell>
          <cell r="EI43">
            <v>24</v>
          </cell>
          <cell r="EJ43">
            <v>0.15189873417721519</v>
          </cell>
          <cell r="EK43">
            <v>0.10425003468710974</v>
          </cell>
          <cell r="EL43">
            <v>0.21607245374355769</v>
          </cell>
          <cell r="EM43" t="str">
            <v>No Sig diff</v>
          </cell>
          <cell r="EN43">
            <v>117</v>
          </cell>
          <cell r="EO43">
            <v>10</v>
          </cell>
          <cell r="EP43">
            <v>8.5470085470085472E-2</v>
          </cell>
          <cell r="EQ43">
            <v>4.7087483244617576E-2</v>
          </cell>
          <cell r="ER43">
            <v>0.15020787427064</v>
          </cell>
          <cell r="ES43" t="str">
            <v>Sig better than Eng.</v>
          </cell>
          <cell r="ET43">
            <v>119</v>
          </cell>
          <cell r="EU43">
            <v>9</v>
          </cell>
          <cell r="EV43">
            <v>7.5630252100840331E-2</v>
          </cell>
          <cell r="EW43">
            <v>4.0297241660835648E-2</v>
          </cell>
          <cell r="EX43">
            <v>0.13750477266215499</v>
          </cell>
          <cell r="EY43" t="str">
            <v>Sig better than Eng.</v>
          </cell>
          <cell r="EZ43">
            <v>162</v>
          </cell>
          <cell r="FA43">
            <v>96</v>
          </cell>
          <cell r="FB43">
            <v>0.59259259259259256</v>
          </cell>
          <cell r="FC43">
            <v>0.51563559092203559</v>
          </cell>
          <cell r="FD43">
            <v>0.66526006818113026</v>
          </cell>
          <cell r="FE43">
            <v>162</v>
          </cell>
          <cell r="FF43">
            <v>34</v>
          </cell>
          <cell r="FG43">
            <v>32</v>
          </cell>
          <cell r="FH43">
            <v>24.46875</v>
          </cell>
          <cell r="FI43">
            <v>0.28033088235294118</v>
          </cell>
          <cell r="FJ43">
            <v>185</v>
          </cell>
          <cell r="FK43">
            <v>101</v>
          </cell>
          <cell r="FL43">
            <v>0.54594594594594592</v>
          </cell>
          <cell r="FM43">
            <v>0.47399376090072665</v>
          </cell>
          <cell r="FN43">
            <v>0.61602884380781664</v>
          </cell>
          <cell r="FO43">
            <v>185</v>
          </cell>
          <cell r="FP43">
            <v>34</v>
          </cell>
          <cell r="FQ43">
            <v>37</v>
          </cell>
          <cell r="FR43">
            <v>24.783783783783782</v>
          </cell>
          <cell r="FS43">
            <v>0.27106518282988873</v>
          </cell>
          <cell r="FT43">
            <v>2096</v>
          </cell>
          <cell r="FU43">
            <v>2025</v>
          </cell>
          <cell r="FV43">
            <v>71</v>
          </cell>
          <cell r="FW43">
            <v>56</v>
          </cell>
          <cell r="FX43">
            <v>15</v>
          </cell>
          <cell r="FY43">
            <v>0.78873239436619713</v>
          </cell>
          <cell r="FZ43">
            <v>0.21126760563380281</v>
          </cell>
          <cell r="GA43">
            <v>0.95912975912975917</v>
          </cell>
          <cell r="GB43">
            <v>4.0870240870240868E-2</v>
          </cell>
          <cell r="GC43">
            <v>1.7224087727905863E-2</v>
          </cell>
          <cell r="GD43">
            <v>0.10763251528174392</v>
          </cell>
          <cell r="GE43">
            <v>0.96767676767676769</v>
          </cell>
          <cell r="GF43">
            <v>3.2323232323232323E-2</v>
          </cell>
          <cell r="GG43">
            <v>1.1274202463345791E-2</v>
          </cell>
          <cell r="GH43">
            <v>9.2494607847741314E-2</v>
          </cell>
          <cell r="GI43">
            <v>0.95912975912975895</v>
          </cell>
          <cell r="GJ43">
            <v>4.0870240870240875E-2</v>
          </cell>
          <cell r="GK43">
            <v>1.7224087727905863E-2</v>
          </cell>
          <cell r="GL43">
            <v>0.10763251528174392</v>
          </cell>
          <cell r="GM43">
            <v>0.83677356594023267</v>
          </cell>
          <cell r="GN43">
            <v>0.16322643405976739</v>
          </cell>
          <cell r="GO43">
            <v>9.607722097921384E-2</v>
          </cell>
          <cell r="GP43">
            <v>0.24688972487264566</v>
          </cell>
          <cell r="GQ43">
            <v>49</v>
          </cell>
          <cell r="GR43">
            <v>45</v>
          </cell>
          <cell r="GS43">
            <v>45</v>
          </cell>
          <cell r="GT43">
            <v>47</v>
          </cell>
          <cell r="GU43">
            <v>45</v>
          </cell>
          <cell r="GV43">
            <v>54</v>
          </cell>
          <cell r="GW43">
            <v>50</v>
          </cell>
          <cell r="GX43">
            <v>50</v>
          </cell>
          <cell r="GY43">
            <v>50</v>
          </cell>
          <cell r="GZ43">
            <v>50</v>
          </cell>
          <cell r="HA43">
            <v>49</v>
          </cell>
          <cell r="HB43">
            <v>50</v>
          </cell>
          <cell r="HC43">
            <v>50</v>
          </cell>
          <cell r="HD43">
            <v>48</v>
          </cell>
          <cell r="HE43">
            <v>45</v>
          </cell>
          <cell r="HF43">
            <v>45</v>
          </cell>
          <cell r="HG43">
            <v>43</v>
          </cell>
          <cell r="HH43">
            <v>45</v>
          </cell>
          <cell r="HI43">
            <v>46</v>
          </cell>
          <cell r="HJ43">
            <v>43</v>
          </cell>
          <cell r="HK43">
            <v>46</v>
          </cell>
          <cell r="HL43">
            <v>45</v>
          </cell>
          <cell r="HM43">
            <v>45</v>
          </cell>
          <cell r="HN43">
            <v>17</v>
          </cell>
          <cell r="HO43">
            <v>1.9036954087346025E-2</v>
          </cell>
          <cell r="HP43">
            <v>1395</v>
          </cell>
          <cell r="HQ43">
            <v>1297</v>
          </cell>
          <cell r="HR43">
            <v>98</v>
          </cell>
          <cell r="HS43">
            <v>7.0250896057347675E-2</v>
          </cell>
        </row>
        <row r="44">
          <cell r="A44" t="str">
            <v>The Villages</v>
          </cell>
          <cell r="C44" t="str">
            <v>Arun West</v>
          </cell>
          <cell r="D44" t="str">
            <v>Arun West North</v>
          </cell>
          <cell r="E44" t="str">
            <v>Arun</v>
          </cell>
          <cell r="F44" t="str">
            <v>Arch</v>
          </cell>
          <cell r="G44" t="str">
            <v>Arundel, Barnham, Walberton, Yapton</v>
          </cell>
          <cell r="H44" t="str">
            <v>Barnham/Westergate</v>
          </cell>
          <cell r="I44" t="str">
            <v>A</v>
          </cell>
          <cell r="J44" t="str">
            <v>Coastal West Sussex</v>
          </cell>
          <cell r="K44" t="str">
            <v>Bognor Regis and Littlehampton</v>
          </cell>
          <cell r="L44">
            <v>21245</v>
          </cell>
          <cell r="M44">
            <v>21405</v>
          </cell>
          <cell r="N44">
            <v>21340</v>
          </cell>
          <cell r="O44">
            <v>21505</v>
          </cell>
          <cell r="P44">
            <v>21720</v>
          </cell>
          <cell r="Q44">
            <v>21695</v>
          </cell>
          <cell r="R44">
            <v>21740</v>
          </cell>
          <cell r="S44">
            <v>21775</v>
          </cell>
          <cell r="T44">
            <v>21950</v>
          </cell>
          <cell r="U44">
            <v>22015</v>
          </cell>
          <cell r="V44">
            <v>1045</v>
          </cell>
          <cell r="W44">
            <v>1050</v>
          </cell>
          <cell r="X44">
            <v>1060</v>
          </cell>
          <cell r="Y44">
            <v>1040</v>
          </cell>
          <cell r="Z44">
            <v>1035</v>
          </cell>
          <cell r="AA44">
            <v>1035</v>
          </cell>
          <cell r="AB44">
            <v>1020</v>
          </cell>
          <cell r="AC44">
            <v>1020</v>
          </cell>
          <cell r="AD44">
            <v>1030</v>
          </cell>
          <cell r="AE44">
            <v>1030</v>
          </cell>
          <cell r="AF44">
            <v>0.93579766536964981</v>
          </cell>
          <cell r="AG44">
            <v>2.5291828793774319E-2</v>
          </cell>
          <cell r="AH44">
            <v>2.4319066147859923E-2</v>
          </cell>
          <cell r="AI44">
            <v>1.4591439688715954E-2</v>
          </cell>
          <cell r="AJ44">
            <v>0</v>
          </cell>
          <cell r="AK44">
            <v>0</v>
          </cell>
          <cell r="AL44">
            <v>6.4202334630350189E-2</v>
          </cell>
          <cell r="AM44">
            <v>2185</v>
          </cell>
          <cell r="AN44">
            <v>0.69258920402561752</v>
          </cell>
          <cell r="AO44">
            <v>0.12305580969807868</v>
          </cell>
          <cell r="AP44">
            <v>0.18435498627630376</v>
          </cell>
          <cell r="AQ44">
            <v>185</v>
          </cell>
          <cell r="AR44">
            <v>191</v>
          </cell>
          <cell r="AS44">
            <v>178</v>
          </cell>
          <cell r="AT44">
            <v>212</v>
          </cell>
          <cell r="AU44">
            <v>164</v>
          </cell>
          <cell r="AV44">
            <v>7</v>
          </cell>
          <cell r="AW44">
            <v>6</v>
          </cell>
          <cell r="AX44">
            <v>6</v>
          </cell>
          <cell r="AY44">
            <v>4</v>
          </cell>
          <cell r="AZ44">
            <v>6</v>
          </cell>
          <cell r="BA44">
            <v>10</v>
          </cell>
          <cell r="BB44">
            <v>6.097560975609756E-2</v>
          </cell>
          <cell r="BC44">
            <v>3.3454561325115796E-2</v>
          </cell>
          <cell r="BD44">
            <v>0.10859293390169864</v>
          </cell>
          <cell r="BE44">
            <v>12</v>
          </cell>
          <cell r="BF44">
            <v>269</v>
          </cell>
          <cell r="BG44">
            <v>371</v>
          </cell>
          <cell r="BH44">
            <v>159</v>
          </cell>
          <cell r="BI44">
            <v>0.14517552228463421</v>
          </cell>
          <cell r="BJ44">
            <v>2354</v>
          </cell>
          <cell r="BK44">
            <v>4219</v>
          </cell>
          <cell r="BL44">
            <v>2370</v>
          </cell>
          <cell r="BM44">
            <v>1475</v>
          </cell>
          <cell r="BN44">
            <v>2</v>
          </cell>
          <cell r="BO44">
            <v>285</v>
          </cell>
          <cell r="BP44">
            <v>418</v>
          </cell>
          <cell r="BQ44">
            <v>190</v>
          </cell>
          <cell r="BR44">
            <v>105</v>
          </cell>
          <cell r="BS44">
            <v>80</v>
          </cell>
          <cell r="BT44">
            <v>90</v>
          </cell>
          <cell r="BU44">
            <v>416</v>
          </cell>
          <cell r="BV44">
            <v>126</v>
          </cell>
          <cell r="BW44">
            <v>0.30288461538461536</v>
          </cell>
          <cell r="BX44">
            <v>43</v>
          </cell>
          <cell r="BY44">
            <v>4</v>
          </cell>
          <cell r="BZ44">
            <v>251</v>
          </cell>
          <cell r="CA44">
            <v>2.7713370873357623E-2</v>
          </cell>
          <cell r="CB44">
            <v>110</v>
          </cell>
          <cell r="CC44">
            <v>135</v>
          </cell>
          <cell r="CD44">
            <v>155</v>
          </cell>
          <cell r="CE44">
            <v>140</v>
          </cell>
          <cell r="CF44">
            <v>420</v>
          </cell>
          <cell r="CG44">
            <v>0.11600000000000001</v>
          </cell>
          <cell r="CH44">
            <v>385</v>
          </cell>
          <cell r="CI44">
            <v>0.11278571428571428</v>
          </cell>
          <cell r="CJ44">
            <v>435</v>
          </cell>
          <cell r="CK44">
            <v>0.11542857142857142</v>
          </cell>
          <cell r="CL44">
            <v>415</v>
          </cell>
          <cell r="CM44">
            <v>0.10264285714285715</v>
          </cell>
          <cell r="CN44">
            <v>440</v>
          </cell>
          <cell r="CO44">
            <v>0.11557142857142859</v>
          </cell>
          <cell r="CP44">
            <v>365</v>
          </cell>
          <cell r="CQ44">
            <v>9.9455040871934602E-2</v>
          </cell>
          <cell r="CR44">
            <v>207</v>
          </cell>
          <cell r="CS44">
            <v>14</v>
          </cell>
          <cell r="CT44">
            <v>193</v>
          </cell>
          <cell r="CU44">
            <v>0.93933534952442532</v>
          </cell>
          <cell r="CV44">
            <v>85</v>
          </cell>
          <cell r="CW44">
            <v>110</v>
          </cell>
          <cell r="CX44">
            <v>0.46018530409875624</v>
          </cell>
          <cell r="CY44">
            <v>0.60210405672566514</v>
          </cell>
          <cell r="CZ44">
            <v>0.37221521505149513</v>
          </cell>
          <cell r="DA44">
            <v>0.51093956523884998</v>
          </cell>
          <cell r="DB44">
            <v>0.49940629268557302</v>
          </cell>
          <cell r="DC44">
            <v>0.63775983479967402</v>
          </cell>
          <cell r="DD44">
            <v>174</v>
          </cell>
          <cell r="DE44">
            <v>27</v>
          </cell>
          <cell r="DF44">
            <v>0.15517241379310345</v>
          </cell>
          <cell r="DG44">
            <v>0.10888846203868341</v>
          </cell>
          <cell r="DH44">
            <v>0.21635324034192896</v>
          </cell>
          <cell r="DI44" t="str">
            <v>Sig worse than Eng.</v>
          </cell>
          <cell r="DJ44">
            <v>178</v>
          </cell>
          <cell r="DK44">
            <v>13</v>
          </cell>
          <cell r="DL44">
            <v>7.3033707865168537E-2</v>
          </cell>
          <cell r="DM44">
            <v>4.3175025310267297E-2</v>
          </cell>
          <cell r="DN44">
            <v>0.12093198864698146</v>
          </cell>
          <cell r="DO44" t="str">
            <v>No Sig diff</v>
          </cell>
          <cell r="DP44">
            <v>194</v>
          </cell>
          <cell r="DQ44">
            <v>14</v>
          </cell>
          <cell r="DR44">
            <v>7.2164948453608241E-2</v>
          </cell>
          <cell r="DS44">
            <v>4.3470708676375661E-2</v>
          </cell>
          <cell r="DT44">
            <v>0.11747361012564239</v>
          </cell>
          <cell r="DU44" t="str">
            <v>No Sig diff</v>
          </cell>
          <cell r="DV44">
            <v>212</v>
          </cell>
          <cell r="DW44">
            <v>24</v>
          </cell>
          <cell r="DX44">
            <v>0.11320754716981132</v>
          </cell>
          <cell r="DY44">
            <v>7.7264917405978337E-2</v>
          </cell>
          <cell r="DZ44">
            <v>0.1629181276120798</v>
          </cell>
          <cell r="EA44" t="str">
            <v>No Sig diff</v>
          </cell>
          <cell r="EB44">
            <v>180</v>
          </cell>
          <cell r="EC44">
            <v>24</v>
          </cell>
          <cell r="ED44">
            <v>0.13333333333333333</v>
          </cell>
          <cell r="EE44">
            <v>9.1262810536594019E-2</v>
          </cell>
          <cell r="EF44">
            <v>0.1907272212725889</v>
          </cell>
          <cell r="EG44" t="str">
            <v>No Sig diff</v>
          </cell>
          <cell r="EH44">
            <v>181</v>
          </cell>
          <cell r="EI44">
            <v>38</v>
          </cell>
          <cell r="EJ44">
            <v>0.20994475138121546</v>
          </cell>
          <cell r="EK44">
            <v>0.15695179474513435</v>
          </cell>
          <cell r="EL44">
            <v>0.27499382681666318</v>
          </cell>
          <cell r="EM44" t="str">
            <v>No Sig diff</v>
          </cell>
          <cell r="EN44">
            <v>177</v>
          </cell>
          <cell r="EO44">
            <v>29</v>
          </cell>
          <cell r="EP44">
            <v>0.16384180790960451</v>
          </cell>
          <cell r="EQ44">
            <v>0.11656641651721572</v>
          </cell>
          <cell r="ER44">
            <v>0.22539863521359599</v>
          </cell>
          <cell r="ES44" t="str">
            <v>No Sig diff</v>
          </cell>
          <cell r="ET44">
            <v>182</v>
          </cell>
          <cell r="EU44">
            <v>23</v>
          </cell>
          <cell r="EV44">
            <v>0.12637362637362637</v>
          </cell>
          <cell r="EW44">
            <v>8.5705065885255408E-2</v>
          </cell>
          <cell r="EX44">
            <v>0.18248836703857232</v>
          </cell>
          <cell r="EY44" t="str">
            <v>Sig better than Eng.</v>
          </cell>
          <cell r="EZ44">
            <v>241</v>
          </cell>
          <cell r="FA44">
            <v>129</v>
          </cell>
          <cell r="FB44">
            <v>0.53526970954356845</v>
          </cell>
          <cell r="FC44">
            <v>0.47224088134498177</v>
          </cell>
          <cell r="FD44">
            <v>0.59719180412373907</v>
          </cell>
          <cell r="FE44">
            <v>241</v>
          </cell>
          <cell r="FF44">
            <v>34</v>
          </cell>
          <cell r="FG44">
            <v>48</v>
          </cell>
          <cell r="FH44">
            <v>24.562500000000007</v>
          </cell>
          <cell r="FI44">
            <v>0.2775735294117645</v>
          </cell>
          <cell r="FJ44">
            <v>209</v>
          </cell>
          <cell r="FK44">
            <v>137</v>
          </cell>
          <cell r="FL44">
            <v>0.65550239234449759</v>
          </cell>
          <cell r="FM44">
            <v>0.58879307370670031</v>
          </cell>
          <cell r="FN44">
            <v>0.71659855610146839</v>
          </cell>
          <cell r="FO44">
            <v>209</v>
          </cell>
          <cell r="FP44">
            <v>34</v>
          </cell>
          <cell r="FQ44">
            <v>41</v>
          </cell>
          <cell r="FR44">
            <v>25.512195121951219</v>
          </cell>
          <cell r="FS44">
            <v>0.24964131994261121</v>
          </cell>
          <cell r="FT44">
            <v>3058</v>
          </cell>
          <cell r="FU44">
            <v>3021</v>
          </cell>
          <cell r="FV44">
            <v>37</v>
          </cell>
          <cell r="FW44">
            <v>36</v>
          </cell>
          <cell r="FX44">
            <v>1</v>
          </cell>
          <cell r="FY44">
            <v>0.97297297297297303</v>
          </cell>
          <cell r="FZ44">
            <v>2.7027027027027029E-2</v>
          </cell>
          <cell r="GA44">
            <v>0.91651404151404159</v>
          </cell>
          <cell r="GB44">
            <v>8.3485958485958481E-2</v>
          </cell>
          <cell r="GC44">
            <v>6.9158620605686214E-2</v>
          </cell>
          <cell r="GD44">
            <v>0.16758575632747763</v>
          </cell>
          <cell r="GE44">
            <v>0.93107448107448121</v>
          </cell>
          <cell r="GF44">
            <v>6.8925518925518917E-2</v>
          </cell>
          <cell r="GG44">
            <v>5.4210515626730349E-2</v>
          </cell>
          <cell r="GH44">
            <v>0.14499669951626121</v>
          </cell>
          <cell r="GI44">
            <v>0.89275684632827512</v>
          </cell>
          <cell r="GJ44">
            <v>0.1072431536717251</v>
          </cell>
          <cell r="GK44">
            <v>8.4547343075125556E-2</v>
          </cell>
          <cell r="GL44">
            <v>0.18973419564821054</v>
          </cell>
          <cell r="GM44">
            <v>0.73381301238444085</v>
          </cell>
          <cell r="GN44">
            <v>0.26618698761555903</v>
          </cell>
          <cell r="GO44">
            <v>0.20578932597912503</v>
          </cell>
          <cell r="GP44">
            <v>0.34376473253880774</v>
          </cell>
          <cell r="GQ44">
            <v>61</v>
          </cell>
          <cell r="GR44">
            <v>58</v>
          </cell>
          <cell r="GS44">
            <v>58</v>
          </cell>
          <cell r="GT44">
            <v>60</v>
          </cell>
          <cell r="GU44">
            <v>59</v>
          </cell>
          <cell r="GV44">
            <v>53</v>
          </cell>
          <cell r="GW44">
            <v>52</v>
          </cell>
          <cell r="GX44">
            <v>53</v>
          </cell>
          <cell r="GY44">
            <v>52</v>
          </cell>
          <cell r="GZ44">
            <v>53</v>
          </cell>
          <cell r="HA44">
            <v>53</v>
          </cell>
          <cell r="HB44">
            <v>51</v>
          </cell>
          <cell r="HC44">
            <v>53</v>
          </cell>
          <cell r="HD44">
            <v>67</v>
          </cell>
          <cell r="HE44">
            <v>64</v>
          </cell>
          <cell r="HF44">
            <v>65</v>
          </cell>
          <cell r="HG44">
            <v>61</v>
          </cell>
          <cell r="HH44">
            <v>64</v>
          </cell>
          <cell r="HI44">
            <v>64</v>
          </cell>
          <cell r="HJ44">
            <v>57</v>
          </cell>
          <cell r="HK44">
            <v>61</v>
          </cell>
          <cell r="HL44">
            <v>61</v>
          </cell>
          <cell r="HM44">
            <v>65</v>
          </cell>
          <cell r="HN44">
            <v>19</v>
          </cell>
          <cell r="HO44">
            <v>1.8482490272373541E-2</v>
          </cell>
          <cell r="HP44">
            <v>1627</v>
          </cell>
          <cell r="HQ44">
            <v>1483</v>
          </cell>
          <cell r="HR44">
            <v>144</v>
          </cell>
          <cell r="HS44">
            <v>8.8506453595574672E-2</v>
          </cell>
        </row>
        <row r="45">
          <cell r="A45" t="str">
            <v>The Wave</v>
          </cell>
          <cell r="C45" t="str">
            <v>Worthing</v>
          </cell>
          <cell r="D45" t="str">
            <v>Worthing</v>
          </cell>
          <cell r="E45" t="str">
            <v>Worthing</v>
          </cell>
          <cell r="F45" t="str">
            <v>CCC</v>
          </cell>
          <cell r="G45" t="str">
            <v>Broadwater, Gaisford</v>
          </cell>
          <cell r="H45" t="str">
            <v>Worthing</v>
          </cell>
          <cell r="I45" t="str">
            <v>B</v>
          </cell>
          <cell r="J45" t="str">
            <v>Coastal West Sussex</v>
          </cell>
          <cell r="K45" t="str">
            <v>East Worthing and Shoreham</v>
          </cell>
          <cell r="L45">
            <v>13165</v>
          </cell>
          <cell r="M45">
            <v>13320</v>
          </cell>
          <cell r="N45">
            <v>13405</v>
          </cell>
          <cell r="O45">
            <v>13530</v>
          </cell>
          <cell r="P45">
            <v>13660</v>
          </cell>
          <cell r="Q45">
            <v>13830</v>
          </cell>
          <cell r="R45">
            <v>13930</v>
          </cell>
          <cell r="S45">
            <v>14030</v>
          </cell>
          <cell r="T45">
            <v>14190</v>
          </cell>
          <cell r="U45">
            <v>14215</v>
          </cell>
          <cell r="V45">
            <v>875</v>
          </cell>
          <cell r="W45">
            <v>890</v>
          </cell>
          <cell r="X45">
            <v>900</v>
          </cell>
          <cell r="Y45">
            <v>915</v>
          </cell>
          <cell r="Z45">
            <v>950</v>
          </cell>
          <cell r="AA45">
            <v>995</v>
          </cell>
          <cell r="AB45">
            <v>995</v>
          </cell>
          <cell r="AC45">
            <v>1000</v>
          </cell>
          <cell r="AD45">
            <v>1010</v>
          </cell>
          <cell r="AE45">
            <v>965</v>
          </cell>
          <cell r="AF45">
            <v>0.83480825958702065</v>
          </cell>
          <cell r="AG45">
            <v>2.8515240904621434E-2</v>
          </cell>
          <cell r="AH45">
            <v>6.5880039331366769E-2</v>
          </cell>
          <cell r="AI45">
            <v>5.1130776794493606E-2</v>
          </cell>
          <cell r="AJ45">
            <v>1.4749262536873156E-2</v>
          </cell>
          <cell r="AK45">
            <v>4.9164208456243851E-3</v>
          </cell>
          <cell r="AL45">
            <v>0.16519174041297935</v>
          </cell>
          <cell r="AM45">
            <v>1995</v>
          </cell>
          <cell r="AN45">
            <v>0.66984445559458106</v>
          </cell>
          <cell r="AO45">
            <v>0.10386352232814852</v>
          </cell>
          <cell r="AP45">
            <v>0.22629202207727045</v>
          </cell>
          <cell r="AQ45">
            <v>183</v>
          </cell>
          <cell r="AR45">
            <v>162</v>
          </cell>
          <cell r="AS45">
            <v>185</v>
          </cell>
          <cell r="AT45">
            <v>166</v>
          </cell>
          <cell r="AU45">
            <v>151</v>
          </cell>
          <cell r="AV45">
            <v>14</v>
          </cell>
          <cell r="AW45">
            <v>5</v>
          </cell>
          <cell r="AX45">
            <v>10</v>
          </cell>
          <cell r="AY45">
            <v>8</v>
          </cell>
          <cell r="AZ45">
            <v>8</v>
          </cell>
          <cell r="BA45">
            <v>9</v>
          </cell>
          <cell r="BB45">
            <v>5.9602649006622516E-2</v>
          </cell>
          <cell r="BC45">
            <v>3.167075659834806E-2</v>
          </cell>
          <cell r="BD45">
            <v>0.10938616050281703</v>
          </cell>
          <cell r="BE45">
            <v>17</v>
          </cell>
          <cell r="BF45">
            <v>292</v>
          </cell>
          <cell r="BG45">
            <v>331</v>
          </cell>
          <cell r="BH45">
            <v>171</v>
          </cell>
          <cell r="BI45">
            <v>0.16135239546166366</v>
          </cell>
          <cell r="BJ45">
            <v>1975</v>
          </cell>
          <cell r="BK45">
            <v>3591</v>
          </cell>
          <cell r="BL45">
            <v>1617</v>
          </cell>
          <cell r="BM45">
            <v>880</v>
          </cell>
          <cell r="BN45">
            <v>0</v>
          </cell>
          <cell r="BO45">
            <v>264</v>
          </cell>
          <cell r="BP45">
            <v>366</v>
          </cell>
          <cell r="BQ45">
            <v>107</v>
          </cell>
          <cell r="BR45">
            <v>125</v>
          </cell>
          <cell r="BS45">
            <v>120</v>
          </cell>
          <cell r="BT45">
            <v>90</v>
          </cell>
          <cell r="BU45">
            <v>476</v>
          </cell>
          <cell r="BV45">
            <v>162</v>
          </cell>
          <cell r="BW45">
            <v>0.34033613445378152</v>
          </cell>
          <cell r="BX45">
            <v>35</v>
          </cell>
          <cell r="BY45">
            <v>4</v>
          </cell>
          <cell r="BZ45">
            <v>315</v>
          </cell>
          <cell r="CA45">
            <v>5.4254219772648986E-2</v>
          </cell>
          <cell r="CB45">
            <v>175</v>
          </cell>
          <cell r="CC45">
            <v>155</v>
          </cell>
          <cell r="CD45">
            <v>160</v>
          </cell>
          <cell r="CE45">
            <v>135</v>
          </cell>
          <cell r="CF45">
            <v>440</v>
          </cell>
          <cell r="CG45">
            <v>0.15611111111111112</v>
          </cell>
          <cell r="CH45">
            <v>455</v>
          </cell>
          <cell r="CI45">
            <v>0.13388888888888886</v>
          </cell>
          <cell r="CJ45">
            <v>485</v>
          </cell>
          <cell r="CK45">
            <v>0.15444444444444447</v>
          </cell>
          <cell r="CL45">
            <v>405</v>
          </cell>
          <cell r="CM45">
            <v>0.14644444444444446</v>
          </cell>
          <cell r="CN45">
            <v>470</v>
          </cell>
          <cell r="CO45">
            <v>0.13633333333333331</v>
          </cell>
          <cell r="CP45">
            <v>410</v>
          </cell>
          <cell r="CQ45">
            <v>0.13333333333333333</v>
          </cell>
          <cell r="CR45">
            <v>172</v>
          </cell>
          <cell r="CS45">
            <v>4</v>
          </cell>
          <cell r="CT45">
            <v>168</v>
          </cell>
          <cell r="CU45">
            <v>0.97713264643089193</v>
          </cell>
          <cell r="CV45">
            <v>70</v>
          </cell>
          <cell r="CW45">
            <v>87</v>
          </cell>
          <cell r="CX45">
            <v>0.41528562596674057</v>
          </cell>
          <cell r="CY45">
            <v>0.51025165065412736</v>
          </cell>
          <cell r="CZ45">
            <v>0.34479298206061598</v>
          </cell>
          <cell r="DA45">
            <v>0.49226626319780803</v>
          </cell>
          <cell r="DB45">
            <v>0.44274583327172728</v>
          </cell>
          <cell r="DC45">
            <v>0.59217004274432472</v>
          </cell>
          <cell r="DD45">
            <v>130</v>
          </cell>
          <cell r="DE45">
            <v>14</v>
          </cell>
          <cell r="DF45">
            <v>0.1076923076923077</v>
          </cell>
          <cell r="DG45">
            <v>6.5241339616437855E-2</v>
          </cell>
          <cell r="DH45">
            <v>0.17266296224380834</v>
          </cell>
          <cell r="DI45" t="str">
            <v>No Sig diff</v>
          </cell>
          <cell r="DJ45">
            <v>186</v>
          </cell>
          <cell r="DK45">
            <v>13</v>
          </cell>
          <cell r="DL45">
            <v>6.9892473118279563E-2</v>
          </cell>
          <cell r="DM45">
            <v>4.1297216253746931E-2</v>
          </cell>
          <cell r="DN45">
            <v>0.11589425818008303</v>
          </cell>
          <cell r="DO45" t="str">
            <v>No Sig diff</v>
          </cell>
          <cell r="DP45">
            <v>159</v>
          </cell>
          <cell r="DQ45">
            <v>13</v>
          </cell>
          <cell r="DR45">
            <v>8.1761006289308172E-2</v>
          </cell>
          <cell r="DS45">
            <v>4.8402298802567148E-2</v>
          </cell>
          <cell r="DT45">
            <v>0.13485237747463791</v>
          </cell>
          <cell r="DU45" t="str">
            <v>No Sig diff</v>
          </cell>
          <cell r="DV45">
            <v>192</v>
          </cell>
          <cell r="DW45">
            <v>25</v>
          </cell>
          <cell r="DX45">
            <v>0.13020833333333334</v>
          </cell>
          <cell r="DY45">
            <v>8.9774224743510128E-2</v>
          </cell>
          <cell r="DZ45">
            <v>0.18514947703502674</v>
          </cell>
          <cell r="EA45" t="str">
            <v>No Sig diff</v>
          </cell>
          <cell r="EB45">
            <v>152</v>
          </cell>
          <cell r="EC45">
            <v>20</v>
          </cell>
          <cell r="ED45">
            <v>0.13157894736842105</v>
          </cell>
          <cell r="EE45">
            <v>8.6817115241413917E-2</v>
          </cell>
          <cell r="EF45">
            <v>0.19450378070282012</v>
          </cell>
          <cell r="EG45" t="str">
            <v>No Sig diff</v>
          </cell>
          <cell r="EH45">
            <v>163</v>
          </cell>
          <cell r="EI45">
            <v>32</v>
          </cell>
          <cell r="EJ45">
            <v>0.19631901840490798</v>
          </cell>
          <cell r="EK45">
            <v>0.14263444430709368</v>
          </cell>
          <cell r="EL45">
            <v>0.26398786228400306</v>
          </cell>
          <cell r="EM45" t="str">
            <v>No Sig diff</v>
          </cell>
          <cell r="EN45">
            <v>148</v>
          </cell>
          <cell r="EO45">
            <v>17</v>
          </cell>
          <cell r="EP45">
            <v>0.11486486486486487</v>
          </cell>
          <cell r="EQ45">
            <v>7.2964239324355348E-2</v>
          </cell>
          <cell r="ER45">
            <v>0.17625266832785691</v>
          </cell>
          <cell r="ES45" t="str">
            <v>Sig better than Eng.</v>
          </cell>
          <cell r="ET45">
            <v>146</v>
          </cell>
          <cell r="EU45">
            <v>22</v>
          </cell>
          <cell r="EV45">
            <v>0.15068493150684931</v>
          </cell>
          <cell r="EW45">
            <v>0.10166464144505639</v>
          </cell>
          <cell r="EX45">
            <v>0.21761587809355135</v>
          </cell>
          <cell r="EY45" t="str">
            <v>No Sig diff</v>
          </cell>
          <cell r="EZ45">
            <v>222</v>
          </cell>
          <cell r="FA45">
            <v>118</v>
          </cell>
          <cell r="FB45">
            <v>0.53153153153153154</v>
          </cell>
          <cell r="FC45">
            <v>0.46591247372915356</v>
          </cell>
          <cell r="FD45">
            <v>0.59607791578172553</v>
          </cell>
          <cell r="FE45">
            <v>222</v>
          </cell>
          <cell r="FF45">
            <v>34</v>
          </cell>
          <cell r="FG45">
            <v>44</v>
          </cell>
          <cell r="FH45">
            <v>24.886363636363633</v>
          </cell>
          <cell r="FI45">
            <v>0.26804812834224606</v>
          </cell>
          <cell r="FJ45">
            <v>203</v>
          </cell>
          <cell r="FK45">
            <v>141</v>
          </cell>
          <cell r="FL45">
            <v>0.69458128078817738</v>
          </cell>
          <cell r="FM45">
            <v>0.62809552282698589</v>
          </cell>
          <cell r="FN45">
            <v>0.75383951307161123</v>
          </cell>
          <cell r="FO45">
            <v>203</v>
          </cell>
          <cell r="FP45">
            <v>34</v>
          </cell>
          <cell r="FQ45">
            <v>40</v>
          </cell>
          <cell r="FR45">
            <v>26.025000000000006</v>
          </cell>
          <cell r="FS45">
            <v>0.2345588235294116</v>
          </cell>
          <cell r="FT45">
            <v>2577</v>
          </cell>
          <cell r="FU45">
            <v>2501</v>
          </cell>
          <cell r="FV45">
            <v>76</v>
          </cell>
          <cell r="FW45">
            <v>65</v>
          </cell>
          <cell r="FX45">
            <v>11</v>
          </cell>
          <cell r="FY45">
            <v>0.85526315789473684</v>
          </cell>
          <cell r="FZ45">
            <v>0.14473684210526316</v>
          </cell>
          <cell r="GA45">
            <v>0.88145604395604382</v>
          </cell>
          <cell r="GB45">
            <v>0.11854395604395604</v>
          </cell>
          <cell r="GC45">
            <v>7.1709958980432961E-2</v>
          </cell>
          <cell r="GD45">
            <v>0.19511025818384223</v>
          </cell>
          <cell r="GE45">
            <v>0.92870879120879124</v>
          </cell>
          <cell r="GF45">
            <v>7.1291208791208788E-2</v>
          </cell>
          <cell r="GG45">
            <v>3.8009793445671562E-2</v>
          </cell>
          <cell r="GH45">
            <v>0.13939825508010059</v>
          </cell>
          <cell r="GI45">
            <v>0.88305860805860803</v>
          </cell>
          <cell r="GJ45">
            <v>0.11694139194139194</v>
          </cell>
          <cell r="GK45">
            <v>7.1709958980432961E-2</v>
          </cell>
          <cell r="GL45">
            <v>0.19511025818384223</v>
          </cell>
          <cell r="GM45">
            <v>0.81379731379731379</v>
          </cell>
          <cell r="GN45">
            <v>0.18620268620268621</v>
          </cell>
          <cell r="GO45">
            <v>0.12319860172367546</v>
          </cell>
          <cell r="GP45">
            <v>0.26879865153450394</v>
          </cell>
          <cell r="GQ45">
            <v>38</v>
          </cell>
          <cell r="GR45">
            <v>36</v>
          </cell>
          <cell r="GS45">
            <v>36</v>
          </cell>
          <cell r="GT45">
            <v>37</v>
          </cell>
          <cell r="GU45">
            <v>36</v>
          </cell>
          <cell r="GV45">
            <v>54</v>
          </cell>
          <cell r="GW45">
            <v>50</v>
          </cell>
          <cell r="GX45">
            <v>51</v>
          </cell>
          <cell r="GY45">
            <v>50</v>
          </cell>
          <cell r="GZ45">
            <v>52</v>
          </cell>
          <cell r="HA45">
            <v>53</v>
          </cell>
          <cell r="HB45">
            <v>49</v>
          </cell>
          <cell r="HC45">
            <v>52</v>
          </cell>
          <cell r="HD45">
            <v>52</v>
          </cell>
          <cell r="HE45">
            <v>48</v>
          </cell>
          <cell r="HF45">
            <v>47</v>
          </cell>
          <cell r="HG45">
            <v>45</v>
          </cell>
          <cell r="HH45">
            <v>48</v>
          </cell>
          <cell r="HI45">
            <v>51</v>
          </cell>
          <cell r="HJ45">
            <v>47</v>
          </cell>
          <cell r="HK45">
            <v>50</v>
          </cell>
          <cell r="HL45">
            <v>46</v>
          </cell>
          <cell r="HM45">
            <v>50</v>
          </cell>
          <cell r="HN45">
            <v>20</v>
          </cell>
          <cell r="HO45">
            <v>1.966568338249754E-2</v>
          </cell>
          <cell r="HP45">
            <v>1566</v>
          </cell>
          <cell r="HQ45">
            <v>1396</v>
          </cell>
          <cell r="HR45">
            <v>170</v>
          </cell>
          <cell r="HS45">
            <v>0.10855683269476372</v>
          </cell>
        </row>
        <row r="46">
          <cell r="A46" t="str">
            <v>Treehouse</v>
          </cell>
          <cell r="C46" t="str">
            <v>Arun West</v>
          </cell>
          <cell r="D46" t="str">
            <v>Arun West North</v>
          </cell>
          <cell r="E46" t="str">
            <v>Arun</v>
          </cell>
          <cell r="F46" t="str">
            <v>Arch</v>
          </cell>
          <cell r="G46" t="str">
            <v>Bersted, Orchard</v>
          </cell>
          <cell r="H46" t="str">
            <v>Bognor Regis/Felpham</v>
          </cell>
          <cell r="I46" t="str">
            <v>A</v>
          </cell>
          <cell r="J46" t="str">
            <v>Coastal West Sussex</v>
          </cell>
          <cell r="K46" t="str">
            <v>Bognor Regis and Littlehampton</v>
          </cell>
          <cell r="L46">
            <v>13355</v>
          </cell>
          <cell r="M46">
            <v>13435</v>
          </cell>
          <cell r="N46">
            <v>13285</v>
          </cell>
          <cell r="O46">
            <v>13270</v>
          </cell>
          <cell r="P46">
            <v>13255</v>
          </cell>
          <cell r="Q46">
            <v>13215</v>
          </cell>
          <cell r="R46">
            <v>13290</v>
          </cell>
          <cell r="S46">
            <v>13380</v>
          </cell>
          <cell r="T46">
            <v>13845</v>
          </cell>
          <cell r="U46">
            <v>14270</v>
          </cell>
          <cell r="V46">
            <v>790</v>
          </cell>
          <cell r="W46">
            <v>780</v>
          </cell>
          <cell r="X46">
            <v>770</v>
          </cell>
          <cell r="Y46">
            <v>780</v>
          </cell>
          <cell r="Z46">
            <v>805</v>
          </cell>
          <cell r="AA46">
            <v>855</v>
          </cell>
          <cell r="AB46">
            <v>870</v>
          </cell>
          <cell r="AC46">
            <v>900</v>
          </cell>
          <cell r="AD46">
            <v>960</v>
          </cell>
          <cell r="AE46">
            <v>1055</v>
          </cell>
          <cell r="AF46">
            <v>0.8165137614678899</v>
          </cell>
          <cell r="AG46">
            <v>0.11582568807339449</v>
          </cell>
          <cell r="AH46">
            <v>2.8669724770642203E-2</v>
          </cell>
          <cell r="AI46">
            <v>2.8669724770642203E-2</v>
          </cell>
          <cell r="AJ46">
            <v>5.7339449541284407E-3</v>
          </cell>
          <cell r="AK46">
            <v>4.5871559633027525E-3</v>
          </cell>
          <cell r="AL46">
            <v>0.1834862385321101</v>
          </cell>
          <cell r="AM46">
            <v>1590</v>
          </cell>
          <cell r="AN46">
            <v>0.55499685732243875</v>
          </cell>
          <cell r="AO46">
            <v>0.17284726587052168</v>
          </cell>
          <cell r="AP46">
            <v>0.27215587680703962</v>
          </cell>
          <cell r="AQ46">
            <v>181</v>
          </cell>
          <cell r="AR46">
            <v>205</v>
          </cell>
          <cell r="AS46">
            <v>186</v>
          </cell>
          <cell r="AT46">
            <v>208</v>
          </cell>
          <cell r="AU46">
            <v>219</v>
          </cell>
          <cell r="AV46">
            <v>16</v>
          </cell>
          <cell r="AW46">
            <v>9</v>
          </cell>
          <cell r="AX46">
            <v>15</v>
          </cell>
          <cell r="AY46">
            <v>12</v>
          </cell>
          <cell r="AZ46">
            <v>15</v>
          </cell>
          <cell r="BA46">
            <v>10</v>
          </cell>
          <cell r="BB46">
            <v>4.5662100456621002E-2</v>
          </cell>
          <cell r="BC46">
            <v>2.4989013068053595E-2</v>
          </cell>
          <cell r="BD46">
            <v>8.1999421430922537E-2</v>
          </cell>
          <cell r="BE46">
            <v>25</v>
          </cell>
          <cell r="BF46">
            <v>278</v>
          </cell>
          <cell r="BG46">
            <v>265</v>
          </cell>
          <cell r="BH46">
            <v>130</v>
          </cell>
          <cell r="BI46">
            <v>0.14120386595365619</v>
          </cell>
          <cell r="BJ46">
            <v>1626</v>
          </cell>
          <cell r="BK46">
            <v>2858</v>
          </cell>
          <cell r="BL46">
            <v>1629</v>
          </cell>
          <cell r="BM46">
            <v>778</v>
          </cell>
          <cell r="BN46">
            <v>1</v>
          </cell>
          <cell r="BO46">
            <v>284</v>
          </cell>
          <cell r="BP46">
            <v>410</v>
          </cell>
          <cell r="BQ46">
            <v>156</v>
          </cell>
          <cell r="BR46">
            <v>140</v>
          </cell>
          <cell r="BS46">
            <v>135</v>
          </cell>
          <cell r="BT46">
            <v>130</v>
          </cell>
          <cell r="BU46">
            <v>409</v>
          </cell>
          <cell r="BV46">
            <v>162</v>
          </cell>
          <cell r="BW46">
            <v>0.39608801955990219</v>
          </cell>
          <cell r="BX46">
            <v>34</v>
          </cell>
          <cell r="BY46">
            <v>1</v>
          </cell>
          <cell r="BZ46">
            <v>382</v>
          </cell>
          <cell r="CA46">
            <v>6.7694488747120321E-2</v>
          </cell>
          <cell r="CB46">
            <v>185</v>
          </cell>
          <cell r="CC46">
            <v>170</v>
          </cell>
          <cell r="CD46">
            <v>190</v>
          </cell>
          <cell r="CE46">
            <v>220</v>
          </cell>
          <cell r="CF46">
            <v>535</v>
          </cell>
          <cell r="CG46">
            <v>0.22511111111111115</v>
          </cell>
          <cell r="CH46">
            <v>540</v>
          </cell>
          <cell r="CI46">
            <v>0.21177777777777779</v>
          </cell>
          <cell r="CJ46">
            <v>585</v>
          </cell>
          <cell r="CK46">
            <v>0.21944444444444444</v>
          </cell>
          <cell r="CL46">
            <v>575</v>
          </cell>
          <cell r="CM46">
            <v>0.20233333333333334</v>
          </cell>
          <cell r="CN46">
            <v>620</v>
          </cell>
          <cell r="CO46">
            <v>0.19422222222222224</v>
          </cell>
          <cell r="CP46">
            <v>515</v>
          </cell>
          <cell r="CQ46">
            <v>0.18864468864468864</v>
          </cell>
          <cell r="CR46">
            <v>200</v>
          </cell>
          <cell r="CS46">
            <v>7</v>
          </cell>
          <cell r="CT46">
            <v>193</v>
          </cell>
          <cell r="CU46">
            <v>0.96329494760867318</v>
          </cell>
          <cell r="CV46">
            <v>79</v>
          </cell>
          <cell r="CW46">
            <v>93</v>
          </cell>
          <cell r="CX46">
            <v>0.41464355972233413</v>
          </cell>
          <cell r="CY46">
            <v>0.4833177411501387</v>
          </cell>
          <cell r="CZ46">
            <v>0.34238121808503996</v>
          </cell>
          <cell r="DA46">
            <v>0.47981083887852871</v>
          </cell>
          <cell r="DB46">
            <v>0.41241407003029495</v>
          </cell>
          <cell r="DC46">
            <v>0.55202434136241874</v>
          </cell>
          <cell r="DD46">
            <v>132</v>
          </cell>
          <cell r="DE46">
            <v>14</v>
          </cell>
          <cell r="DF46">
            <v>0.106</v>
          </cell>
          <cell r="DG46">
            <v>6.4000000000000001E-2</v>
          </cell>
          <cell r="DH46">
            <v>0.17</v>
          </cell>
          <cell r="DI46" t="str">
            <v>No Sig diff</v>
          </cell>
          <cell r="DJ46">
            <v>141</v>
          </cell>
          <cell r="DK46">
            <v>14</v>
          </cell>
          <cell r="DL46">
            <v>9.9000000000000005E-2</v>
          </cell>
          <cell r="DM46">
            <v>0.06</v>
          </cell>
          <cell r="DN46">
            <v>0.16</v>
          </cell>
          <cell r="DO46" t="str">
            <v>No Sig diff</v>
          </cell>
          <cell r="DP46">
            <v>157</v>
          </cell>
          <cell r="DQ46">
            <v>23</v>
          </cell>
          <cell r="DR46">
            <v>0.1464968152866242</v>
          </cell>
          <cell r="DS46">
            <v>9.9644421057218227E-2</v>
          </cell>
          <cell r="DT46">
            <v>0.21023500422365618</v>
          </cell>
          <cell r="DU46" t="str">
            <v>Sig worse than Eng.</v>
          </cell>
          <cell r="DV46">
            <v>177</v>
          </cell>
          <cell r="DW46">
            <v>17</v>
          </cell>
          <cell r="DX46">
            <v>9.6045197740112997E-2</v>
          </cell>
          <cell r="DY46">
            <v>6.0832403068680117E-2</v>
          </cell>
          <cell r="DZ46">
            <v>0.14841971791876588</v>
          </cell>
          <cell r="EA46" t="str">
            <v>No Sig diff</v>
          </cell>
          <cell r="EB46">
            <v>155</v>
          </cell>
          <cell r="EC46">
            <v>33</v>
          </cell>
          <cell r="ED46">
            <v>0.2129032258064516</v>
          </cell>
          <cell r="EE46">
            <v>0.15580823566402421</v>
          </cell>
          <cell r="EF46">
            <v>0.28388464640358285</v>
          </cell>
          <cell r="EG46" t="str">
            <v>No Sig diff</v>
          </cell>
          <cell r="EH46">
            <v>124</v>
          </cell>
          <cell r="EI46">
            <v>25</v>
          </cell>
          <cell r="EJ46">
            <v>0.20161290322580644</v>
          </cell>
          <cell r="EK46">
            <v>0.14045648042948655</v>
          </cell>
          <cell r="EL46">
            <v>0.28070156420930498</v>
          </cell>
          <cell r="EM46" t="str">
            <v>No Sig diff</v>
          </cell>
          <cell r="EN46">
            <v>114</v>
          </cell>
          <cell r="EO46">
            <v>22</v>
          </cell>
          <cell r="EP46">
            <v>0.19298245614035087</v>
          </cell>
          <cell r="EQ46">
            <v>0.13103892161535791</v>
          </cell>
          <cell r="ER46">
            <v>0.27494263444708866</v>
          </cell>
          <cell r="ES46" t="str">
            <v>No Sig diff</v>
          </cell>
          <cell r="ET46">
            <v>112</v>
          </cell>
          <cell r="EU46">
            <v>20</v>
          </cell>
          <cell r="EV46">
            <v>0.17857142857142858</v>
          </cell>
          <cell r="EW46">
            <v>0.11867660544910416</v>
          </cell>
          <cell r="EX46">
            <v>0.25978426052250259</v>
          </cell>
          <cell r="EY46" t="str">
            <v>No Sig diff</v>
          </cell>
          <cell r="EZ46">
            <v>174</v>
          </cell>
          <cell r="FA46">
            <v>66</v>
          </cell>
          <cell r="FB46">
            <v>0.37931034482758619</v>
          </cell>
          <cell r="FC46">
            <v>0.31055707756930351</v>
          </cell>
          <cell r="FD46">
            <v>0.45327751826391088</v>
          </cell>
          <cell r="FE46">
            <v>174</v>
          </cell>
          <cell r="FF46">
            <v>31</v>
          </cell>
          <cell r="FG46">
            <v>34</v>
          </cell>
          <cell r="FH46">
            <v>19.382352941176478</v>
          </cell>
          <cell r="FI46">
            <v>0.37476280834914588</v>
          </cell>
          <cell r="FJ46">
            <v>199</v>
          </cell>
          <cell r="FK46">
            <v>88</v>
          </cell>
          <cell r="FL46">
            <v>0.44221105527638194</v>
          </cell>
          <cell r="FM46">
            <v>0.37494971073800898</v>
          </cell>
          <cell r="FN46">
            <v>0.5116612408213006</v>
          </cell>
          <cell r="FO46">
            <v>199</v>
          </cell>
          <cell r="FP46">
            <v>33</v>
          </cell>
          <cell r="FQ46">
            <v>39</v>
          </cell>
          <cell r="FR46">
            <v>20.333333333333332</v>
          </cell>
          <cell r="FS46">
            <v>0.38383838383838387</v>
          </cell>
          <cell r="FT46">
            <v>1967</v>
          </cell>
          <cell r="FU46">
            <v>1849</v>
          </cell>
          <cell r="FV46">
            <v>118</v>
          </cell>
          <cell r="FW46">
            <v>101</v>
          </cell>
          <cell r="FX46">
            <v>17</v>
          </cell>
          <cell r="FY46">
            <v>0.85593220338983056</v>
          </cell>
          <cell r="FZ46">
            <v>0.1440677966101695</v>
          </cell>
          <cell r="GA46">
            <v>0.80888710055376711</v>
          </cell>
          <cell r="GB46">
            <v>0.1911128994462328</v>
          </cell>
          <cell r="GC46">
            <v>0.12559204496833837</v>
          </cell>
          <cell r="GD46">
            <v>0.27354270907748762</v>
          </cell>
          <cell r="GE46">
            <v>0.8403833820500487</v>
          </cell>
          <cell r="GF46">
            <v>0.1596166179499513</v>
          </cell>
          <cell r="GG46">
            <v>0.11019873582848602</v>
          </cell>
          <cell r="GH46">
            <v>0.25251994270496581</v>
          </cell>
          <cell r="GI46">
            <v>0.85686689853356524</v>
          </cell>
          <cell r="GJ46">
            <v>0.14313310146643482</v>
          </cell>
          <cell r="GK46">
            <v>9.5097773135579794E-2</v>
          </cell>
          <cell r="GL46">
            <v>0.23120482988549781</v>
          </cell>
          <cell r="GM46">
            <v>0.65537163453830127</v>
          </cell>
          <cell r="GN46">
            <v>0.34462836546169878</v>
          </cell>
          <cell r="GO46">
            <v>0.26503550667530684</v>
          </cell>
          <cell r="GP46">
            <v>0.44363588922569969</v>
          </cell>
          <cell r="GQ46">
            <v>55</v>
          </cell>
          <cell r="GR46">
            <v>53</v>
          </cell>
          <cell r="GS46">
            <v>54</v>
          </cell>
          <cell r="GT46">
            <v>53</v>
          </cell>
          <cell r="GU46">
            <v>54</v>
          </cell>
          <cell r="GV46">
            <v>50</v>
          </cell>
          <cell r="GW46">
            <v>46</v>
          </cell>
          <cell r="GX46">
            <v>44</v>
          </cell>
          <cell r="GY46">
            <v>46</v>
          </cell>
          <cell r="GZ46">
            <v>44</v>
          </cell>
          <cell r="HA46">
            <v>45</v>
          </cell>
          <cell r="HB46">
            <v>45</v>
          </cell>
          <cell r="HC46">
            <v>45</v>
          </cell>
          <cell r="HD46">
            <v>49</v>
          </cell>
          <cell r="HE46">
            <v>42</v>
          </cell>
          <cell r="HF46">
            <v>44</v>
          </cell>
          <cell r="HG46">
            <v>39</v>
          </cell>
          <cell r="HH46">
            <v>44</v>
          </cell>
          <cell r="HI46">
            <v>45</v>
          </cell>
          <cell r="HJ46">
            <v>41</v>
          </cell>
          <cell r="HK46">
            <v>45</v>
          </cell>
          <cell r="HL46">
            <v>41</v>
          </cell>
          <cell r="HM46">
            <v>47</v>
          </cell>
          <cell r="HN46">
            <v>17</v>
          </cell>
          <cell r="HO46">
            <v>1.9495412844036698E-2</v>
          </cell>
          <cell r="HP46">
            <v>1401</v>
          </cell>
          <cell r="HQ46">
            <v>1225</v>
          </cell>
          <cell r="HR46">
            <v>176</v>
          </cell>
          <cell r="HS46">
            <v>0.12562455389007851</v>
          </cell>
        </row>
        <row r="47">
          <cell r="A47" t="str">
            <v>Worthing Central</v>
          </cell>
          <cell r="C47" t="str">
            <v>Worthing</v>
          </cell>
          <cell r="D47" t="str">
            <v>Worthing</v>
          </cell>
          <cell r="E47" t="str">
            <v>Worthing</v>
          </cell>
          <cell r="F47" t="str">
            <v>CCC</v>
          </cell>
          <cell r="G47" t="str">
            <v>Marine, Tarring</v>
          </cell>
          <cell r="H47" t="str">
            <v>Worthing</v>
          </cell>
          <cell r="I47" t="str">
            <v>B</v>
          </cell>
          <cell r="J47" t="str">
            <v>Coastal West Sussex</v>
          </cell>
          <cell r="K47" t="str">
            <v>Worthing West</v>
          </cell>
          <cell r="L47">
            <v>15975</v>
          </cell>
          <cell r="M47">
            <v>16075</v>
          </cell>
          <cell r="N47">
            <v>16115</v>
          </cell>
          <cell r="O47">
            <v>16215</v>
          </cell>
          <cell r="P47">
            <v>16445</v>
          </cell>
          <cell r="Q47">
            <v>16465</v>
          </cell>
          <cell r="R47">
            <v>16535</v>
          </cell>
          <cell r="S47">
            <v>16690</v>
          </cell>
          <cell r="T47">
            <v>16745</v>
          </cell>
          <cell r="U47">
            <v>16800</v>
          </cell>
          <cell r="V47">
            <v>835</v>
          </cell>
          <cell r="W47">
            <v>820</v>
          </cell>
          <cell r="X47">
            <v>835</v>
          </cell>
          <cell r="Y47">
            <v>920</v>
          </cell>
          <cell r="Z47">
            <v>960</v>
          </cell>
          <cell r="AA47">
            <v>955</v>
          </cell>
          <cell r="AB47">
            <v>995</v>
          </cell>
          <cell r="AC47">
            <v>1040</v>
          </cell>
          <cell r="AD47">
            <v>995</v>
          </cell>
          <cell r="AE47">
            <v>950</v>
          </cell>
          <cell r="AF47">
            <v>0.87996127783155853</v>
          </cell>
          <cell r="AG47">
            <v>1.9361084220716359E-2</v>
          </cell>
          <cell r="AH47">
            <v>6.8731848983543078E-2</v>
          </cell>
          <cell r="AI47">
            <v>2.3233301064859633E-2</v>
          </cell>
          <cell r="AJ47">
            <v>5.8083252662149082E-3</v>
          </cell>
          <cell r="AK47">
            <v>2.9041626331074541E-3</v>
          </cell>
          <cell r="AL47">
            <v>0.12003872216844143</v>
          </cell>
          <cell r="AM47">
            <v>1920</v>
          </cell>
          <cell r="AN47">
            <v>0.72173006774361648</v>
          </cell>
          <cell r="AO47">
            <v>6.3574778530484627E-2</v>
          </cell>
          <cell r="AP47">
            <v>0.2146951537258989</v>
          </cell>
          <cell r="AQ47">
            <v>177</v>
          </cell>
          <cell r="AR47">
            <v>194</v>
          </cell>
          <cell r="AS47">
            <v>199</v>
          </cell>
          <cell r="AT47">
            <v>192</v>
          </cell>
          <cell r="AU47">
            <v>180</v>
          </cell>
          <cell r="AV47">
            <v>5</v>
          </cell>
          <cell r="AW47">
            <v>7</v>
          </cell>
          <cell r="AX47">
            <v>4</v>
          </cell>
          <cell r="AY47">
            <v>7</v>
          </cell>
          <cell r="AZ47">
            <v>6</v>
          </cell>
          <cell r="BA47">
            <v>19</v>
          </cell>
          <cell r="BB47">
            <v>0.10555555555555556</v>
          </cell>
          <cell r="BC47">
            <v>6.8622994329574208E-2</v>
          </cell>
          <cell r="BD47">
            <v>0.15897234291969828</v>
          </cell>
          <cell r="BE47">
            <v>10</v>
          </cell>
          <cell r="BF47">
            <v>305</v>
          </cell>
          <cell r="BG47">
            <v>362</v>
          </cell>
          <cell r="BH47">
            <v>126</v>
          </cell>
          <cell r="BI47">
            <v>0.11040218512385018</v>
          </cell>
          <cell r="BJ47">
            <v>1957</v>
          </cell>
          <cell r="BK47">
            <v>3375</v>
          </cell>
          <cell r="BL47">
            <v>1779</v>
          </cell>
          <cell r="BM47">
            <v>871</v>
          </cell>
          <cell r="BN47">
            <v>2</v>
          </cell>
          <cell r="BO47">
            <v>301</v>
          </cell>
          <cell r="BP47">
            <v>459</v>
          </cell>
          <cell r="BQ47">
            <v>146</v>
          </cell>
          <cell r="BR47">
            <v>95</v>
          </cell>
          <cell r="BS47">
            <v>95</v>
          </cell>
          <cell r="BT47">
            <v>65</v>
          </cell>
          <cell r="BU47">
            <v>410</v>
          </cell>
          <cell r="BV47">
            <v>120</v>
          </cell>
          <cell r="BW47">
            <v>0.29268292682926828</v>
          </cell>
          <cell r="BX47">
            <v>46</v>
          </cell>
          <cell r="BY47">
            <v>6</v>
          </cell>
          <cell r="BZ47">
            <v>284</v>
          </cell>
          <cell r="CA47">
            <v>3.7576078327599897E-2</v>
          </cell>
          <cell r="CB47">
            <v>125</v>
          </cell>
          <cell r="CC47">
            <v>135</v>
          </cell>
          <cell r="CD47">
            <v>150</v>
          </cell>
          <cell r="CE47">
            <v>115</v>
          </cell>
          <cell r="CF47">
            <v>330</v>
          </cell>
          <cell r="CG47">
            <v>9.7599999999999992E-2</v>
          </cell>
          <cell r="CH47">
            <v>290</v>
          </cell>
          <cell r="CI47">
            <v>8.660000000000001E-2</v>
          </cell>
          <cell r="CJ47">
            <v>295</v>
          </cell>
          <cell r="CK47">
            <v>9.8500000000000004E-2</v>
          </cell>
          <cell r="CL47">
            <v>260</v>
          </cell>
          <cell r="CM47">
            <v>9.8999999999999991E-2</v>
          </cell>
          <cell r="CN47">
            <v>295</v>
          </cell>
          <cell r="CO47">
            <v>0.10369999999999999</v>
          </cell>
          <cell r="CP47">
            <v>300</v>
          </cell>
          <cell r="CQ47">
            <v>0.10256410256410256</v>
          </cell>
          <cell r="CR47">
            <v>182</v>
          </cell>
          <cell r="CS47">
            <v>3</v>
          </cell>
          <cell r="CT47">
            <v>179</v>
          </cell>
          <cell r="CU47">
            <v>0.97499999999999998</v>
          </cell>
          <cell r="CV47">
            <v>81</v>
          </cell>
          <cell r="CW47">
            <v>101</v>
          </cell>
          <cell r="CX47">
            <v>0.46937373737373739</v>
          </cell>
          <cell r="CY47">
            <v>0.5735577200577201</v>
          </cell>
          <cell r="CZ47">
            <v>0.38135730949003172</v>
          </cell>
          <cell r="DA47">
            <v>0.52566603749446195</v>
          </cell>
          <cell r="DB47">
            <v>0.49100901444444317</v>
          </cell>
          <cell r="DC47">
            <v>0.6347829278706536</v>
          </cell>
          <cell r="DD47">
            <v>147</v>
          </cell>
          <cell r="DE47">
            <v>10</v>
          </cell>
          <cell r="DF47">
            <v>6.8027210884353748E-2</v>
          </cell>
          <cell r="DG47">
            <v>3.7367568349765325E-2</v>
          </cell>
          <cell r="DH47">
            <v>0.12068883740957281</v>
          </cell>
          <cell r="DI47" t="str">
            <v>No Sig diff</v>
          </cell>
          <cell r="DJ47">
            <v>180</v>
          </cell>
          <cell r="DK47">
            <v>12</v>
          </cell>
          <cell r="DL47">
            <v>6.6666666666666666E-2</v>
          </cell>
          <cell r="DM47">
            <v>3.8544074935702596E-2</v>
          </cell>
          <cell r="DN47">
            <v>0.11289868992969539</v>
          </cell>
          <cell r="DO47" t="str">
            <v>No Sig diff</v>
          </cell>
          <cell r="DP47">
            <v>162</v>
          </cell>
          <cell r="DQ47">
            <v>10</v>
          </cell>
          <cell r="DR47">
            <v>6.1728395061728392E-2</v>
          </cell>
          <cell r="DS47">
            <v>3.3871842697269186E-2</v>
          </cell>
          <cell r="DT47">
            <v>0.10988870421441249</v>
          </cell>
          <cell r="DU47" t="str">
            <v>No Sig diff</v>
          </cell>
          <cell r="DV47">
            <v>178</v>
          </cell>
          <cell r="DW47">
            <v>12</v>
          </cell>
          <cell r="DX47">
            <v>6.741573033707865E-2</v>
          </cell>
          <cell r="DY47">
            <v>3.898189964215943E-2</v>
          </cell>
          <cell r="DZ47">
            <v>0.11412652239347416</v>
          </cell>
          <cell r="EA47" t="str">
            <v>No Sig diff</v>
          </cell>
          <cell r="EB47">
            <v>152</v>
          </cell>
          <cell r="EC47">
            <v>23</v>
          </cell>
          <cell r="ED47">
            <v>0.15131578947368421</v>
          </cell>
          <cell r="EE47">
            <v>0.10299520465345144</v>
          </cell>
          <cell r="EF47">
            <v>0.21682635757948435</v>
          </cell>
          <cell r="EG47" t="str">
            <v>No Sig diff</v>
          </cell>
          <cell r="EH47">
            <v>148</v>
          </cell>
          <cell r="EI47">
            <v>18</v>
          </cell>
          <cell r="EJ47">
            <v>0.12162162162162163</v>
          </cell>
          <cell r="EK47">
            <v>7.833277129047371E-2</v>
          </cell>
          <cell r="EL47">
            <v>0.18405576956082262</v>
          </cell>
          <cell r="EM47" t="str">
            <v>Sig better than Eng.</v>
          </cell>
          <cell r="EN47">
            <v>151</v>
          </cell>
          <cell r="EO47">
            <v>26</v>
          </cell>
          <cell r="EP47">
            <v>0.17218543046357615</v>
          </cell>
          <cell r="EQ47">
            <v>0.1202985593941184</v>
          </cell>
          <cell r="ER47">
            <v>0.24033779243306463</v>
          </cell>
          <cell r="ES47" t="str">
            <v>No Sig diff</v>
          </cell>
          <cell r="ET47">
            <v>132</v>
          </cell>
          <cell r="EU47">
            <v>17</v>
          </cell>
          <cell r="EV47">
            <v>0.12878787878787878</v>
          </cell>
          <cell r="EW47">
            <v>8.1986655242001494E-2</v>
          </cell>
          <cell r="EX47">
            <v>0.19658410768423812</v>
          </cell>
          <cell r="EY47" t="str">
            <v>No Sig diff</v>
          </cell>
          <cell r="EZ47">
            <v>200</v>
          </cell>
          <cell r="FA47">
            <v>109</v>
          </cell>
          <cell r="FB47">
            <v>0.54500000000000004</v>
          </cell>
          <cell r="FC47">
            <v>0.475786113724881</v>
          </cell>
          <cell r="FD47">
            <v>0.61251780690116497</v>
          </cell>
          <cell r="FE47">
            <v>200</v>
          </cell>
          <cell r="FF47">
            <v>34</v>
          </cell>
          <cell r="FG47">
            <v>40</v>
          </cell>
          <cell r="FH47">
            <v>26.749999999999996</v>
          </cell>
          <cell r="FI47">
            <v>0.21323529411764716</v>
          </cell>
          <cell r="FJ47">
            <v>212</v>
          </cell>
          <cell r="FK47">
            <v>123</v>
          </cell>
          <cell r="FL47">
            <v>0.58018867924528306</v>
          </cell>
          <cell r="FM47">
            <v>0.51290566369236901</v>
          </cell>
          <cell r="FN47">
            <v>0.64461736355998478</v>
          </cell>
          <cell r="FO47">
            <v>212</v>
          </cell>
          <cell r="FP47">
            <v>34</v>
          </cell>
          <cell r="FQ47">
            <v>42</v>
          </cell>
          <cell r="FR47">
            <v>26.61904761904762</v>
          </cell>
          <cell r="FS47">
            <v>0.21708683473389351</v>
          </cell>
          <cell r="FT47">
            <v>2349</v>
          </cell>
          <cell r="FU47">
            <v>2302</v>
          </cell>
          <cell r="FV47">
            <v>47</v>
          </cell>
          <cell r="FW47">
            <v>38</v>
          </cell>
          <cell r="FX47">
            <v>9</v>
          </cell>
          <cell r="FY47">
            <v>0.80851063829787229</v>
          </cell>
          <cell r="FZ47">
            <v>0.19148936170212766</v>
          </cell>
          <cell r="GA47">
            <v>0.90526844070961732</v>
          </cell>
          <cell r="GB47">
            <v>9.4731559290382822E-2</v>
          </cell>
          <cell r="GC47">
            <v>6.0704434258640506E-2</v>
          </cell>
          <cell r="GD47">
            <v>0.17357043245469891</v>
          </cell>
          <cell r="GE47">
            <v>0.91740079365079374</v>
          </cell>
          <cell r="GF47">
            <v>8.2599206349206339E-2</v>
          </cell>
          <cell r="GG47">
            <v>4.7917980164869027E-2</v>
          </cell>
          <cell r="GH47">
            <v>0.15269863893147434</v>
          </cell>
          <cell r="GI47">
            <v>0.925436507936508</v>
          </cell>
          <cell r="GJ47">
            <v>7.4563492063492068E-2</v>
          </cell>
          <cell r="GK47">
            <v>4.7917980164869027E-2</v>
          </cell>
          <cell r="GL47">
            <v>0.15269863893147434</v>
          </cell>
          <cell r="GM47">
            <v>0.83954481792717084</v>
          </cell>
          <cell r="GN47">
            <v>0.16045518207282913</v>
          </cell>
          <cell r="GO47">
            <v>0.11549589521930297</v>
          </cell>
          <cell r="GP47">
            <v>0.25341196196202076</v>
          </cell>
          <cell r="GQ47">
            <v>39</v>
          </cell>
          <cell r="GR47">
            <v>39</v>
          </cell>
          <cell r="GS47">
            <v>39</v>
          </cell>
          <cell r="GT47">
            <v>39</v>
          </cell>
          <cell r="GU47">
            <v>39</v>
          </cell>
          <cell r="GV47">
            <v>45</v>
          </cell>
          <cell r="GW47">
            <v>43</v>
          </cell>
          <cell r="GX47">
            <v>45</v>
          </cell>
          <cell r="GY47">
            <v>43</v>
          </cell>
          <cell r="GZ47">
            <v>45</v>
          </cell>
          <cell r="HA47">
            <v>45</v>
          </cell>
          <cell r="HB47">
            <v>43</v>
          </cell>
          <cell r="HC47">
            <v>45</v>
          </cell>
          <cell r="HD47">
            <v>59</v>
          </cell>
          <cell r="HE47">
            <v>56</v>
          </cell>
          <cell r="HF47">
            <v>54</v>
          </cell>
          <cell r="HG47">
            <v>54</v>
          </cell>
          <cell r="HH47">
            <v>57</v>
          </cell>
          <cell r="HI47">
            <v>58</v>
          </cell>
          <cell r="HJ47">
            <v>57</v>
          </cell>
          <cell r="HK47">
            <v>57</v>
          </cell>
          <cell r="HL47">
            <v>57</v>
          </cell>
          <cell r="HM47">
            <v>58</v>
          </cell>
          <cell r="HN47">
            <v>13</v>
          </cell>
          <cell r="HO47">
            <v>1.2584704743465635E-2</v>
          </cell>
          <cell r="HP47">
            <v>1567</v>
          </cell>
          <cell r="HQ47">
            <v>1408</v>
          </cell>
          <cell r="HR47">
            <v>159</v>
          </cell>
          <cell r="HS47">
            <v>0.10146777281429484</v>
          </cell>
        </row>
        <row r="48">
          <cell r="A48" t="str">
            <v>CFC Group - Adur East</v>
          </cell>
          <cell r="C48" t="str">
            <v>n/a</v>
          </cell>
          <cell r="D48" t="str">
            <v>CFC Group - Adur East</v>
          </cell>
          <cell r="E48" t="str">
            <v>Adur</v>
          </cell>
          <cell r="G48" t="str">
            <v>n/a</v>
          </cell>
          <cell r="H48" t="str">
            <v>n/a</v>
          </cell>
          <cell r="I48" t="str">
            <v>n/a</v>
          </cell>
          <cell r="J48" t="str">
            <v>Coastal West Sussex</v>
          </cell>
          <cell r="K48" t="str">
            <v>East Worthing and Shoreham</v>
          </cell>
          <cell r="L48">
            <v>27300</v>
          </cell>
          <cell r="M48">
            <v>27205</v>
          </cell>
          <cell r="N48">
            <v>27465</v>
          </cell>
          <cell r="O48">
            <v>27495</v>
          </cell>
          <cell r="P48">
            <v>27515</v>
          </cell>
          <cell r="Q48">
            <v>27770</v>
          </cell>
          <cell r="R48">
            <v>27820</v>
          </cell>
          <cell r="S48">
            <v>27855</v>
          </cell>
          <cell r="T48">
            <v>28125</v>
          </cell>
          <cell r="U48">
            <v>28580</v>
          </cell>
          <cell r="V48">
            <v>1470</v>
          </cell>
          <cell r="W48">
            <v>1455</v>
          </cell>
          <cell r="X48">
            <v>1510</v>
          </cell>
          <cell r="Y48">
            <v>1510</v>
          </cell>
          <cell r="Z48">
            <v>1565</v>
          </cell>
          <cell r="AA48">
            <v>1590</v>
          </cell>
          <cell r="AB48">
            <v>1630</v>
          </cell>
          <cell r="AC48">
            <v>1710</v>
          </cell>
          <cell r="AD48">
            <v>1770</v>
          </cell>
          <cell r="AE48">
            <v>1825</v>
          </cell>
          <cell r="AF48">
            <v>0.89380530973451322</v>
          </cell>
          <cell r="AG48">
            <v>2.0648967551622419E-2</v>
          </cell>
          <cell r="AH48">
            <v>4.1297935103244837E-2</v>
          </cell>
          <cell r="AI48">
            <v>2.9498525073746312E-2</v>
          </cell>
          <cell r="AJ48">
            <v>2.9498525073746312E-3</v>
          </cell>
          <cell r="AK48">
            <v>1.1799410029498525E-2</v>
          </cell>
          <cell r="AL48">
            <v>0.10619469026548672</v>
          </cell>
          <cell r="AM48">
            <v>3208</v>
          </cell>
          <cell r="AN48">
            <v>0.5960099750623441</v>
          </cell>
          <cell r="AO48">
            <v>0.20511221945137156</v>
          </cell>
          <cell r="AP48">
            <v>0.19887780548628428</v>
          </cell>
          <cell r="AQ48">
            <v>259</v>
          </cell>
          <cell r="AR48">
            <v>293</v>
          </cell>
          <cell r="AS48">
            <v>276</v>
          </cell>
          <cell r="AT48">
            <v>316</v>
          </cell>
          <cell r="AU48">
            <v>317</v>
          </cell>
          <cell r="AV48">
            <v>17</v>
          </cell>
          <cell r="AW48">
            <v>12</v>
          </cell>
          <cell r="AX48">
            <v>12</v>
          </cell>
          <cell r="AY48">
            <v>11</v>
          </cell>
          <cell r="AZ48">
            <v>13</v>
          </cell>
          <cell r="BA48">
            <v>21</v>
          </cell>
          <cell r="BB48">
            <v>6.6246056782334389E-2</v>
          </cell>
          <cell r="BC48">
            <v>4.373390669612897E-2</v>
          </cell>
          <cell r="BD48">
            <v>9.9144943777846523E-2</v>
          </cell>
          <cell r="BE48">
            <v>24</v>
          </cell>
          <cell r="BF48">
            <v>555</v>
          </cell>
          <cell r="BG48">
            <v>572</v>
          </cell>
          <cell r="BH48">
            <v>212</v>
          </cell>
          <cell r="BI48">
            <v>6.2982768865121802E-2</v>
          </cell>
          <cell r="BJ48">
            <v>3366</v>
          </cell>
          <cell r="BK48">
            <v>5787</v>
          </cell>
          <cell r="BL48">
            <v>3378</v>
          </cell>
          <cell r="BM48">
            <v>1740</v>
          </cell>
          <cell r="BN48">
            <v>4</v>
          </cell>
          <cell r="BO48">
            <v>585</v>
          </cell>
          <cell r="BP48">
            <v>790</v>
          </cell>
          <cell r="BQ48">
            <v>259</v>
          </cell>
          <cell r="BR48">
            <v>280</v>
          </cell>
          <cell r="BS48">
            <v>235</v>
          </cell>
          <cell r="BT48">
            <v>200</v>
          </cell>
          <cell r="BU48">
            <v>789</v>
          </cell>
          <cell r="BV48">
            <v>307</v>
          </cell>
          <cell r="BW48">
            <v>0.38910012674271227</v>
          </cell>
          <cell r="BX48">
            <v>64</v>
          </cell>
          <cell r="BY48" t="str">
            <v>n/a</v>
          </cell>
          <cell r="BZ48">
            <v>645</v>
          </cell>
          <cell r="CA48">
            <v>5.3580328958298722E-2</v>
          </cell>
          <cell r="CB48">
            <v>380</v>
          </cell>
          <cell r="CC48">
            <v>375</v>
          </cell>
          <cell r="CD48">
            <v>370</v>
          </cell>
          <cell r="CE48">
            <v>340</v>
          </cell>
          <cell r="CF48">
            <v>895</v>
          </cell>
          <cell r="CG48">
            <v>0.18011697985441</v>
          </cell>
          <cell r="CH48">
            <v>905</v>
          </cell>
          <cell r="CI48">
            <v>0.17256772141302529</v>
          </cell>
          <cell r="CJ48">
            <v>975</v>
          </cell>
          <cell r="CK48">
            <v>0.18370287490287487</v>
          </cell>
          <cell r="CL48">
            <v>935</v>
          </cell>
          <cell r="CM48">
            <v>0.16952676497596283</v>
          </cell>
          <cell r="CN48">
            <v>965</v>
          </cell>
          <cell r="CO48">
            <v>0.16842979012927198</v>
          </cell>
          <cell r="CP48">
            <v>930</v>
          </cell>
          <cell r="CQ48">
            <v>0.18058252427184465</v>
          </cell>
          <cell r="CR48">
            <v>319</v>
          </cell>
          <cell r="CS48">
            <v>20</v>
          </cell>
          <cell r="CT48">
            <v>299</v>
          </cell>
          <cell r="CU48">
            <v>0.93730407523510972</v>
          </cell>
          <cell r="CV48">
            <v>124</v>
          </cell>
          <cell r="CW48">
            <v>166</v>
          </cell>
          <cell r="CX48">
            <v>0.41471571906354515</v>
          </cell>
          <cell r="CY48">
            <v>0.55518394648829428</v>
          </cell>
          <cell r="CZ48">
            <v>0.36029897736062799</v>
          </cell>
          <cell r="DA48">
            <v>0.47129607505194154</v>
          </cell>
          <cell r="DB48">
            <v>0.49851037608616161</v>
          </cell>
          <cell r="DC48">
            <v>0.61045753117629342</v>
          </cell>
          <cell r="DD48">
            <v>213</v>
          </cell>
          <cell r="DE48">
            <v>10</v>
          </cell>
          <cell r="DF48">
            <v>4.6948356807511735E-2</v>
          </cell>
          <cell r="DG48">
            <v>2.5698400422747351E-2</v>
          </cell>
          <cell r="DH48">
            <v>8.425040249694056E-2</v>
          </cell>
          <cell r="DI48" t="str">
            <v>Sig better than Eng.</v>
          </cell>
          <cell r="DJ48">
            <v>276</v>
          </cell>
          <cell r="DK48">
            <v>15</v>
          </cell>
          <cell r="DL48">
            <v>5.434782608695652E-2</v>
          </cell>
          <cell r="DM48">
            <v>3.3208743744781791E-2</v>
          </cell>
          <cell r="DN48">
            <v>8.7722082456984568E-2</v>
          </cell>
          <cell r="DO48" t="str">
            <v>Sig better than Eng.</v>
          </cell>
          <cell r="DP48">
            <v>224</v>
          </cell>
          <cell r="DQ48">
            <v>22</v>
          </cell>
          <cell r="DR48">
            <v>9.8214285714285712E-2</v>
          </cell>
          <cell r="DS48">
            <v>6.5756221573603557E-2</v>
          </cell>
          <cell r="DT48">
            <v>0.14422074692160006</v>
          </cell>
          <cell r="DU48" t="str">
            <v>No Sig diff</v>
          </cell>
          <cell r="DV48">
            <v>279</v>
          </cell>
          <cell r="DW48">
            <v>28</v>
          </cell>
          <cell r="DX48">
            <v>0.1003584229390681</v>
          </cell>
          <cell r="DY48">
            <v>7.0350311392395601E-2</v>
          </cell>
          <cell r="DZ48">
            <v>0.14122213300879916</v>
          </cell>
          <cell r="EA48" t="str">
            <v>No Sig diff</v>
          </cell>
          <cell r="EB48">
            <v>238</v>
          </cell>
          <cell r="EC48">
            <v>44</v>
          </cell>
          <cell r="ED48">
            <v>0.18487394957983194</v>
          </cell>
          <cell r="EE48">
            <v>0.14069884589089099</v>
          </cell>
          <cell r="EF48">
            <v>0.23906010556658902</v>
          </cell>
          <cell r="EG48" t="str">
            <v>No Sig diff</v>
          </cell>
          <cell r="EH48">
            <v>214</v>
          </cell>
          <cell r="EI48">
            <v>46</v>
          </cell>
          <cell r="EJ48">
            <v>0.21495327102803738</v>
          </cell>
          <cell r="EK48">
            <v>0.16519838423066768</v>
          </cell>
          <cell r="EL48">
            <v>0.2747612971795706</v>
          </cell>
          <cell r="EM48" t="str">
            <v>No Sig diff</v>
          </cell>
          <cell r="EN48">
            <v>218</v>
          </cell>
          <cell r="EO48">
            <v>36</v>
          </cell>
          <cell r="EP48">
            <v>0.16513761467889909</v>
          </cell>
          <cell r="EQ48">
            <v>0.12173288009530026</v>
          </cell>
          <cell r="ER48">
            <v>0.22013946073704996</v>
          </cell>
          <cell r="ES48" t="str">
            <v>No Sig diff</v>
          </cell>
          <cell r="ET48">
            <v>215</v>
          </cell>
          <cell r="EU48">
            <v>46</v>
          </cell>
          <cell r="EV48">
            <v>0.21395348837209302</v>
          </cell>
          <cell r="EW48">
            <v>0.16440969363966532</v>
          </cell>
          <cell r="EX48">
            <v>0.27353958405739576</v>
          </cell>
          <cell r="EY48" t="str">
            <v>No Sig diff</v>
          </cell>
          <cell r="EZ48">
            <v>314</v>
          </cell>
          <cell r="FA48">
            <v>156</v>
          </cell>
          <cell r="FB48">
            <v>0.49681528662420382</v>
          </cell>
          <cell r="FC48">
            <v>0.44188651347485403</v>
          </cell>
          <cell r="FD48">
            <v>0.55182104120532927</v>
          </cell>
          <cell r="FE48">
            <v>314</v>
          </cell>
          <cell r="FF48">
            <v>34</v>
          </cell>
          <cell r="FG48">
            <v>62</v>
          </cell>
          <cell r="FH48">
            <v>22.870967741935495</v>
          </cell>
          <cell r="FI48">
            <v>0.32732447817836779</v>
          </cell>
          <cell r="FJ48">
            <v>294</v>
          </cell>
          <cell r="FK48">
            <v>174</v>
          </cell>
          <cell r="FL48">
            <v>0.59183673469387754</v>
          </cell>
          <cell r="FM48">
            <v>0.53482179706187938</v>
          </cell>
          <cell r="FN48">
            <v>0.64648271378027622</v>
          </cell>
          <cell r="FO48">
            <v>294</v>
          </cell>
          <cell r="FP48">
            <v>34</v>
          </cell>
          <cell r="FQ48">
            <v>58</v>
          </cell>
          <cell r="FR48">
            <v>25.379310344827587</v>
          </cell>
          <cell r="FS48">
            <v>0.25354969574036507</v>
          </cell>
          <cell r="FT48">
            <v>4052</v>
          </cell>
          <cell r="FU48">
            <v>3973</v>
          </cell>
          <cell r="FV48">
            <v>79</v>
          </cell>
          <cell r="FW48">
            <v>73</v>
          </cell>
          <cell r="FX48">
            <v>6</v>
          </cell>
          <cell r="FY48">
            <v>0.92405063291139244</v>
          </cell>
          <cell r="FZ48">
            <v>7.5949367088607597E-2</v>
          </cell>
          <cell r="GQ48">
            <v>93</v>
          </cell>
          <cell r="GR48">
            <v>85</v>
          </cell>
          <cell r="GS48">
            <v>86</v>
          </cell>
          <cell r="GT48">
            <v>88</v>
          </cell>
          <cell r="GU48">
            <v>86</v>
          </cell>
          <cell r="GV48">
            <v>66</v>
          </cell>
          <cell r="GW48">
            <v>64</v>
          </cell>
          <cell r="GX48">
            <v>65</v>
          </cell>
          <cell r="GY48">
            <v>62</v>
          </cell>
          <cell r="GZ48">
            <v>65</v>
          </cell>
          <cell r="HA48">
            <v>65</v>
          </cell>
          <cell r="HB48">
            <v>62</v>
          </cell>
          <cell r="HC48">
            <v>65</v>
          </cell>
          <cell r="HD48">
            <v>71</v>
          </cell>
          <cell r="HE48">
            <v>67</v>
          </cell>
          <cell r="HF48">
            <v>67</v>
          </cell>
          <cell r="HG48">
            <v>64</v>
          </cell>
          <cell r="HH48">
            <v>67</v>
          </cell>
          <cell r="HI48">
            <v>68</v>
          </cell>
          <cell r="HJ48">
            <v>63</v>
          </cell>
          <cell r="HK48">
            <v>66</v>
          </cell>
          <cell r="HL48">
            <v>63</v>
          </cell>
          <cell r="HM48">
            <v>68</v>
          </cell>
          <cell r="HN48">
            <v>48</v>
          </cell>
          <cell r="HO48">
            <v>2.8301886792452831E-2</v>
          </cell>
          <cell r="HP48">
            <v>2641</v>
          </cell>
          <cell r="HQ48">
            <v>2287</v>
          </cell>
          <cell r="HR48">
            <v>354</v>
          </cell>
          <cell r="HS48">
            <v>0.13404013631200304</v>
          </cell>
        </row>
        <row r="49">
          <cell r="A49" t="str">
            <v>CFC Group - Adur West</v>
          </cell>
          <cell r="C49" t="str">
            <v>n/a</v>
          </cell>
          <cell r="D49" t="str">
            <v>CFC Group - Adur West</v>
          </cell>
          <cell r="E49" t="str">
            <v>Adur</v>
          </cell>
          <cell r="G49" t="str">
            <v>n/a</v>
          </cell>
          <cell r="H49" t="str">
            <v>n/a</v>
          </cell>
          <cell r="I49" t="str">
            <v>n/a</v>
          </cell>
          <cell r="J49" t="str">
            <v>Coastal West Sussex</v>
          </cell>
          <cell r="K49" t="str">
            <v>East Worthing and Shoreham</v>
          </cell>
          <cell r="L49">
            <v>29760</v>
          </cell>
          <cell r="M49">
            <v>29685</v>
          </cell>
          <cell r="N49">
            <v>29960</v>
          </cell>
          <cell r="O49">
            <v>30165</v>
          </cell>
          <cell r="P49">
            <v>30300</v>
          </cell>
          <cell r="Q49">
            <v>30380</v>
          </cell>
          <cell r="R49">
            <v>30535</v>
          </cell>
          <cell r="S49">
            <v>30635</v>
          </cell>
          <cell r="T49">
            <v>30915</v>
          </cell>
          <cell r="U49">
            <v>31085</v>
          </cell>
          <cell r="V49">
            <v>1465</v>
          </cell>
          <cell r="W49">
            <v>1435</v>
          </cell>
          <cell r="X49">
            <v>1470</v>
          </cell>
          <cell r="Y49">
            <v>1535</v>
          </cell>
          <cell r="Z49">
            <v>1520</v>
          </cell>
          <cell r="AA49">
            <v>1640</v>
          </cell>
          <cell r="AB49">
            <v>1725</v>
          </cell>
          <cell r="AC49">
            <v>1755</v>
          </cell>
          <cell r="AD49">
            <v>1805</v>
          </cell>
          <cell r="AE49">
            <v>1840</v>
          </cell>
          <cell r="AF49">
            <v>0.89565217391304353</v>
          </cell>
          <cell r="AG49">
            <v>3.4782608695652174E-2</v>
          </cell>
          <cell r="AH49">
            <v>4.3478260869565216E-2</v>
          </cell>
          <cell r="AI49">
            <v>1.7391304347826087E-2</v>
          </cell>
          <cell r="AJ49">
            <v>2.8985507246376812E-3</v>
          </cell>
          <cell r="AK49">
            <v>5.7971014492753624E-3</v>
          </cell>
          <cell r="AL49">
            <v>0.10434782608695652</v>
          </cell>
          <cell r="AM49">
            <v>3211</v>
          </cell>
          <cell r="AN49">
            <v>0.62099034568670197</v>
          </cell>
          <cell r="AO49">
            <v>0.16256617876051074</v>
          </cell>
          <cell r="AP49">
            <v>0.21644347555278728</v>
          </cell>
          <cell r="AQ49">
            <v>354</v>
          </cell>
          <cell r="AR49">
            <v>346</v>
          </cell>
          <cell r="AS49">
            <v>345</v>
          </cell>
          <cell r="AT49">
            <v>377</v>
          </cell>
          <cell r="AU49">
            <v>371</v>
          </cell>
          <cell r="AV49">
            <v>22</v>
          </cell>
          <cell r="AW49">
            <v>26</v>
          </cell>
          <cell r="AX49">
            <v>15</v>
          </cell>
          <cell r="AY49">
            <v>21</v>
          </cell>
          <cell r="AZ49">
            <v>11</v>
          </cell>
          <cell r="BA49">
            <v>22</v>
          </cell>
          <cell r="BB49">
            <v>5.9299191374663072E-2</v>
          </cell>
          <cell r="BC49">
            <v>3.9483053394127665E-2</v>
          </cell>
          <cell r="BD49">
            <v>8.8148129589767241E-2</v>
          </cell>
          <cell r="BE49">
            <v>27</v>
          </cell>
          <cell r="BF49">
            <v>589</v>
          </cell>
          <cell r="BG49">
            <v>517</v>
          </cell>
          <cell r="BH49">
            <v>247</v>
          </cell>
          <cell r="BI49">
            <v>7.439759036144579E-2</v>
          </cell>
          <cell r="BJ49">
            <v>3320</v>
          </cell>
          <cell r="BK49">
            <v>5743</v>
          </cell>
          <cell r="BL49">
            <v>3348</v>
          </cell>
          <cell r="BM49">
            <v>1712</v>
          </cell>
          <cell r="BN49">
            <v>2</v>
          </cell>
          <cell r="BO49">
            <v>565</v>
          </cell>
          <cell r="BP49">
            <v>802</v>
          </cell>
          <cell r="BQ49">
            <v>267</v>
          </cell>
          <cell r="BR49">
            <v>265</v>
          </cell>
          <cell r="BS49">
            <v>275</v>
          </cell>
          <cell r="BT49">
            <v>260</v>
          </cell>
          <cell r="BU49">
            <v>802</v>
          </cell>
          <cell r="BV49">
            <v>325</v>
          </cell>
          <cell r="BW49">
            <v>0.40523690773067333</v>
          </cell>
          <cell r="BX49">
            <v>92</v>
          </cell>
          <cell r="BY49" t="str">
            <v>n/a</v>
          </cell>
          <cell r="BZ49">
            <v>644</v>
          </cell>
          <cell r="CA49">
            <v>4.6592388945159893E-2</v>
          </cell>
          <cell r="CB49">
            <v>380</v>
          </cell>
          <cell r="CC49">
            <v>340</v>
          </cell>
          <cell r="CD49">
            <v>355</v>
          </cell>
          <cell r="CE49">
            <v>335</v>
          </cell>
          <cell r="CF49">
            <v>870</v>
          </cell>
          <cell r="CG49">
            <v>0.17352507836990594</v>
          </cell>
          <cell r="CH49">
            <v>855</v>
          </cell>
          <cell r="CI49">
            <v>0.17224313308523834</v>
          </cell>
          <cell r="CJ49">
            <v>985</v>
          </cell>
          <cell r="CK49">
            <v>0.18749792339640056</v>
          </cell>
          <cell r="CL49">
            <v>880</v>
          </cell>
          <cell r="CM49">
            <v>0.16750447658402201</v>
          </cell>
          <cell r="CN49">
            <v>925</v>
          </cell>
          <cell r="CO49">
            <v>0.16530515970515972</v>
          </cell>
          <cell r="CP49">
            <v>785</v>
          </cell>
          <cell r="CQ49">
            <v>0.15287244401168451</v>
          </cell>
          <cell r="CR49">
            <v>379</v>
          </cell>
          <cell r="CS49">
            <v>26</v>
          </cell>
          <cell r="CT49">
            <v>353</v>
          </cell>
          <cell r="CU49">
            <v>0.93139841688654357</v>
          </cell>
          <cell r="CV49">
            <v>131</v>
          </cell>
          <cell r="CW49">
            <v>163</v>
          </cell>
          <cell r="CX49">
            <v>0.37110481586402266</v>
          </cell>
          <cell r="CY49">
            <v>0.46175637393767704</v>
          </cell>
          <cell r="CZ49">
            <v>0.32234894432887634</v>
          </cell>
          <cell r="DA49">
            <v>0.42263584443210189</v>
          </cell>
          <cell r="DB49">
            <v>0.41044073960374611</v>
          </cell>
          <cell r="DC49">
            <v>0.51389540651214849</v>
          </cell>
          <cell r="DD49">
            <v>264</v>
          </cell>
          <cell r="DE49">
            <v>17</v>
          </cell>
          <cell r="DF49">
            <v>6.4393939393939392E-2</v>
          </cell>
          <cell r="DG49">
            <v>4.0589617518918868E-2</v>
          </cell>
          <cell r="DH49">
            <v>0.10069343472889242</v>
          </cell>
          <cell r="DI49" t="str">
            <v>No Sig diff</v>
          </cell>
          <cell r="DJ49">
            <v>287</v>
          </cell>
          <cell r="DK49">
            <v>27</v>
          </cell>
          <cell r="DL49">
            <v>9.4076655052264813E-2</v>
          </cell>
          <cell r="DM49">
            <v>6.5461356844761939E-2</v>
          </cell>
          <cell r="DN49">
            <v>0.13341489365690332</v>
          </cell>
          <cell r="DO49" t="str">
            <v>No Sig diff</v>
          </cell>
          <cell r="DP49">
            <v>272</v>
          </cell>
          <cell r="DQ49">
            <v>29</v>
          </cell>
          <cell r="DR49">
            <v>0.10661764705882353</v>
          </cell>
          <cell r="DS49">
            <v>7.5265326856754355E-2</v>
          </cell>
          <cell r="DT49">
            <v>0.14892671115335882</v>
          </cell>
          <cell r="DU49" t="str">
            <v>No Sig diff</v>
          </cell>
          <cell r="DV49">
            <v>315</v>
          </cell>
          <cell r="DW49">
            <v>22</v>
          </cell>
          <cell r="DX49">
            <v>6.9841269841269843E-2</v>
          </cell>
          <cell r="DY49">
            <v>4.6571287675486066E-2</v>
          </cell>
          <cell r="DZ49">
            <v>0.10347651036698424</v>
          </cell>
          <cell r="EA49" t="str">
            <v>No Sig diff</v>
          </cell>
          <cell r="EB49">
            <v>244</v>
          </cell>
          <cell r="EC49">
            <v>45</v>
          </cell>
          <cell r="ED49">
            <v>0.18442622950819673</v>
          </cell>
          <cell r="EE49">
            <v>0.14078630607299766</v>
          </cell>
          <cell r="EF49">
            <v>0.23784872644827881</v>
          </cell>
          <cell r="EG49" t="str">
            <v>No Sig diff</v>
          </cell>
          <cell r="EH49">
            <v>254</v>
          </cell>
          <cell r="EI49">
            <v>33</v>
          </cell>
          <cell r="EJ49">
            <v>0.12992125984251968</v>
          </cell>
          <cell r="EK49">
            <v>9.4027695335937009E-2</v>
          </cell>
          <cell r="EL49">
            <v>0.17684208309353841</v>
          </cell>
          <cell r="EM49" t="str">
            <v>Sig better than Eng.</v>
          </cell>
          <cell r="EN49">
            <v>222</v>
          </cell>
          <cell r="EO49">
            <v>39</v>
          </cell>
          <cell r="EP49">
            <v>0.17567567567567569</v>
          </cell>
          <cell r="EQ49">
            <v>0.13125584687818342</v>
          </cell>
          <cell r="ER49">
            <v>0.23112871815277405</v>
          </cell>
          <cell r="ES49" t="str">
            <v>No Sig diff</v>
          </cell>
          <cell r="ET49">
            <v>246</v>
          </cell>
          <cell r="EU49">
            <v>32</v>
          </cell>
          <cell r="EV49">
            <v>0.13008130081300814</v>
          </cell>
          <cell r="EW49">
            <v>9.3670872414040679E-2</v>
          </cell>
          <cell r="EX49">
            <v>0.1778671627099957</v>
          </cell>
          <cell r="EY49" t="str">
            <v>Sig better than Eng.</v>
          </cell>
          <cell r="EZ49">
            <v>347</v>
          </cell>
          <cell r="FA49">
            <v>171</v>
          </cell>
          <cell r="FB49">
            <v>0.49279538904899134</v>
          </cell>
          <cell r="FC49">
            <v>0.4405602602109211</v>
          </cell>
          <cell r="FD49">
            <v>0.54518828838762023</v>
          </cell>
          <cell r="FE49">
            <v>347</v>
          </cell>
          <cell r="FF49">
            <v>34</v>
          </cell>
          <cell r="FG49">
            <v>69</v>
          </cell>
          <cell r="FH49">
            <v>21.420289855072468</v>
          </cell>
          <cell r="FI49">
            <v>0.36999147485080974</v>
          </cell>
          <cell r="FJ49">
            <v>335</v>
          </cell>
          <cell r="FK49">
            <v>184</v>
          </cell>
          <cell r="FL49">
            <v>0.54925373134328359</v>
          </cell>
          <cell r="FM49">
            <v>0.49571356302278635</v>
          </cell>
          <cell r="FN49">
            <v>0.60167711672122548</v>
          </cell>
          <cell r="FO49">
            <v>335</v>
          </cell>
          <cell r="FP49">
            <v>34</v>
          </cell>
          <cell r="FQ49">
            <v>66</v>
          </cell>
          <cell r="FR49">
            <v>21.621212121212125</v>
          </cell>
          <cell r="FS49">
            <v>0.36408199643493749</v>
          </cell>
          <cell r="FT49">
            <v>4003</v>
          </cell>
          <cell r="FU49">
            <v>3955</v>
          </cell>
          <cell r="FV49">
            <v>48</v>
          </cell>
          <cell r="FW49">
            <v>39</v>
          </cell>
          <cell r="FX49">
            <v>9</v>
          </cell>
          <cell r="FY49">
            <v>0.8125</v>
          </cell>
          <cell r="FZ49">
            <v>0.1875</v>
          </cell>
          <cell r="GQ49">
            <v>96</v>
          </cell>
          <cell r="GR49">
            <v>94</v>
          </cell>
          <cell r="GS49">
            <v>94</v>
          </cell>
          <cell r="GT49">
            <v>95</v>
          </cell>
          <cell r="GU49">
            <v>94</v>
          </cell>
          <cell r="GV49">
            <v>106</v>
          </cell>
          <cell r="GW49">
            <v>101</v>
          </cell>
          <cell r="GX49">
            <v>104</v>
          </cell>
          <cell r="GY49">
            <v>100</v>
          </cell>
          <cell r="GZ49">
            <v>103</v>
          </cell>
          <cell r="HA49">
            <v>105</v>
          </cell>
          <cell r="HB49">
            <v>102</v>
          </cell>
          <cell r="HC49">
            <v>104</v>
          </cell>
          <cell r="HD49">
            <v>88</v>
          </cell>
          <cell r="HE49">
            <v>84</v>
          </cell>
          <cell r="HF49">
            <v>82</v>
          </cell>
          <cell r="HG49">
            <v>80</v>
          </cell>
          <cell r="HH49">
            <v>82</v>
          </cell>
          <cell r="HI49">
            <v>83</v>
          </cell>
          <cell r="HJ49">
            <v>82</v>
          </cell>
          <cell r="HK49">
            <v>84</v>
          </cell>
          <cell r="HL49">
            <v>83</v>
          </cell>
          <cell r="HM49">
            <v>83</v>
          </cell>
          <cell r="HN49">
            <v>31</v>
          </cell>
          <cell r="HO49">
            <v>1.7971014492753623E-2</v>
          </cell>
          <cell r="HP49">
            <v>2686</v>
          </cell>
          <cell r="HQ49">
            <v>2343</v>
          </cell>
          <cell r="HR49">
            <v>343</v>
          </cell>
          <cell r="HS49">
            <v>0.12769918093819807</v>
          </cell>
        </row>
        <row r="50">
          <cell r="A50" t="str">
            <v>CFC Group - Arun East</v>
          </cell>
          <cell r="C50" t="str">
            <v>n/a</v>
          </cell>
          <cell r="D50" t="str">
            <v>CFC Group - Arun East</v>
          </cell>
          <cell r="E50" t="str">
            <v>Arun</v>
          </cell>
          <cell r="G50" t="str">
            <v>n/a</v>
          </cell>
          <cell r="H50" t="str">
            <v>n/a</v>
          </cell>
          <cell r="I50" t="str">
            <v>n/a</v>
          </cell>
          <cell r="J50" t="str">
            <v>Coastal West Sussex</v>
          </cell>
          <cell r="K50" t="str">
            <v>Worthing W/Bognor and Littlehampton</v>
          </cell>
          <cell r="L50">
            <v>53555</v>
          </cell>
          <cell r="M50">
            <v>53925</v>
          </cell>
          <cell r="N50">
            <v>54555</v>
          </cell>
          <cell r="O50">
            <v>54965</v>
          </cell>
          <cell r="P50">
            <v>55265</v>
          </cell>
          <cell r="Q50">
            <v>55595</v>
          </cell>
          <cell r="R50">
            <v>55840</v>
          </cell>
          <cell r="S50">
            <v>56205</v>
          </cell>
          <cell r="T50">
            <v>56680</v>
          </cell>
          <cell r="U50">
            <v>57130</v>
          </cell>
          <cell r="V50">
            <v>2675</v>
          </cell>
          <cell r="W50">
            <v>2700</v>
          </cell>
          <cell r="X50">
            <v>2735</v>
          </cell>
          <cell r="Y50">
            <v>2740</v>
          </cell>
          <cell r="Z50">
            <v>2760</v>
          </cell>
          <cell r="AA50">
            <v>2835</v>
          </cell>
          <cell r="AB50">
            <v>2865</v>
          </cell>
          <cell r="AC50">
            <v>2935</v>
          </cell>
          <cell r="AD50">
            <v>3070</v>
          </cell>
          <cell r="AE50">
            <v>3090</v>
          </cell>
          <cell r="AF50">
            <v>0.88581314878892736</v>
          </cell>
          <cell r="AG50">
            <v>5.1903114186851208E-2</v>
          </cell>
          <cell r="AH50">
            <v>3.8062283737024222E-2</v>
          </cell>
          <cell r="AI50">
            <v>1.9031141868512111E-2</v>
          </cell>
          <cell r="AJ50">
            <v>3.4602076124567475E-3</v>
          </cell>
          <cell r="AK50">
            <v>1.7301038062283738E-3</v>
          </cell>
          <cell r="AL50">
            <v>0.11418685121107267</v>
          </cell>
          <cell r="AM50">
            <v>5674</v>
          </cell>
          <cell r="AN50">
            <v>0.57737046175537543</v>
          </cell>
          <cell r="AO50">
            <v>0.1473387381036306</v>
          </cell>
          <cell r="AP50">
            <v>0.275290800140994</v>
          </cell>
          <cell r="AQ50">
            <v>561</v>
          </cell>
          <cell r="AR50">
            <v>576</v>
          </cell>
          <cell r="AS50">
            <v>644</v>
          </cell>
          <cell r="AT50">
            <v>630</v>
          </cell>
          <cell r="AU50">
            <v>560</v>
          </cell>
          <cell r="AV50">
            <v>44</v>
          </cell>
          <cell r="AW50">
            <v>30</v>
          </cell>
          <cell r="AX50">
            <v>47</v>
          </cell>
          <cell r="AY50">
            <v>32</v>
          </cell>
          <cell r="AZ50">
            <v>26</v>
          </cell>
          <cell r="BA50">
            <v>38</v>
          </cell>
          <cell r="BB50">
            <v>6.7857142857142852E-2</v>
          </cell>
          <cell r="BC50">
            <v>4.9834490003291265E-2</v>
          </cell>
          <cell r="BD50">
            <v>9.1768184953756049E-2</v>
          </cell>
          <cell r="BE50">
            <v>55</v>
          </cell>
          <cell r="BF50">
            <v>987</v>
          </cell>
          <cell r="BG50">
            <v>889</v>
          </cell>
          <cell r="BH50">
            <v>436</v>
          </cell>
          <cell r="BI50">
            <v>7.2054205916377456E-2</v>
          </cell>
          <cell r="BJ50">
            <v>6051</v>
          </cell>
          <cell r="BK50">
            <v>10574</v>
          </cell>
          <cell r="BL50">
            <v>6079</v>
          </cell>
          <cell r="BM50">
            <v>3197</v>
          </cell>
          <cell r="BN50">
            <v>3</v>
          </cell>
          <cell r="BO50">
            <v>898</v>
          </cell>
          <cell r="BP50">
            <v>1483</v>
          </cell>
          <cell r="BQ50">
            <v>498</v>
          </cell>
          <cell r="BR50">
            <v>480</v>
          </cell>
          <cell r="BS50">
            <v>465</v>
          </cell>
          <cell r="BT50">
            <v>365</v>
          </cell>
          <cell r="BU50">
            <v>1482</v>
          </cell>
          <cell r="BV50">
            <v>508</v>
          </cell>
          <cell r="BW50">
            <v>0.34278002699055332</v>
          </cell>
          <cell r="BX50">
            <v>137</v>
          </cell>
          <cell r="BY50" t="str">
            <v>n/a</v>
          </cell>
          <cell r="BZ50">
            <v>1108</v>
          </cell>
          <cell r="CA50">
            <v>4.3713259951868068E-2</v>
          </cell>
          <cell r="CB50">
            <v>605</v>
          </cell>
          <cell r="CC50">
            <v>655</v>
          </cell>
          <cell r="CD50">
            <v>650</v>
          </cell>
          <cell r="CE50">
            <v>610</v>
          </cell>
          <cell r="CF50">
            <v>1745</v>
          </cell>
          <cell r="CG50">
            <v>0.22530978987583569</v>
          </cell>
          <cell r="CH50">
            <v>1735</v>
          </cell>
          <cell r="CI50">
            <v>0.20418318924111431</v>
          </cell>
          <cell r="CJ50">
            <v>1805</v>
          </cell>
          <cell r="CK50">
            <v>0.22404164358264086</v>
          </cell>
          <cell r="CL50">
            <v>1690</v>
          </cell>
          <cell r="CM50">
            <v>0.20753303747534516</v>
          </cell>
          <cell r="CN50">
            <v>1810</v>
          </cell>
          <cell r="CO50">
            <v>0.20711832412523021</v>
          </cell>
          <cell r="CP50">
            <v>1655</v>
          </cell>
          <cell r="CQ50">
            <v>0.17239583333333333</v>
          </cell>
          <cell r="CR50">
            <v>588</v>
          </cell>
          <cell r="CS50">
            <v>23</v>
          </cell>
          <cell r="CT50">
            <v>565</v>
          </cell>
          <cell r="CU50">
            <v>0.96088435374149661</v>
          </cell>
          <cell r="CV50">
            <v>207</v>
          </cell>
          <cell r="CW50">
            <v>263</v>
          </cell>
          <cell r="CX50">
            <v>0.36637168141592918</v>
          </cell>
          <cell r="CY50">
            <v>0.46548672566371679</v>
          </cell>
          <cell r="CZ50">
            <v>0.32766968695072873</v>
          </cell>
          <cell r="DA50">
            <v>0.40687849399049719</v>
          </cell>
          <cell r="DB50">
            <v>0.42472843243816932</v>
          </cell>
          <cell r="DC50">
            <v>0.50671116396386917</v>
          </cell>
          <cell r="DD50">
            <v>416</v>
          </cell>
          <cell r="DE50">
            <v>22</v>
          </cell>
          <cell r="DF50">
            <v>5.2884615384615384E-2</v>
          </cell>
          <cell r="DG50">
            <v>3.5180459502092254E-2</v>
          </cell>
          <cell r="DH50">
            <v>7.877078998879293E-2</v>
          </cell>
          <cell r="DI50" t="str">
            <v>Sig better than Eng.</v>
          </cell>
          <cell r="DJ50">
            <v>472</v>
          </cell>
          <cell r="DK50">
            <v>40</v>
          </cell>
          <cell r="DL50">
            <v>8.4745762711864403E-2</v>
          </cell>
          <cell r="DM50">
            <v>6.2851118482604509E-2</v>
          </cell>
          <cell r="DN50">
            <v>0.1133450856659019</v>
          </cell>
          <cell r="DO50" t="str">
            <v>No Sig diff</v>
          </cell>
          <cell r="DP50">
            <v>364</v>
          </cell>
          <cell r="DQ50">
            <v>27</v>
          </cell>
          <cell r="DR50">
            <v>7.4175824175824176E-2</v>
          </cell>
          <cell r="DS50">
            <v>5.1475936681714074E-2</v>
          </cell>
          <cell r="DT50">
            <v>0.10576968485897578</v>
          </cell>
          <cell r="DU50" t="str">
            <v>No Sig diff</v>
          </cell>
          <cell r="DV50">
            <v>513</v>
          </cell>
          <cell r="DW50">
            <v>47</v>
          </cell>
          <cell r="DX50">
            <v>9.1617933723196876E-2</v>
          </cell>
          <cell r="DY50">
            <v>6.9597686036753315E-2</v>
          </cell>
          <cell r="DZ50">
            <v>0.11970883562647475</v>
          </cell>
          <cell r="EA50" t="str">
            <v>No Sig diff</v>
          </cell>
          <cell r="EB50">
            <v>486</v>
          </cell>
          <cell r="EC50">
            <v>73</v>
          </cell>
          <cell r="ED50">
            <v>0.15020576131687244</v>
          </cell>
          <cell r="EE50">
            <v>0.12119140050135882</v>
          </cell>
          <cell r="EF50">
            <v>0.18470646935522964</v>
          </cell>
          <cell r="EG50" t="str">
            <v>Sig better than Eng.</v>
          </cell>
          <cell r="EH50">
            <v>495</v>
          </cell>
          <cell r="EI50">
            <v>84</v>
          </cell>
          <cell r="EJ50">
            <v>0.16969696969696971</v>
          </cell>
          <cell r="EK50">
            <v>0.13920260146623115</v>
          </cell>
          <cell r="EL50">
            <v>0.20527850727509667</v>
          </cell>
          <cell r="EM50" t="str">
            <v>No Sig diff</v>
          </cell>
          <cell r="EN50">
            <v>500</v>
          </cell>
          <cell r="EO50">
            <v>103</v>
          </cell>
          <cell r="EP50">
            <v>0.20599999999999999</v>
          </cell>
          <cell r="EQ50">
            <v>0.17285664127336728</v>
          </cell>
          <cell r="ER50">
            <v>0.24362647091802545</v>
          </cell>
          <cell r="ES50" t="str">
            <v>No Sig diff</v>
          </cell>
          <cell r="ET50">
            <v>506</v>
          </cell>
          <cell r="EU50">
            <v>73</v>
          </cell>
          <cell r="EV50">
            <v>0.14426877470355731</v>
          </cell>
          <cell r="EW50">
            <v>0.11633254008067927</v>
          </cell>
          <cell r="EX50">
            <v>0.17756560458431117</v>
          </cell>
          <cell r="EY50" t="str">
            <v>Sig better than Eng.</v>
          </cell>
          <cell r="EZ50">
            <v>573</v>
          </cell>
          <cell r="FA50">
            <v>306</v>
          </cell>
          <cell r="FB50">
            <v>0.53403141361256545</v>
          </cell>
          <cell r="FC50">
            <v>0.49309598153954287</v>
          </cell>
          <cell r="FD50">
            <v>0.57451358327872171</v>
          </cell>
          <cell r="FE50">
            <v>573</v>
          </cell>
          <cell r="FF50">
            <v>34</v>
          </cell>
          <cell r="FG50">
            <v>114</v>
          </cell>
          <cell r="FH50">
            <v>24.087719298245613</v>
          </cell>
          <cell r="FI50">
            <v>0.29153766769865846</v>
          </cell>
          <cell r="FJ50">
            <v>623</v>
          </cell>
          <cell r="FK50">
            <v>370</v>
          </cell>
          <cell r="FL50">
            <v>0.593900481540931</v>
          </cell>
          <cell r="FM50">
            <v>0.55487551037941496</v>
          </cell>
          <cell r="FN50">
            <v>0.6317745561623187</v>
          </cell>
          <cell r="FO50">
            <v>623</v>
          </cell>
          <cell r="FP50">
            <v>34</v>
          </cell>
          <cell r="FQ50">
            <v>123</v>
          </cell>
          <cell r="FR50">
            <v>24.869918699186982</v>
          </cell>
          <cell r="FS50">
            <v>0.26853180296508877</v>
          </cell>
          <cell r="FT50">
            <v>7538</v>
          </cell>
          <cell r="FU50">
            <v>7332</v>
          </cell>
          <cell r="FV50">
            <v>206</v>
          </cell>
          <cell r="FW50">
            <v>166</v>
          </cell>
          <cell r="FX50">
            <v>40</v>
          </cell>
          <cell r="FY50">
            <v>0.80582524271844658</v>
          </cell>
          <cell r="FZ50">
            <v>0.1941747572815534</v>
          </cell>
          <cell r="GQ50">
            <v>184</v>
          </cell>
          <cell r="GR50">
            <v>176</v>
          </cell>
          <cell r="GS50">
            <v>176</v>
          </cell>
          <cell r="GT50">
            <v>182</v>
          </cell>
          <cell r="GU50">
            <v>176</v>
          </cell>
          <cell r="GV50">
            <v>163</v>
          </cell>
          <cell r="GW50">
            <v>150</v>
          </cell>
          <cell r="GX50">
            <v>155</v>
          </cell>
          <cell r="GY50">
            <v>152</v>
          </cell>
          <cell r="GZ50">
            <v>155</v>
          </cell>
          <cell r="HA50">
            <v>160</v>
          </cell>
          <cell r="HB50">
            <v>148</v>
          </cell>
          <cell r="HC50">
            <v>156</v>
          </cell>
          <cell r="HD50">
            <v>143</v>
          </cell>
          <cell r="HE50">
            <v>137</v>
          </cell>
          <cell r="HF50">
            <v>132</v>
          </cell>
          <cell r="HG50">
            <v>130</v>
          </cell>
          <cell r="HH50">
            <v>133</v>
          </cell>
          <cell r="HI50">
            <v>133</v>
          </cell>
          <cell r="HJ50">
            <v>131</v>
          </cell>
          <cell r="HK50">
            <v>137</v>
          </cell>
          <cell r="HL50">
            <v>130</v>
          </cell>
          <cell r="HM50">
            <v>138</v>
          </cell>
          <cell r="HN50">
            <v>53</v>
          </cell>
          <cell r="HO50">
            <v>1.8345448251990307E-2</v>
          </cell>
          <cell r="HP50">
            <v>4618</v>
          </cell>
          <cell r="HQ50">
            <v>4018</v>
          </cell>
          <cell r="HR50">
            <v>600</v>
          </cell>
          <cell r="HS50">
            <v>0.12992637505413598</v>
          </cell>
        </row>
        <row r="51">
          <cell r="A51" t="str">
            <v>CFC Group - Arun West North</v>
          </cell>
          <cell r="C51" t="str">
            <v>n/a</v>
          </cell>
          <cell r="D51" t="str">
            <v>CFC Group - Arun West North</v>
          </cell>
          <cell r="E51" t="str">
            <v>Arun</v>
          </cell>
          <cell r="G51" t="str">
            <v>n/a</v>
          </cell>
          <cell r="H51" t="str">
            <v>n/a</v>
          </cell>
          <cell r="I51" t="str">
            <v>n/a</v>
          </cell>
          <cell r="J51" t="str">
            <v>Coastal West Sussex</v>
          </cell>
          <cell r="K51" t="str">
            <v>Bognor Regis and Littlehampton</v>
          </cell>
          <cell r="L51">
            <v>34600</v>
          </cell>
          <cell r="M51">
            <v>34840</v>
          </cell>
          <cell r="N51">
            <v>34625</v>
          </cell>
          <cell r="O51">
            <v>34775</v>
          </cell>
          <cell r="P51">
            <v>34970</v>
          </cell>
          <cell r="Q51">
            <v>34910</v>
          </cell>
          <cell r="R51">
            <v>35030</v>
          </cell>
          <cell r="S51">
            <v>35155</v>
          </cell>
          <cell r="T51">
            <v>35795</v>
          </cell>
          <cell r="U51">
            <v>36285</v>
          </cell>
          <cell r="V51">
            <v>1835</v>
          </cell>
          <cell r="W51">
            <v>1830</v>
          </cell>
          <cell r="X51">
            <v>1830</v>
          </cell>
          <cell r="Y51">
            <v>1815</v>
          </cell>
          <cell r="Z51">
            <v>1845</v>
          </cell>
          <cell r="AA51">
            <v>1885</v>
          </cell>
          <cell r="AB51">
            <v>1890</v>
          </cell>
          <cell r="AC51">
            <v>1920</v>
          </cell>
          <cell r="AD51">
            <v>1995</v>
          </cell>
          <cell r="AE51">
            <v>2085</v>
          </cell>
          <cell r="AF51">
            <v>0.88157894736842102</v>
          </cell>
          <cell r="AG51">
            <v>6.5789473684210523E-2</v>
          </cell>
          <cell r="AH51">
            <v>2.6315789473684209E-2</v>
          </cell>
          <cell r="AI51">
            <v>2.1052631578947368E-2</v>
          </cell>
          <cell r="AJ51">
            <v>2.631578947368421E-3</v>
          </cell>
          <cell r="AK51">
            <v>2.631578947368421E-3</v>
          </cell>
          <cell r="AL51">
            <v>0.11842105263157894</v>
          </cell>
          <cell r="AM51">
            <v>3777</v>
          </cell>
          <cell r="AN51">
            <v>0.6346306592533757</v>
          </cell>
          <cell r="AO51">
            <v>0.14402965316388669</v>
          </cell>
          <cell r="AP51">
            <v>0.22133968758273762</v>
          </cell>
          <cell r="AQ51">
            <v>366</v>
          </cell>
          <cell r="AR51">
            <v>396</v>
          </cell>
          <cell r="AS51">
            <v>364</v>
          </cell>
          <cell r="AT51">
            <v>420</v>
          </cell>
          <cell r="AU51">
            <v>383</v>
          </cell>
          <cell r="AV51">
            <v>23</v>
          </cell>
          <cell r="AW51">
            <v>15</v>
          </cell>
          <cell r="AX51">
            <v>21</v>
          </cell>
          <cell r="AY51">
            <v>16</v>
          </cell>
          <cell r="AZ51">
            <v>21</v>
          </cell>
          <cell r="BA51">
            <v>20</v>
          </cell>
          <cell r="BB51">
            <v>5.2219321148825062E-2</v>
          </cell>
          <cell r="BC51">
            <v>3.405512727403584E-2</v>
          </cell>
          <cell r="BD51">
            <v>7.9276724369650539E-2</v>
          </cell>
          <cell r="BE51">
            <v>37</v>
          </cell>
          <cell r="BF51">
            <v>547</v>
          </cell>
          <cell r="BG51">
            <v>636</v>
          </cell>
          <cell r="BH51">
            <v>289</v>
          </cell>
          <cell r="BI51">
            <v>7.2613065326633169E-2</v>
          </cell>
          <cell r="BJ51">
            <v>3980</v>
          </cell>
          <cell r="BK51">
            <v>7077</v>
          </cell>
          <cell r="BL51">
            <v>3999</v>
          </cell>
          <cell r="BM51">
            <v>2253</v>
          </cell>
          <cell r="BN51">
            <v>3</v>
          </cell>
          <cell r="BO51">
            <v>569</v>
          </cell>
          <cell r="BP51">
            <v>828</v>
          </cell>
          <cell r="BQ51">
            <v>346</v>
          </cell>
          <cell r="BR51">
            <v>245</v>
          </cell>
          <cell r="BS51">
            <v>215</v>
          </cell>
          <cell r="BT51">
            <v>220</v>
          </cell>
          <cell r="BU51">
            <v>825</v>
          </cell>
          <cell r="BV51">
            <v>288</v>
          </cell>
          <cell r="BW51">
            <v>0.34909090909090912</v>
          </cell>
          <cell r="BX51">
            <v>77</v>
          </cell>
          <cell r="BY51" t="str">
            <v>n/a</v>
          </cell>
          <cell r="BZ51">
            <v>633</v>
          </cell>
          <cell r="CA51">
            <v>4.3061224489795921E-2</v>
          </cell>
          <cell r="CB51">
            <v>295</v>
          </cell>
          <cell r="CC51">
            <v>305</v>
          </cell>
          <cell r="CD51">
            <v>345</v>
          </cell>
          <cell r="CE51">
            <v>360</v>
          </cell>
          <cell r="CF51">
            <v>955</v>
          </cell>
          <cell r="CG51">
            <v>0.17712507271669578</v>
          </cell>
          <cell r="CH51">
            <v>925</v>
          </cell>
          <cell r="CI51">
            <v>0.17057567567567566</v>
          </cell>
          <cell r="CJ51">
            <v>1020</v>
          </cell>
          <cell r="CK51">
            <v>0.17508473389355741</v>
          </cell>
          <cell r="CL51">
            <v>990</v>
          </cell>
          <cell r="CM51">
            <v>0.16054389129389129</v>
          </cell>
          <cell r="CN51">
            <v>1060</v>
          </cell>
          <cell r="CO51">
            <v>0.16157472297094941</v>
          </cell>
          <cell r="CP51">
            <v>880</v>
          </cell>
          <cell r="CQ51">
            <v>0.13750000000000001</v>
          </cell>
          <cell r="CR51">
            <v>407</v>
          </cell>
          <cell r="CS51">
            <v>21</v>
          </cell>
          <cell r="CT51">
            <v>386</v>
          </cell>
          <cell r="CU51">
            <v>0.94840294840294836</v>
          </cell>
          <cell r="CV51">
            <v>164</v>
          </cell>
          <cell r="CW51">
            <v>203</v>
          </cell>
          <cell r="CX51">
            <v>0.42487046632124353</v>
          </cell>
          <cell r="CY51">
            <v>0.52590673575129532</v>
          </cell>
          <cell r="CZ51">
            <v>0.37653529950140968</v>
          </cell>
          <cell r="DA51">
            <v>0.47468627099174598</v>
          </cell>
          <cell r="DB51">
            <v>0.47608405802744896</v>
          </cell>
          <cell r="DC51">
            <v>0.57521884869904905</v>
          </cell>
          <cell r="DD51">
            <v>306</v>
          </cell>
          <cell r="DE51">
            <v>41</v>
          </cell>
          <cell r="DF51">
            <v>0.13398692810457516</v>
          </cell>
          <cell r="DG51">
            <v>0.10032528329781232</v>
          </cell>
          <cell r="DH51">
            <v>0.17672433797437112</v>
          </cell>
          <cell r="DI51" t="str">
            <v>Sig worse than Eng.</v>
          </cell>
          <cell r="DJ51">
            <v>319</v>
          </cell>
          <cell r="DK51">
            <v>27</v>
          </cell>
          <cell r="DL51">
            <v>8.4639498432601878E-2</v>
          </cell>
          <cell r="DM51">
            <v>5.8819812484351107E-2</v>
          </cell>
          <cell r="DN51">
            <v>0.12034385203377765</v>
          </cell>
          <cell r="DO51" t="str">
            <v>No Sig diff</v>
          </cell>
          <cell r="DP51">
            <v>351</v>
          </cell>
          <cell r="DQ51">
            <v>37</v>
          </cell>
          <cell r="DR51">
            <v>0.10541310541310542</v>
          </cell>
          <cell r="DS51">
            <v>7.7449182248717607E-2</v>
          </cell>
          <cell r="DT51">
            <v>0.14192050211510529</v>
          </cell>
          <cell r="DU51" t="str">
            <v>No Sig diff</v>
          </cell>
          <cell r="DV51">
            <v>389</v>
          </cell>
          <cell r="DW51">
            <v>41</v>
          </cell>
          <cell r="DX51">
            <v>0.10539845758354756</v>
          </cell>
          <cell r="DY51">
            <v>7.8648068865521378E-2</v>
          </cell>
          <cell r="DZ51">
            <v>0.13986618642308607</v>
          </cell>
          <cell r="EA51" t="str">
            <v>No Sig diff</v>
          </cell>
          <cell r="EB51">
            <v>335</v>
          </cell>
          <cell r="EC51">
            <v>57</v>
          </cell>
          <cell r="ED51">
            <v>0.17014925373134329</v>
          </cell>
          <cell r="EE51">
            <v>0.13370474763443638</v>
          </cell>
          <cell r="EF51">
            <v>0.21407282135263578</v>
          </cell>
          <cell r="EG51" t="str">
            <v>No Sig diff</v>
          </cell>
          <cell r="EH51">
            <v>305</v>
          </cell>
          <cell r="EI51">
            <v>63</v>
          </cell>
          <cell r="EJ51">
            <v>0.20655737704918034</v>
          </cell>
          <cell r="EK51">
            <v>0.16490994305307338</v>
          </cell>
          <cell r="EL51">
            <v>0.25550465839483955</v>
          </cell>
          <cell r="EM51" t="str">
            <v>No Sig diff</v>
          </cell>
          <cell r="EN51">
            <v>291</v>
          </cell>
          <cell r="EO51">
            <v>51</v>
          </cell>
          <cell r="EP51">
            <v>0.17525773195876287</v>
          </cell>
          <cell r="EQ51">
            <v>0.13588681157015609</v>
          </cell>
          <cell r="ER51">
            <v>0.22309071907983608</v>
          </cell>
          <cell r="ES51" t="str">
            <v>No Sig diff</v>
          </cell>
          <cell r="ET51">
            <v>294</v>
          </cell>
          <cell r="EU51">
            <v>43</v>
          </cell>
          <cell r="EV51">
            <v>0.14625850340136054</v>
          </cell>
          <cell r="EW51">
            <v>0.11043149100924214</v>
          </cell>
          <cell r="EX51">
            <v>0.19121039315430638</v>
          </cell>
          <cell r="EY51" t="str">
            <v>No Sig diff</v>
          </cell>
          <cell r="EZ51">
            <v>415</v>
          </cell>
          <cell r="FA51">
            <v>195</v>
          </cell>
          <cell r="FB51">
            <v>0.46987951807228917</v>
          </cell>
          <cell r="FC51">
            <v>0.4223576247956472</v>
          </cell>
          <cell r="FD51">
            <v>0.51795391917043732</v>
          </cell>
          <cell r="FE51">
            <v>415</v>
          </cell>
          <cell r="FF51">
            <v>33</v>
          </cell>
          <cell r="FG51">
            <v>83</v>
          </cell>
          <cell r="FH51">
            <v>21.674698795180728</v>
          </cell>
          <cell r="FI51">
            <v>0.343190945600584</v>
          </cell>
          <cell r="FJ51">
            <v>408</v>
          </cell>
          <cell r="FK51">
            <v>225</v>
          </cell>
          <cell r="FL51">
            <v>0.55147058823529416</v>
          </cell>
          <cell r="FM51">
            <v>0.50295509749998391</v>
          </cell>
          <cell r="FN51">
            <v>0.59902589324404365</v>
          </cell>
          <cell r="FO51">
            <v>408</v>
          </cell>
          <cell r="FP51">
            <v>34</v>
          </cell>
          <cell r="FQ51">
            <v>80</v>
          </cell>
          <cell r="FR51">
            <v>22.987500000000008</v>
          </cell>
          <cell r="FS51">
            <v>0.3238970588235292</v>
          </cell>
          <cell r="FT51">
            <v>5025</v>
          </cell>
          <cell r="FU51">
            <v>4870</v>
          </cell>
          <cell r="FV51">
            <v>155</v>
          </cell>
          <cell r="FW51">
            <v>137</v>
          </cell>
          <cell r="FX51">
            <v>18</v>
          </cell>
          <cell r="FY51">
            <v>0.88387096774193552</v>
          </cell>
          <cell r="FZ51">
            <v>0.11612903225806452</v>
          </cell>
          <cell r="GQ51">
            <v>116</v>
          </cell>
          <cell r="GR51">
            <v>111</v>
          </cell>
          <cell r="GS51">
            <v>112</v>
          </cell>
          <cell r="GT51">
            <v>113</v>
          </cell>
          <cell r="GU51">
            <v>113</v>
          </cell>
          <cell r="GV51">
            <v>103</v>
          </cell>
          <cell r="GW51">
            <v>98</v>
          </cell>
          <cell r="GX51">
            <v>97</v>
          </cell>
          <cell r="GY51">
            <v>98</v>
          </cell>
          <cell r="GZ51">
            <v>97</v>
          </cell>
          <cell r="HA51">
            <v>98</v>
          </cell>
          <cell r="HB51">
            <v>96</v>
          </cell>
          <cell r="HC51">
            <v>98</v>
          </cell>
          <cell r="HD51">
            <v>116</v>
          </cell>
          <cell r="HE51">
            <v>106</v>
          </cell>
          <cell r="HF51">
            <v>109</v>
          </cell>
          <cell r="HG51">
            <v>100</v>
          </cell>
          <cell r="HH51">
            <v>108</v>
          </cell>
          <cell r="HI51">
            <v>109</v>
          </cell>
          <cell r="HJ51">
            <v>98</v>
          </cell>
          <cell r="HK51">
            <v>106</v>
          </cell>
          <cell r="HL51">
            <v>102</v>
          </cell>
          <cell r="HM51">
            <v>112</v>
          </cell>
          <cell r="HN51">
            <v>36</v>
          </cell>
          <cell r="HO51">
            <v>1.8947368421052633E-2</v>
          </cell>
          <cell r="HP51">
            <v>3028</v>
          </cell>
          <cell r="HQ51">
            <v>2708</v>
          </cell>
          <cell r="HR51">
            <v>320</v>
          </cell>
          <cell r="HS51">
            <v>0.10568031704095113</v>
          </cell>
        </row>
        <row r="52">
          <cell r="A52" t="str">
            <v>CFC Group - Arun West South</v>
          </cell>
          <cell r="C52" t="str">
            <v>n/a</v>
          </cell>
          <cell r="D52" t="str">
            <v>CFC Group - Arun West South</v>
          </cell>
          <cell r="E52" t="str">
            <v>Arun</v>
          </cell>
          <cell r="G52" t="str">
            <v>n/a</v>
          </cell>
          <cell r="H52" t="str">
            <v>n/a</v>
          </cell>
          <cell r="I52" t="str">
            <v>n/a</v>
          </cell>
          <cell r="J52" t="str">
            <v>Coastal West Sussex</v>
          </cell>
          <cell r="K52" t="str">
            <v>Bognor Regis and Littlehampton</v>
          </cell>
          <cell r="L52">
            <v>50060</v>
          </cell>
          <cell r="M52">
            <v>50310</v>
          </cell>
          <cell r="N52">
            <v>50585</v>
          </cell>
          <cell r="O52">
            <v>50940</v>
          </cell>
          <cell r="P52">
            <v>51220</v>
          </cell>
          <cell r="Q52">
            <v>51400</v>
          </cell>
          <cell r="R52">
            <v>51500</v>
          </cell>
          <cell r="S52">
            <v>51425</v>
          </cell>
          <cell r="T52">
            <v>51845</v>
          </cell>
          <cell r="U52">
            <v>52350</v>
          </cell>
          <cell r="V52">
            <v>1985</v>
          </cell>
          <cell r="W52">
            <v>2010</v>
          </cell>
          <cell r="X52">
            <v>2020</v>
          </cell>
          <cell r="Y52">
            <v>2100</v>
          </cell>
          <cell r="Z52">
            <v>2150</v>
          </cell>
          <cell r="AA52">
            <v>2280</v>
          </cell>
          <cell r="AB52">
            <v>2360</v>
          </cell>
          <cell r="AC52">
            <v>2420</v>
          </cell>
          <cell r="AD52">
            <v>2530</v>
          </cell>
          <cell r="AE52">
            <v>2610</v>
          </cell>
          <cell r="AF52">
            <v>0.85232067510548526</v>
          </cell>
          <cell r="AG52">
            <v>9.2827004219409287E-2</v>
          </cell>
          <cell r="AH52">
            <v>3.1645569620253167E-2</v>
          </cell>
          <cell r="AI52">
            <v>2.1097046413502109E-2</v>
          </cell>
          <cell r="AJ52">
            <v>2.1097046413502108E-3</v>
          </cell>
          <cell r="AK52">
            <v>2.1097046413502108E-3</v>
          </cell>
          <cell r="AL52">
            <v>0.14767932489451477</v>
          </cell>
          <cell r="AM52">
            <v>4444</v>
          </cell>
          <cell r="AN52">
            <v>0.59428442844284424</v>
          </cell>
          <cell r="AO52">
            <v>9.045904590459046E-2</v>
          </cell>
          <cell r="AP52">
            <v>0.31525652565256523</v>
          </cell>
          <cell r="AQ52">
            <v>455</v>
          </cell>
          <cell r="AR52">
            <v>487</v>
          </cell>
          <cell r="AS52">
            <v>513</v>
          </cell>
          <cell r="AT52">
            <v>520</v>
          </cell>
          <cell r="AU52">
            <v>493</v>
          </cell>
          <cell r="AV52">
            <v>43</v>
          </cell>
          <cell r="AW52">
            <v>29</v>
          </cell>
          <cell r="AX52">
            <v>31</v>
          </cell>
          <cell r="AY52">
            <v>27</v>
          </cell>
          <cell r="AZ52">
            <v>27</v>
          </cell>
          <cell r="BA52">
            <v>35</v>
          </cell>
          <cell r="BB52">
            <v>7.099391480730223E-2</v>
          </cell>
          <cell r="BC52">
            <v>5.1486753100632228E-2</v>
          </cell>
          <cell r="BD52">
            <v>9.7135020525032298E-2</v>
          </cell>
          <cell r="BE52">
            <v>56</v>
          </cell>
          <cell r="BF52">
            <v>840</v>
          </cell>
          <cell r="BG52">
            <v>724</v>
          </cell>
          <cell r="BH52">
            <v>320</v>
          </cell>
          <cell r="BI52">
            <v>6.6129365571399049E-2</v>
          </cell>
          <cell r="BJ52">
            <v>4839</v>
          </cell>
          <cell r="BK52">
            <v>8245</v>
          </cell>
          <cell r="BL52">
            <v>4875</v>
          </cell>
          <cell r="BM52">
            <v>2596</v>
          </cell>
          <cell r="BN52">
            <v>2</v>
          </cell>
          <cell r="BO52">
            <v>722</v>
          </cell>
          <cell r="BP52">
            <v>1139</v>
          </cell>
          <cell r="BQ52">
            <v>416</v>
          </cell>
          <cell r="BR52">
            <v>330</v>
          </cell>
          <cell r="BS52">
            <v>330</v>
          </cell>
          <cell r="BT52">
            <v>285</v>
          </cell>
          <cell r="BU52">
            <v>1132</v>
          </cell>
          <cell r="BV52">
            <v>388</v>
          </cell>
          <cell r="BW52">
            <v>0.34275618374558303</v>
          </cell>
          <cell r="BX52">
            <v>110</v>
          </cell>
          <cell r="BY52" t="str">
            <v>n/a</v>
          </cell>
          <cell r="BZ52">
            <v>1060</v>
          </cell>
          <cell r="CA52">
            <v>4.5515050023616298E-2</v>
          </cell>
          <cell r="CB52">
            <v>415</v>
          </cell>
          <cell r="CC52">
            <v>415</v>
          </cell>
          <cell r="CD52">
            <v>450</v>
          </cell>
          <cell r="CE52">
            <v>445</v>
          </cell>
          <cell r="CF52">
            <v>1105</v>
          </cell>
          <cell r="CG52">
            <v>0.15507941176470585</v>
          </cell>
          <cell r="CH52">
            <v>1135</v>
          </cell>
          <cell r="CI52">
            <v>0.14448377386196773</v>
          </cell>
          <cell r="CJ52">
            <v>1150</v>
          </cell>
          <cell r="CK52">
            <v>0.15235869565217391</v>
          </cell>
          <cell r="CL52">
            <v>1085</v>
          </cell>
          <cell r="CM52">
            <v>0.14965668202764978</v>
          </cell>
          <cell r="CN52">
            <v>1140</v>
          </cell>
          <cell r="CO52">
            <v>0.14571337719298244</v>
          </cell>
          <cell r="CP52">
            <v>1040</v>
          </cell>
          <cell r="CQ52">
            <v>0.14044564483457123</v>
          </cell>
          <cell r="CR52">
            <v>518</v>
          </cell>
          <cell r="CS52">
            <v>13</v>
          </cell>
          <cell r="CT52">
            <v>505</v>
          </cell>
          <cell r="CU52">
            <v>0.97490347490347495</v>
          </cell>
          <cell r="CV52">
            <v>191</v>
          </cell>
          <cell r="CW52">
            <v>230</v>
          </cell>
          <cell r="CX52">
            <v>0.37821782178217822</v>
          </cell>
          <cell r="CY52">
            <v>0.45544554455445546</v>
          </cell>
          <cell r="CZ52">
            <v>0.33699179169590276</v>
          </cell>
          <cell r="DA52">
            <v>0.42128262193959698</v>
          </cell>
          <cell r="DB52">
            <v>0.41250971705250833</v>
          </cell>
          <cell r="DC52">
            <v>0.49905409281413793</v>
          </cell>
          <cell r="DD52">
            <v>418</v>
          </cell>
          <cell r="DE52">
            <v>43</v>
          </cell>
          <cell r="DF52">
            <v>0.10287081339712918</v>
          </cell>
          <cell r="DG52">
            <v>7.7272611972378502E-2</v>
          </cell>
          <cell r="DH52">
            <v>0.13570185258560061</v>
          </cell>
          <cell r="DI52" t="str">
            <v>No Sig diff</v>
          </cell>
          <cell r="DJ52">
            <v>407</v>
          </cell>
          <cell r="DK52">
            <v>39</v>
          </cell>
          <cell r="DL52">
            <v>9.5823095823095825E-2</v>
          </cell>
          <cell r="DM52">
            <v>7.0889963666718708E-2</v>
          </cell>
          <cell r="DN52">
            <v>0.12831451549080627</v>
          </cell>
          <cell r="DO52" t="str">
            <v>No Sig diff</v>
          </cell>
          <cell r="DP52">
            <v>399</v>
          </cell>
          <cell r="DQ52">
            <v>52</v>
          </cell>
          <cell r="DR52">
            <v>0.13032581453634084</v>
          </cell>
          <cell r="DS52">
            <v>0.10078687188272777</v>
          </cell>
          <cell r="DT52">
            <v>0.16691511474098436</v>
          </cell>
          <cell r="DU52" t="str">
            <v>Sig worse than Eng.</v>
          </cell>
          <cell r="DV52">
            <v>488</v>
          </cell>
          <cell r="DW52">
            <v>46</v>
          </cell>
          <cell r="DX52">
            <v>9.4262295081967207E-2</v>
          </cell>
          <cell r="DY52">
            <v>7.1414590127644742E-2</v>
          </cell>
          <cell r="DZ52">
            <v>0.12344791505948735</v>
          </cell>
          <cell r="EA52" t="str">
            <v>No Sig diff</v>
          </cell>
          <cell r="EB52">
            <v>380</v>
          </cell>
          <cell r="EC52">
            <v>64</v>
          </cell>
          <cell r="ED52">
            <v>0.16842105263157894</v>
          </cell>
          <cell r="EE52">
            <v>0.13415388023217073</v>
          </cell>
          <cell r="EF52">
            <v>0.20932506345921909</v>
          </cell>
          <cell r="EG52" t="str">
            <v>No Sig diff</v>
          </cell>
          <cell r="EH52">
            <v>354</v>
          </cell>
          <cell r="EI52">
            <v>68</v>
          </cell>
          <cell r="EJ52">
            <v>0.19209039548022599</v>
          </cell>
          <cell r="EK52">
            <v>0.15444559487597212</v>
          </cell>
          <cell r="EL52">
            <v>0.23634606822968654</v>
          </cell>
          <cell r="EM52" t="str">
            <v>No Sig diff</v>
          </cell>
          <cell r="EN52">
            <v>355</v>
          </cell>
          <cell r="EO52">
            <v>56</v>
          </cell>
          <cell r="EP52">
            <v>0.15774647887323945</v>
          </cell>
          <cell r="EQ52">
            <v>0.12351920142870179</v>
          </cell>
          <cell r="ER52">
            <v>0.1993015205731497</v>
          </cell>
          <cell r="ES52" t="str">
            <v>No Sig diff</v>
          </cell>
          <cell r="ET52">
            <v>353</v>
          </cell>
          <cell r="EU52">
            <v>59</v>
          </cell>
          <cell r="EV52">
            <v>0.16713881019830029</v>
          </cell>
          <cell r="EW52">
            <v>0.13184553567129084</v>
          </cell>
          <cell r="EX52">
            <v>0.20959869904112546</v>
          </cell>
          <cell r="EY52" t="str">
            <v>No Sig diff</v>
          </cell>
          <cell r="EZ52">
            <v>504</v>
          </cell>
          <cell r="FA52">
            <v>185</v>
          </cell>
          <cell r="FB52">
            <v>0.36706349206349204</v>
          </cell>
          <cell r="FC52">
            <v>0.32613570900553129</v>
          </cell>
          <cell r="FD52">
            <v>0.41000241506339791</v>
          </cell>
          <cell r="FE52">
            <v>504</v>
          </cell>
          <cell r="FF52">
            <v>32</v>
          </cell>
          <cell r="FG52">
            <v>100</v>
          </cell>
          <cell r="FH52">
            <v>21.43</v>
          </cell>
          <cell r="FI52">
            <v>0.33031250000000001</v>
          </cell>
          <cell r="FJ52">
            <v>506</v>
          </cell>
          <cell r="FK52">
            <v>262</v>
          </cell>
          <cell r="FL52">
            <v>0.51778656126482214</v>
          </cell>
          <cell r="FM52">
            <v>0.47427873046250862</v>
          </cell>
          <cell r="FN52">
            <v>0.56102636230424185</v>
          </cell>
          <cell r="FO52">
            <v>506</v>
          </cell>
          <cell r="FP52">
            <v>34</v>
          </cell>
          <cell r="FQ52">
            <v>100</v>
          </cell>
          <cell r="FR52">
            <v>23.280000000000005</v>
          </cell>
          <cell r="FS52">
            <v>0.31529411764705867</v>
          </cell>
          <cell r="FT52">
            <v>5649</v>
          </cell>
          <cell r="FU52">
            <v>5391</v>
          </cell>
          <cell r="FV52">
            <v>258</v>
          </cell>
          <cell r="FW52">
            <v>186</v>
          </cell>
          <cell r="FX52">
            <v>72</v>
          </cell>
          <cell r="FY52">
            <v>0.72093023255813948</v>
          </cell>
          <cell r="FZ52">
            <v>0.27906976744186046</v>
          </cell>
          <cell r="GQ52">
            <v>112</v>
          </cell>
          <cell r="GR52">
            <v>109</v>
          </cell>
          <cell r="GS52">
            <v>109</v>
          </cell>
          <cell r="GT52">
            <v>110</v>
          </cell>
          <cell r="GU52">
            <v>110</v>
          </cell>
          <cell r="GV52">
            <v>134</v>
          </cell>
          <cell r="GW52">
            <v>128</v>
          </cell>
          <cell r="GX52">
            <v>132</v>
          </cell>
          <cell r="GY52">
            <v>128</v>
          </cell>
          <cell r="GZ52">
            <v>131</v>
          </cell>
          <cell r="HA52">
            <v>133</v>
          </cell>
          <cell r="HB52">
            <v>128</v>
          </cell>
          <cell r="HC52">
            <v>132</v>
          </cell>
          <cell r="HD52">
            <v>152</v>
          </cell>
          <cell r="HE52">
            <v>146</v>
          </cell>
          <cell r="HF52">
            <v>140</v>
          </cell>
          <cell r="HG52">
            <v>138</v>
          </cell>
          <cell r="HH52">
            <v>141</v>
          </cell>
          <cell r="HI52">
            <v>141</v>
          </cell>
          <cell r="HJ52">
            <v>138</v>
          </cell>
          <cell r="HK52">
            <v>146</v>
          </cell>
          <cell r="HL52">
            <v>137</v>
          </cell>
          <cell r="HM52">
            <v>144</v>
          </cell>
          <cell r="HN52">
            <v>55</v>
          </cell>
          <cell r="HO52">
            <v>2.3245984784446321E-2</v>
          </cell>
          <cell r="HP52">
            <v>3782</v>
          </cell>
          <cell r="HQ52">
            <v>3333</v>
          </cell>
          <cell r="HR52">
            <v>449</v>
          </cell>
          <cell r="HS52">
            <v>0.1187202538339503</v>
          </cell>
        </row>
        <row r="53">
          <cell r="A53" t="str">
            <v>CFC Group - Chichester Central</v>
          </cell>
          <cell r="C53" t="str">
            <v>n/a</v>
          </cell>
          <cell r="D53" t="str">
            <v>CFC Group - Chichester Central</v>
          </cell>
          <cell r="E53" t="str">
            <v>Chichester</v>
          </cell>
          <cell r="G53" t="str">
            <v>n/a</v>
          </cell>
          <cell r="H53" t="str">
            <v>n/a</v>
          </cell>
          <cell r="I53" t="str">
            <v>n/a</v>
          </cell>
          <cell r="J53" t="str">
            <v>Coastal West Sussex</v>
          </cell>
          <cell r="K53" t="str">
            <v>Chichester</v>
          </cell>
          <cell r="L53">
            <v>41470</v>
          </cell>
          <cell r="M53">
            <v>41665</v>
          </cell>
          <cell r="N53">
            <v>42175</v>
          </cell>
          <cell r="O53">
            <v>42615</v>
          </cell>
          <cell r="P53">
            <v>43230</v>
          </cell>
          <cell r="Q53">
            <v>43680</v>
          </cell>
          <cell r="R53">
            <v>44220</v>
          </cell>
          <cell r="S53">
            <v>44815</v>
          </cell>
          <cell r="T53">
            <v>45235</v>
          </cell>
          <cell r="U53">
            <v>45765</v>
          </cell>
          <cell r="V53">
            <v>2010</v>
          </cell>
          <cell r="W53">
            <v>1985</v>
          </cell>
          <cell r="X53">
            <v>2015</v>
          </cell>
          <cell r="Y53">
            <v>2075</v>
          </cell>
          <cell r="Z53">
            <v>2120</v>
          </cell>
          <cell r="AA53">
            <v>2235</v>
          </cell>
          <cell r="AB53">
            <v>2285</v>
          </cell>
          <cell r="AC53">
            <v>2295</v>
          </cell>
          <cell r="AD53">
            <v>2425</v>
          </cell>
          <cell r="AE53">
            <v>2420</v>
          </cell>
          <cell r="AF53">
            <v>0.87061403508771928</v>
          </cell>
          <cell r="AG53">
            <v>4.6052631578947366E-2</v>
          </cell>
          <cell r="AH53">
            <v>3.0701754385964911E-2</v>
          </cell>
          <cell r="AI53">
            <v>4.1666666666666664E-2</v>
          </cell>
          <cell r="AJ53">
            <v>6.5789473684210523E-3</v>
          </cell>
          <cell r="AK53">
            <v>6.5789473684210523E-3</v>
          </cell>
          <cell r="AL53">
            <v>0.12938596491228072</v>
          </cell>
          <cell r="AM53">
            <v>4345</v>
          </cell>
          <cell r="AN53">
            <v>0.48745684695051783</v>
          </cell>
          <cell r="AO53">
            <v>0.2948216340621404</v>
          </cell>
          <cell r="AP53">
            <v>0.21772151898734177</v>
          </cell>
          <cell r="AQ53">
            <v>499</v>
          </cell>
          <cell r="AR53">
            <v>458</v>
          </cell>
          <cell r="AS53">
            <v>510</v>
          </cell>
          <cell r="AT53">
            <v>480</v>
          </cell>
          <cell r="AU53">
            <v>430</v>
          </cell>
          <cell r="AV53">
            <v>33</v>
          </cell>
          <cell r="AW53">
            <v>26</v>
          </cell>
          <cell r="AX53">
            <v>29</v>
          </cell>
          <cell r="AY53">
            <v>23</v>
          </cell>
          <cell r="AZ53">
            <v>23</v>
          </cell>
          <cell r="BA53">
            <v>24</v>
          </cell>
          <cell r="BB53">
            <v>5.5813953488372092E-2</v>
          </cell>
          <cell r="BC53">
            <v>3.779043272891823E-2</v>
          </cell>
          <cell r="BD53">
            <v>8.1703584651564756E-2</v>
          </cell>
          <cell r="BE53">
            <v>50</v>
          </cell>
          <cell r="BF53">
            <v>731</v>
          </cell>
          <cell r="BG53">
            <v>698</v>
          </cell>
          <cell r="BH53">
            <v>351</v>
          </cell>
          <cell r="BI53">
            <v>7.6387377584330798E-2</v>
          </cell>
          <cell r="BJ53">
            <v>4595</v>
          </cell>
          <cell r="BK53">
            <v>8125</v>
          </cell>
          <cell r="BL53">
            <v>4625</v>
          </cell>
          <cell r="BM53">
            <v>2595</v>
          </cell>
          <cell r="BN53">
            <v>1</v>
          </cell>
          <cell r="BO53">
            <v>630</v>
          </cell>
          <cell r="BP53">
            <v>1053</v>
          </cell>
          <cell r="BQ53">
            <v>346</v>
          </cell>
          <cell r="BR53">
            <v>310</v>
          </cell>
          <cell r="BS53">
            <v>305</v>
          </cell>
          <cell r="BT53">
            <v>280</v>
          </cell>
          <cell r="BU53">
            <v>1052</v>
          </cell>
          <cell r="BV53">
            <v>358</v>
          </cell>
          <cell r="BW53">
            <v>0.34030418250950573</v>
          </cell>
          <cell r="BX53">
            <v>70</v>
          </cell>
          <cell r="BY53" t="str">
            <v>n/a</v>
          </cell>
          <cell r="BZ53">
            <v>715</v>
          </cell>
          <cell r="CA53">
            <v>3.5893574297188757E-2</v>
          </cell>
          <cell r="CB53">
            <v>435</v>
          </cell>
          <cell r="CC53">
            <v>435</v>
          </cell>
          <cell r="CD53">
            <v>465</v>
          </cell>
          <cell r="CE53">
            <v>395</v>
          </cell>
          <cell r="CF53">
            <v>1085</v>
          </cell>
          <cell r="CG53">
            <v>0.15531265508684863</v>
          </cell>
          <cell r="CH53">
            <v>1105</v>
          </cell>
          <cell r="CI53">
            <v>0.16451966585450753</v>
          </cell>
          <cell r="CJ53">
            <v>1175</v>
          </cell>
          <cell r="CK53">
            <v>0.16166481178396069</v>
          </cell>
          <cell r="CL53">
            <v>1140</v>
          </cell>
          <cell r="CM53">
            <v>0.15179082321187584</v>
          </cell>
          <cell r="CN53">
            <v>1070</v>
          </cell>
          <cell r="CO53">
            <v>0.14667864845434939</v>
          </cell>
          <cell r="CP53">
            <v>1050</v>
          </cell>
          <cell r="CQ53">
            <v>0.14553014553014554</v>
          </cell>
          <cell r="CR53">
            <v>452</v>
          </cell>
          <cell r="CS53">
            <v>40</v>
          </cell>
          <cell r="CT53">
            <v>412</v>
          </cell>
          <cell r="CU53">
            <v>0.91150442477876104</v>
          </cell>
          <cell r="CV53">
            <v>190</v>
          </cell>
          <cell r="CW53">
            <v>243</v>
          </cell>
          <cell r="CX53">
            <v>0.46116504854368934</v>
          </cell>
          <cell r="CY53">
            <v>0.58980582524271841</v>
          </cell>
          <cell r="CZ53">
            <v>0.41361089945461155</v>
          </cell>
          <cell r="DA53">
            <v>0.50943669639898514</v>
          </cell>
          <cell r="DB53">
            <v>0.54169372818176698</v>
          </cell>
          <cell r="DC53">
            <v>0.63625870640679072</v>
          </cell>
          <cell r="DD53">
            <v>349</v>
          </cell>
          <cell r="DE53">
            <v>35</v>
          </cell>
          <cell r="DF53">
            <v>0.10028653295128939</v>
          </cell>
          <cell r="DG53">
            <v>7.2995265798449754E-2</v>
          </cell>
          <cell r="DH53">
            <v>0.13628132847563371</v>
          </cell>
          <cell r="DI53" t="str">
            <v>No Sig diff</v>
          </cell>
          <cell r="DJ53">
            <v>373</v>
          </cell>
          <cell r="DK53">
            <v>29</v>
          </cell>
          <cell r="DL53">
            <v>7.7747989276139406E-2</v>
          </cell>
          <cell r="DM53">
            <v>5.4676117732342343E-2</v>
          </cell>
          <cell r="DN53">
            <v>0.10942859360760356</v>
          </cell>
          <cell r="DO53" t="str">
            <v>No Sig diff</v>
          </cell>
          <cell r="DP53">
            <v>388</v>
          </cell>
          <cell r="DQ53">
            <v>26</v>
          </cell>
          <cell r="DR53">
            <v>6.7010309278350513E-2</v>
          </cell>
          <cell r="DS53">
            <v>4.6136659976996015E-2</v>
          </cell>
          <cell r="DT53">
            <v>9.637367823161877E-2</v>
          </cell>
          <cell r="DU53" t="str">
            <v>No Sig diff</v>
          </cell>
          <cell r="DV53">
            <v>383</v>
          </cell>
          <cell r="DW53">
            <v>29</v>
          </cell>
          <cell r="DX53">
            <v>7.5718015665796348E-2</v>
          </cell>
          <cell r="DY53">
            <v>5.3234401388678944E-2</v>
          </cell>
          <cell r="DZ53">
            <v>0.10662814025621341</v>
          </cell>
          <cell r="EA53" t="str">
            <v>No Sig diff</v>
          </cell>
          <cell r="EB53">
            <v>333</v>
          </cell>
          <cell r="EC53">
            <v>54</v>
          </cell>
          <cell r="ED53">
            <v>0.16216216216216217</v>
          </cell>
          <cell r="EE53">
            <v>0.12646370828997461</v>
          </cell>
          <cell r="EF53">
            <v>0.20556625979132698</v>
          </cell>
          <cell r="EG53" t="str">
            <v>No Sig diff</v>
          </cell>
          <cell r="EH53">
            <v>324</v>
          </cell>
          <cell r="EI53">
            <v>51</v>
          </cell>
          <cell r="EJ53">
            <v>0.15740740740740741</v>
          </cell>
          <cell r="EK53">
            <v>0.12179595147916422</v>
          </cell>
          <cell r="EL53">
            <v>0.20104747168465792</v>
          </cell>
          <cell r="EM53" t="str">
            <v>No Sig diff</v>
          </cell>
          <cell r="EN53">
            <v>333</v>
          </cell>
          <cell r="EO53">
            <v>57</v>
          </cell>
          <cell r="EP53">
            <v>0.17117117117117117</v>
          </cell>
          <cell r="EQ53">
            <v>0.13452302236020316</v>
          </cell>
          <cell r="ER53">
            <v>0.21531947990559702</v>
          </cell>
          <cell r="ES53" t="str">
            <v>No Sig diff</v>
          </cell>
          <cell r="ET53">
            <v>320</v>
          </cell>
          <cell r="EU53">
            <v>39</v>
          </cell>
          <cell r="EV53">
            <v>0.121875</v>
          </cell>
          <cell r="EW53">
            <v>9.0449037019305387E-2</v>
          </cell>
          <cell r="EX53">
            <v>0.16227172059687262</v>
          </cell>
          <cell r="EY53" t="str">
            <v>Sig better than Eng.</v>
          </cell>
          <cell r="EZ53">
            <v>457</v>
          </cell>
          <cell r="FA53">
            <v>224</v>
          </cell>
          <cell r="FB53">
            <v>0.49015317286652077</v>
          </cell>
          <cell r="FC53">
            <v>0.44459387098320663</v>
          </cell>
          <cell r="FD53">
            <v>0.53587663611259317</v>
          </cell>
          <cell r="FE53">
            <v>457</v>
          </cell>
          <cell r="FF53">
            <v>34</v>
          </cell>
          <cell r="FG53">
            <v>91</v>
          </cell>
          <cell r="FH53">
            <v>20.461538461538463</v>
          </cell>
          <cell r="FI53">
            <v>0.3981900452488687</v>
          </cell>
          <cell r="FJ53">
            <v>460</v>
          </cell>
          <cell r="FK53">
            <v>240</v>
          </cell>
          <cell r="FL53">
            <v>0.52173913043478259</v>
          </cell>
          <cell r="FM53">
            <v>0.47609946596788244</v>
          </cell>
          <cell r="FN53">
            <v>0.5670187150822753</v>
          </cell>
          <cell r="FO53">
            <v>460</v>
          </cell>
          <cell r="FP53">
            <v>34</v>
          </cell>
          <cell r="FQ53">
            <v>91</v>
          </cell>
          <cell r="FR53">
            <v>21.736263736263741</v>
          </cell>
          <cell r="FS53">
            <v>0.36069812540400764</v>
          </cell>
          <cell r="FT53">
            <v>6478</v>
          </cell>
          <cell r="FU53">
            <v>5978</v>
          </cell>
          <cell r="FV53">
            <v>500</v>
          </cell>
          <cell r="FW53">
            <v>425</v>
          </cell>
          <cell r="FX53">
            <v>75</v>
          </cell>
          <cell r="FY53">
            <v>0.85</v>
          </cell>
          <cell r="FZ53">
            <v>0.15</v>
          </cell>
          <cell r="GQ53">
            <v>117</v>
          </cell>
          <cell r="GR53">
            <v>111</v>
          </cell>
          <cell r="GS53">
            <v>111</v>
          </cell>
          <cell r="GT53">
            <v>116</v>
          </cell>
          <cell r="GU53">
            <v>110</v>
          </cell>
          <cell r="GV53">
            <v>108</v>
          </cell>
          <cell r="GW53">
            <v>104</v>
          </cell>
          <cell r="GX53">
            <v>105</v>
          </cell>
          <cell r="GY53">
            <v>103</v>
          </cell>
          <cell r="GZ53">
            <v>105</v>
          </cell>
          <cell r="HA53">
            <v>107</v>
          </cell>
          <cell r="HB53">
            <v>103</v>
          </cell>
          <cell r="HC53">
            <v>106</v>
          </cell>
          <cell r="HD53">
            <v>134</v>
          </cell>
          <cell r="HE53">
            <v>125</v>
          </cell>
          <cell r="HF53">
            <v>123</v>
          </cell>
          <cell r="HG53">
            <v>120</v>
          </cell>
          <cell r="HH53">
            <v>122</v>
          </cell>
          <cell r="HI53">
            <v>125</v>
          </cell>
          <cell r="HJ53">
            <v>118</v>
          </cell>
          <cell r="HK53">
            <v>124</v>
          </cell>
          <cell r="HL53">
            <v>120</v>
          </cell>
          <cell r="HM53">
            <v>126</v>
          </cell>
          <cell r="HN53">
            <v>44</v>
          </cell>
          <cell r="HO53">
            <v>1.9332161687170474E-2</v>
          </cell>
          <cell r="HP53">
            <v>3520</v>
          </cell>
          <cell r="HQ53">
            <v>3144</v>
          </cell>
          <cell r="HR53">
            <v>376</v>
          </cell>
          <cell r="HS53">
            <v>0.10681818181818181</v>
          </cell>
        </row>
        <row r="54">
          <cell r="A54" t="str">
            <v>CFC Group - Chichester Rural</v>
          </cell>
          <cell r="C54" t="str">
            <v>n/a</v>
          </cell>
          <cell r="D54" t="str">
            <v>CFC Group - Chichester Rural</v>
          </cell>
          <cell r="E54" t="str">
            <v>Chichester</v>
          </cell>
          <cell r="G54" t="str">
            <v>n/a</v>
          </cell>
          <cell r="H54" t="str">
            <v>n/a</v>
          </cell>
          <cell r="I54" t="str">
            <v>n/a</v>
          </cell>
          <cell r="J54" t="str">
            <v>Coastal West Sussex</v>
          </cell>
          <cell r="K54" t="str">
            <v>Chichester</v>
          </cell>
          <cell r="L54">
            <v>61200</v>
          </cell>
          <cell r="M54">
            <v>61645</v>
          </cell>
          <cell r="N54">
            <v>61960</v>
          </cell>
          <cell r="O54">
            <v>62350</v>
          </cell>
          <cell r="P54">
            <v>62935</v>
          </cell>
          <cell r="Q54">
            <v>63140</v>
          </cell>
          <cell r="R54">
            <v>63375</v>
          </cell>
          <cell r="S54">
            <v>63320</v>
          </cell>
          <cell r="T54">
            <v>63385</v>
          </cell>
          <cell r="U54">
            <v>63620</v>
          </cell>
          <cell r="V54">
            <v>2725</v>
          </cell>
          <cell r="W54">
            <v>2765</v>
          </cell>
          <cell r="X54">
            <v>2830</v>
          </cell>
          <cell r="Y54">
            <v>2925</v>
          </cell>
          <cell r="Z54">
            <v>3055</v>
          </cell>
          <cell r="AA54">
            <v>3055</v>
          </cell>
          <cell r="AB54">
            <v>3060</v>
          </cell>
          <cell r="AC54">
            <v>3050</v>
          </cell>
          <cell r="AD54">
            <v>3110</v>
          </cell>
          <cell r="AE54">
            <v>3085</v>
          </cell>
          <cell r="AF54">
            <v>0.93148450244698211</v>
          </cell>
          <cell r="AG54">
            <v>2.6101141924959218E-2</v>
          </cell>
          <cell r="AH54">
            <v>2.4469820554649267E-2</v>
          </cell>
          <cell r="AI54">
            <v>6.5252854812398045E-3</v>
          </cell>
          <cell r="AJ54">
            <v>9.7879282218597055E-3</v>
          </cell>
          <cell r="AK54">
            <v>3.2626427406199023E-3</v>
          </cell>
          <cell r="AL54">
            <v>6.8515497553017946E-2</v>
          </cell>
          <cell r="AM54">
            <v>6199</v>
          </cell>
          <cell r="AN54">
            <v>0.61300209711243747</v>
          </cell>
          <cell r="AO54">
            <v>0.14841103403774802</v>
          </cell>
          <cell r="AP54">
            <v>0.23858686884981448</v>
          </cell>
          <cell r="AQ54">
            <v>546</v>
          </cell>
          <cell r="AR54">
            <v>538</v>
          </cell>
          <cell r="AS54">
            <v>498</v>
          </cell>
          <cell r="AT54">
            <v>484</v>
          </cell>
          <cell r="AU54">
            <v>434</v>
          </cell>
          <cell r="AV54">
            <v>23</v>
          </cell>
          <cell r="AW54">
            <v>28</v>
          </cell>
          <cell r="AX54">
            <v>22</v>
          </cell>
          <cell r="AY54">
            <v>21</v>
          </cell>
          <cell r="AZ54">
            <v>27</v>
          </cell>
          <cell r="BA54">
            <v>40</v>
          </cell>
          <cell r="BB54">
            <v>9.2165898617511524E-2</v>
          </cell>
          <cell r="BC54">
            <v>6.8414524660084824E-2</v>
          </cell>
          <cell r="BD54">
            <v>0.12307364333231419</v>
          </cell>
          <cell r="BE54">
            <v>42</v>
          </cell>
          <cell r="BF54">
            <v>824</v>
          </cell>
          <cell r="BG54">
            <v>1010</v>
          </cell>
          <cell r="BH54">
            <v>497</v>
          </cell>
          <cell r="BI54">
            <v>7.6673866090712736E-2</v>
          </cell>
          <cell r="BJ54">
            <v>6482</v>
          </cell>
          <cell r="BK54">
            <v>11616</v>
          </cell>
          <cell r="BL54">
            <v>6418</v>
          </cell>
          <cell r="BM54">
            <v>4064</v>
          </cell>
          <cell r="BN54">
            <v>4</v>
          </cell>
          <cell r="BO54">
            <v>746</v>
          </cell>
          <cell r="BP54">
            <v>1151</v>
          </cell>
          <cell r="BQ54">
            <v>453</v>
          </cell>
          <cell r="BR54">
            <v>295</v>
          </cell>
          <cell r="BS54">
            <v>255</v>
          </cell>
          <cell r="BT54">
            <v>230</v>
          </cell>
          <cell r="BU54">
            <v>1160</v>
          </cell>
          <cell r="BV54">
            <v>353</v>
          </cell>
          <cell r="BW54">
            <v>0.30431034482758623</v>
          </cell>
          <cell r="BX54">
            <v>110</v>
          </cell>
          <cell r="BY54" t="str">
            <v>n/a</v>
          </cell>
          <cell r="BZ54">
            <v>754</v>
          </cell>
          <cell r="CA54">
            <v>2.7377364656330561E-2</v>
          </cell>
          <cell r="CB54">
            <v>360</v>
          </cell>
          <cell r="CC54">
            <v>350</v>
          </cell>
          <cell r="CD54">
            <v>385</v>
          </cell>
          <cell r="CE54">
            <v>355</v>
          </cell>
          <cell r="CF54">
            <v>1100</v>
          </cell>
          <cell r="CG54">
            <v>0.11094513888888891</v>
          </cell>
          <cell r="CH54">
            <v>1170</v>
          </cell>
          <cell r="CI54">
            <v>0.1074292497625831</v>
          </cell>
          <cell r="CJ54">
            <v>1160</v>
          </cell>
          <cell r="CK54">
            <v>0.11869088669950739</v>
          </cell>
          <cell r="CL54">
            <v>1120</v>
          </cell>
          <cell r="CM54">
            <v>0.11345312500000002</v>
          </cell>
          <cell r="CN54">
            <v>1165</v>
          </cell>
          <cell r="CO54">
            <v>0.10439686797465766</v>
          </cell>
          <cell r="CP54">
            <v>1010</v>
          </cell>
          <cell r="CQ54">
            <v>9.8344693281402148E-2</v>
          </cell>
          <cell r="CR54">
            <v>467</v>
          </cell>
          <cell r="CS54">
            <v>27</v>
          </cell>
          <cell r="CT54">
            <v>440</v>
          </cell>
          <cell r="CU54">
            <v>0.94218415417558887</v>
          </cell>
          <cell r="CV54">
            <v>186</v>
          </cell>
          <cell r="CW54">
            <v>237</v>
          </cell>
          <cell r="CX54">
            <v>0.42272727272727273</v>
          </cell>
          <cell r="CY54">
            <v>0.53863636363636369</v>
          </cell>
          <cell r="CZ54">
            <v>0.37743387164863429</v>
          </cell>
          <cell r="DA54">
            <v>0.46935826854331869</v>
          </cell>
          <cell r="DB54">
            <v>0.49192365034079505</v>
          </cell>
          <cell r="DC54">
            <v>0.58468027956322843</v>
          </cell>
          <cell r="DD54">
            <v>514</v>
          </cell>
          <cell r="DE54">
            <v>53</v>
          </cell>
          <cell r="DF54">
            <v>0.10311284046692606</v>
          </cell>
          <cell r="DG54">
            <v>7.96997006668584E-2</v>
          </cell>
          <cell r="DH54">
            <v>0.13241436812717267</v>
          </cell>
          <cell r="DI54" t="str">
            <v>No Sig diff</v>
          </cell>
          <cell r="DJ54">
            <v>492</v>
          </cell>
          <cell r="DK54">
            <v>42</v>
          </cell>
          <cell r="DL54">
            <v>8.5365853658536592E-2</v>
          </cell>
          <cell r="DM54">
            <v>6.3774524361247434E-2</v>
          </cell>
          <cell r="DN54">
            <v>0.1133818171629479</v>
          </cell>
          <cell r="DO54" t="str">
            <v>No Sig diff</v>
          </cell>
          <cell r="DP54">
            <v>514</v>
          </cell>
          <cell r="DQ54">
            <v>34</v>
          </cell>
          <cell r="DR54">
            <v>6.6147859922178989E-2</v>
          </cell>
          <cell r="DS54">
            <v>4.7719133057398534E-2</v>
          </cell>
          <cell r="DT54">
            <v>9.1013402928233483E-2</v>
          </cell>
          <cell r="DU54" t="str">
            <v>Sig better than Eng.</v>
          </cell>
          <cell r="DV54">
            <v>537</v>
          </cell>
          <cell r="DW54">
            <v>51</v>
          </cell>
          <cell r="DX54">
            <v>9.4972067039106142E-2</v>
          </cell>
          <cell r="DY54">
            <v>7.2973712657176823E-2</v>
          </cell>
          <cell r="DZ54">
            <v>0.12272404145265352</v>
          </cell>
          <cell r="EA54" t="str">
            <v>No Sig diff</v>
          </cell>
          <cell r="EB54">
            <v>429</v>
          </cell>
          <cell r="EC54">
            <v>69</v>
          </cell>
          <cell r="ED54">
            <v>0.16083916083916083</v>
          </cell>
          <cell r="EE54">
            <v>0.12910851511118659</v>
          </cell>
          <cell r="EF54">
            <v>0.19858989716001957</v>
          </cell>
          <cell r="EG54" t="str">
            <v>No Sig diff</v>
          </cell>
          <cell r="EH54">
            <v>415</v>
          </cell>
          <cell r="EI54">
            <v>72</v>
          </cell>
          <cell r="EJ54">
            <v>0.17349397590361446</v>
          </cell>
          <cell r="EK54">
            <v>0.14010007304062752</v>
          </cell>
          <cell r="EL54">
            <v>0.21287706355172928</v>
          </cell>
          <cell r="EM54" t="str">
            <v>No Sig diff</v>
          </cell>
          <cell r="EN54">
            <v>402</v>
          </cell>
          <cell r="EO54">
            <v>56</v>
          </cell>
          <cell r="EP54">
            <v>0.13930348258706468</v>
          </cell>
          <cell r="EQ54">
            <v>0.1088570113409154</v>
          </cell>
          <cell r="ER54">
            <v>0.17657824004347888</v>
          </cell>
          <cell r="ES54" t="str">
            <v>Sig better than Eng.</v>
          </cell>
          <cell r="ET54">
            <v>419</v>
          </cell>
          <cell r="EU54">
            <v>56</v>
          </cell>
          <cell r="EV54">
            <v>0.13365155131264916</v>
          </cell>
          <cell r="EW54">
            <v>0.10437604898695384</v>
          </cell>
          <cell r="EX54">
            <v>0.16958350820447257</v>
          </cell>
          <cell r="EY54" t="str">
            <v>Sig better than Eng.</v>
          </cell>
          <cell r="EZ54">
            <v>623</v>
          </cell>
          <cell r="FA54">
            <v>349</v>
          </cell>
          <cell r="FB54">
            <v>0.56019261637239171</v>
          </cell>
          <cell r="FC54">
            <v>0.5209649959575825</v>
          </cell>
          <cell r="FD54">
            <v>0.59868248259481094</v>
          </cell>
          <cell r="FE54">
            <v>623</v>
          </cell>
          <cell r="FF54">
            <v>34</v>
          </cell>
          <cell r="FG54">
            <v>124</v>
          </cell>
          <cell r="FH54">
            <v>24.91935483870968</v>
          </cell>
          <cell r="FI54">
            <v>0.26707779886148003</v>
          </cell>
          <cell r="FJ54">
            <v>632</v>
          </cell>
          <cell r="FK54">
            <v>377</v>
          </cell>
          <cell r="FL54">
            <v>0.59651898734177211</v>
          </cell>
          <cell r="FM54">
            <v>0.55779872368700945</v>
          </cell>
          <cell r="FN54">
            <v>0.6340730051969099</v>
          </cell>
          <cell r="FO54">
            <v>632</v>
          </cell>
          <cell r="FP54">
            <v>34</v>
          </cell>
          <cell r="FQ54">
            <v>126</v>
          </cell>
          <cell r="FR54">
            <v>24.238095238095237</v>
          </cell>
          <cell r="FS54">
            <v>0.28711484593837538</v>
          </cell>
          <cell r="FT54">
            <v>11169</v>
          </cell>
          <cell r="FU54">
            <v>10239</v>
          </cell>
          <cell r="FV54">
            <v>930</v>
          </cell>
          <cell r="FW54">
            <v>787</v>
          </cell>
          <cell r="FX54">
            <v>143</v>
          </cell>
          <cell r="FY54">
            <v>0.84623655913978491</v>
          </cell>
          <cell r="FZ54">
            <v>0.15376344086021507</v>
          </cell>
          <cell r="GQ54">
            <v>136</v>
          </cell>
          <cell r="GR54">
            <v>127</v>
          </cell>
          <cell r="GS54">
            <v>128</v>
          </cell>
          <cell r="GT54">
            <v>131</v>
          </cell>
          <cell r="GU54">
            <v>128</v>
          </cell>
          <cell r="GV54">
            <v>118</v>
          </cell>
          <cell r="GW54">
            <v>109</v>
          </cell>
          <cell r="GX54">
            <v>114</v>
          </cell>
          <cell r="GY54">
            <v>109</v>
          </cell>
          <cell r="GZ54">
            <v>114</v>
          </cell>
          <cell r="HA54">
            <v>114</v>
          </cell>
          <cell r="HB54">
            <v>107</v>
          </cell>
          <cell r="HC54">
            <v>115</v>
          </cell>
          <cell r="HD54">
            <v>148</v>
          </cell>
          <cell r="HE54">
            <v>127</v>
          </cell>
          <cell r="HF54">
            <v>123</v>
          </cell>
          <cell r="HG54">
            <v>121</v>
          </cell>
          <cell r="HH54">
            <v>122</v>
          </cell>
          <cell r="HI54">
            <v>124</v>
          </cell>
          <cell r="HJ54">
            <v>116</v>
          </cell>
          <cell r="HK54">
            <v>132</v>
          </cell>
          <cell r="HL54">
            <v>122</v>
          </cell>
          <cell r="HM54">
            <v>128</v>
          </cell>
          <cell r="HN54">
            <v>41</v>
          </cell>
          <cell r="HO54">
            <v>1.3385569702905649E-2</v>
          </cell>
          <cell r="HP54">
            <v>4708</v>
          </cell>
          <cell r="HQ54">
            <v>4323</v>
          </cell>
          <cell r="HR54">
            <v>385</v>
          </cell>
          <cell r="HS54">
            <v>8.1775700934579434E-2</v>
          </cell>
        </row>
        <row r="55">
          <cell r="A55" t="str">
            <v>CFC Group - Crawley</v>
          </cell>
          <cell r="C55" t="str">
            <v>n/a</v>
          </cell>
          <cell r="D55" t="str">
            <v>CFC Group - Crawley</v>
          </cell>
          <cell r="E55" t="str">
            <v>Crawley</v>
          </cell>
          <cell r="G55" t="str">
            <v>n/a</v>
          </cell>
          <cell r="H55" t="str">
            <v>n/a</v>
          </cell>
          <cell r="I55" t="str">
            <v>n/a</v>
          </cell>
          <cell r="J55" t="str">
            <v>Crawley</v>
          </cell>
          <cell r="K55" t="str">
            <v>Crawley</v>
          </cell>
          <cell r="L55">
            <v>98885</v>
          </cell>
          <cell r="M55">
            <v>99705</v>
          </cell>
          <cell r="N55">
            <v>100745</v>
          </cell>
          <cell r="O55">
            <v>101610</v>
          </cell>
          <cell r="P55">
            <v>102825</v>
          </cell>
          <cell r="Q55">
            <v>103845</v>
          </cell>
          <cell r="R55">
            <v>105480</v>
          </cell>
          <cell r="S55">
            <v>107055</v>
          </cell>
          <cell r="T55">
            <v>108300</v>
          </cell>
          <cell r="U55">
            <v>108970</v>
          </cell>
          <cell r="V55">
            <v>6305</v>
          </cell>
          <cell r="W55">
            <v>6280</v>
          </cell>
          <cell r="X55">
            <v>6370</v>
          </cell>
          <cell r="Y55">
            <v>6595</v>
          </cell>
          <cell r="Z55">
            <v>6935</v>
          </cell>
          <cell r="AA55">
            <v>7190</v>
          </cell>
          <cell r="AB55">
            <v>7740</v>
          </cell>
          <cell r="AC55">
            <v>8145</v>
          </cell>
          <cell r="AD55">
            <v>8320</v>
          </cell>
          <cell r="AE55">
            <v>8355</v>
          </cell>
          <cell r="AF55">
            <v>0.62205700123915741</v>
          </cell>
          <cell r="AG55">
            <v>6.5675340768277565E-2</v>
          </cell>
          <cell r="AH55">
            <v>7.6827757125154897E-2</v>
          </cell>
          <cell r="AI55">
            <v>0.17348203221809169</v>
          </cell>
          <cell r="AJ55">
            <v>4.8946716232961589E-2</v>
          </cell>
          <cell r="AK55">
            <v>1.3011152416356878E-2</v>
          </cell>
          <cell r="AL55">
            <v>0.37794299876084264</v>
          </cell>
          <cell r="AM55">
            <v>14546</v>
          </cell>
          <cell r="AN55">
            <v>0.49099408772171044</v>
          </cell>
          <cell r="AO55">
            <v>0.31527567716210642</v>
          </cell>
          <cell r="AP55">
            <v>0.19373023511618315</v>
          </cell>
          <cell r="AQ55">
            <v>1545</v>
          </cell>
          <cell r="AR55">
            <v>1666</v>
          </cell>
          <cell r="AS55">
            <v>1694</v>
          </cell>
          <cell r="AT55">
            <v>1617</v>
          </cell>
          <cell r="AU55">
            <v>1621</v>
          </cell>
          <cell r="AV55">
            <v>69</v>
          </cell>
          <cell r="AW55">
            <v>75</v>
          </cell>
          <cell r="AX55">
            <v>79</v>
          </cell>
          <cell r="AY55">
            <v>67</v>
          </cell>
          <cell r="AZ55">
            <v>64</v>
          </cell>
          <cell r="BA55">
            <v>128</v>
          </cell>
          <cell r="BB55">
            <v>7.8963602714373846E-2</v>
          </cell>
          <cell r="BC55">
            <v>6.6808520694543738E-2</v>
          </cell>
          <cell r="BD55">
            <v>9.3109517714746015E-2</v>
          </cell>
          <cell r="BE55">
            <v>144</v>
          </cell>
          <cell r="BF55">
            <v>2712</v>
          </cell>
          <cell r="BG55">
            <v>2241</v>
          </cell>
          <cell r="BH55">
            <v>1333</v>
          </cell>
          <cell r="BI55">
            <v>9.5071678196990222E-2</v>
          </cell>
          <cell r="BJ55">
            <v>14021</v>
          </cell>
          <cell r="BK55">
            <v>24916</v>
          </cell>
          <cell r="BL55">
            <v>14216</v>
          </cell>
          <cell r="BM55">
            <v>7467</v>
          </cell>
          <cell r="BN55">
            <v>9</v>
          </cell>
          <cell r="BO55">
            <v>1897</v>
          </cell>
          <cell r="BP55">
            <v>3347</v>
          </cell>
          <cell r="BQ55">
            <v>1496</v>
          </cell>
          <cell r="BR55">
            <v>1180</v>
          </cell>
          <cell r="BS55">
            <v>1095</v>
          </cell>
          <cell r="BT55">
            <v>925</v>
          </cell>
          <cell r="BU55">
            <v>3293</v>
          </cell>
          <cell r="BV55">
            <v>1363</v>
          </cell>
          <cell r="BW55">
            <v>0.4139082903127847</v>
          </cell>
          <cell r="BX55">
            <v>248</v>
          </cell>
          <cell r="BY55" t="str">
            <v>n/a</v>
          </cell>
          <cell r="BZ55">
            <v>2084</v>
          </cell>
          <cell r="CA55">
            <v>4.8774779413485618E-2</v>
          </cell>
          <cell r="CB55">
            <v>1650</v>
          </cell>
          <cell r="CC55">
            <v>1650</v>
          </cell>
          <cell r="CD55">
            <v>1580</v>
          </cell>
          <cell r="CE55">
            <v>1475</v>
          </cell>
          <cell r="CF55">
            <v>3775</v>
          </cell>
          <cell r="CG55">
            <v>0.19</v>
          </cell>
          <cell r="CH55">
            <v>3775</v>
          </cell>
          <cell r="CI55">
            <v>0.187</v>
          </cell>
          <cell r="CJ55">
            <v>4090</v>
          </cell>
          <cell r="CK55">
            <v>0.19500000000000001</v>
          </cell>
          <cell r="CL55">
            <v>4165</v>
          </cell>
          <cell r="CM55">
            <v>0.19500000000000001</v>
          </cell>
          <cell r="CN55">
            <v>4165</v>
          </cell>
          <cell r="CO55">
            <v>0.19</v>
          </cell>
          <cell r="CP55">
            <v>3895</v>
          </cell>
          <cell r="CQ55">
            <v>0.17399999999999999</v>
          </cell>
          <cell r="CR55">
            <v>1542</v>
          </cell>
          <cell r="CS55">
            <v>48</v>
          </cell>
          <cell r="CT55">
            <v>1494</v>
          </cell>
          <cell r="CU55">
            <v>0.9688715953307393</v>
          </cell>
          <cell r="CV55">
            <v>540</v>
          </cell>
          <cell r="CW55">
            <v>809</v>
          </cell>
          <cell r="CX55">
            <v>0.36144578313253012</v>
          </cell>
          <cell r="CY55">
            <v>0.54149933065595712</v>
          </cell>
          <cell r="CZ55">
            <v>0.3374688957422961</v>
          </cell>
          <cell r="DA55">
            <v>0.38613336031626067</v>
          </cell>
          <cell r="DB55">
            <v>0.51615878957366523</v>
          </cell>
          <cell r="DC55">
            <v>0.56662700812860278</v>
          </cell>
          <cell r="DD55">
            <v>1053</v>
          </cell>
          <cell r="DE55">
            <v>91</v>
          </cell>
          <cell r="DF55">
            <v>8.6419753086419748E-2</v>
          </cell>
          <cell r="DG55">
            <v>7.0916108024578983E-2</v>
          </cell>
          <cell r="DH55">
            <v>0.10493000140802267</v>
          </cell>
          <cell r="DI55" t="str">
            <v>No Sig diff</v>
          </cell>
          <cell r="DJ55">
            <v>1172</v>
          </cell>
          <cell r="DK55">
            <v>114</v>
          </cell>
          <cell r="DL55">
            <v>9.7269624573378843E-2</v>
          </cell>
          <cell r="DM55">
            <v>8.1597122865939342E-2</v>
          </cell>
          <cell r="DN55">
            <v>0.11557355612442274</v>
          </cell>
          <cell r="DO55" t="str">
            <v>No Sig diff</v>
          </cell>
          <cell r="DP55">
            <v>991</v>
          </cell>
          <cell r="DQ55">
            <v>81</v>
          </cell>
          <cell r="DR55">
            <v>8.1735620585267413E-2</v>
          </cell>
          <cell r="DS55">
            <v>6.6250292754922335E-2</v>
          </cell>
          <cell r="DT55">
            <v>0.10045110207565305</v>
          </cell>
          <cell r="DU55" t="str">
            <v>No Sig diff</v>
          </cell>
          <cell r="DV55">
            <v>1189</v>
          </cell>
          <cell r="DW55">
            <v>111</v>
          </cell>
          <cell r="DX55">
            <v>9.3355761143818342E-2</v>
          </cell>
          <cell r="DY55">
            <v>7.8103523781505702E-2</v>
          </cell>
          <cell r="DZ55">
            <v>0.11122713466490082</v>
          </cell>
          <cell r="EA55" t="str">
            <v>No Sig diff</v>
          </cell>
          <cell r="EB55">
            <v>1018</v>
          </cell>
          <cell r="EC55">
            <v>197</v>
          </cell>
          <cell r="ED55">
            <v>0.19351669941060903</v>
          </cell>
          <cell r="EE55">
            <v>0.17041930878054676</v>
          </cell>
          <cell r="EF55">
            <v>0.2189184455124161</v>
          </cell>
          <cell r="EG55" t="str">
            <v>No Sig diff</v>
          </cell>
          <cell r="EH55">
            <v>1114</v>
          </cell>
          <cell r="EI55">
            <v>192</v>
          </cell>
          <cell r="EJ55">
            <v>0.17235188509874327</v>
          </cell>
          <cell r="EK55">
            <v>0.15130866125267942</v>
          </cell>
          <cell r="EL55">
            <v>0.19564703247321</v>
          </cell>
          <cell r="EM55" t="str">
            <v>No Sig diff</v>
          </cell>
          <cell r="EN55">
            <v>1128</v>
          </cell>
          <cell r="EO55">
            <v>213</v>
          </cell>
          <cell r="EP55">
            <v>0.18882978723404256</v>
          </cell>
          <cell r="EQ55">
            <v>0.16706083594111637</v>
          </cell>
          <cell r="ER55">
            <v>0.21271095583311433</v>
          </cell>
          <cell r="ES55" t="str">
            <v>No Sig diff</v>
          </cell>
          <cell r="ET55">
            <v>1075</v>
          </cell>
          <cell r="EU55">
            <v>210</v>
          </cell>
          <cell r="EV55">
            <v>0.19534883720930232</v>
          </cell>
          <cell r="EW55">
            <v>0.17275073315918471</v>
          </cell>
          <cell r="EX55">
            <v>0.22011649988542298</v>
          </cell>
          <cell r="EY55" t="str">
            <v>No Sig diff</v>
          </cell>
          <cell r="EZ55">
            <v>1440</v>
          </cell>
          <cell r="FA55">
            <v>693</v>
          </cell>
          <cell r="FB55">
            <v>0.48125000000000001</v>
          </cell>
          <cell r="FC55">
            <v>0.45552756226071045</v>
          </cell>
          <cell r="FD55">
            <v>0.50707220957012045</v>
          </cell>
          <cell r="FE55">
            <v>1440</v>
          </cell>
          <cell r="FF55">
            <v>34</v>
          </cell>
          <cell r="FG55">
            <v>288</v>
          </cell>
          <cell r="FH55">
            <v>22.378472222222197</v>
          </cell>
          <cell r="FI55">
            <v>0.34180964052287655</v>
          </cell>
          <cell r="FJ55">
            <v>1518</v>
          </cell>
          <cell r="FK55">
            <v>841</v>
          </cell>
          <cell r="FL55">
            <v>0.5540184453227931</v>
          </cell>
          <cell r="FM55">
            <v>0.52890795807318758</v>
          </cell>
          <cell r="FN55">
            <v>0.57885622396393932</v>
          </cell>
          <cell r="FO55">
            <v>1518</v>
          </cell>
          <cell r="FP55">
            <v>34</v>
          </cell>
          <cell r="FQ55">
            <v>301</v>
          </cell>
          <cell r="FR55">
            <v>22.714285714285719</v>
          </cell>
          <cell r="FS55">
            <v>0.33193277310924357</v>
          </cell>
          <cell r="FT55">
            <v>13718</v>
          </cell>
          <cell r="FU55">
            <v>13516</v>
          </cell>
          <cell r="FV55">
            <v>202</v>
          </cell>
          <cell r="FW55">
            <v>173</v>
          </cell>
          <cell r="FX55">
            <v>29</v>
          </cell>
          <cell r="FY55">
            <v>0.85643564356435642</v>
          </cell>
          <cell r="FZ55">
            <v>0.14356435643564355</v>
          </cell>
          <cell r="GQ55">
            <v>436</v>
          </cell>
          <cell r="GR55">
            <v>417</v>
          </cell>
          <cell r="GS55">
            <v>418</v>
          </cell>
          <cell r="GT55">
            <v>430</v>
          </cell>
          <cell r="GU55">
            <v>423</v>
          </cell>
          <cell r="GV55">
            <v>408</v>
          </cell>
          <cell r="GW55">
            <v>396</v>
          </cell>
          <cell r="GX55">
            <v>389</v>
          </cell>
          <cell r="GY55">
            <v>394</v>
          </cell>
          <cell r="GZ55">
            <v>393</v>
          </cell>
          <cell r="HA55">
            <v>396</v>
          </cell>
          <cell r="HB55">
            <v>395</v>
          </cell>
          <cell r="HC55">
            <v>402</v>
          </cell>
          <cell r="HD55">
            <v>420</v>
          </cell>
          <cell r="HE55">
            <v>394</v>
          </cell>
          <cell r="HF55">
            <v>383</v>
          </cell>
          <cell r="HG55">
            <v>376</v>
          </cell>
          <cell r="HH55">
            <v>384</v>
          </cell>
          <cell r="HI55">
            <v>394</v>
          </cell>
          <cell r="HJ55">
            <v>378</v>
          </cell>
          <cell r="HK55">
            <v>399</v>
          </cell>
          <cell r="HL55">
            <v>379</v>
          </cell>
          <cell r="HM55">
            <v>391</v>
          </cell>
          <cell r="HN55">
            <v>158</v>
          </cell>
          <cell r="HO55">
            <v>1.9602977667493797E-2</v>
          </cell>
          <cell r="HP55">
            <v>12900</v>
          </cell>
          <cell r="HQ55">
            <v>11233</v>
          </cell>
          <cell r="HR55">
            <v>1667</v>
          </cell>
          <cell r="HS55">
            <v>0.12922480620155039</v>
          </cell>
        </row>
        <row r="56">
          <cell r="A56" t="str">
            <v>CFC Group - Horsham Rural</v>
          </cell>
          <cell r="C56" t="str">
            <v>n/a</v>
          </cell>
          <cell r="D56" t="str">
            <v>CFC Group - Horsham Rural</v>
          </cell>
          <cell r="E56" t="str">
            <v>Horsham</v>
          </cell>
          <cell r="G56" t="str">
            <v>n/a</v>
          </cell>
          <cell r="H56" t="str">
            <v>n/a</v>
          </cell>
          <cell r="I56" t="str">
            <v>n/a</v>
          </cell>
          <cell r="J56" t="str">
            <v>Coastal/Horsham and Mid Sussex</v>
          </cell>
          <cell r="K56" t="str">
            <v>Arundel and South Downs/Horsham</v>
          </cell>
          <cell r="L56">
            <v>77760</v>
          </cell>
          <cell r="M56">
            <v>78225</v>
          </cell>
          <cell r="N56">
            <v>78800</v>
          </cell>
          <cell r="O56">
            <v>79500</v>
          </cell>
          <cell r="P56">
            <v>79860</v>
          </cell>
          <cell r="Q56">
            <v>80135</v>
          </cell>
          <cell r="R56">
            <v>80945</v>
          </cell>
          <cell r="S56">
            <v>81165</v>
          </cell>
          <cell r="T56">
            <v>81415</v>
          </cell>
          <cell r="U56">
            <v>81900</v>
          </cell>
          <cell r="V56">
            <v>3925</v>
          </cell>
          <cell r="W56">
            <v>3885</v>
          </cell>
          <cell r="X56">
            <v>3805</v>
          </cell>
          <cell r="Y56">
            <v>3970</v>
          </cell>
          <cell r="Z56">
            <v>3935</v>
          </cell>
          <cell r="AA56">
            <v>3890</v>
          </cell>
          <cell r="AB56">
            <v>3940</v>
          </cell>
          <cell r="AC56">
            <v>3945</v>
          </cell>
          <cell r="AD56">
            <v>3960</v>
          </cell>
          <cell r="AE56">
            <v>3985</v>
          </cell>
          <cell r="AF56">
            <v>0.92874999999999996</v>
          </cell>
          <cell r="AG56">
            <v>2.8750000000000001E-2</v>
          </cell>
          <cell r="AH56">
            <v>0.03</v>
          </cell>
          <cell r="AI56">
            <v>1.125E-2</v>
          </cell>
          <cell r="AJ56">
            <v>1.25E-3</v>
          </cell>
          <cell r="AK56">
            <v>1.25E-3</v>
          </cell>
          <cell r="AL56">
            <v>7.1249999999999994E-2</v>
          </cell>
          <cell r="AM56">
            <v>8282</v>
          </cell>
          <cell r="AN56">
            <v>0.70816227964259837</v>
          </cell>
          <cell r="AO56">
            <v>0.1390968365129196</v>
          </cell>
          <cell r="AP56">
            <v>0.15274088384448201</v>
          </cell>
          <cell r="AQ56">
            <v>694</v>
          </cell>
          <cell r="AR56">
            <v>711</v>
          </cell>
          <cell r="AS56">
            <v>686</v>
          </cell>
          <cell r="AT56">
            <v>680</v>
          </cell>
          <cell r="AU56">
            <v>643</v>
          </cell>
          <cell r="AV56">
            <v>31</v>
          </cell>
          <cell r="AW56">
            <v>23</v>
          </cell>
          <cell r="AX56">
            <v>15</v>
          </cell>
          <cell r="AY56">
            <v>26</v>
          </cell>
          <cell r="AZ56">
            <v>21</v>
          </cell>
          <cell r="BA56">
            <v>48</v>
          </cell>
          <cell r="BB56">
            <v>7.4650077760497674E-2</v>
          </cell>
          <cell r="BC56">
            <v>5.6764926583491651E-2</v>
          </cell>
          <cell r="BD56">
            <v>9.7587360919419316E-2</v>
          </cell>
          <cell r="BE56">
            <v>41</v>
          </cell>
          <cell r="BF56">
            <v>1116</v>
          </cell>
          <cell r="BG56">
            <v>1375</v>
          </cell>
          <cell r="BH56">
            <v>609</v>
          </cell>
          <cell r="BI56">
            <v>6.734490766338605E-2</v>
          </cell>
          <cell r="BJ56">
            <v>9043</v>
          </cell>
          <cell r="BK56">
            <v>16084</v>
          </cell>
          <cell r="BL56">
            <v>9447</v>
          </cell>
          <cell r="BM56">
            <v>6288</v>
          </cell>
          <cell r="BN56">
            <v>1</v>
          </cell>
          <cell r="BO56">
            <v>1076</v>
          </cell>
          <cell r="BP56">
            <v>1520</v>
          </cell>
          <cell r="BQ56">
            <v>562</v>
          </cell>
          <cell r="BR56">
            <v>305</v>
          </cell>
          <cell r="BS56">
            <v>275</v>
          </cell>
          <cell r="BT56">
            <v>245</v>
          </cell>
          <cell r="BU56">
            <v>1392</v>
          </cell>
          <cell r="BV56">
            <v>396</v>
          </cell>
          <cell r="BW56">
            <v>0.28448275862068967</v>
          </cell>
          <cell r="BX56">
            <v>150</v>
          </cell>
          <cell r="BY56" t="str">
            <v>n/a</v>
          </cell>
          <cell r="BZ56">
            <v>791</v>
          </cell>
          <cell r="CA56">
            <v>2.3278399058269571E-2</v>
          </cell>
          <cell r="CB56">
            <v>460</v>
          </cell>
          <cell r="CC56">
            <v>430</v>
          </cell>
          <cell r="CD56">
            <v>395</v>
          </cell>
          <cell r="CE56">
            <v>415</v>
          </cell>
          <cell r="CF56">
            <v>1210</v>
          </cell>
          <cell r="CG56">
            <v>8.6488636363636365E-2</v>
          </cell>
          <cell r="CH56">
            <v>1290</v>
          </cell>
          <cell r="CI56">
            <v>8.4399547803617567E-2</v>
          </cell>
          <cell r="CJ56">
            <v>1345</v>
          </cell>
          <cell r="CK56">
            <v>9.603960140437838E-2</v>
          </cell>
          <cell r="CL56">
            <v>1205</v>
          </cell>
          <cell r="CM56">
            <v>9.1512966804979251E-2</v>
          </cell>
          <cell r="CN56">
            <v>1230</v>
          </cell>
          <cell r="CO56">
            <v>8.5441734417344178E-2</v>
          </cell>
          <cell r="CP56">
            <v>1040</v>
          </cell>
          <cell r="CQ56">
            <v>7.6999999999999999E-2</v>
          </cell>
          <cell r="CR56">
            <v>694</v>
          </cell>
          <cell r="CS56">
            <v>20</v>
          </cell>
          <cell r="CT56">
            <v>674</v>
          </cell>
          <cell r="CU56">
            <v>0.97118155619596547</v>
          </cell>
          <cell r="CV56">
            <v>308</v>
          </cell>
          <cell r="CW56">
            <v>404</v>
          </cell>
          <cell r="CX56">
            <v>0.45697329376854601</v>
          </cell>
          <cell r="CY56">
            <v>0.59940652818991103</v>
          </cell>
          <cell r="CZ56">
            <v>0.41971558496913836</v>
          </cell>
          <cell r="DA56">
            <v>0.49471868392183771</v>
          </cell>
          <cell r="DB56">
            <v>0.56194988661152023</v>
          </cell>
          <cell r="DC56">
            <v>0.63573645767484521</v>
          </cell>
          <cell r="DD56">
            <v>690</v>
          </cell>
          <cell r="DE56">
            <v>45</v>
          </cell>
          <cell r="DF56">
            <v>6.5217391304347824E-2</v>
          </cell>
          <cell r="DG56">
            <v>4.9095601119040551E-2</v>
          </cell>
          <cell r="DH56">
            <v>8.6153536313874207E-2</v>
          </cell>
          <cell r="DI56" t="str">
            <v>Sig better than Eng.</v>
          </cell>
          <cell r="DJ56">
            <v>715</v>
          </cell>
          <cell r="DK56">
            <v>60</v>
          </cell>
          <cell r="DL56">
            <v>8.3916083916083919E-2</v>
          </cell>
          <cell r="DM56">
            <v>6.5749511211531414E-2</v>
          </cell>
          <cell r="DN56">
            <v>0.10652972686116412</v>
          </cell>
          <cell r="DO56" t="str">
            <v>No Sig diff</v>
          </cell>
          <cell r="DP56">
            <v>478</v>
          </cell>
          <cell r="DQ56">
            <v>37</v>
          </cell>
          <cell r="DR56">
            <v>7.7405857740585768E-2</v>
          </cell>
          <cell r="DS56">
            <v>5.6677309110696433E-2</v>
          </cell>
          <cell r="DT56">
            <v>0.1048726310111248</v>
          </cell>
          <cell r="DU56" t="str">
            <v>No Sig diff</v>
          </cell>
          <cell r="DV56">
            <v>661</v>
          </cell>
          <cell r="DW56">
            <v>53</v>
          </cell>
          <cell r="DX56">
            <v>8.0181543116490173E-2</v>
          </cell>
          <cell r="DY56">
            <v>6.1822013381150641E-2</v>
          </cell>
          <cell r="DZ56">
            <v>0.10339250109201802</v>
          </cell>
          <cell r="EA56" t="str">
            <v>No Sig diff</v>
          </cell>
          <cell r="EB56">
            <v>715</v>
          </cell>
          <cell r="EC56">
            <v>109</v>
          </cell>
          <cell r="ED56">
            <v>0.15244755244755245</v>
          </cell>
          <cell r="EE56">
            <v>0.12796234517942864</v>
          </cell>
          <cell r="EF56">
            <v>0.18064737132835237</v>
          </cell>
          <cell r="EG56" t="str">
            <v>Sig better than Eng.</v>
          </cell>
          <cell r="EH56">
            <v>683</v>
          </cell>
          <cell r="EI56">
            <v>102</v>
          </cell>
          <cell r="EJ56">
            <v>0.14934114202049781</v>
          </cell>
          <cell r="EK56">
            <v>0.12457477402504541</v>
          </cell>
          <cell r="EL56">
            <v>0.17802993358471017</v>
          </cell>
          <cell r="EM56" t="str">
            <v>Sig better than Eng.</v>
          </cell>
          <cell r="EN56">
            <v>653</v>
          </cell>
          <cell r="EO56">
            <v>89</v>
          </cell>
          <cell r="EP56">
            <v>0.13629402756508421</v>
          </cell>
          <cell r="EQ56">
            <v>0.11209652965952474</v>
          </cell>
          <cell r="ER56">
            <v>0.1647457073502642</v>
          </cell>
          <cell r="ES56" t="str">
            <v>Sig better than Eng.</v>
          </cell>
          <cell r="ET56">
            <v>591</v>
          </cell>
          <cell r="EU56">
            <v>74</v>
          </cell>
          <cell r="EV56">
            <v>0.12521150592216582</v>
          </cell>
          <cell r="EW56">
            <v>0.10092567436312364</v>
          </cell>
          <cell r="EX56">
            <v>0.15433807124352619</v>
          </cell>
          <cell r="EY56" t="str">
            <v>Sig better than Eng.</v>
          </cell>
          <cell r="EZ56">
            <v>782</v>
          </cell>
          <cell r="FA56">
            <v>456</v>
          </cell>
          <cell r="FB56">
            <v>0.58312020460358061</v>
          </cell>
          <cell r="FC56">
            <v>0.54823960073443256</v>
          </cell>
          <cell r="FD56">
            <v>0.61718816913035668</v>
          </cell>
          <cell r="FE56">
            <v>782</v>
          </cell>
          <cell r="FF56">
            <v>34</v>
          </cell>
          <cell r="FG56">
            <v>156</v>
          </cell>
          <cell r="FH56">
            <v>25.679487179487179</v>
          </cell>
          <cell r="FI56">
            <v>0.24472096530920062</v>
          </cell>
          <cell r="FJ56">
            <v>838</v>
          </cell>
          <cell r="FK56">
            <v>521</v>
          </cell>
          <cell r="FL56">
            <v>0.62171837708830546</v>
          </cell>
          <cell r="FM56">
            <v>0.5883987373583377</v>
          </cell>
          <cell r="FN56">
            <v>0.65392717551102397</v>
          </cell>
          <cell r="FO56">
            <v>838</v>
          </cell>
          <cell r="FP56">
            <v>34</v>
          </cell>
          <cell r="FQ56">
            <v>166</v>
          </cell>
          <cell r="FR56">
            <v>26.8132530120482</v>
          </cell>
          <cell r="FS56">
            <v>0.21137491141034706</v>
          </cell>
          <cell r="FT56">
            <v>12075</v>
          </cell>
          <cell r="FU56">
            <v>11826</v>
          </cell>
          <cell r="FV56">
            <v>249</v>
          </cell>
          <cell r="FW56">
            <v>205</v>
          </cell>
          <cell r="FX56">
            <v>44</v>
          </cell>
          <cell r="FY56">
            <v>0.82329317269076308</v>
          </cell>
          <cell r="FZ56">
            <v>0.17670682730923695</v>
          </cell>
          <cell r="GQ56">
            <v>214</v>
          </cell>
          <cell r="GR56">
            <v>209</v>
          </cell>
          <cell r="GS56">
            <v>210</v>
          </cell>
          <cell r="GT56">
            <v>210</v>
          </cell>
          <cell r="GU56">
            <v>210</v>
          </cell>
          <cell r="GV56">
            <v>164</v>
          </cell>
          <cell r="GW56">
            <v>154</v>
          </cell>
          <cell r="GX56">
            <v>157</v>
          </cell>
          <cell r="GY56">
            <v>154</v>
          </cell>
          <cell r="GZ56">
            <v>158</v>
          </cell>
          <cell r="HA56">
            <v>159</v>
          </cell>
          <cell r="HB56">
            <v>154</v>
          </cell>
          <cell r="HC56">
            <v>158</v>
          </cell>
          <cell r="HD56">
            <v>206</v>
          </cell>
          <cell r="HE56">
            <v>197</v>
          </cell>
          <cell r="HF56">
            <v>194</v>
          </cell>
          <cell r="HG56">
            <v>189</v>
          </cell>
          <cell r="HH56">
            <v>193</v>
          </cell>
          <cell r="HI56">
            <v>197</v>
          </cell>
          <cell r="HJ56">
            <v>189</v>
          </cell>
          <cell r="HK56">
            <v>194</v>
          </cell>
          <cell r="HL56">
            <v>191</v>
          </cell>
          <cell r="HM56">
            <v>201</v>
          </cell>
          <cell r="HN56">
            <v>60</v>
          </cell>
          <cell r="HO56">
            <v>1.5018773466833541E-2</v>
          </cell>
          <cell r="HP56">
            <v>6263</v>
          </cell>
          <cell r="HQ56">
            <v>5821</v>
          </cell>
          <cell r="HR56">
            <v>442</v>
          </cell>
          <cell r="HS56">
            <v>7.0573207727925913E-2</v>
          </cell>
        </row>
        <row r="57">
          <cell r="A57" t="str">
            <v>CFC Group - Horsham Town</v>
          </cell>
          <cell r="C57" t="str">
            <v>n/a</v>
          </cell>
          <cell r="D57" t="str">
            <v>CFC Group - Horsham Town</v>
          </cell>
          <cell r="E57" t="str">
            <v>Horsham</v>
          </cell>
          <cell r="G57" t="str">
            <v>n/a</v>
          </cell>
          <cell r="H57" t="str">
            <v>n/a</v>
          </cell>
          <cell r="I57" t="str">
            <v>n/a</v>
          </cell>
          <cell r="J57" t="str">
            <v>Horsham and Mid Sussex</v>
          </cell>
          <cell r="K57" t="str">
            <v>Horsham</v>
          </cell>
          <cell r="L57">
            <v>55555</v>
          </cell>
          <cell r="M57">
            <v>56115</v>
          </cell>
          <cell r="N57">
            <v>56850</v>
          </cell>
          <cell r="O57">
            <v>57335</v>
          </cell>
          <cell r="P57">
            <v>57750</v>
          </cell>
          <cell r="Q57">
            <v>58185</v>
          </cell>
          <cell r="R57">
            <v>58650</v>
          </cell>
          <cell r="S57">
            <v>59080</v>
          </cell>
          <cell r="T57">
            <v>59530</v>
          </cell>
          <cell r="U57">
            <v>59735</v>
          </cell>
          <cell r="V57">
            <v>3470</v>
          </cell>
          <cell r="W57">
            <v>3325</v>
          </cell>
          <cell r="X57">
            <v>3330</v>
          </cell>
          <cell r="Y57">
            <v>3430</v>
          </cell>
          <cell r="Z57">
            <v>3440</v>
          </cell>
          <cell r="AA57">
            <v>3490</v>
          </cell>
          <cell r="AB57">
            <v>3565</v>
          </cell>
          <cell r="AC57">
            <v>3600</v>
          </cell>
          <cell r="AD57">
            <v>3660</v>
          </cell>
          <cell r="AE57">
            <v>3595</v>
          </cell>
          <cell r="AF57">
            <v>0.86153846153846159</v>
          </cell>
          <cell r="AG57">
            <v>3.3566433566433566E-2</v>
          </cell>
          <cell r="AH57">
            <v>5.4545454545454543E-2</v>
          </cell>
          <cell r="AI57">
            <v>3.9160839160839164E-2</v>
          </cell>
          <cell r="AJ57">
            <v>6.993006993006993E-3</v>
          </cell>
          <cell r="AK57">
            <v>2.7972027972027972E-3</v>
          </cell>
          <cell r="AL57">
            <v>0.13706293706293707</v>
          </cell>
          <cell r="AM57">
            <v>6989</v>
          </cell>
          <cell r="AN57">
            <v>0.70553727285734724</v>
          </cell>
          <cell r="AO57">
            <v>0.14179424810416369</v>
          </cell>
          <cell r="AP57">
            <v>0.15266847903848904</v>
          </cell>
          <cell r="AQ57">
            <v>701</v>
          </cell>
          <cell r="AR57">
            <v>648</v>
          </cell>
          <cell r="AS57">
            <v>690</v>
          </cell>
          <cell r="AT57">
            <v>636</v>
          </cell>
          <cell r="AU57">
            <v>632</v>
          </cell>
          <cell r="AV57">
            <v>23</v>
          </cell>
          <cell r="AW57">
            <v>19</v>
          </cell>
          <cell r="AX57">
            <v>9</v>
          </cell>
          <cell r="AY57">
            <v>13</v>
          </cell>
          <cell r="AZ57">
            <v>7</v>
          </cell>
          <cell r="BA57">
            <v>40</v>
          </cell>
          <cell r="BB57">
            <v>6.3291139240506333E-2</v>
          </cell>
          <cell r="BC57">
            <v>4.6821004663438637E-2</v>
          </cell>
          <cell r="BD57">
            <v>8.5038058091286881E-2</v>
          </cell>
          <cell r="BE57">
            <v>21</v>
          </cell>
          <cell r="BF57">
            <v>1043</v>
          </cell>
          <cell r="BG57">
            <v>1201</v>
          </cell>
          <cell r="BH57">
            <v>501</v>
          </cell>
          <cell r="BI57">
            <v>6.8172540481698185E-2</v>
          </cell>
          <cell r="BJ57">
            <v>7349</v>
          </cell>
          <cell r="BK57">
            <v>13050</v>
          </cell>
          <cell r="BL57">
            <v>7079</v>
          </cell>
          <cell r="BM57">
            <v>4683</v>
          </cell>
          <cell r="BN57">
            <v>7</v>
          </cell>
          <cell r="BO57">
            <v>790</v>
          </cell>
          <cell r="BP57">
            <v>1140</v>
          </cell>
          <cell r="BQ57">
            <v>459</v>
          </cell>
          <cell r="BR57">
            <v>270</v>
          </cell>
          <cell r="BS57">
            <v>260</v>
          </cell>
          <cell r="BT57">
            <v>225</v>
          </cell>
          <cell r="BU57">
            <v>1167</v>
          </cell>
          <cell r="BV57">
            <v>322</v>
          </cell>
          <cell r="BW57">
            <v>0.27592116538131961</v>
          </cell>
          <cell r="BX57">
            <v>120</v>
          </cell>
          <cell r="BY57" t="str">
            <v>n/a</v>
          </cell>
          <cell r="BZ57">
            <v>755</v>
          </cell>
          <cell r="CA57">
            <v>3.0908421009538625E-2</v>
          </cell>
          <cell r="CB57">
            <v>375</v>
          </cell>
          <cell r="CC57">
            <v>385</v>
          </cell>
          <cell r="CD57">
            <v>390</v>
          </cell>
          <cell r="CE57">
            <v>375</v>
          </cell>
          <cell r="CF57">
            <v>975</v>
          </cell>
          <cell r="CG57">
            <v>9.1210268250268262E-2</v>
          </cell>
          <cell r="CH57">
            <v>985</v>
          </cell>
          <cell r="CI57">
            <v>8.4665036148284883E-2</v>
          </cell>
          <cell r="CJ57">
            <v>1005</v>
          </cell>
          <cell r="CK57">
            <v>9.1542223945209028E-2</v>
          </cell>
          <cell r="CL57">
            <v>935</v>
          </cell>
          <cell r="CM57">
            <v>8.8974442669629838E-2</v>
          </cell>
          <cell r="CN57">
            <v>1000</v>
          </cell>
          <cell r="CO57">
            <v>8.7870851370851363E-2</v>
          </cell>
          <cell r="CP57">
            <v>920</v>
          </cell>
          <cell r="CQ57">
            <v>8.4000000000000005E-2</v>
          </cell>
          <cell r="CR57">
            <v>617</v>
          </cell>
          <cell r="CS57">
            <v>16</v>
          </cell>
          <cell r="CT57">
            <v>601</v>
          </cell>
          <cell r="CU57">
            <v>0.97406807131280393</v>
          </cell>
          <cell r="CV57">
            <v>283</v>
          </cell>
          <cell r="CW57">
            <v>368</v>
          </cell>
          <cell r="CX57">
            <v>0.47088186356073214</v>
          </cell>
          <cell r="CY57">
            <v>0.61231281198003329</v>
          </cell>
          <cell r="CZ57">
            <v>0.4312868407625195</v>
          </cell>
          <cell r="DA57">
            <v>0.51084675558809745</v>
          </cell>
          <cell r="DB57">
            <v>0.57276407466122725</v>
          </cell>
          <cell r="DC57">
            <v>0.65043491084353611</v>
          </cell>
          <cell r="DD57">
            <v>584</v>
          </cell>
          <cell r="DE57">
            <v>40</v>
          </cell>
          <cell r="DF57">
            <v>6.8493150684931503E-2</v>
          </cell>
          <cell r="DG57">
            <v>5.0700192152736974E-2</v>
          </cell>
          <cell r="DH57">
            <v>9.1925778783191525E-2</v>
          </cell>
          <cell r="DI57" t="str">
            <v>Sig better than Eng.</v>
          </cell>
          <cell r="DJ57">
            <v>606</v>
          </cell>
          <cell r="DK57">
            <v>41</v>
          </cell>
          <cell r="DL57">
            <v>6.7656765676567657E-2</v>
          </cell>
          <cell r="DM57">
            <v>5.0261484259510152E-2</v>
          </cell>
          <cell r="DN57">
            <v>9.0498802826732824E-2</v>
          </cell>
          <cell r="DO57" t="str">
            <v>Sig better than Eng.</v>
          </cell>
          <cell r="DP57">
            <v>390</v>
          </cell>
          <cell r="DQ57">
            <v>35</v>
          </cell>
          <cell r="DR57">
            <v>8.9743589743589744E-2</v>
          </cell>
          <cell r="DS57">
            <v>6.5235527450921732E-2</v>
          </cell>
          <cell r="DT57">
            <v>0.12225478665110948</v>
          </cell>
          <cell r="DU57" t="str">
            <v>No Sig diff</v>
          </cell>
          <cell r="DV57">
            <v>568</v>
          </cell>
          <cell r="DW57">
            <v>39</v>
          </cell>
          <cell r="DX57">
            <v>6.8661971830985921E-2</v>
          </cell>
          <cell r="DY57">
            <v>5.0631690526542664E-2</v>
          </cell>
          <cell r="DZ57">
            <v>9.2487451253550318E-2</v>
          </cell>
          <cell r="EA57" t="str">
            <v>No Sig diff</v>
          </cell>
          <cell r="EB57">
            <v>593</v>
          </cell>
          <cell r="EC57">
            <v>79</v>
          </cell>
          <cell r="ED57">
            <v>0.13322091062394603</v>
          </cell>
          <cell r="EE57">
            <v>0.10821751503531322</v>
          </cell>
          <cell r="EF57">
            <v>0.16294571672220998</v>
          </cell>
          <cell r="EG57" t="str">
            <v>Sig better than Eng.</v>
          </cell>
          <cell r="EH57">
            <v>630</v>
          </cell>
          <cell r="EI57">
            <v>88</v>
          </cell>
          <cell r="EJ57">
            <v>0.13968253968253969</v>
          </cell>
          <cell r="EK57">
            <v>0.11479084888788295</v>
          </cell>
          <cell r="EL57">
            <v>0.16894170965333588</v>
          </cell>
          <cell r="EM57" t="str">
            <v>Sig better than Eng.</v>
          </cell>
          <cell r="EN57">
            <v>603</v>
          </cell>
          <cell r="EO57">
            <v>68</v>
          </cell>
          <cell r="EP57">
            <v>0.11276948590381426</v>
          </cell>
          <cell r="EQ57">
            <v>8.9935057926732356E-2</v>
          </cell>
          <cell r="ER57">
            <v>0.14050644666732612</v>
          </cell>
          <cell r="ES57" t="str">
            <v>Sig better than Eng.</v>
          </cell>
          <cell r="ET57">
            <v>580</v>
          </cell>
          <cell r="EU57">
            <v>72</v>
          </cell>
          <cell r="EV57">
            <v>0.12413793103448276</v>
          </cell>
          <cell r="EW57">
            <v>9.9750144188588658E-2</v>
          </cell>
          <cell r="EX57">
            <v>0.15347178205029172</v>
          </cell>
          <cell r="EY57" t="str">
            <v>Sig better than Eng.</v>
          </cell>
          <cell r="EZ57">
            <v>673</v>
          </cell>
          <cell r="FA57">
            <v>392</v>
          </cell>
          <cell r="FB57">
            <v>0.58246656760772664</v>
          </cell>
          <cell r="FC57">
            <v>0.54484327168467928</v>
          </cell>
          <cell r="FD57">
            <v>0.61915377452670772</v>
          </cell>
          <cell r="FE57">
            <v>673</v>
          </cell>
          <cell r="FF57">
            <v>34</v>
          </cell>
          <cell r="FG57">
            <v>134</v>
          </cell>
          <cell r="FH57">
            <v>25.253731343283587</v>
          </cell>
          <cell r="FI57">
            <v>0.25724319578577687</v>
          </cell>
          <cell r="FJ57">
            <v>751</v>
          </cell>
          <cell r="FK57">
            <v>468</v>
          </cell>
          <cell r="FL57">
            <v>0.62316910785619173</v>
          </cell>
          <cell r="FM57">
            <v>0.58796684159232548</v>
          </cell>
          <cell r="FN57">
            <v>0.65711773588839439</v>
          </cell>
          <cell r="FO57">
            <v>751</v>
          </cell>
          <cell r="FP57">
            <v>34</v>
          </cell>
          <cell r="FQ57">
            <v>150</v>
          </cell>
          <cell r="FR57">
            <v>24.599999999999994</v>
          </cell>
          <cell r="FS57">
            <v>0.2764705882352943</v>
          </cell>
          <cell r="FT57">
            <v>9632</v>
          </cell>
          <cell r="FU57">
            <v>9400</v>
          </cell>
          <cell r="FV57">
            <v>232</v>
          </cell>
          <cell r="FW57">
            <v>203</v>
          </cell>
          <cell r="FX57">
            <v>29</v>
          </cell>
          <cell r="FY57">
            <v>0.875</v>
          </cell>
          <cell r="FZ57">
            <v>0.125</v>
          </cell>
          <cell r="GQ57">
            <v>181</v>
          </cell>
          <cell r="GR57">
            <v>173</v>
          </cell>
          <cell r="GS57">
            <v>173</v>
          </cell>
          <cell r="GT57">
            <v>176</v>
          </cell>
          <cell r="GU57">
            <v>173</v>
          </cell>
          <cell r="GV57">
            <v>189</v>
          </cell>
          <cell r="GW57">
            <v>180</v>
          </cell>
          <cell r="GX57">
            <v>174</v>
          </cell>
          <cell r="GY57">
            <v>180</v>
          </cell>
          <cell r="GZ57">
            <v>175</v>
          </cell>
          <cell r="HA57">
            <v>178</v>
          </cell>
          <cell r="HB57">
            <v>181</v>
          </cell>
          <cell r="HC57">
            <v>181</v>
          </cell>
          <cell r="HD57">
            <v>168</v>
          </cell>
          <cell r="HE57">
            <v>155</v>
          </cell>
          <cell r="HF57">
            <v>152</v>
          </cell>
          <cell r="HG57">
            <v>147</v>
          </cell>
          <cell r="HH57">
            <v>151</v>
          </cell>
          <cell r="HI57">
            <v>158</v>
          </cell>
          <cell r="HJ57">
            <v>145</v>
          </cell>
          <cell r="HK57">
            <v>158</v>
          </cell>
          <cell r="HL57">
            <v>154</v>
          </cell>
          <cell r="HM57">
            <v>156</v>
          </cell>
          <cell r="HN57">
            <v>67</v>
          </cell>
          <cell r="HO57">
            <v>1.8799102132435467E-2</v>
          </cell>
          <cell r="HP57">
            <v>5540</v>
          </cell>
          <cell r="HQ57">
            <v>5172</v>
          </cell>
          <cell r="HR57">
            <v>368</v>
          </cell>
          <cell r="HS57">
            <v>6.6425992779783394E-2</v>
          </cell>
        </row>
        <row r="58">
          <cell r="A58" t="str">
            <v>CFC Group - Mid Sussex</v>
          </cell>
          <cell r="C58" t="str">
            <v>n/a</v>
          </cell>
          <cell r="D58" t="str">
            <v>CFC Group - Mid Sussex</v>
          </cell>
          <cell r="E58" t="str">
            <v>Mid Sussex</v>
          </cell>
          <cell r="G58" t="str">
            <v>n/a</v>
          </cell>
          <cell r="H58" t="str">
            <v>n/a</v>
          </cell>
          <cell r="I58" t="str">
            <v>n/a</v>
          </cell>
          <cell r="J58" t="str">
            <v>Horsham and Mid Sussex</v>
          </cell>
          <cell r="K58" t="str">
            <v>Mid Sussex</v>
          </cell>
          <cell r="L58">
            <v>129460</v>
          </cell>
          <cell r="M58">
            <v>130505</v>
          </cell>
          <cell r="N58">
            <v>132060</v>
          </cell>
          <cell r="O58">
            <v>133975</v>
          </cell>
          <cell r="P58">
            <v>135735</v>
          </cell>
          <cell r="Q58">
            <v>137210</v>
          </cell>
          <cell r="R58">
            <v>138895</v>
          </cell>
          <cell r="S58">
            <v>140190</v>
          </cell>
          <cell r="T58">
            <v>141160</v>
          </cell>
          <cell r="U58">
            <v>142765</v>
          </cell>
          <cell r="V58">
            <v>7400</v>
          </cell>
          <cell r="W58">
            <v>7450</v>
          </cell>
          <cell r="X58">
            <v>7665</v>
          </cell>
          <cell r="Y58">
            <v>7985</v>
          </cell>
          <cell r="Z58">
            <v>8155</v>
          </cell>
          <cell r="AA58">
            <v>8140</v>
          </cell>
          <cell r="AB58">
            <v>8240</v>
          </cell>
          <cell r="AC58">
            <v>8325</v>
          </cell>
          <cell r="AD58">
            <v>8490</v>
          </cell>
          <cell r="AE58">
            <v>8560</v>
          </cell>
          <cell r="AF58">
            <v>0.87477531455961655</v>
          </cell>
          <cell r="AG58">
            <v>3.8945476333133611E-2</v>
          </cell>
          <cell r="AH58">
            <v>4.0143798681845415E-2</v>
          </cell>
          <cell r="AI58">
            <v>3.9544637507489516E-2</v>
          </cell>
          <cell r="AJ58">
            <v>5.3924505692031152E-3</v>
          </cell>
          <cell r="AK58">
            <v>5.9916117435590175E-4</v>
          </cell>
          <cell r="AL58">
            <v>0.12522468544038345</v>
          </cell>
          <cell r="AM58">
            <v>16498</v>
          </cell>
          <cell r="AN58">
            <v>0.71044975148502854</v>
          </cell>
          <cell r="AO58">
            <v>0.12456055279427809</v>
          </cell>
          <cell r="AP58">
            <v>0.16498969572069341</v>
          </cell>
          <cell r="AQ58">
            <v>1463</v>
          </cell>
          <cell r="AR58">
            <v>1513</v>
          </cell>
          <cell r="AS58">
            <v>1518</v>
          </cell>
          <cell r="AT58">
            <v>1502</v>
          </cell>
          <cell r="AU58">
            <v>1486</v>
          </cell>
          <cell r="AV58">
            <v>48</v>
          </cell>
          <cell r="AW58">
            <v>48</v>
          </cell>
          <cell r="AX58">
            <v>43</v>
          </cell>
          <cell r="AY58">
            <v>28</v>
          </cell>
          <cell r="AZ58">
            <v>36</v>
          </cell>
          <cell r="BA58">
            <v>74</v>
          </cell>
          <cell r="BB58">
            <v>4.9798115746971738E-2</v>
          </cell>
          <cell r="BC58">
            <v>3.9852422821900144E-2</v>
          </cell>
          <cell r="BD58">
            <v>6.2065440935822419E-2</v>
          </cell>
          <cell r="BE58">
            <v>70</v>
          </cell>
          <cell r="BF58">
            <v>2421</v>
          </cell>
          <cell r="BG58">
            <v>2796</v>
          </cell>
          <cell r="BH58">
            <v>1278</v>
          </cell>
          <cell r="BI58">
            <v>7.5216290977576358E-2</v>
          </cell>
          <cell r="BJ58">
            <v>16991</v>
          </cell>
          <cell r="BK58">
            <v>30486</v>
          </cell>
          <cell r="BL58">
            <v>17136</v>
          </cell>
          <cell r="BM58">
            <v>11373</v>
          </cell>
          <cell r="BN58">
            <v>9</v>
          </cell>
          <cell r="BO58">
            <v>2041</v>
          </cell>
          <cell r="BP58">
            <v>2699</v>
          </cell>
          <cell r="BQ58">
            <v>1014</v>
          </cell>
          <cell r="BR58">
            <v>530</v>
          </cell>
          <cell r="BS58">
            <v>540</v>
          </cell>
          <cell r="BT58">
            <v>445</v>
          </cell>
          <cell r="BU58">
            <v>2645</v>
          </cell>
          <cell r="BV58">
            <v>656</v>
          </cell>
          <cell r="BW58">
            <v>0.24801512287334593</v>
          </cell>
          <cell r="BX58">
            <v>222</v>
          </cell>
          <cell r="BY58" t="str">
            <v>n/a</v>
          </cell>
          <cell r="BZ58">
            <v>1360</v>
          </cell>
          <cell r="CA58">
            <v>2.3689665383476458E-2</v>
          </cell>
          <cell r="CB58">
            <v>740</v>
          </cell>
          <cell r="CC58">
            <v>770</v>
          </cell>
          <cell r="CD58">
            <v>785</v>
          </cell>
          <cell r="CE58">
            <v>691</v>
          </cell>
          <cell r="CF58">
            <v>2145</v>
          </cell>
          <cell r="CG58">
            <v>8.6999999999999994E-2</v>
          </cell>
          <cell r="CH58">
            <v>2025</v>
          </cell>
          <cell r="CI58">
            <v>8.2000000000000003E-2</v>
          </cell>
          <cell r="CJ58">
            <v>2235</v>
          </cell>
          <cell r="CK58">
            <v>8.8999999999999996E-2</v>
          </cell>
          <cell r="CL58">
            <v>2140</v>
          </cell>
          <cell r="CM58">
            <v>8.5000000000000006E-2</v>
          </cell>
          <cell r="CN58">
            <v>2130</v>
          </cell>
          <cell r="CO58">
            <v>8.4000000000000005E-2</v>
          </cell>
          <cell r="CP58">
            <v>1955</v>
          </cell>
          <cell r="CQ58">
            <v>7.6999999999999999E-2</v>
          </cell>
          <cell r="CR58">
            <v>1479</v>
          </cell>
          <cell r="CS58">
            <v>37</v>
          </cell>
          <cell r="CT58">
            <v>1442</v>
          </cell>
          <cell r="CU58">
            <v>0.9749830966869506</v>
          </cell>
          <cell r="CV58">
            <v>703</v>
          </cell>
          <cell r="CW58">
            <v>902</v>
          </cell>
          <cell r="CX58">
            <v>0.48751733703190014</v>
          </cell>
          <cell r="CY58">
            <v>0.62552011095700422</v>
          </cell>
          <cell r="CZ58">
            <v>0.46178594193552791</v>
          </cell>
          <cell r="DA58">
            <v>0.51331506254848824</v>
          </cell>
          <cell r="DB58">
            <v>0.60023713947888135</v>
          </cell>
          <cell r="DC58">
            <v>0.65013609320962285</v>
          </cell>
          <cell r="DD58">
            <v>1206</v>
          </cell>
          <cell r="DE58">
            <v>69</v>
          </cell>
          <cell r="DF58">
            <v>5.721393034825871E-2</v>
          </cell>
          <cell r="DG58">
            <v>4.5457515173171009E-2</v>
          </cell>
          <cell r="DH58">
            <v>7.1782192382359139E-2</v>
          </cell>
          <cell r="DI58" t="str">
            <v>Sig better than Eng.</v>
          </cell>
          <cell r="DJ58">
            <v>1330</v>
          </cell>
          <cell r="DK58">
            <v>79</v>
          </cell>
          <cell r="DL58">
            <v>5.9398496240601506E-2</v>
          </cell>
          <cell r="DM58">
            <v>4.7919231091123504E-2</v>
          </cell>
          <cell r="DN58">
            <v>7.341562302548571E-2</v>
          </cell>
          <cell r="DO58" t="str">
            <v>Sig better than Eng.</v>
          </cell>
          <cell r="DP58">
            <v>1348</v>
          </cell>
          <cell r="DQ58">
            <v>69</v>
          </cell>
          <cell r="DR58">
            <v>5.118694362017804E-2</v>
          </cell>
          <cell r="DS58">
            <v>4.0645524866629167E-2</v>
          </cell>
          <cell r="DT58">
            <v>6.4279100647099616E-2</v>
          </cell>
          <cell r="DU58" t="str">
            <v>Sig better than Eng.</v>
          </cell>
          <cell r="DV58">
            <v>1303</v>
          </cell>
          <cell r="DW58">
            <v>90</v>
          </cell>
          <cell r="DX58">
            <v>6.9071373752877974E-2</v>
          </cell>
          <cell r="DY58">
            <v>5.653171765493481E-2</v>
          </cell>
          <cell r="DZ58">
            <v>8.4144458158001506E-2</v>
          </cell>
          <cell r="EA58" t="str">
            <v>Sig better than Eng.</v>
          </cell>
          <cell r="EB58">
            <v>1204</v>
          </cell>
          <cell r="EC58">
            <v>172</v>
          </cell>
          <cell r="ED58">
            <v>0.14285714285714285</v>
          </cell>
          <cell r="EE58">
            <v>0.1242260956758479</v>
          </cell>
          <cell r="EF58">
            <v>0.16375992788747454</v>
          </cell>
          <cell r="EG58" t="str">
            <v>Sig better than Eng.</v>
          </cell>
          <cell r="EH58">
            <v>1143</v>
          </cell>
          <cell r="EI58">
            <v>142</v>
          </cell>
          <cell r="EJ58">
            <v>0.1242344706911636</v>
          </cell>
          <cell r="EK58">
            <v>0.10636144655299956</v>
          </cell>
          <cell r="EL58">
            <v>0.14462482239186727</v>
          </cell>
          <cell r="EM58" t="str">
            <v>Sig better than Eng.</v>
          </cell>
          <cell r="EN58">
            <v>1187</v>
          </cell>
          <cell r="EO58">
            <v>158</v>
          </cell>
          <cell r="EP58">
            <v>0.13310867733782644</v>
          </cell>
          <cell r="EQ58">
            <v>0.11496263618686223</v>
          </cell>
          <cell r="ER58">
            <v>0.15362178069885599</v>
          </cell>
          <cell r="ES58" t="str">
            <v>Sig better than Eng.</v>
          </cell>
          <cell r="ET58">
            <v>1154</v>
          </cell>
          <cell r="EU58">
            <v>133</v>
          </cell>
          <cell r="EV58">
            <v>0.11525129982668977</v>
          </cell>
          <cell r="EW58">
            <v>9.8090404106502271E-2</v>
          </cell>
          <cell r="EX58">
            <v>0.13496521569790343</v>
          </cell>
          <cell r="EY58" t="str">
            <v>Sig better than Eng.</v>
          </cell>
          <cell r="EZ58">
            <v>1637</v>
          </cell>
          <cell r="FA58">
            <v>947</v>
          </cell>
          <cell r="FB58">
            <v>0.57849725106902872</v>
          </cell>
          <cell r="FC58">
            <v>0.55442004800520173</v>
          </cell>
          <cell r="FD58">
            <v>0.60220690618250572</v>
          </cell>
          <cell r="FE58">
            <v>1637</v>
          </cell>
          <cell r="FF58">
            <v>34</v>
          </cell>
          <cell r="FG58">
            <v>327</v>
          </cell>
          <cell r="FH58">
            <v>25.431192660550472</v>
          </cell>
          <cell r="FI58">
            <v>0.25202374527792726</v>
          </cell>
          <cell r="FJ58">
            <v>1614</v>
          </cell>
          <cell r="FK58">
            <v>1025</v>
          </cell>
          <cell r="FL58">
            <v>0.63506815365551428</v>
          </cell>
          <cell r="FM58">
            <v>0.61128697123654441</v>
          </cell>
          <cell r="FN58">
            <v>0.65820791506573717</v>
          </cell>
          <cell r="FO58">
            <v>1614</v>
          </cell>
          <cell r="FP58">
            <v>34</v>
          </cell>
          <cell r="FQ58">
            <v>320</v>
          </cell>
          <cell r="FR58">
            <v>26.740624999999991</v>
          </cell>
          <cell r="FS58">
            <v>0.21351102941176497</v>
          </cell>
          <cell r="FT58">
            <v>22188</v>
          </cell>
          <cell r="FU58">
            <v>21777</v>
          </cell>
          <cell r="FV58">
            <v>411</v>
          </cell>
          <cell r="FW58">
            <v>362</v>
          </cell>
          <cell r="FX58">
            <v>49</v>
          </cell>
          <cell r="FY58">
            <v>0.88077858880778592</v>
          </cell>
          <cell r="FZ58">
            <v>0.11922141119221411</v>
          </cell>
          <cell r="GQ58">
            <v>397</v>
          </cell>
          <cell r="GR58">
            <v>380</v>
          </cell>
          <cell r="GS58">
            <v>381</v>
          </cell>
          <cell r="GT58">
            <v>383</v>
          </cell>
          <cell r="GU58">
            <v>381</v>
          </cell>
          <cell r="GV58">
            <v>441</v>
          </cell>
          <cell r="GW58">
            <v>409</v>
          </cell>
          <cell r="GX58">
            <v>410</v>
          </cell>
          <cell r="GY58">
            <v>403</v>
          </cell>
          <cell r="GZ58">
            <v>413</v>
          </cell>
          <cell r="HA58">
            <v>421</v>
          </cell>
          <cell r="HB58">
            <v>411</v>
          </cell>
          <cell r="HC58">
            <v>422</v>
          </cell>
          <cell r="HD58">
            <v>492</v>
          </cell>
          <cell r="HE58">
            <v>456</v>
          </cell>
          <cell r="HF58">
            <v>453</v>
          </cell>
          <cell r="HG58">
            <v>440</v>
          </cell>
          <cell r="HH58">
            <v>455</v>
          </cell>
          <cell r="HI58">
            <v>457</v>
          </cell>
          <cell r="HJ58">
            <v>430</v>
          </cell>
          <cell r="HK58">
            <v>463</v>
          </cell>
          <cell r="HL58">
            <v>453</v>
          </cell>
          <cell r="HM58">
            <v>460</v>
          </cell>
          <cell r="HN58">
            <v>140</v>
          </cell>
          <cell r="HO58">
            <v>1.6794625719769675E-2</v>
          </cell>
          <cell r="HP58">
            <v>13214</v>
          </cell>
          <cell r="HQ58">
            <v>12411</v>
          </cell>
          <cell r="HR58">
            <v>803</v>
          </cell>
          <cell r="HS58">
            <v>6.0768881489329497E-2</v>
          </cell>
        </row>
        <row r="59">
          <cell r="A59" t="str">
            <v>CFC Group - Worthing</v>
          </cell>
          <cell r="C59" t="str">
            <v>n/a</v>
          </cell>
          <cell r="D59" t="str">
            <v>CFC Group - Worthing</v>
          </cell>
          <cell r="E59" t="str">
            <v>Worthing</v>
          </cell>
          <cell r="G59" t="str">
            <v>n/a</v>
          </cell>
          <cell r="H59" t="str">
            <v>n/a</v>
          </cell>
          <cell r="I59" t="str">
            <v>n/a</v>
          </cell>
          <cell r="J59" t="str">
            <v>Coastal West Sussex</v>
          </cell>
          <cell r="K59" t="str">
            <v>East Worthing and Shoreham/Worthing</v>
          </cell>
          <cell r="L59">
            <v>106385</v>
          </cell>
          <cell r="M59">
            <v>106970</v>
          </cell>
          <cell r="N59">
            <v>107615</v>
          </cell>
          <cell r="O59">
            <v>108555</v>
          </cell>
          <cell r="P59">
            <v>109370</v>
          </cell>
          <cell r="Q59">
            <v>109795</v>
          </cell>
          <cell r="R59">
            <v>110865</v>
          </cell>
          <cell r="S59">
            <v>112025</v>
          </cell>
          <cell r="T59">
            <v>112725</v>
          </cell>
          <cell r="U59">
            <v>113170</v>
          </cell>
          <cell r="V59">
            <v>5555</v>
          </cell>
          <cell r="W59">
            <v>5620</v>
          </cell>
          <cell r="X59">
            <v>5730</v>
          </cell>
          <cell r="Y59">
            <v>5915</v>
          </cell>
          <cell r="Z59">
            <v>6175</v>
          </cell>
          <cell r="AA59">
            <v>6205</v>
          </cell>
          <cell r="AB59">
            <v>6365</v>
          </cell>
          <cell r="AC59">
            <v>6570</v>
          </cell>
          <cell r="AD59">
            <v>6540</v>
          </cell>
          <cell r="AE59">
            <v>6395</v>
          </cell>
          <cell r="AF59">
            <v>0.84790874524714832</v>
          </cell>
          <cell r="AG59">
            <v>3.2699619771863121E-2</v>
          </cell>
          <cell r="AH59">
            <v>6.2357414448669199E-2</v>
          </cell>
          <cell r="AI59">
            <v>4.4106463878326993E-2</v>
          </cell>
          <cell r="AJ59">
            <v>7.6045627376425855E-3</v>
          </cell>
          <cell r="AK59">
            <v>3.8022813688212928E-3</v>
          </cell>
          <cell r="AL59">
            <v>0.15133079847908745</v>
          </cell>
          <cell r="AM59">
            <v>12349</v>
          </cell>
          <cell r="AN59">
            <v>0.63632682808324559</v>
          </cell>
          <cell r="AO59">
            <v>0.12438254109644506</v>
          </cell>
          <cell r="AP59">
            <v>0.23929063082030932</v>
          </cell>
          <cell r="AQ59">
            <v>1223</v>
          </cell>
          <cell r="AR59">
            <v>1179</v>
          </cell>
          <cell r="AS59">
            <v>1292</v>
          </cell>
          <cell r="AT59">
            <v>1197</v>
          </cell>
          <cell r="AU59">
            <v>1141</v>
          </cell>
          <cell r="AV59">
            <v>67</v>
          </cell>
          <cell r="AW59">
            <v>65</v>
          </cell>
          <cell r="AX59">
            <v>52</v>
          </cell>
          <cell r="AY59">
            <v>53</v>
          </cell>
          <cell r="AZ59">
            <v>46</v>
          </cell>
          <cell r="BA59">
            <v>70</v>
          </cell>
          <cell r="BB59">
            <v>6.1349693251533742E-2</v>
          </cell>
          <cell r="BC59">
            <v>4.8843255749594285E-2</v>
          </cell>
          <cell r="BD59">
            <v>7.6799869516733704E-2</v>
          </cell>
          <cell r="BE59">
            <v>99</v>
          </cell>
          <cell r="BF59">
            <v>2106</v>
          </cell>
          <cell r="BG59">
            <v>2016</v>
          </cell>
          <cell r="BH59">
            <v>959</v>
          </cell>
          <cell r="BI59">
            <v>7.5954379851100901E-2</v>
          </cell>
          <cell r="BJ59">
            <v>12626</v>
          </cell>
          <cell r="BK59">
            <v>22122</v>
          </cell>
          <cell r="BL59">
            <v>12498</v>
          </cell>
          <cell r="BM59">
            <v>7090</v>
          </cell>
          <cell r="BN59">
            <v>8</v>
          </cell>
          <cell r="BO59">
            <v>1731</v>
          </cell>
          <cell r="BP59">
            <v>2743</v>
          </cell>
          <cell r="BQ59">
            <v>926</v>
          </cell>
          <cell r="BR59">
            <v>850</v>
          </cell>
          <cell r="BS59">
            <v>780</v>
          </cell>
          <cell r="BT59">
            <v>585</v>
          </cell>
          <cell r="BU59">
            <v>2898</v>
          </cell>
          <cell r="BV59">
            <v>1015</v>
          </cell>
          <cell r="BW59">
            <v>0.35024154589371981</v>
          </cell>
          <cell r="BX59">
            <v>295</v>
          </cell>
          <cell r="BY59" t="str">
            <v>n/a</v>
          </cell>
          <cell r="BZ59">
            <v>2423</v>
          </cell>
          <cell r="CA59">
            <v>4.8062046256992105E-2</v>
          </cell>
          <cell r="CB59">
            <v>1110</v>
          </cell>
          <cell r="CC59">
            <v>1095</v>
          </cell>
          <cell r="CD59">
            <v>1100</v>
          </cell>
          <cell r="CE59">
            <v>985</v>
          </cell>
          <cell r="CF59">
            <v>2775</v>
          </cell>
          <cell r="CG59">
            <v>0.157</v>
          </cell>
          <cell r="CH59">
            <v>2635</v>
          </cell>
          <cell r="CI59">
            <v>0.14799999999999999</v>
          </cell>
          <cell r="CJ59">
            <v>2915</v>
          </cell>
          <cell r="CK59">
            <v>0.161</v>
          </cell>
          <cell r="CL59">
            <v>2865</v>
          </cell>
          <cell r="CM59">
            <v>0.157</v>
          </cell>
          <cell r="CN59">
            <v>2740</v>
          </cell>
          <cell r="CO59">
            <v>0.152</v>
          </cell>
          <cell r="CP59">
            <v>2460</v>
          </cell>
          <cell r="CQ59">
            <v>0.13300000000000001</v>
          </cell>
          <cell r="CR59">
            <v>1193</v>
          </cell>
          <cell r="CS59">
            <v>54</v>
          </cell>
          <cell r="CT59">
            <v>1139</v>
          </cell>
          <cell r="CU59">
            <v>0.95473595976529757</v>
          </cell>
          <cell r="CV59">
            <v>471</v>
          </cell>
          <cell r="CW59">
            <v>617</v>
          </cell>
          <cell r="CX59">
            <v>0.41352063213345042</v>
          </cell>
          <cell r="CY59">
            <v>0.54170324846356455</v>
          </cell>
          <cell r="CZ59">
            <v>0.3852582632790188</v>
          </cell>
          <cell r="DA59">
            <v>0.44236437109470655</v>
          </cell>
          <cell r="DB59">
            <v>0.51267528026756404</v>
          </cell>
          <cell r="DC59">
            <v>0.57045086051668015</v>
          </cell>
          <cell r="DD59">
            <v>829</v>
          </cell>
          <cell r="DE59">
            <v>68</v>
          </cell>
          <cell r="DF59">
            <v>8.2026537997587454E-2</v>
          </cell>
          <cell r="DG59">
            <v>6.5218698302625541E-2</v>
          </cell>
          <cell r="DH59">
            <v>0.10269016038785084</v>
          </cell>
          <cell r="DI59" t="str">
            <v>No Sig diff</v>
          </cell>
          <cell r="DJ59">
            <v>1066</v>
          </cell>
          <cell r="DK59">
            <v>86</v>
          </cell>
          <cell r="DL59">
            <v>8.0675422138836772E-2</v>
          </cell>
          <cell r="DM59">
            <v>6.5792774479139837E-2</v>
          </cell>
          <cell r="DN59">
            <v>9.856939093416113E-2</v>
          </cell>
          <cell r="DO59" t="str">
            <v>No Sig diff</v>
          </cell>
          <cell r="DP59">
            <v>1024</v>
          </cell>
          <cell r="DQ59">
            <v>76</v>
          </cell>
          <cell r="DR59">
            <v>7.421875E-2</v>
          </cell>
          <cell r="DS59">
            <v>5.9706323437482188E-2</v>
          </cell>
          <cell r="DT59">
            <v>9.1913809690345377E-2</v>
          </cell>
          <cell r="DU59" t="str">
            <v>Sig better than Eng.</v>
          </cell>
          <cell r="DV59">
            <v>1216</v>
          </cell>
          <cell r="DW59">
            <v>109</v>
          </cell>
          <cell r="DX59">
            <v>8.9638157894736836E-2</v>
          </cell>
          <cell r="DY59">
            <v>7.484783954991038E-2</v>
          </cell>
          <cell r="DZ59">
            <v>0.10701305492662574</v>
          </cell>
          <cell r="EA59" t="str">
            <v>No Sig diff</v>
          </cell>
          <cell r="EB59">
            <v>936</v>
          </cell>
          <cell r="EC59">
            <v>136</v>
          </cell>
          <cell r="ED59">
            <v>0.14529914529914531</v>
          </cell>
          <cell r="EE59">
            <v>0.12417242623970695</v>
          </cell>
          <cell r="EF59">
            <v>0.16932543580057574</v>
          </cell>
          <cell r="EG59" t="str">
            <v>Sig better than Eng.</v>
          </cell>
          <cell r="EH59">
            <v>957</v>
          </cell>
          <cell r="EI59">
            <v>155</v>
          </cell>
          <cell r="EJ59">
            <v>0.16196447230929989</v>
          </cell>
          <cell r="EK59">
            <v>0.13998174091720603</v>
          </cell>
          <cell r="EL59">
            <v>0.18665014610179606</v>
          </cell>
          <cell r="EM59" t="str">
            <v>Sig better than Eng.</v>
          </cell>
          <cell r="EN59">
            <v>920</v>
          </cell>
          <cell r="EO59">
            <v>136</v>
          </cell>
          <cell r="EP59">
            <v>0.14782608695652175</v>
          </cell>
          <cell r="EQ59">
            <v>0.12635666559262351</v>
          </cell>
          <cell r="ER59">
            <v>0.1722242826718248</v>
          </cell>
          <cell r="ES59" t="str">
            <v>Sig better than Eng.</v>
          </cell>
          <cell r="ET59">
            <v>913</v>
          </cell>
          <cell r="EU59">
            <v>142</v>
          </cell>
          <cell r="EV59">
            <v>0.15553121577217963</v>
          </cell>
          <cell r="EW59">
            <v>0.13347157187867184</v>
          </cell>
          <cell r="EX59">
            <v>0.18047742775637524</v>
          </cell>
          <cell r="EY59" t="str">
            <v>Sig better than Eng.</v>
          </cell>
          <cell r="EZ59">
            <v>1347</v>
          </cell>
          <cell r="FA59">
            <v>734</v>
          </cell>
          <cell r="FB59">
            <v>0.54491462509279887</v>
          </cell>
          <cell r="FC59">
            <v>0.51823096411520353</v>
          </cell>
          <cell r="FD59">
            <v>0.57134283391260865</v>
          </cell>
          <cell r="FE59">
            <v>1347</v>
          </cell>
          <cell r="FF59">
            <v>34</v>
          </cell>
          <cell r="FG59">
            <v>269</v>
          </cell>
          <cell r="FH59">
            <v>25.000000000000004</v>
          </cell>
          <cell r="FI59">
            <v>0.26470588235294107</v>
          </cell>
          <cell r="FJ59">
            <v>1275</v>
          </cell>
          <cell r="FK59">
            <v>778</v>
          </cell>
          <cell r="FL59">
            <v>0.61019607843137258</v>
          </cell>
          <cell r="FM59">
            <v>0.58313310248936623</v>
          </cell>
          <cell r="FN59">
            <v>0.63659702751371405</v>
          </cell>
          <cell r="FO59">
            <v>1275</v>
          </cell>
          <cell r="FP59">
            <v>34</v>
          </cell>
          <cell r="FQ59">
            <v>252</v>
          </cell>
          <cell r="FR59">
            <v>25.519841269841287</v>
          </cell>
          <cell r="FS59">
            <v>0.24941643323996215</v>
          </cell>
          <cell r="FT59">
            <v>15545</v>
          </cell>
          <cell r="FU59">
            <v>15138</v>
          </cell>
          <cell r="FV59">
            <v>407</v>
          </cell>
          <cell r="FW59">
            <v>335</v>
          </cell>
          <cell r="FX59">
            <v>72</v>
          </cell>
          <cell r="FY59">
            <v>0.82309582309582308</v>
          </cell>
          <cell r="FZ59">
            <v>0.1769041769041769</v>
          </cell>
          <cell r="GQ59">
            <v>281</v>
          </cell>
          <cell r="GR59">
            <v>273</v>
          </cell>
          <cell r="GS59">
            <v>271</v>
          </cell>
          <cell r="GT59">
            <v>279</v>
          </cell>
          <cell r="GU59">
            <v>275</v>
          </cell>
          <cell r="GV59">
            <v>336</v>
          </cell>
          <cell r="GW59">
            <v>320</v>
          </cell>
          <cell r="GX59">
            <v>323</v>
          </cell>
          <cell r="GY59">
            <v>318</v>
          </cell>
          <cell r="GZ59">
            <v>324</v>
          </cell>
          <cell r="HA59">
            <v>328</v>
          </cell>
          <cell r="HB59">
            <v>317</v>
          </cell>
          <cell r="HC59">
            <v>327</v>
          </cell>
          <cell r="HD59">
            <v>360</v>
          </cell>
          <cell r="HE59">
            <v>337</v>
          </cell>
          <cell r="HF59">
            <v>325</v>
          </cell>
          <cell r="HG59">
            <v>317</v>
          </cell>
          <cell r="HH59">
            <v>330</v>
          </cell>
          <cell r="HI59">
            <v>337</v>
          </cell>
          <cell r="HJ59">
            <v>326</v>
          </cell>
          <cell r="HK59">
            <v>342</v>
          </cell>
          <cell r="HL59">
            <v>331</v>
          </cell>
          <cell r="HM59">
            <v>340</v>
          </cell>
          <cell r="HN59">
            <v>120</v>
          </cell>
          <cell r="HO59">
            <v>1.827875095201828E-2</v>
          </cell>
          <cell r="HP59">
            <v>10048</v>
          </cell>
          <cell r="HQ59">
            <v>8846</v>
          </cell>
          <cell r="HR59">
            <v>1202</v>
          </cell>
          <cell r="HS59">
            <v>0.11962579617834394</v>
          </cell>
        </row>
        <row r="60">
          <cell r="A60" t="str">
            <v>LA - Adur</v>
          </cell>
          <cell r="C60" t="str">
            <v>n/a</v>
          </cell>
          <cell r="D60" t="str">
            <v>n/a</v>
          </cell>
          <cell r="E60" t="str">
            <v>Adur</v>
          </cell>
          <cell r="G60" t="str">
            <v>n/a</v>
          </cell>
          <cell r="H60" t="str">
            <v>n/a</v>
          </cell>
          <cell r="I60" t="str">
            <v>n/a</v>
          </cell>
          <cell r="J60" t="str">
            <v>Coastal West Sussex</v>
          </cell>
          <cell r="K60" t="str">
            <v>n/a</v>
          </cell>
          <cell r="L60">
            <v>60000</v>
          </cell>
          <cell r="M60">
            <v>59800</v>
          </cell>
          <cell r="N60">
            <v>60300</v>
          </cell>
          <cell r="O60">
            <v>60600</v>
          </cell>
          <cell r="P60">
            <v>60700</v>
          </cell>
          <cell r="Q60">
            <v>61000</v>
          </cell>
          <cell r="R60">
            <v>61200</v>
          </cell>
          <cell r="S60">
            <v>61300</v>
          </cell>
          <cell r="T60">
            <v>61900</v>
          </cell>
          <cell r="U60">
            <v>62500</v>
          </cell>
          <cell r="V60">
            <v>3100</v>
          </cell>
          <cell r="W60">
            <v>3000</v>
          </cell>
          <cell r="X60">
            <v>3100</v>
          </cell>
          <cell r="Y60">
            <v>3200</v>
          </cell>
          <cell r="Z60">
            <v>3200</v>
          </cell>
          <cell r="AA60">
            <v>3400</v>
          </cell>
          <cell r="AB60">
            <v>3400</v>
          </cell>
          <cell r="AC60">
            <v>3600</v>
          </cell>
          <cell r="AD60">
            <v>3700</v>
          </cell>
          <cell r="AE60">
            <v>3800</v>
          </cell>
          <cell r="AF60">
            <v>0.89674681753889673</v>
          </cell>
          <cell r="AG60">
            <v>2.8288543140028287E-2</v>
          </cell>
          <cell r="AH60">
            <v>4.2432814710042434E-2</v>
          </cell>
          <cell r="AI60">
            <v>2.2630834512022632E-2</v>
          </cell>
          <cell r="AJ60">
            <v>4.2432814710042432E-3</v>
          </cell>
          <cell r="AK60">
            <v>8.4865629420084864E-3</v>
          </cell>
          <cell r="AL60">
            <v>0.10466760961810467</v>
          </cell>
          <cell r="AM60">
            <v>6645</v>
          </cell>
          <cell r="AN60">
            <v>0.6155003762227238</v>
          </cell>
          <cell r="AO60">
            <v>0.17757712565838976</v>
          </cell>
          <cell r="AP60">
            <v>0.20692249811888638</v>
          </cell>
          <cell r="AQ60">
            <v>682</v>
          </cell>
          <cell r="AR60">
            <v>718</v>
          </cell>
          <cell r="AS60">
            <v>679</v>
          </cell>
          <cell r="AT60">
            <v>775</v>
          </cell>
          <cell r="AU60">
            <v>758</v>
          </cell>
          <cell r="AV60">
            <v>43</v>
          </cell>
          <cell r="AW60">
            <v>42</v>
          </cell>
          <cell r="AX60">
            <v>29</v>
          </cell>
          <cell r="AY60">
            <v>37</v>
          </cell>
          <cell r="AZ60">
            <v>26</v>
          </cell>
          <cell r="BA60" t="str">
            <v>n/a</v>
          </cell>
          <cell r="BB60" t="str">
            <v>n/a</v>
          </cell>
          <cell r="BC60" t="str">
            <v>n/a</v>
          </cell>
          <cell r="BD60" t="str">
            <v>n/a</v>
          </cell>
          <cell r="BE60" t="str">
            <v>n/a</v>
          </cell>
          <cell r="BU60">
            <v>1614</v>
          </cell>
          <cell r="BV60">
            <v>637</v>
          </cell>
          <cell r="BW60">
            <v>0.39467162329615862</v>
          </cell>
          <cell r="BX60">
            <v>158</v>
          </cell>
          <cell r="BY60" t="str">
            <v>n/a</v>
          </cell>
          <cell r="BZ60">
            <v>1300</v>
          </cell>
          <cell r="CA60">
            <v>4.8224950847646254E-2</v>
          </cell>
          <cell r="CB60">
            <v>760</v>
          </cell>
          <cell r="CC60">
            <v>715</v>
          </cell>
          <cell r="CD60">
            <v>735</v>
          </cell>
          <cell r="CE60">
            <v>680</v>
          </cell>
          <cell r="CF60">
            <v>1900</v>
          </cell>
          <cell r="CG60">
            <v>0.182</v>
          </cell>
          <cell r="CH60">
            <v>1820</v>
          </cell>
          <cell r="CI60">
            <v>0.17499999999999999</v>
          </cell>
          <cell r="CJ60">
            <v>1960</v>
          </cell>
          <cell r="CK60">
            <v>0.187</v>
          </cell>
          <cell r="CL60">
            <v>1795</v>
          </cell>
          <cell r="CM60">
            <v>0.17199999999999999</v>
          </cell>
          <cell r="CN60">
            <v>1785</v>
          </cell>
          <cell r="CO60">
            <v>0.17</v>
          </cell>
          <cell r="CP60">
            <v>1720</v>
          </cell>
          <cell r="CQ60">
            <v>0.161</v>
          </cell>
          <cell r="CR60">
            <v>698</v>
          </cell>
          <cell r="CS60">
            <v>46</v>
          </cell>
          <cell r="CT60">
            <v>652</v>
          </cell>
          <cell r="CU60">
            <v>0.93409742120343842</v>
          </cell>
          <cell r="CV60">
            <v>255</v>
          </cell>
          <cell r="CW60">
            <v>329</v>
          </cell>
          <cell r="CX60">
            <v>0.3653295128939828</v>
          </cell>
          <cell r="CY60">
            <v>0.47134670487106017</v>
          </cell>
          <cell r="CZ60">
            <v>0.35438810491980105</v>
          </cell>
          <cell r="DA60">
            <v>0.42909619982695479</v>
          </cell>
          <cell r="DB60">
            <v>0.46630869412118858</v>
          </cell>
          <cell r="DC60">
            <v>0.54283985638246957</v>
          </cell>
          <cell r="DD60">
            <v>499</v>
          </cell>
          <cell r="DE60">
            <v>26.945999999999998</v>
          </cell>
          <cell r="DF60">
            <v>5.3999999999999999E-2</v>
          </cell>
          <cell r="DG60">
            <v>3.4000000000000002E-2</v>
          </cell>
          <cell r="DH60">
            <v>7.3999999999999996E-2</v>
          </cell>
          <cell r="DI60" t="str">
            <v>Sig better than Eng.</v>
          </cell>
          <cell r="DJ60">
            <v>612</v>
          </cell>
          <cell r="DK60">
            <v>612.07799999999997</v>
          </cell>
          <cell r="DL60">
            <v>7.8E-2</v>
          </cell>
          <cell r="DM60">
            <v>5.6999999999999995E-2</v>
          </cell>
          <cell r="DN60">
            <v>9.9000000000000005E-2</v>
          </cell>
          <cell r="DO60" t="str">
            <v>No Sig diff</v>
          </cell>
          <cell r="DP60">
            <v>536</v>
          </cell>
          <cell r="DQ60">
            <v>55.744</v>
          </cell>
          <cell r="DR60">
            <v>0.104</v>
          </cell>
          <cell r="DS60">
            <v>7.8E-2</v>
          </cell>
          <cell r="DT60">
            <v>0.13</v>
          </cell>
          <cell r="DU60" t="str">
            <v>No Sig diff</v>
          </cell>
          <cell r="DV60">
            <v>639</v>
          </cell>
          <cell r="DW60">
            <v>56.870999999999995</v>
          </cell>
          <cell r="DX60">
            <v>8.8999999999999996E-2</v>
          </cell>
          <cell r="DY60">
            <v>6.7000000000000004E-2</v>
          </cell>
          <cell r="DZ60">
            <v>0.11099999999999999</v>
          </cell>
          <cell r="EA60" t="str">
            <v>No Sig diff</v>
          </cell>
          <cell r="EB60">
            <v>517</v>
          </cell>
          <cell r="EC60">
            <v>87.89</v>
          </cell>
          <cell r="ED60">
            <v>0.17</v>
          </cell>
          <cell r="EE60">
            <v>0.13800000000000001</v>
          </cell>
          <cell r="EF60">
            <v>0.20200000000000001</v>
          </cell>
          <cell r="EG60" t="str">
            <v>No Sig diff</v>
          </cell>
          <cell r="EH60">
            <v>523</v>
          </cell>
          <cell r="EI60">
            <v>87.864000000000004</v>
          </cell>
          <cell r="EJ60">
            <v>0.16800000000000001</v>
          </cell>
          <cell r="EK60">
            <v>0.13600000000000001</v>
          </cell>
          <cell r="EL60">
            <v>0.2</v>
          </cell>
          <cell r="EM60" t="str">
            <v>No Sig diff</v>
          </cell>
          <cell r="EN60">
            <v>486</v>
          </cell>
          <cell r="EO60">
            <v>83.106000000000009</v>
          </cell>
          <cell r="EP60">
            <v>0.17100000000000001</v>
          </cell>
          <cell r="EQ60">
            <v>0.13800000000000001</v>
          </cell>
          <cell r="ER60">
            <v>0.20400000000000001</v>
          </cell>
          <cell r="ES60" t="str">
            <v>No Sig diff</v>
          </cell>
          <cell r="ET60">
            <v>518</v>
          </cell>
          <cell r="EU60">
            <v>89.095999999999989</v>
          </cell>
          <cell r="EV60">
            <v>0.17199999999999999</v>
          </cell>
          <cell r="EW60">
            <v>0.16869999999999999</v>
          </cell>
          <cell r="EX60">
            <v>0.20499999999999999</v>
          </cell>
          <cell r="EY60" t="str">
            <v>No Sig diff</v>
          </cell>
          <cell r="EZ60">
            <v>688</v>
          </cell>
          <cell r="FA60">
            <v>340</v>
          </cell>
          <cell r="FB60">
            <v>0.4941860465116279</v>
          </cell>
          <cell r="FC60">
            <v>0.45696323963020558</v>
          </cell>
          <cell r="FD60">
            <v>0.53147341749983013</v>
          </cell>
          <cell r="FE60">
            <v>688</v>
          </cell>
          <cell r="FF60">
            <v>34</v>
          </cell>
          <cell r="FG60">
            <v>137</v>
          </cell>
          <cell r="FH60">
            <v>22.175182481751833</v>
          </cell>
          <cell r="FI60">
            <v>0.34778875053671082</v>
          </cell>
          <cell r="FJ60">
            <v>654</v>
          </cell>
          <cell r="FK60">
            <v>370</v>
          </cell>
          <cell r="FL60">
            <v>0.56574923547400613</v>
          </cell>
          <cell r="FM60">
            <v>0.52748685508392112</v>
          </cell>
          <cell r="FN60">
            <v>0.60324373181793112</v>
          </cell>
          <cell r="FO60">
            <v>654</v>
          </cell>
          <cell r="FP60">
            <v>34</v>
          </cell>
          <cell r="FQ60">
            <v>130</v>
          </cell>
          <cell r="FR60">
            <v>23.223076923076924</v>
          </cell>
          <cell r="FS60">
            <v>0.31696832579185519</v>
          </cell>
          <cell r="FT60">
            <v>8055</v>
          </cell>
          <cell r="FU60">
            <v>7928</v>
          </cell>
          <cell r="FV60">
            <v>127</v>
          </cell>
          <cell r="FW60">
            <v>112</v>
          </cell>
          <cell r="FX60">
            <v>15</v>
          </cell>
          <cell r="FY60">
            <v>0.88188976377952755</v>
          </cell>
          <cell r="FZ60">
            <v>0.11811023622047244</v>
          </cell>
          <cell r="GQ60" t="str">
            <v>n/a</v>
          </cell>
          <cell r="GR60" t="str">
            <v>n/a</v>
          </cell>
          <cell r="GS60" t="str">
            <v>n/a</v>
          </cell>
          <cell r="GT60" t="str">
            <v>n/a</v>
          </cell>
          <cell r="GU60" t="str">
            <v>n/a</v>
          </cell>
          <cell r="GV60" t="str">
            <v>n/a</v>
          </cell>
          <cell r="GW60" t="str">
            <v>n/a</v>
          </cell>
          <cell r="GX60" t="str">
            <v>n/a</v>
          </cell>
          <cell r="GY60" t="str">
            <v>n/a</v>
          </cell>
          <cell r="GZ60" t="str">
            <v>n/a</v>
          </cell>
          <cell r="HA60" t="str">
            <v>n/a</v>
          </cell>
          <cell r="HB60" t="str">
            <v>n/a</v>
          </cell>
          <cell r="HC60" t="str">
            <v>n/a</v>
          </cell>
          <cell r="HD60" t="str">
            <v>n/a</v>
          </cell>
          <cell r="HE60" t="str">
            <v>n/a</v>
          </cell>
          <cell r="HF60" t="str">
            <v>n/a</v>
          </cell>
          <cell r="HG60" t="str">
            <v>n/a</v>
          </cell>
          <cell r="HH60" t="str">
            <v>n/a</v>
          </cell>
          <cell r="HI60" t="str">
            <v>n/a</v>
          </cell>
          <cell r="HJ60" t="str">
            <v>n/a</v>
          </cell>
          <cell r="HK60" t="str">
            <v>n/a</v>
          </cell>
          <cell r="HL60" t="str">
            <v>n/a</v>
          </cell>
          <cell r="HM60" t="str">
            <v>n/a</v>
          </cell>
          <cell r="HN60">
            <v>82</v>
          </cell>
          <cell r="HO60">
            <v>2.3196605374823195E-2</v>
          </cell>
          <cell r="HP60">
            <v>5509</v>
          </cell>
          <cell r="HQ60">
            <v>4805</v>
          </cell>
          <cell r="HR60">
            <v>704</v>
          </cell>
          <cell r="HS60">
            <v>0.12779088763840987</v>
          </cell>
        </row>
        <row r="61">
          <cell r="A61" t="str">
            <v>LA - Arun</v>
          </cell>
          <cell r="C61" t="str">
            <v>n/a</v>
          </cell>
          <cell r="D61" t="str">
            <v>n/a</v>
          </cell>
          <cell r="E61" t="str">
            <v>Arun</v>
          </cell>
          <cell r="G61" t="str">
            <v>n/a</v>
          </cell>
          <cell r="H61" t="str">
            <v>n/a</v>
          </cell>
          <cell r="I61" t="str">
            <v>n/a</v>
          </cell>
          <cell r="J61" t="str">
            <v>Coastal West Sussex</v>
          </cell>
          <cell r="K61" t="str">
            <v>n/a</v>
          </cell>
          <cell r="L61">
            <v>145100</v>
          </cell>
          <cell r="M61">
            <v>146000</v>
          </cell>
          <cell r="N61">
            <v>146800</v>
          </cell>
          <cell r="O61">
            <v>147700</v>
          </cell>
          <cell r="P61">
            <v>148500</v>
          </cell>
          <cell r="Q61">
            <v>148900</v>
          </cell>
          <cell r="R61">
            <v>149500</v>
          </cell>
          <cell r="S61">
            <v>149800</v>
          </cell>
          <cell r="T61">
            <v>151400</v>
          </cell>
          <cell r="U61">
            <v>152800</v>
          </cell>
          <cell r="V61">
            <v>6700</v>
          </cell>
          <cell r="W61">
            <v>6800</v>
          </cell>
          <cell r="X61">
            <v>6800</v>
          </cell>
          <cell r="Y61">
            <v>6900</v>
          </cell>
          <cell r="Z61">
            <v>7000</v>
          </cell>
          <cell r="AA61">
            <v>7300</v>
          </cell>
          <cell r="AB61">
            <v>7300</v>
          </cell>
          <cell r="AC61">
            <v>7500</v>
          </cell>
          <cell r="AD61">
            <v>7800</v>
          </cell>
          <cell r="AE61">
            <v>8000</v>
          </cell>
          <cell r="AF61">
            <v>0.87542315504400814</v>
          </cell>
          <cell r="AG61">
            <v>6.8381855111712936E-2</v>
          </cell>
          <cell r="AH61">
            <v>3.2498307379823968E-2</v>
          </cell>
          <cell r="AI61">
            <v>2.0311442112389978E-2</v>
          </cell>
          <cell r="AJ61">
            <v>2.7081922816519972E-3</v>
          </cell>
          <cell r="AK61">
            <v>2.031144211238998E-3</v>
          </cell>
          <cell r="AL61">
            <v>0.12457684495599188</v>
          </cell>
          <cell r="AM61">
            <v>14349</v>
          </cell>
          <cell r="AN61">
            <v>0.60241131786187185</v>
          </cell>
          <cell r="AO61">
            <v>0.12544428183148651</v>
          </cell>
          <cell r="AP61">
            <v>0.27214440030664155</v>
          </cell>
          <cell r="AQ61">
            <v>1435</v>
          </cell>
          <cell r="AR61">
            <v>1496</v>
          </cell>
          <cell r="AS61">
            <v>1567</v>
          </cell>
          <cell r="AT61">
            <v>1619</v>
          </cell>
          <cell r="AU61">
            <v>1493</v>
          </cell>
          <cell r="AV61">
            <v>109</v>
          </cell>
          <cell r="AW61">
            <v>76</v>
          </cell>
          <cell r="AX61">
            <v>101</v>
          </cell>
          <cell r="AY61">
            <v>76</v>
          </cell>
          <cell r="AZ61">
            <v>77</v>
          </cell>
          <cell r="BA61" t="str">
            <v>n/a</v>
          </cell>
          <cell r="BB61" t="str">
            <v>n/a</v>
          </cell>
          <cell r="BC61" t="str">
            <v>n/a</v>
          </cell>
          <cell r="BD61" t="str">
            <v>n/a</v>
          </cell>
          <cell r="BE61" t="str">
            <v>n/a</v>
          </cell>
          <cell r="BU61">
            <v>3519</v>
          </cell>
          <cell r="BV61">
            <v>1200</v>
          </cell>
          <cell r="BW61">
            <v>0.34100596760443308</v>
          </cell>
          <cell r="BX61">
            <v>332</v>
          </cell>
          <cell r="BY61" t="str">
            <v>n/a</v>
          </cell>
          <cell r="BZ61">
            <v>2878</v>
          </cell>
          <cell r="CA61">
            <v>4.3144544718616014E-2</v>
          </cell>
          <cell r="CB61">
            <v>1315</v>
          </cell>
          <cell r="CC61">
            <v>1375</v>
          </cell>
          <cell r="CD61">
            <v>1465</v>
          </cell>
          <cell r="CE61">
            <v>1430</v>
          </cell>
          <cell r="CF61">
            <v>4085</v>
          </cell>
          <cell r="CG61">
            <v>0.17299999999999999</v>
          </cell>
          <cell r="CH61">
            <v>3835</v>
          </cell>
          <cell r="CI61">
            <v>0.16300000000000001</v>
          </cell>
          <cell r="CJ61">
            <v>4050</v>
          </cell>
          <cell r="CK61">
            <v>0.17100000000000001</v>
          </cell>
          <cell r="CL61">
            <v>3845</v>
          </cell>
          <cell r="CM61">
            <v>0.16200000000000001</v>
          </cell>
          <cell r="CN61">
            <v>3880</v>
          </cell>
          <cell r="CO61">
            <v>0.16300000000000001</v>
          </cell>
          <cell r="CP61">
            <v>3620</v>
          </cell>
          <cell r="CQ61">
            <v>0.15</v>
          </cell>
          <cell r="CR61">
            <v>1513</v>
          </cell>
          <cell r="CS61">
            <v>57</v>
          </cell>
          <cell r="CT61">
            <v>1456</v>
          </cell>
          <cell r="CU61">
            <v>0.96232650363516192</v>
          </cell>
          <cell r="CV61">
            <v>562</v>
          </cell>
          <cell r="CW61">
            <v>696</v>
          </cell>
          <cell r="CX61">
            <v>0.37144745538664903</v>
          </cell>
          <cell r="CY61">
            <v>0.46001321877065432</v>
          </cell>
          <cell r="CZ61">
            <v>0.3613137692115862</v>
          </cell>
          <cell r="DA61">
            <v>0.41126429679228704</v>
          </cell>
          <cell r="DB61">
            <v>0.45245537548645942</v>
          </cell>
          <cell r="DC61">
            <v>0.5037042516950101</v>
          </cell>
          <cell r="DD61">
            <v>1142</v>
          </cell>
          <cell r="DE61">
            <v>102.78</v>
          </cell>
          <cell r="DF61">
            <v>0.09</v>
          </cell>
          <cell r="DG61">
            <v>7.2999999999999995E-2</v>
          </cell>
          <cell r="DH61">
            <v>0.107</v>
          </cell>
          <cell r="DI61" t="str">
            <v>No Sig diff</v>
          </cell>
          <cell r="DJ61">
            <v>1241</v>
          </cell>
          <cell r="DK61">
            <v>1241.085</v>
          </cell>
          <cell r="DL61">
            <v>8.5000000000000006E-2</v>
          </cell>
          <cell r="DM61">
            <v>6.9000000000000006E-2</v>
          </cell>
          <cell r="DN61">
            <v>0.10100000000000001</v>
          </cell>
          <cell r="DO61" t="str">
            <v>No Sig diff</v>
          </cell>
          <cell r="DP61">
            <v>1158</v>
          </cell>
          <cell r="DQ61">
            <v>119.27399999999999</v>
          </cell>
          <cell r="DR61">
            <v>0.10299999999999999</v>
          </cell>
          <cell r="DS61">
            <v>8.5999999999999993E-2</v>
          </cell>
          <cell r="DT61">
            <v>0.12</v>
          </cell>
          <cell r="DU61" t="str">
            <v>No Sig diff</v>
          </cell>
          <cell r="DV61">
            <v>1432</v>
          </cell>
          <cell r="DW61">
            <v>140.33600000000001</v>
          </cell>
          <cell r="DX61">
            <v>9.8000000000000004E-2</v>
          </cell>
          <cell r="DY61">
            <v>8.3000000000000004E-2</v>
          </cell>
          <cell r="DZ61">
            <v>0.113</v>
          </cell>
          <cell r="EA61" t="str">
            <v>No Sig diff</v>
          </cell>
          <cell r="EB61">
            <v>1236</v>
          </cell>
          <cell r="EC61">
            <v>196.524</v>
          </cell>
          <cell r="ED61">
            <v>0.159</v>
          </cell>
          <cell r="EE61">
            <v>0.13900000000000001</v>
          </cell>
          <cell r="EF61">
            <v>0.17899999999999999</v>
          </cell>
          <cell r="EG61" t="str">
            <v>Sig better than Eng.</v>
          </cell>
          <cell r="EH61">
            <v>1196</v>
          </cell>
          <cell r="EI61">
            <v>218.86799999999999</v>
          </cell>
          <cell r="EJ61">
            <v>0.183</v>
          </cell>
          <cell r="EK61">
            <v>0.161</v>
          </cell>
          <cell r="EL61">
            <v>0.20499999999999999</v>
          </cell>
          <cell r="EM61" t="str">
            <v>No Sig diff</v>
          </cell>
          <cell r="EN61">
            <v>1187</v>
          </cell>
          <cell r="EO61">
            <v>214.84699999999998</v>
          </cell>
          <cell r="EP61">
            <v>0.18099999999999999</v>
          </cell>
          <cell r="EQ61">
            <v>0.159</v>
          </cell>
          <cell r="ER61">
            <v>0.20299999999999999</v>
          </cell>
          <cell r="ES61" t="str">
            <v>No Sig diff</v>
          </cell>
          <cell r="ET61">
            <v>1199</v>
          </cell>
          <cell r="EU61">
            <v>183.447</v>
          </cell>
          <cell r="EV61">
            <v>0.153</v>
          </cell>
          <cell r="EW61">
            <v>0.13300000000000001</v>
          </cell>
          <cell r="EX61">
            <v>0.17299999999999999</v>
          </cell>
          <cell r="EY61" t="str">
            <v>Sig better than Eng.</v>
          </cell>
          <cell r="EZ61">
            <v>1542</v>
          </cell>
          <cell r="FA61">
            <v>715</v>
          </cell>
          <cell r="FB61">
            <v>0.46368352788586253</v>
          </cell>
          <cell r="FC61">
            <v>0.43891441899559364</v>
          </cell>
          <cell r="FD61">
            <v>0.48863313165333022</v>
          </cell>
          <cell r="FE61">
            <v>1542</v>
          </cell>
          <cell r="FF61">
            <v>33</v>
          </cell>
          <cell r="FG61">
            <v>308</v>
          </cell>
          <cell r="FH61">
            <v>22.461038961038945</v>
          </cell>
          <cell r="FI61">
            <v>0.31936245572609256</v>
          </cell>
          <cell r="FJ61">
            <v>1589</v>
          </cell>
          <cell r="FK61">
            <v>889</v>
          </cell>
          <cell r="FL61">
            <v>0.55947136563876654</v>
          </cell>
          <cell r="FM61">
            <v>0.53494728540455549</v>
          </cell>
          <cell r="FN61">
            <v>0.58370859145837573</v>
          </cell>
          <cell r="FO61">
            <v>1589</v>
          </cell>
          <cell r="FP61">
            <v>34</v>
          </cell>
          <cell r="FQ61">
            <v>317</v>
          </cell>
          <cell r="FR61">
            <v>23.64984227129338</v>
          </cell>
          <cell r="FS61">
            <v>0.30441640378548884</v>
          </cell>
          <cell r="FT61">
            <v>18212</v>
          </cell>
          <cell r="FU61">
            <v>17593</v>
          </cell>
          <cell r="FV61">
            <v>619</v>
          </cell>
          <cell r="FW61">
            <v>489</v>
          </cell>
          <cell r="FX61">
            <v>130</v>
          </cell>
          <cell r="FY61">
            <v>0.78998384491114704</v>
          </cell>
          <cell r="FZ61">
            <v>0.21001615508885299</v>
          </cell>
          <cell r="GQ61" t="str">
            <v>n/a</v>
          </cell>
          <cell r="GR61" t="str">
            <v>n/a</v>
          </cell>
          <cell r="GS61" t="str">
            <v>n/a</v>
          </cell>
          <cell r="GT61" t="str">
            <v>n/a</v>
          </cell>
          <cell r="GU61" t="str">
            <v>n/a</v>
          </cell>
          <cell r="GV61" t="str">
            <v>n/a</v>
          </cell>
          <cell r="GW61" t="str">
            <v>n/a</v>
          </cell>
          <cell r="GX61" t="str">
            <v>n/a</v>
          </cell>
          <cell r="GY61" t="str">
            <v>n/a</v>
          </cell>
          <cell r="GZ61" t="str">
            <v>n/a</v>
          </cell>
          <cell r="HA61" t="str">
            <v>n/a</v>
          </cell>
          <cell r="HB61" t="str">
            <v>n/a</v>
          </cell>
          <cell r="HC61" t="str">
            <v>n/a</v>
          </cell>
          <cell r="HD61" t="str">
            <v>n/a</v>
          </cell>
          <cell r="HE61" t="str">
            <v>n/a</v>
          </cell>
          <cell r="HF61" t="str">
            <v>n/a</v>
          </cell>
          <cell r="HG61" t="str">
            <v>n/a</v>
          </cell>
          <cell r="HH61" t="str">
            <v>n/a</v>
          </cell>
          <cell r="HI61" t="str">
            <v>n/a</v>
          </cell>
          <cell r="HJ61" t="str">
            <v>n/a</v>
          </cell>
          <cell r="HK61" t="str">
            <v>n/a</v>
          </cell>
          <cell r="HL61" t="str">
            <v>n/a</v>
          </cell>
          <cell r="HM61" t="str">
            <v>n/a</v>
          </cell>
          <cell r="HN61">
            <v>150</v>
          </cell>
          <cell r="HO61">
            <v>2.0319696559198051E-2</v>
          </cell>
          <cell r="HP61">
            <v>11783</v>
          </cell>
          <cell r="HQ61">
            <v>10387</v>
          </cell>
          <cell r="HR61">
            <v>1396</v>
          </cell>
          <cell r="HS61">
            <v>0.11847577017737418</v>
          </cell>
        </row>
        <row r="62">
          <cell r="A62" t="str">
            <v>LA - Chichester</v>
          </cell>
          <cell r="C62" t="str">
            <v>n/a</v>
          </cell>
          <cell r="D62" t="str">
            <v>n/a</v>
          </cell>
          <cell r="E62" t="str">
            <v>Chichester</v>
          </cell>
          <cell r="G62" t="str">
            <v>n/a</v>
          </cell>
          <cell r="H62" t="str">
            <v>n/a</v>
          </cell>
          <cell r="I62" t="str">
            <v>n/a</v>
          </cell>
          <cell r="J62" t="str">
            <v>Coastal West Sussex</v>
          </cell>
          <cell r="K62" t="str">
            <v>n/a</v>
          </cell>
          <cell r="L62">
            <v>108200</v>
          </cell>
          <cell r="M62">
            <v>108800</v>
          </cell>
          <cell r="N62">
            <v>109700</v>
          </cell>
          <cell r="O62">
            <v>110600</v>
          </cell>
          <cell r="P62">
            <v>111800</v>
          </cell>
          <cell r="Q62">
            <v>112500</v>
          </cell>
          <cell r="R62">
            <v>113400</v>
          </cell>
          <cell r="S62">
            <v>114000</v>
          </cell>
          <cell r="T62">
            <v>114500</v>
          </cell>
          <cell r="U62">
            <v>115300</v>
          </cell>
          <cell r="V62">
            <v>5000</v>
          </cell>
          <cell r="W62">
            <v>5000</v>
          </cell>
          <cell r="X62">
            <v>5200</v>
          </cell>
          <cell r="Y62">
            <v>5300</v>
          </cell>
          <cell r="Z62">
            <v>5500</v>
          </cell>
          <cell r="AA62">
            <v>5500</v>
          </cell>
          <cell r="AB62">
            <v>5700</v>
          </cell>
          <cell r="AC62">
            <v>5600</v>
          </cell>
          <cell r="AD62">
            <v>5900</v>
          </cell>
          <cell r="AE62">
            <v>5800</v>
          </cell>
          <cell r="AF62">
            <v>0.90707964601769908</v>
          </cell>
          <cell r="AG62">
            <v>3.1858407079646017E-2</v>
          </cell>
          <cell r="AH62">
            <v>2.743362831858407E-2</v>
          </cell>
          <cell r="AI62">
            <v>2.1238938053097345E-2</v>
          </cell>
          <cell r="AJ62">
            <v>8.8495575221238937E-3</v>
          </cell>
          <cell r="AK62">
            <v>3.5398230088495575E-3</v>
          </cell>
          <cell r="AL62">
            <v>9.1150442477876112E-2</v>
          </cell>
          <cell r="AM62">
            <v>11231</v>
          </cell>
          <cell r="AN62">
            <v>0.5725224824147449</v>
          </cell>
          <cell r="AO62">
            <v>0.20470127326150833</v>
          </cell>
          <cell r="AP62">
            <v>0.22277624432374676</v>
          </cell>
          <cell r="AQ62">
            <v>1131</v>
          </cell>
          <cell r="AR62">
            <v>1067</v>
          </cell>
          <cell r="AS62">
            <v>1134</v>
          </cell>
          <cell r="AT62">
            <v>1136</v>
          </cell>
          <cell r="AU62">
            <v>1046</v>
          </cell>
          <cell r="AV62">
            <v>59</v>
          </cell>
          <cell r="AW62">
            <v>55</v>
          </cell>
          <cell r="AX62">
            <v>48</v>
          </cell>
          <cell r="AY62">
            <v>51</v>
          </cell>
          <cell r="AZ62">
            <v>50</v>
          </cell>
          <cell r="BA62" t="str">
            <v>n/a</v>
          </cell>
          <cell r="BB62" t="str">
            <v>n/a</v>
          </cell>
          <cell r="BC62" t="str">
            <v>n/a</v>
          </cell>
          <cell r="BD62" t="str">
            <v>n/a</v>
          </cell>
          <cell r="BE62" t="str">
            <v>n/a</v>
          </cell>
          <cell r="BU62">
            <v>2288</v>
          </cell>
          <cell r="BV62">
            <v>731</v>
          </cell>
          <cell r="BW62">
            <v>0.31949300699300698</v>
          </cell>
          <cell r="BX62">
            <v>191</v>
          </cell>
          <cell r="BY62" t="str">
            <v>n/a</v>
          </cell>
          <cell r="BZ62">
            <v>1500</v>
          </cell>
          <cell r="CA62">
            <v>3.0091478093403949E-2</v>
          </cell>
          <cell r="CB62">
            <v>795</v>
          </cell>
          <cell r="CC62">
            <v>785</v>
          </cell>
          <cell r="CD62">
            <v>865</v>
          </cell>
          <cell r="CE62">
            <v>770</v>
          </cell>
          <cell r="CF62">
            <v>2305</v>
          </cell>
          <cell r="CG62">
            <v>0.126</v>
          </cell>
          <cell r="CH62">
            <v>2330</v>
          </cell>
          <cell r="CI62">
            <v>0.127</v>
          </cell>
          <cell r="CJ62">
            <v>2425</v>
          </cell>
          <cell r="CK62">
            <v>0.13100000000000001</v>
          </cell>
          <cell r="CL62">
            <v>2340</v>
          </cell>
          <cell r="CM62">
            <v>0.126</v>
          </cell>
          <cell r="CN62">
            <v>2230</v>
          </cell>
          <cell r="CO62">
            <v>0.12</v>
          </cell>
          <cell r="CP62">
            <v>2100</v>
          </cell>
          <cell r="CQ62">
            <v>0.113</v>
          </cell>
          <cell r="CR62">
            <v>919</v>
          </cell>
          <cell r="CS62">
            <v>67</v>
          </cell>
          <cell r="CT62">
            <v>852</v>
          </cell>
          <cell r="CU62">
            <v>0.92709466811751906</v>
          </cell>
          <cell r="CV62">
            <v>376</v>
          </cell>
          <cell r="CW62">
            <v>480</v>
          </cell>
          <cell r="CX62">
            <v>0.40914036996735581</v>
          </cell>
          <cell r="CY62">
            <v>0.52230685527747556</v>
          </cell>
          <cell r="CZ62">
            <v>0.40830966009695818</v>
          </cell>
          <cell r="DA62">
            <v>0.47484628838696685</v>
          </cell>
          <cell r="DB62">
            <v>0.52986598333819934</v>
          </cell>
          <cell r="DC62">
            <v>0.5963255922991616</v>
          </cell>
          <cell r="DD62">
            <v>991</v>
          </cell>
          <cell r="DE62">
            <v>99.100000000000009</v>
          </cell>
          <cell r="DF62">
            <v>0.1</v>
          </cell>
          <cell r="DG62">
            <v>8.1000000000000003E-2</v>
          </cell>
          <cell r="DH62">
            <v>0.11900000000000001</v>
          </cell>
          <cell r="DI62" t="str">
            <v>No Sig diff</v>
          </cell>
          <cell r="DJ62">
            <v>956</v>
          </cell>
          <cell r="DK62">
            <v>956.07899999999995</v>
          </cell>
          <cell r="DL62">
            <v>7.9000000000000001E-2</v>
          </cell>
          <cell r="DM62">
            <v>6.2E-2</v>
          </cell>
          <cell r="DN62">
            <v>9.6000000000000002E-2</v>
          </cell>
          <cell r="DO62" t="str">
            <v>No Sig diff</v>
          </cell>
          <cell r="DP62">
            <v>951</v>
          </cell>
          <cell r="DQ62">
            <v>65.619</v>
          </cell>
          <cell r="DR62">
            <v>6.9000000000000006E-2</v>
          </cell>
          <cell r="DS62">
            <v>5.3000000000000005E-2</v>
          </cell>
          <cell r="DT62">
            <v>8.5000000000000006E-2</v>
          </cell>
          <cell r="DU62" t="str">
            <v>Sig better than Eng.</v>
          </cell>
          <cell r="DV62">
            <v>988</v>
          </cell>
          <cell r="DW62">
            <v>83.98</v>
          </cell>
          <cell r="DX62">
            <v>8.5000000000000006E-2</v>
          </cell>
          <cell r="DY62">
            <v>6.8000000000000005E-2</v>
          </cell>
          <cell r="DZ62">
            <v>0.10200000000000001</v>
          </cell>
          <cell r="EA62" t="str">
            <v>No Sig diff</v>
          </cell>
          <cell r="EB62">
            <v>885</v>
          </cell>
          <cell r="EC62">
            <v>130.97999999999999</v>
          </cell>
          <cell r="ED62">
            <v>0.14799999999999999</v>
          </cell>
          <cell r="EE62">
            <v>0.125</v>
          </cell>
          <cell r="EF62">
            <v>0.17099999999999999</v>
          </cell>
          <cell r="EG62" t="str">
            <v>Sig better than Eng.</v>
          </cell>
          <cell r="EH62">
            <v>801</v>
          </cell>
          <cell r="EI62">
            <v>129.762</v>
          </cell>
          <cell r="EJ62">
            <v>0.16200000000000001</v>
          </cell>
          <cell r="EK62">
            <v>0.13600000000000001</v>
          </cell>
          <cell r="EL62">
            <v>0.188</v>
          </cell>
          <cell r="EM62" t="str">
            <v>Sig better than Eng.</v>
          </cell>
          <cell r="EN62">
            <v>821</v>
          </cell>
          <cell r="EO62">
            <v>127.255</v>
          </cell>
          <cell r="EP62">
            <v>0.155</v>
          </cell>
          <cell r="EQ62">
            <v>0.13</v>
          </cell>
          <cell r="ER62">
            <v>0.18</v>
          </cell>
          <cell r="ES62" t="str">
            <v>Sig better than Eng.</v>
          </cell>
          <cell r="ET62">
            <v>831</v>
          </cell>
          <cell r="EU62">
            <v>108.861</v>
          </cell>
          <cell r="EV62">
            <v>0.13100000000000001</v>
          </cell>
          <cell r="EW62">
            <v>0.10800000000000001</v>
          </cell>
          <cell r="EX62">
            <v>0.154</v>
          </cell>
          <cell r="EY62" t="str">
            <v>Sig better than Eng.</v>
          </cell>
          <cell r="EZ62">
            <v>1138</v>
          </cell>
          <cell r="FA62">
            <v>610</v>
          </cell>
          <cell r="FB62">
            <v>0.53602811950790863</v>
          </cell>
          <cell r="FC62">
            <v>0.50698089567473048</v>
          </cell>
          <cell r="FD62">
            <v>0.5648329269593596</v>
          </cell>
          <cell r="FE62">
            <v>1138</v>
          </cell>
          <cell r="FF62">
            <v>34</v>
          </cell>
          <cell r="FG62">
            <v>227</v>
          </cell>
          <cell r="FH62">
            <v>22.969162995594704</v>
          </cell>
          <cell r="FI62">
            <v>0.32443638248250872</v>
          </cell>
          <cell r="FJ62">
            <v>1158</v>
          </cell>
          <cell r="FK62">
            <v>658</v>
          </cell>
          <cell r="FL62">
            <v>0.56822107081174433</v>
          </cell>
          <cell r="FM62">
            <v>0.53951303675508588</v>
          </cell>
          <cell r="FN62">
            <v>0.59647797888690635</v>
          </cell>
          <cell r="FO62">
            <v>1158</v>
          </cell>
          <cell r="FP62">
            <v>34</v>
          </cell>
          <cell r="FQ62">
            <v>231</v>
          </cell>
          <cell r="FR62">
            <v>23.199134199134214</v>
          </cell>
          <cell r="FS62">
            <v>0.31767252355487607</v>
          </cell>
          <cell r="FT62">
            <v>17647</v>
          </cell>
          <cell r="FU62">
            <v>16217</v>
          </cell>
          <cell r="FV62">
            <v>1430</v>
          </cell>
          <cell r="FW62">
            <v>1212</v>
          </cell>
          <cell r="FX62">
            <v>218</v>
          </cell>
          <cell r="FY62">
            <v>0.84755244755244752</v>
          </cell>
          <cell r="FZ62">
            <v>0.15244755244755245</v>
          </cell>
          <cell r="GQ62" t="str">
            <v>n/a</v>
          </cell>
          <cell r="GR62" t="str">
            <v>n/a</v>
          </cell>
          <cell r="GS62" t="str">
            <v>n/a</v>
          </cell>
          <cell r="GT62" t="str">
            <v>n/a</v>
          </cell>
          <cell r="GU62" t="str">
            <v>n/a</v>
          </cell>
          <cell r="GV62" t="str">
            <v>n/a</v>
          </cell>
          <cell r="GW62" t="str">
            <v>n/a</v>
          </cell>
          <cell r="GX62" t="str">
            <v>n/a</v>
          </cell>
          <cell r="GY62" t="str">
            <v>n/a</v>
          </cell>
          <cell r="GZ62" t="str">
            <v>n/a</v>
          </cell>
          <cell r="HA62" t="str">
            <v>n/a</v>
          </cell>
          <cell r="HB62" t="str">
            <v>n/a</v>
          </cell>
          <cell r="HC62" t="str">
            <v>n/a</v>
          </cell>
          <cell r="HD62" t="str">
            <v>n/a</v>
          </cell>
          <cell r="HE62" t="str">
            <v>n/a</v>
          </cell>
          <cell r="HF62" t="str">
            <v>n/a</v>
          </cell>
          <cell r="HG62" t="str">
            <v>n/a</v>
          </cell>
          <cell r="HH62" t="str">
            <v>n/a</v>
          </cell>
          <cell r="HI62" t="str">
            <v>n/a</v>
          </cell>
          <cell r="HJ62" t="str">
            <v>n/a</v>
          </cell>
          <cell r="HK62" t="str">
            <v>n/a</v>
          </cell>
          <cell r="HL62" t="str">
            <v>n/a</v>
          </cell>
          <cell r="HM62" t="str">
            <v>n/a</v>
          </cell>
          <cell r="HN62">
            <v>89</v>
          </cell>
          <cell r="HO62">
            <v>1.5766164747564215E-2</v>
          </cell>
          <cell r="HP62">
            <v>8704</v>
          </cell>
          <cell r="HQ62">
            <v>7913</v>
          </cell>
          <cell r="HR62">
            <v>791</v>
          </cell>
          <cell r="HS62">
            <v>9.087775735294118E-2</v>
          </cell>
        </row>
        <row r="63">
          <cell r="A63" t="str">
            <v>LA - Crawley</v>
          </cell>
          <cell r="C63" t="str">
            <v>n/a</v>
          </cell>
          <cell r="D63" t="str">
            <v>n/a</v>
          </cell>
          <cell r="E63" t="str">
            <v>Crawley</v>
          </cell>
          <cell r="G63" t="str">
            <v>n/a</v>
          </cell>
          <cell r="H63" t="str">
            <v>n/a</v>
          </cell>
          <cell r="I63" t="str">
            <v>n/a</v>
          </cell>
          <cell r="J63" t="str">
            <v>Crawley</v>
          </cell>
          <cell r="K63" t="str">
            <v>n/a</v>
          </cell>
          <cell r="L63">
            <v>98900</v>
          </cell>
          <cell r="M63">
            <v>99700</v>
          </cell>
          <cell r="N63">
            <v>100700</v>
          </cell>
          <cell r="O63">
            <v>101600</v>
          </cell>
          <cell r="P63">
            <v>102800</v>
          </cell>
          <cell r="Q63">
            <v>103800</v>
          </cell>
          <cell r="R63">
            <v>105500</v>
          </cell>
          <cell r="S63">
            <v>107100</v>
          </cell>
          <cell r="T63">
            <v>108300</v>
          </cell>
          <cell r="U63">
            <v>109000</v>
          </cell>
          <cell r="V63">
            <v>6300</v>
          </cell>
          <cell r="W63">
            <v>6300</v>
          </cell>
          <cell r="X63">
            <v>6400</v>
          </cell>
          <cell r="Y63">
            <v>6600</v>
          </cell>
          <cell r="Z63">
            <v>6900</v>
          </cell>
          <cell r="AA63">
            <v>7200</v>
          </cell>
          <cell r="AB63">
            <v>7700</v>
          </cell>
          <cell r="AC63">
            <v>8200</v>
          </cell>
          <cell r="AD63">
            <v>8300</v>
          </cell>
          <cell r="AE63">
            <v>8400</v>
          </cell>
          <cell r="AF63">
            <v>0.62205700123915741</v>
          </cell>
          <cell r="AG63">
            <v>6.5675340768277565E-2</v>
          </cell>
          <cell r="AH63">
            <v>7.6827757125154897E-2</v>
          </cell>
          <cell r="AI63">
            <v>0.17348203221809169</v>
          </cell>
          <cell r="AJ63">
            <v>4.8946716232961589E-2</v>
          </cell>
          <cell r="AK63">
            <v>1.3011152416356878E-2</v>
          </cell>
          <cell r="AL63">
            <v>0.37608426270136308</v>
          </cell>
          <cell r="AM63">
            <v>14546</v>
          </cell>
          <cell r="AN63">
            <v>0.49099408772171044</v>
          </cell>
          <cell r="AO63">
            <v>0.31527567716210642</v>
          </cell>
          <cell r="AP63">
            <v>0.19373023511618315</v>
          </cell>
          <cell r="AQ63">
            <v>1576</v>
          </cell>
          <cell r="AR63">
            <v>1716</v>
          </cell>
          <cell r="AS63">
            <v>1718</v>
          </cell>
          <cell r="AT63">
            <v>1648</v>
          </cell>
          <cell r="AU63">
            <v>1646</v>
          </cell>
          <cell r="AV63">
            <v>73</v>
          </cell>
          <cell r="AW63">
            <v>80</v>
          </cell>
          <cell r="AX63">
            <v>79</v>
          </cell>
          <cell r="AY63">
            <v>71</v>
          </cell>
          <cell r="AZ63">
            <v>66</v>
          </cell>
          <cell r="BA63" t="str">
            <v>n/a</v>
          </cell>
          <cell r="BB63" t="str">
            <v>n/a</v>
          </cell>
          <cell r="BC63" t="str">
            <v>n/a</v>
          </cell>
          <cell r="BD63" t="str">
            <v>n/a</v>
          </cell>
          <cell r="BE63" t="str">
            <v>n/a</v>
          </cell>
          <cell r="BU63">
            <v>3293</v>
          </cell>
          <cell r="BV63">
            <v>1363</v>
          </cell>
          <cell r="BW63">
            <v>0.4139082903127847</v>
          </cell>
          <cell r="BX63">
            <v>248</v>
          </cell>
          <cell r="BY63" t="str">
            <v>n/a</v>
          </cell>
          <cell r="BZ63">
            <v>2084</v>
          </cell>
          <cell r="CA63">
            <v>4.8774779413485618E-2</v>
          </cell>
          <cell r="CB63">
            <v>1650</v>
          </cell>
          <cell r="CC63">
            <v>1650</v>
          </cell>
          <cell r="CD63">
            <v>1580</v>
          </cell>
          <cell r="CE63">
            <v>1475</v>
          </cell>
          <cell r="CF63">
            <v>3775</v>
          </cell>
          <cell r="CG63">
            <v>0.19</v>
          </cell>
          <cell r="CH63">
            <v>3775</v>
          </cell>
          <cell r="CI63">
            <v>0.187</v>
          </cell>
          <cell r="CJ63">
            <v>4090</v>
          </cell>
          <cell r="CK63">
            <v>0.19500000000000001</v>
          </cell>
          <cell r="CL63">
            <v>4165</v>
          </cell>
          <cell r="CM63">
            <v>0.19500000000000001</v>
          </cell>
          <cell r="CN63">
            <v>4165</v>
          </cell>
          <cell r="CO63">
            <v>0.19</v>
          </cell>
          <cell r="CP63">
            <v>3895</v>
          </cell>
          <cell r="CQ63">
            <v>0.17399999999999999</v>
          </cell>
          <cell r="CR63">
            <v>1542</v>
          </cell>
          <cell r="CS63">
            <v>48</v>
          </cell>
          <cell r="CT63">
            <v>1494</v>
          </cell>
          <cell r="CU63">
            <v>0.9688715953307393</v>
          </cell>
          <cell r="CV63">
            <v>540</v>
          </cell>
          <cell r="CW63">
            <v>809</v>
          </cell>
          <cell r="CX63">
            <v>0.35019455252918286</v>
          </cell>
          <cell r="CY63">
            <v>0.52464332036316474</v>
          </cell>
          <cell r="CZ63">
            <v>0.33746846270118325</v>
          </cell>
          <cell r="DA63">
            <v>0.3861338194092882</v>
          </cell>
          <cell r="DB63">
            <v>0.51615832316198718</v>
          </cell>
          <cell r="DC63">
            <v>0.56662746673729192</v>
          </cell>
          <cell r="DD63">
            <v>1032</v>
          </cell>
          <cell r="DE63">
            <v>86.688000000000002</v>
          </cell>
          <cell r="DF63">
            <v>8.4000000000000005E-2</v>
          </cell>
          <cell r="DG63">
            <v>6.7000000000000004E-2</v>
          </cell>
          <cell r="DH63">
            <v>0.10100000000000001</v>
          </cell>
          <cell r="DI63" t="str">
            <v>No Sig diff</v>
          </cell>
          <cell r="DJ63">
            <v>1178</v>
          </cell>
          <cell r="DK63">
            <v>1178.098</v>
          </cell>
          <cell r="DL63">
            <v>9.8000000000000004E-2</v>
          </cell>
          <cell r="DM63">
            <v>8.1000000000000003E-2</v>
          </cell>
          <cell r="DN63">
            <v>0.115</v>
          </cell>
          <cell r="DO63" t="str">
            <v>No Sig diff</v>
          </cell>
          <cell r="DP63">
            <v>998</v>
          </cell>
          <cell r="DQ63">
            <v>80.838000000000008</v>
          </cell>
          <cell r="DR63">
            <v>8.1000000000000003E-2</v>
          </cell>
          <cell r="DS63">
            <v>6.4000000000000001E-2</v>
          </cell>
          <cell r="DT63">
            <v>9.8000000000000004E-2</v>
          </cell>
          <cell r="DU63" t="str">
            <v>No Sig diff</v>
          </cell>
          <cell r="DV63">
            <v>1197</v>
          </cell>
          <cell r="DW63">
            <v>111.321</v>
          </cell>
          <cell r="DX63">
            <v>9.2999999999999999E-2</v>
          </cell>
          <cell r="DY63">
            <v>7.6999999999999999E-2</v>
          </cell>
          <cell r="DZ63">
            <v>0.109</v>
          </cell>
          <cell r="EA63" t="str">
            <v>No Sig diff</v>
          </cell>
          <cell r="EB63">
            <v>1000</v>
          </cell>
          <cell r="EC63">
            <v>190</v>
          </cell>
          <cell r="ED63">
            <v>0.19</v>
          </cell>
          <cell r="EE63">
            <v>0.16600000000000001</v>
          </cell>
          <cell r="EF63">
            <v>0.214</v>
          </cell>
          <cell r="EG63" t="str">
            <v>No Sig diff</v>
          </cell>
          <cell r="EH63">
            <v>1121</v>
          </cell>
          <cell r="EI63">
            <v>193.93299999999999</v>
          </cell>
          <cell r="EJ63">
            <v>0.17299999999999999</v>
          </cell>
          <cell r="EK63">
            <v>0.151</v>
          </cell>
          <cell r="EL63">
            <v>0.19499999999999998</v>
          </cell>
          <cell r="EM63" t="str">
            <v>No Sig diff</v>
          </cell>
          <cell r="EN63">
            <v>1131</v>
          </cell>
          <cell r="EO63">
            <v>212.62800000000001</v>
          </cell>
          <cell r="EP63">
            <v>0.188</v>
          </cell>
          <cell r="EQ63">
            <v>0.16500000000000001</v>
          </cell>
          <cell r="ER63">
            <v>0.21099999999999999</v>
          </cell>
          <cell r="ES63" t="str">
            <v>No Sig diff</v>
          </cell>
          <cell r="ET63">
            <v>1083</v>
          </cell>
          <cell r="EU63">
            <v>211.185</v>
          </cell>
          <cell r="EV63">
            <v>0.19500000000000001</v>
          </cell>
          <cell r="EW63">
            <v>0.17100000000000001</v>
          </cell>
          <cell r="EX63">
            <v>0.219</v>
          </cell>
          <cell r="EY63" t="str">
            <v>No Sig diff</v>
          </cell>
          <cell r="EZ63">
            <v>1440</v>
          </cell>
          <cell r="FA63">
            <v>693</v>
          </cell>
          <cell r="FB63">
            <v>0.48125000000000001</v>
          </cell>
          <cell r="FC63">
            <v>0.45552756226071045</v>
          </cell>
          <cell r="FD63">
            <v>0.50707220957012045</v>
          </cell>
          <cell r="FE63">
            <v>1440</v>
          </cell>
          <cell r="FF63">
            <v>34</v>
          </cell>
          <cell r="FG63">
            <v>288</v>
          </cell>
          <cell r="FH63">
            <v>22.378472222222197</v>
          </cell>
          <cell r="FI63">
            <v>0.34180964052287655</v>
          </cell>
          <cell r="FJ63">
            <v>1518</v>
          </cell>
          <cell r="FK63">
            <v>841</v>
          </cell>
          <cell r="FL63">
            <v>0.5540184453227931</v>
          </cell>
          <cell r="FM63">
            <v>0.52890795807318758</v>
          </cell>
          <cell r="FN63">
            <v>0.57885622396393932</v>
          </cell>
          <cell r="FO63">
            <v>1518</v>
          </cell>
          <cell r="FP63">
            <v>34</v>
          </cell>
          <cell r="FQ63">
            <v>303</v>
          </cell>
          <cell r="FR63">
            <v>22.61056105610562</v>
          </cell>
          <cell r="FS63">
            <v>0.33498349834983471</v>
          </cell>
          <cell r="FT63">
            <v>13718</v>
          </cell>
          <cell r="FU63">
            <v>13516</v>
          </cell>
          <cell r="FV63">
            <v>202</v>
          </cell>
          <cell r="FW63">
            <v>173</v>
          </cell>
          <cell r="FX63">
            <v>29</v>
          </cell>
          <cell r="FY63">
            <v>0.85643564356435642</v>
          </cell>
          <cell r="FZ63">
            <v>0.14356435643564355</v>
          </cell>
          <cell r="GQ63" t="str">
            <v>n/a</v>
          </cell>
          <cell r="GR63" t="str">
            <v>n/a</v>
          </cell>
          <cell r="GS63" t="str">
            <v>n/a</v>
          </cell>
          <cell r="GT63" t="str">
            <v>n/a</v>
          </cell>
          <cell r="GU63" t="str">
            <v>n/a</v>
          </cell>
          <cell r="GV63" t="str">
            <v>n/a</v>
          </cell>
          <cell r="GW63" t="str">
            <v>n/a</v>
          </cell>
          <cell r="GX63" t="str">
            <v>n/a</v>
          </cell>
          <cell r="GY63" t="str">
            <v>n/a</v>
          </cell>
          <cell r="GZ63" t="str">
            <v>n/a</v>
          </cell>
          <cell r="HA63" t="str">
            <v>n/a</v>
          </cell>
          <cell r="HB63" t="str">
            <v>n/a</v>
          </cell>
          <cell r="HC63" t="str">
            <v>n/a</v>
          </cell>
          <cell r="HD63" t="str">
            <v>n/a</v>
          </cell>
          <cell r="HE63" t="str">
            <v>n/a</v>
          </cell>
          <cell r="HF63" t="str">
            <v>n/a</v>
          </cell>
          <cell r="HG63" t="str">
            <v>n/a</v>
          </cell>
          <cell r="HH63" t="str">
            <v>n/a</v>
          </cell>
          <cell r="HI63" t="str">
            <v>n/a</v>
          </cell>
          <cell r="HJ63" t="str">
            <v>n/a</v>
          </cell>
          <cell r="HK63" t="str">
            <v>n/a</v>
          </cell>
          <cell r="HL63" t="str">
            <v>n/a</v>
          </cell>
          <cell r="HM63" t="str">
            <v>n/a</v>
          </cell>
          <cell r="HN63">
            <v>158</v>
          </cell>
          <cell r="HO63">
            <v>1.9602977667493797E-2</v>
          </cell>
          <cell r="HP63">
            <v>12900</v>
          </cell>
          <cell r="HQ63">
            <v>11233</v>
          </cell>
          <cell r="HR63">
            <v>1667</v>
          </cell>
          <cell r="HS63">
            <v>0.12922480620155039</v>
          </cell>
        </row>
        <row r="64">
          <cell r="A64" t="str">
            <v>LA - Horsham</v>
          </cell>
          <cell r="C64" t="str">
            <v>n/a</v>
          </cell>
          <cell r="D64" t="str">
            <v>n/a</v>
          </cell>
          <cell r="E64" t="str">
            <v>Horsham</v>
          </cell>
          <cell r="G64" t="str">
            <v>n/a</v>
          </cell>
          <cell r="H64" t="str">
            <v>n/a</v>
          </cell>
          <cell r="I64" t="str">
            <v>n/a</v>
          </cell>
          <cell r="J64" t="str">
            <v>Coastal/Horsham and Mid Sussex</v>
          </cell>
          <cell r="K64" t="str">
            <v>n/a</v>
          </cell>
          <cell r="L64">
            <v>124900</v>
          </cell>
          <cell r="M64">
            <v>125900</v>
          </cell>
          <cell r="N64">
            <v>127200</v>
          </cell>
          <cell r="O64">
            <v>128300</v>
          </cell>
          <cell r="P64">
            <v>129100</v>
          </cell>
          <cell r="Q64">
            <v>129800</v>
          </cell>
          <cell r="R64">
            <v>130900</v>
          </cell>
          <cell r="S64">
            <v>131500</v>
          </cell>
          <cell r="T64">
            <v>132200</v>
          </cell>
          <cell r="U64">
            <v>132900</v>
          </cell>
          <cell r="V64">
            <v>7000</v>
          </cell>
          <cell r="W64">
            <v>6800</v>
          </cell>
          <cell r="X64">
            <v>6700</v>
          </cell>
          <cell r="Y64">
            <v>7000</v>
          </cell>
          <cell r="Z64">
            <v>7000</v>
          </cell>
          <cell r="AA64">
            <v>7000</v>
          </cell>
          <cell r="AB64">
            <v>7100</v>
          </cell>
          <cell r="AC64">
            <v>7100</v>
          </cell>
          <cell r="AD64">
            <v>7200</v>
          </cell>
          <cell r="AE64">
            <v>7100</v>
          </cell>
          <cell r="AF64">
            <v>0.89580419580419579</v>
          </cell>
          <cell r="AG64">
            <v>3.2167832167832165E-2</v>
          </cell>
          <cell r="AH64">
            <v>4.1258741258741259E-2</v>
          </cell>
          <cell r="AI64">
            <v>2.5174825174825177E-2</v>
          </cell>
          <cell r="AJ64">
            <v>4.1958041958041958E-3</v>
          </cell>
          <cell r="AK64">
            <v>2.0979020979020979E-3</v>
          </cell>
          <cell r="AL64">
            <v>0.10279720279720279</v>
          </cell>
          <cell r="AM64">
            <v>14358</v>
          </cell>
          <cell r="AN64">
            <v>0.70344059061150577</v>
          </cell>
          <cell r="AO64">
            <v>0.1424293077030227</v>
          </cell>
          <cell r="AP64">
            <v>0.1541301016854715</v>
          </cell>
          <cell r="AQ64">
            <v>1368</v>
          </cell>
          <cell r="AR64">
            <v>1313</v>
          </cell>
          <cell r="AS64">
            <v>1308</v>
          </cell>
          <cell r="AT64">
            <v>1290</v>
          </cell>
          <cell r="AU64">
            <v>1261</v>
          </cell>
          <cell r="AV64">
            <v>49</v>
          </cell>
          <cell r="AW64">
            <v>35</v>
          </cell>
          <cell r="AX64">
            <v>21</v>
          </cell>
          <cell r="AY64">
            <v>34</v>
          </cell>
          <cell r="AZ64">
            <v>31</v>
          </cell>
          <cell r="BA64" t="str">
            <v>n/a</v>
          </cell>
          <cell r="BB64" t="str">
            <v>n/a</v>
          </cell>
          <cell r="BC64" t="str">
            <v>n/a</v>
          </cell>
          <cell r="BD64" t="str">
            <v>n/a</v>
          </cell>
          <cell r="BE64" t="str">
            <v>n/a</v>
          </cell>
          <cell r="BU64">
            <v>2460</v>
          </cell>
          <cell r="BV64">
            <v>693</v>
          </cell>
          <cell r="BW64">
            <v>0.2817073170731707</v>
          </cell>
          <cell r="BX64">
            <v>257</v>
          </cell>
          <cell r="BY64" t="str">
            <v>n/a</v>
          </cell>
          <cell r="BZ64">
            <v>1504</v>
          </cell>
          <cell r="CA64">
            <v>2.7383791854050217E-2</v>
          </cell>
          <cell r="CB64">
            <v>835</v>
          </cell>
          <cell r="CC64">
            <v>815</v>
          </cell>
          <cell r="CD64">
            <v>760</v>
          </cell>
          <cell r="CE64">
            <v>765</v>
          </cell>
          <cell r="CF64">
            <v>2155</v>
          </cell>
          <cell r="CG64">
            <v>9.1999999999999998E-2</v>
          </cell>
          <cell r="CH64">
            <v>2065</v>
          </cell>
          <cell r="CI64">
            <v>8.8999999999999996E-2</v>
          </cell>
          <cell r="CJ64">
            <v>2275</v>
          </cell>
          <cell r="CK64">
            <v>9.8000000000000004E-2</v>
          </cell>
          <cell r="CL64">
            <v>2195</v>
          </cell>
          <cell r="CM64">
            <v>9.5000000000000001E-2</v>
          </cell>
          <cell r="CN64">
            <v>2095</v>
          </cell>
          <cell r="CO64">
            <v>9.0999999999999998E-2</v>
          </cell>
          <cell r="CP64">
            <v>1885</v>
          </cell>
          <cell r="CQ64">
            <v>8.2000000000000003E-2</v>
          </cell>
          <cell r="CR64">
            <v>1311</v>
          </cell>
          <cell r="CS64">
            <v>36</v>
          </cell>
          <cell r="CT64">
            <v>1275</v>
          </cell>
          <cell r="CU64">
            <v>0.97254004576659037</v>
          </cell>
          <cell r="CV64">
            <v>591</v>
          </cell>
          <cell r="CW64">
            <v>772</v>
          </cell>
          <cell r="CX64">
            <v>0.45080091533180777</v>
          </cell>
          <cell r="CY64">
            <v>0.58886346300533943</v>
          </cell>
          <cell r="CZ64">
            <v>0.43630751092380765</v>
          </cell>
          <cell r="DA64">
            <v>0.49097042560875431</v>
          </cell>
          <cell r="DB64">
            <v>0.578384057897111</v>
          </cell>
          <cell r="DC64">
            <v>0.63196255578827432</v>
          </cell>
          <cell r="DD64">
            <v>1215</v>
          </cell>
          <cell r="DE64">
            <v>82.62</v>
          </cell>
          <cell r="DF64">
            <v>6.8000000000000005E-2</v>
          </cell>
          <cell r="DG64">
            <v>5.4000000000000006E-2</v>
          </cell>
          <cell r="DH64">
            <v>8.2000000000000003E-2</v>
          </cell>
          <cell r="DI64" t="str">
            <v>Sig better than Eng.</v>
          </cell>
          <cell r="DJ64">
            <v>1230</v>
          </cell>
          <cell r="DK64">
            <v>1230.078</v>
          </cell>
          <cell r="DL64">
            <v>7.8E-2</v>
          </cell>
          <cell r="DM64">
            <v>6.3E-2</v>
          </cell>
          <cell r="DN64">
            <v>9.2999999999999999E-2</v>
          </cell>
          <cell r="DO64" t="str">
            <v>No Sig diff</v>
          </cell>
          <cell r="DP64">
            <v>838</v>
          </cell>
          <cell r="DQ64">
            <v>70.39200000000001</v>
          </cell>
          <cell r="DR64">
            <v>8.4000000000000005E-2</v>
          </cell>
          <cell r="DS64">
            <v>6.5000000000000002E-2</v>
          </cell>
          <cell r="DT64">
            <v>0.10300000000000001</v>
          </cell>
          <cell r="DU64" t="str">
            <v>No Sig diff</v>
          </cell>
          <cell r="DV64">
            <v>1171</v>
          </cell>
          <cell r="DW64">
            <v>88.995999999999995</v>
          </cell>
          <cell r="DX64">
            <v>7.5999999999999998E-2</v>
          </cell>
          <cell r="DY64">
            <v>6.0999999999999999E-2</v>
          </cell>
          <cell r="DZ64">
            <v>9.0999999999999998E-2</v>
          </cell>
          <cell r="EA64" t="str">
            <v>Sig better than Eng.</v>
          </cell>
          <cell r="EB64">
            <v>1236</v>
          </cell>
          <cell r="EC64">
            <v>187.87199999999999</v>
          </cell>
          <cell r="ED64">
            <v>0.152</v>
          </cell>
          <cell r="EE64">
            <v>0.13200000000000001</v>
          </cell>
          <cell r="EF64">
            <v>0.17199999999999999</v>
          </cell>
          <cell r="EG64" t="str">
            <v>Sig better than Eng.</v>
          </cell>
          <cell r="EH64">
            <v>1267</v>
          </cell>
          <cell r="EI64">
            <v>184.982</v>
          </cell>
          <cell r="EJ64">
            <v>0.14599999999999999</v>
          </cell>
          <cell r="EK64">
            <v>0.127</v>
          </cell>
          <cell r="EL64">
            <v>0.16499999999999998</v>
          </cell>
          <cell r="EM64" t="str">
            <v>Sig better than Eng.</v>
          </cell>
          <cell r="EN64">
            <v>1196</v>
          </cell>
          <cell r="EO64">
            <v>149.5</v>
          </cell>
          <cell r="EP64">
            <v>0.125</v>
          </cell>
          <cell r="EQ64">
            <v>0.106</v>
          </cell>
          <cell r="ER64">
            <v>0.14399999999999999</v>
          </cell>
          <cell r="ES64" t="str">
            <v>Sig better than Eng.</v>
          </cell>
          <cell r="ET64">
            <v>1110</v>
          </cell>
          <cell r="EU64">
            <v>135.41999999999999</v>
          </cell>
          <cell r="EV64">
            <v>0.122</v>
          </cell>
          <cell r="EW64">
            <v>0.10299999999999999</v>
          </cell>
          <cell r="EX64">
            <v>0.14099999999999999</v>
          </cell>
          <cell r="EY64" t="str">
            <v>Sig better than Eng.</v>
          </cell>
          <cell r="EZ64">
            <v>1370</v>
          </cell>
          <cell r="FA64">
            <v>798</v>
          </cell>
          <cell r="FB64">
            <v>0.58248175182481754</v>
          </cell>
          <cell r="FC64">
            <v>0.55617303817911246</v>
          </cell>
          <cell r="FD64">
            <v>0.60832920372731425</v>
          </cell>
          <cell r="FE64">
            <v>1370</v>
          </cell>
          <cell r="FF64">
            <v>34</v>
          </cell>
          <cell r="FG64">
            <v>274</v>
          </cell>
          <cell r="FH64">
            <v>25.514598540145979</v>
          </cell>
          <cell r="FI64">
            <v>0.24957063117217709</v>
          </cell>
          <cell r="FJ64">
            <v>1498</v>
          </cell>
          <cell r="FK64">
            <v>936</v>
          </cell>
          <cell r="FL64">
            <v>0.62483311081441928</v>
          </cell>
          <cell r="FM64">
            <v>0.6000250238085405</v>
          </cell>
          <cell r="FN64">
            <v>0.64900259345652012</v>
          </cell>
          <cell r="FO64">
            <v>1498</v>
          </cell>
          <cell r="FP64">
            <v>34</v>
          </cell>
          <cell r="FQ64">
            <v>299</v>
          </cell>
          <cell r="FR64">
            <v>25.789297658862878</v>
          </cell>
          <cell r="FS64">
            <v>0.24149124532756239</v>
          </cell>
          <cell r="FT64">
            <v>21707</v>
          </cell>
          <cell r="FU64">
            <v>21226</v>
          </cell>
          <cell r="FV64">
            <v>481</v>
          </cell>
          <cell r="FW64">
            <v>408</v>
          </cell>
          <cell r="FX64">
            <v>73</v>
          </cell>
          <cell r="FY64">
            <v>0.84823284823284828</v>
          </cell>
          <cell r="FZ64">
            <v>0.15176715176715178</v>
          </cell>
          <cell r="GQ64" t="str">
            <v>n/a</v>
          </cell>
          <cell r="GR64" t="str">
            <v>n/a</v>
          </cell>
          <cell r="GS64" t="str">
            <v>n/a</v>
          </cell>
          <cell r="GT64" t="str">
            <v>n/a</v>
          </cell>
          <cell r="GU64" t="str">
            <v>n/a</v>
          </cell>
          <cell r="GV64" t="str">
            <v>n/a</v>
          </cell>
          <cell r="GW64" t="str">
            <v>n/a</v>
          </cell>
          <cell r="GX64" t="str">
            <v>n/a</v>
          </cell>
          <cell r="GY64" t="str">
            <v>n/a</v>
          </cell>
          <cell r="GZ64" t="str">
            <v>n/a</v>
          </cell>
          <cell r="HA64" t="str">
            <v>n/a</v>
          </cell>
          <cell r="HB64" t="str">
            <v>n/a</v>
          </cell>
          <cell r="HC64" t="str">
            <v>n/a</v>
          </cell>
          <cell r="HD64" t="str">
            <v>n/a</v>
          </cell>
          <cell r="HE64" t="str">
            <v>n/a</v>
          </cell>
          <cell r="HF64" t="str">
            <v>n/a</v>
          </cell>
          <cell r="HG64" t="str">
            <v>n/a</v>
          </cell>
          <cell r="HH64" t="str">
            <v>n/a</v>
          </cell>
          <cell r="HI64" t="str">
            <v>n/a</v>
          </cell>
          <cell r="HJ64" t="str">
            <v>n/a</v>
          </cell>
          <cell r="HK64" t="str">
            <v>n/a</v>
          </cell>
          <cell r="HL64" t="str">
            <v>n/a</v>
          </cell>
          <cell r="HM64" t="str">
            <v>n/a</v>
          </cell>
          <cell r="HN64">
            <v>120</v>
          </cell>
          <cell r="HO64">
            <v>1.6809076901526825E-2</v>
          </cell>
          <cell r="HP64">
            <v>11145</v>
          </cell>
          <cell r="HQ64">
            <v>10372</v>
          </cell>
          <cell r="HR64">
            <v>773</v>
          </cell>
          <cell r="HS64">
            <v>6.935845670704352E-2</v>
          </cell>
        </row>
        <row r="65">
          <cell r="A65" t="str">
            <v>LA - Mid Sussex</v>
          </cell>
          <cell r="C65" t="str">
            <v>n/a</v>
          </cell>
          <cell r="D65" t="str">
            <v>n/a</v>
          </cell>
          <cell r="E65" t="str">
            <v>Mid Sussex</v>
          </cell>
          <cell r="G65" t="str">
            <v>n/a</v>
          </cell>
          <cell r="H65" t="str">
            <v>n/a</v>
          </cell>
          <cell r="I65" t="str">
            <v>n/a</v>
          </cell>
          <cell r="J65" t="str">
            <v>Horsham and Mid Sussex</v>
          </cell>
          <cell r="K65" t="str">
            <v>n/a</v>
          </cell>
          <cell r="L65">
            <v>129500</v>
          </cell>
          <cell r="M65">
            <v>130500</v>
          </cell>
          <cell r="N65">
            <v>132100</v>
          </cell>
          <cell r="O65">
            <v>134000</v>
          </cell>
          <cell r="P65">
            <v>135700</v>
          </cell>
          <cell r="Q65">
            <v>137200</v>
          </cell>
          <cell r="R65">
            <v>138900</v>
          </cell>
          <cell r="S65">
            <v>140200</v>
          </cell>
          <cell r="T65">
            <v>141200</v>
          </cell>
          <cell r="U65">
            <v>142800</v>
          </cell>
          <cell r="V65">
            <v>7400</v>
          </cell>
          <cell r="W65">
            <v>7500</v>
          </cell>
          <cell r="X65">
            <v>7700</v>
          </cell>
          <cell r="Y65">
            <v>8000</v>
          </cell>
          <cell r="Z65">
            <v>8100</v>
          </cell>
          <cell r="AA65">
            <v>8100</v>
          </cell>
          <cell r="AB65">
            <v>8200</v>
          </cell>
          <cell r="AC65">
            <v>8300</v>
          </cell>
          <cell r="AD65">
            <v>8500</v>
          </cell>
          <cell r="AE65">
            <v>8500</v>
          </cell>
          <cell r="AF65">
            <v>0.87477531455961655</v>
          </cell>
          <cell r="AG65">
            <v>3.8945476333133611E-2</v>
          </cell>
          <cell r="AH65">
            <v>4.0143798681845415E-2</v>
          </cell>
          <cell r="AI65">
            <v>3.9544637507489516E-2</v>
          </cell>
          <cell r="AJ65">
            <v>5.3924505692031152E-3</v>
          </cell>
          <cell r="AK65">
            <v>5.9916117435590175E-4</v>
          </cell>
          <cell r="AL65">
            <v>0.12103055721989216</v>
          </cell>
          <cell r="AM65">
            <v>16498</v>
          </cell>
          <cell r="AN65">
            <v>0.71044975148502854</v>
          </cell>
          <cell r="AO65">
            <v>0.12456055279427809</v>
          </cell>
          <cell r="AP65">
            <v>0.16498969572069341</v>
          </cell>
          <cell r="AQ65">
            <v>1479</v>
          </cell>
          <cell r="AR65">
            <v>1527</v>
          </cell>
          <cell r="AS65">
            <v>1524</v>
          </cell>
          <cell r="AT65">
            <v>1545</v>
          </cell>
          <cell r="AU65">
            <v>1512</v>
          </cell>
          <cell r="AV65">
            <v>46</v>
          </cell>
          <cell r="AW65">
            <v>43</v>
          </cell>
          <cell r="AX65">
            <v>42</v>
          </cell>
          <cell r="AY65">
            <v>28</v>
          </cell>
          <cell r="AZ65">
            <v>39</v>
          </cell>
          <cell r="BA65" t="str">
            <v>n/a</v>
          </cell>
          <cell r="BB65" t="str">
            <v>n/a</v>
          </cell>
          <cell r="BC65" t="str">
            <v>n/a</v>
          </cell>
          <cell r="BD65" t="str">
            <v>n/a</v>
          </cell>
          <cell r="BE65" t="str">
            <v>n/a</v>
          </cell>
          <cell r="BU65">
            <v>2645</v>
          </cell>
          <cell r="BV65">
            <v>656</v>
          </cell>
          <cell r="BW65">
            <v>0.24801512287334593</v>
          </cell>
          <cell r="BX65">
            <v>222</v>
          </cell>
          <cell r="BY65" t="str">
            <v>n/a</v>
          </cell>
          <cell r="BZ65">
            <v>1360</v>
          </cell>
          <cell r="CA65">
            <v>2.3689665383476458E-2</v>
          </cell>
          <cell r="CB65">
            <v>740</v>
          </cell>
          <cell r="CC65">
            <v>770</v>
          </cell>
          <cell r="CD65">
            <v>785</v>
          </cell>
          <cell r="CE65">
            <v>691</v>
          </cell>
          <cell r="CF65">
            <v>2145</v>
          </cell>
          <cell r="CG65">
            <v>8.6999999999999994E-2</v>
          </cell>
          <cell r="CH65">
            <v>2025</v>
          </cell>
          <cell r="CI65">
            <v>8.2000000000000003E-2</v>
          </cell>
          <cell r="CJ65">
            <v>2235</v>
          </cell>
          <cell r="CK65">
            <v>8.8999999999999996E-2</v>
          </cell>
          <cell r="CL65">
            <v>2140</v>
          </cell>
          <cell r="CM65">
            <v>8.5000000000000006E-2</v>
          </cell>
          <cell r="CN65">
            <v>2130</v>
          </cell>
          <cell r="CO65">
            <v>8.4000000000000005E-2</v>
          </cell>
          <cell r="CP65">
            <v>1955</v>
          </cell>
          <cell r="CQ65">
            <v>7.6999999999999999E-2</v>
          </cell>
          <cell r="CR65">
            <v>1479</v>
          </cell>
          <cell r="CS65">
            <v>37</v>
          </cell>
          <cell r="CT65">
            <v>1442</v>
          </cell>
          <cell r="CU65">
            <v>0.9749830966869506</v>
          </cell>
          <cell r="CV65">
            <v>703</v>
          </cell>
          <cell r="CW65">
            <v>902</v>
          </cell>
          <cell r="CX65">
            <v>0.4753211629479378</v>
          </cell>
          <cell r="CY65">
            <v>0.6098715348208249</v>
          </cell>
          <cell r="CZ65">
            <v>0.46178547096975064</v>
          </cell>
          <cell r="DA65">
            <v>0.5133155359455297</v>
          </cell>
          <cell r="DB65">
            <v>0.60023666993052949</v>
          </cell>
          <cell r="DC65">
            <v>0.65013653831026252</v>
          </cell>
          <cell r="DD65">
            <v>1248</v>
          </cell>
          <cell r="DE65">
            <v>74.88</v>
          </cell>
          <cell r="DF65">
            <v>0.06</v>
          </cell>
          <cell r="DG65">
            <v>4.7E-2</v>
          </cell>
          <cell r="DH65">
            <v>7.2999999999999995E-2</v>
          </cell>
          <cell r="DI65" t="str">
            <v>Sig better than Eng.</v>
          </cell>
          <cell r="DJ65">
            <v>1357</v>
          </cell>
          <cell r="DK65">
            <v>1357.069</v>
          </cell>
          <cell r="DL65">
            <v>6.9000000000000006E-2</v>
          </cell>
          <cell r="DM65">
            <v>5.6000000000000008E-2</v>
          </cell>
          <cell r="DN65">
            <v>8.2000000000000003E-2</v>
          </cell>
          <cell r="DO65" t="str">
            <v>Sig better than Eng.</v>
          </cell>
          <cell r="DP65">
            <v>1386</v>
          </cell>
          <cell r="DQ65">
            <v>73.457999999999998</v>
          </cell>
          <cell r="DR65">
            <v>5.2999999999999999E-2</v>
          </cell>
          <cell r="DS65">
            <v>4.0999999999999995E-2</v>
          </cell>
          <cell r="DT65">
            <v>6.5000000000000002E-2</v>
          </cell>
          <cell r="DU65" t="str">
            <v>Sig better than Eng.</v>
          </cell>
          <cell r="DV65">
            <v>1334</v>
          </cell>
          <cell r="DW65">
            <v>92.046000000000006</v>
          </cell>
          <cell r="DX65">
            <v>6.9000000000000006E-2</v>
          </cell>
          <cell r="DY65">
            <v>5.5000000000000007E-2</v>
          </cell>
          <cell r="DZ65">
            <v>8.3000000000000004E-2</v>
          </cell>
          <cell r="EA65" t="str">
            <v>Sig better than Eng.</v>
          </cell>
          <cell r="EB65">
            <v>1270</v>
          </cell>
          <cell r="EC65">
            <v>180.33999999999997</v>
          </cell>
          <cell r="ED65">
            <v>0.14199999999999999</v>
          </cell>
          <cell r="EE65">
            <v>0.12299999999999998</v>
          </cell>
          <cell r="EF65">
            <v>0.16099999999999998</v>
          </cell>
          <cell r="EG65" t="str">
            <v>Sig better than Eng.</v>
          </cell>
          <cell r="EH65">
            <v>1176</v>
          </cell>
          <cell r="EI65">
            <v>145.82400000000001</v>
          </cell>
          <cell r="EJ65">
            <v>0.124</v>
          </cell>
          <cell r="EK65">
            <v>0.105</v>
          </cell>
          <cell r="EL65">
            <v>0.14299999999999999</v>
          </cell>
          <cell r="EM65" t="str">
            <v>Sig better than Eng.</v>
          </cell>
          <cell r="EN65">
            <v>1223</v>
          </cell>
          <cell r="EO65">
            <v>160.21299999999999</v>
          </cell>
          <cell r="EP65">
            <v>0.13100000000000001</v>
          </cell>
          <cell r="EQ65">
            <v>0.112</v>
          </cell>
          <cell r="ER65">
            <v>0.15</v>
          </cell>
          <cell r="ES65" t="str">
            <v>Sig better than Eng.</v>
          </cell>
          <cell r="ET65">
            <v>1192</v>
          </cell>
          <cell r="EU65">
            <v>135.88800000000001</v>
          </cell>
          <cell r="EV65">
            <v>0.114</v>
          </cell>
          <cell r="EW65">
            <v>9.6000000000000002E-2</v>
          </cell>
          <cell r="EX65">
            <v>0.13200000000000001</v>
          </cell>
          <cell r="EY65" t="str">
            <v>Sig better than Eng.</v>
          </cell>
          <cell r="EZ65">
            <v>1637</v>
          </cell>
          <cell r="FA65">
            <v>947</v>
          </cell>
          <cell r="FB65">
            <v>0.57849725106902872</v>
          </cell>
          <cell r="FC65">
            <v>0.55442004800520173</v>
          </cell>
          <cell r="FD65">
            <v>0.60220690618250572</v>
          </cell>
          <cell r="FE65">
            <v>1637</v>
          </cell>
          <cell r="FF65">
            <v>34</v>
          </cell>
          <cell r="FG65">
            <v>327</v>
          </cell>
          <cell r="FH65">
            <v>25.431192660550472</v>
          </cell>
          <cell r="FI65">
            <v>0.25202374527792726</v>
          </cell>
          <cell r="FJ65">
            <v>1614</v>
          </cell>
          <cell r="FK65">
            <v>1025</v>
          </cell>
          <cell r="FL65">
            <v>0.63506815365551428</v>
          </cell>
          <cell r="FM65">
            <v>0.61128697123654441</v>
          </cell>
          <cell r="FN65">
            <v>0.65820791506573717</v>
          </cell>
          <cell r="FO65">
            <v>1614</v>
          </cell>
          <cell r="FP65">
            <v>34</v>
          </cell>
          <cell r="FQ65">
            <v>322</v>
          </cell>
          <cell r="FR65">
            <v>26.602484472049689</v>
          </cell>
          <cell r="FS65">
            <v>0.21757398611618561</v>
          </cell>
          <cell r="FT65">
            <v>22188</v>
          </cell>
          <cell r="FU65">
            <v>21777</v>
          </cell>
          <cell r="FV65">
            <v>411</v>
          </cell>
          <cell r="FW65">
            <v>362</v>
          </cell>
          <cell r="FX65">
            <v>49</v>
          </cell>
          <cell r="FY65">
            <v>0.88077858880778592</v>
          </cell>
          <cell r="FZ65">
            <v>0.11922141119221411</v>
          </cell>
          <cell r="GQ65" t="str">
            <v>n/a</v>
          </cell>
          <cell r="GR65" t="str">
            <v>n/a</v>
          </cell>
          <cell r="GS65" t="str">
            <v>n/a</v>
          </cell>
          <cell r="GT65" t="str">
            <v>n/a</v>
          </cell>
          <cell r="GU65" t="str">
            <v>n/a</v>
          </cell>
          <cell r="GV65" t="str">
            <v>n/a</v>
          </cell>
          <cell r="GW65" t="str">
            <v>n/a</v>
          </cell>
          <cell r="GX65" t="str">
            <v>n/a</v>
          </cell>
          <cell r="GY65" t="str">
            <v>n/a</v>
          </cell>
          <cell r="GZ65" t="str">
            <v>n/a</v>
          </cell>
          <cell r="HA65" t="str">
            <v>n/a</v>
          </cell>
          <cell r="HB65" t="str">
            <v>n/a</v>
          </cell>
          <cell r="HC65" t="str">
            <v>n/a</v>
          </cell>
          <cell r="HD65" t="str">
            <v>n/a</v>
          </cell>
          <cell r="HE65" t="str">
            <v>n/a</v>
          </cell>
          <cell r="HF65" t="str">
            <v>n/a</v>
          </cell>
          <cell r="HG65" t="str">
            <v>n/a</v>
          </cell>
          <cell r="HH65" t="str">
            <v>n/a</v>
          </cell>
          <cell r="HI65" t="str">
            <v>n/a</v>
          </cell>
          <cell r="HJ65" t="str">
            <v>n/a</v>
          </cell>
          <cell r="HK65" t="str">
            <v>n/a</v>
          </cell>
          <cell r="HL65" t="str">
            <v>n/a</v>
          </cell>
          <cell r="HM65" t="str">
            <v>n/a</v>
          </cell>
          <cell r="HN65">
            <v>140</v>
          </cell>
          <cell r="HO65">
            <v>1.6794625719769675E-2</v>
          </cell>
          <cell r="HP65">
            <v>13214</v>
          </cell>
          <cell r="HQ65">
            <v>12411</v>
          </cell>
          <cell r="HR65">
            <v>803</v>
          </cell>
          <cell r="HS65">
            <v>6.0768881489329497E-2</v>
          </cell>
        </row>
        <row r="66">
          <cell r="A66" t="str">
            <v>LA - Worthing</v>
          </cell>
          <cell r="C66" t="str">
            <v>n/a</v>
          </cell>
          <cell r="D66" t="str">
            <v>n/a</v>
          </cell>
          <cell r="E66" t="str">
            <v>Worthing</v>
          </cell>
          <cell r="G66" t="str">
            <v>n/a</v>
          </cell>
          <cell r="H66" t="str">
            <v>n/a</v>
          </cell>
          <cell r="I66" t="str">
            <v>n/a</v>
          </cell>
          <cell r="J66" t="str">
            <v>Coastal West Sussex</v>
          </cell>
          <cell r="K66" t="str">
            <v>n/a</v>
          </cell>
          <cell r="L66">
            <v>99500</v>
          </cell>
          <cell r="M66">
            <v>100100</v>
          </cell>
          <cell r="N66">
            <v>100600</v>
          </cell>
          <cell r="O66">
            <v>101500</v>
          </cell>
          <cell r="P66">
            <v>102400</v>
          </cell>
          <cell r="Q66">
            <v>102800</v>
          </cell>
          <cell r="R66">
            <v>103800</v>
          </cell>
          <cell r="S66">
            <v>105000</v>
          </cell>
          <cell r="T66">
            <v>105700</v>
          </cell>
          <cell r="U66">
            <v>106100</v>
          </cell>
          <cell r="V66">
            <v>5400</v>
          </cell>
          <cell r="W66">
            <v>5400</v>
          </cell>
          <cell r="X66">
            <v>5500</v>
          </cell>
          <cell r="Y66">
            <v>5700</v>
          </cell>
          <cell r="Z66">
            <v>6000</v>
          </cell>
          <cell r="AA66">
            <v>6000</v>
          </cell>
          <cell r="AB66">
            <v>6100</v>
          </cell>
          <cell r="AC66">
            <v>6400</v>
          </cell>
          <cell r="AD66">
            <v>6300</v>
          </cell>
          <cell r="AE66">
            <v>6200</v>
          </cell>
          <cell r="AF66">
            <v>0.84554767533490938</v>
          </cell>
          <cell r="AG66">
            <v>3.2308904649330179E-2</v>
          </cell>
          <cell r="AH66">
            <v>6.3829787234042548E-2</v>
          </cell>
          <cell r="AI66">
            <v>4.5705279747832936E-2</v>
          </cell>
          <cell r="AJ66">
            <v>7.8802206461780922E-3</v>
          </cell>
          <cell r="AK66">
            <v>3.9401103230890461E-3</v>
          </cell>
          <cell r="AL66">
            <v>0.152876280535855</v>
          </cell>
          <cell r="AM66">
            <v>11895</v>
          </cell>
          <cell r="AN66">
            <v>0.63287095418242956</v>
          </cell>
          <cell r="AO66">
            <v>0.12761664564943254</v>
          </cell>
          <cell r="AP66">
            <v>0.23951240016813788</v>
          </cell>
          <cell r="AQ66">
            <v>1256</v>
          </cell>
          <cell r="AR66">
            <v>1187</v>
          </cell>
          <cell r="AS66">
            <v>1268</v>
          </cell>
          <cell r="AT66">
            <v>1194</v>
          </cell>
          <cell r="AU66">
            <v>1119</v>
          </cell>
          <cell r="AV66">
            <v>77</v>
          </cell>
          <cell r="AW66">
            <v>68</v>
          </cell>
          <cell r="AX66">
            <v>47</v>
          </cell>
          <cell r="AY66">
            <v>48</v>
          </cell>
          <cell r="AZ66">
            <v>42</v>
          </cell>
          <cell r="BA66" t="str">
            <v>n/a</v>
          </cell>
          <cell r="BB66" t="str">
            <v>n/a</v>
          </cell>
          <cell r="BC66" t="str">
            <v>n/a</v>
          </cell>
          <cell r="BD66" t="str">
            <v>n/a</v>
          </cell>
          <cell r="BE66" t="str">
            <v>n/a</v>
          </cell>
          <cell r="BU66">
            <v>2818</v>
          </cell>
          <cell r="BV66">
            <v>999</v>
          </cell>
          <cell r="BW66">
            <v>0.35450674237047552</v>
          </cell>
          <cell r="BX66">
            <v>287</v>
          </cell>
          <cell r="BY66" t="str">
            <v>n/a</v>
          </cell>
          <cell r="BZ66">
            <v>2346</v>
          </cell>
          <cell r="CA66">
            <v>4.9868208485672985E-2</v>
          </cell>
          <cell r="CB66">
            <v>1110</v>
          </cell>
          <cell r="CC66">
            <v>1095</v>
          </cell>
          <cell r="CD66">
            <v>1080</v>
          </cell>
          <cell r="CE66">
            <v>970</v>
          </cell>
          <cell r="CF66">
            <v>2775</v>
          </cell>
          <cell r="CG66">
            <v>0.157</v>
          </cell>
          <cell r="CH66">
            <v>2635</v>
          </cell>
          <cell r="CI66">
            <v>0.14799999999999999</v>
          </cell>
          <cell r="CJ66">
            <v>2915</v>
          </cell>
          <cell r="CK66">
            <v>0.161</v>
          </cell>
          <cell r="CL66">
            <v>2865</v>
          </cell>
          <cell r="CM66">
            <v>0.157</v>
          </cell>
          <cell r="CN66">
            <v>2740</v>
          </cell>
          <cell r="CO66">
            <v>0.152</v>
          </cell>
          <cell r="CP66">
            <v>2460</v>
          </cell>
          <cell r="CQ66">
            <v>0.13300000000000001</v>
          </cell>
          <cell r="CR66">
            <v>1193</v>
          </cell>
          <cell r="CS66">
            <v>54</v>
          </cell>
          <cell r="CT66">
            <v>1139</v>
          </cell>
          <cell r="CU66">
            <v>0.95473595976529757</v>
          </cell>
          <cell r="CV66">
            <v>471</v>
          </cell>
          <cell r="CW66">
            <v>617</v>
          </cell>
          <cell r="CX66">
            <v>0.39480301760268233</v>
          </cell>
          <cell r="CY66">
            <v>0.51718357082984079</v>
          </cell>
          <cell r="CZ66">
            <v>0.3852577509569724</v>
          </cell>
          <cell r="DA66">
            <v>0.4423649047111447</v>
          </cell>
          <cell r="DB66">
            <v>0.51267474607533392</v>
          </cell>
          <cell r="DC66">
            <v>0.57045138444004106</v>
          </cell>
          <cell r="DD66">
            <v>808</v>
          </cell>
          <cell r="DE66">
            <v>66.256</v>
          </cell>
          <cell r="DF66">
            <v>8.2000000000000003E-2</v>
          </cell>
          <cell r="DG66">
            <v>6.3E-2</v>
          </cell>
          <cell r="DH66">
            <v>0.10100000000000001</v>
          </cell>
          <cell r="DI66" t="str">
            <v>No Sig diff</v>
          </cell>
          <cell r="DJ66">
            <v>1027</v>
          </cell>
          <cell r="DK66">
            <v>1027.0840000000001</v>
          </cell>
          <cell r="DL66">
            <v>8.4000000000000005E-2</v>
          </cell>
          <cell r="DM66">
            <v>6.7000000000000004E-2</v>
          </cell>
          <cell r="DN66">
            <v>0.10100000000000001</v>
          </cell>
          <cell r="DO66" t="str">
            <v>No Sig diff</v>
          </cell>
          <cell r="DP66">
            <v>991</v>
          </cell>
          <cell r="DQ66">
            <v>74.325000000000003</v>
          </cell>
          <cell r="DR66">
            <v>7.4999999999999997E-2</v>
          </cell>
          <cell r="DS66">
            <v>5.8999999999999997E-2</v>
          </cell>
          <cell r="DT66">
            <v>9.0999999999999998E-2</v>
          </cell>
          <cell r="DU66" t="str">
            <v>Sig better than Eng.</v>
          </cell>
          <cell r="DV66">
            <v>1178</v>
          </cell>
          <cell r="DW66">
            <v>104.842</v>
          </cell>
          <cell r="DX66">
            <v>8.8999999999999996E-2</v>
          </cell>
          <cell r="DY66">
            <v>7.2999999999999995E-2</v>
          </cell>
          <cell r="DZ66">
            <v>0.105</v>
          </cell>
          <cell r="EA66" t="str">
            <v>No Sig diff</v>
          </cell>
          <cell r="EB66">
            <v>890</v>
          </cell>
          <cell r="EC66">
            <v>132.60999999999999</v>
          </cell>
          <cell r="ED66">
            <v>0.14899999999999999</v>
          </cell>
          <cell r="EE66">
            <v>0.126</v>
          </cell>
          <cell r="EF66">
            <v>0.17199999999999999</v>
          </cell>
          <cell r="EG66" t="str">
            <v>Sig better than Eng.</v>
          </cell>
          <cell r="EH66">
            <v>920</v>
          </cell>
          <cell r="EI66">
            <v>150.88</v>
          </cell>
          <cell r="EJ66">
            <v>0.16400000000000001</v>
          </cell>
          <cell r="EK66">
            <v>0.14000000000000001</v>
          </cell>
          <cell r="EL66">
            <v>0.188</v>
          </cell>
          <cell r="EM66" t="str">
            <v>Sig better than Eng.</v>
          </cell>
          <cell r="EN66">
            <v>884</v>
          </cell>
          <cell r="EO66">
            <v>130.83199999999999</v>
          </cell>
          <cell r="EP66">
            <v>0.14799999999999999</v>
          </cell>
          <cell r="EQ66">
            <v>0.125</v>
          </cell>
          <cell r="ER66">
            <v>0.17099999999999999</v>
          </cell>
          <cell r="ES66" t="str">
            <v>Sig better than Eng.</v>
          </cell>
          <cell r="ET66">
            <v>871</v>
          </cell>
          <cell r="EU66">
            <v>133.26300000000001</v>
          </cell>
          <cell r="EV66">
            <v>0.153</v>
          </cell>
          <cell r="EW66">
            <v>0.129</v>
          </cell>
          <cell r="EX66">
            <v>0.17699999999999999</v>
          </cell>
          <cell r="EY66" t="str">
            <v>Sig better than Eng.</v>
          </cell>
          <cell r="EZ66">
            <v>1297</v>
          </cell>
          <cell r="FA66">
            <v>705</v>
          </cell>
          <cell r="FB66">
            <v>0.54356206630686199</v>
          </cell>
          <cell r="FC66">
            <v>0.51636542013974696</v>
          </cell>
          <cell r="FD66">
            <v>0.57050142995468545</v>
          </cell>
          <cell r="FE66">
            <v>1297</v>
          </cell>
          <cell r="FF66">
            <v>34</v>
          </cell>
          <cell r="FG66">
            <v>259</v>
          </cell>
          <cell r="FH66">
            <v>24.980694980694977</v>
          </cell>
          <cell r="FI66">
            <v>0.265273677038383</v>
          </cell>
          <cell r="FJ66">
            <v>1223</v>
          </cell>
          <cell r="FK66">
            <v>746</v>
          </cell>
          <cell r="FL66">
            <v>0.60997547015535569</v>
          </cell>
          <cell r="FM66">
            <v>0.58233564728209375</v>
          </cell>
          <cell r="FN66">
            <v>0.63692658751275677</v>
          </cell>
          <cell r="FO66">
            <v>1223</v>
          </cell>
          <cell r="FP66">
            <v>34</v>
          </cell>
          <cell r="FQ66">
            <v>244</v>
          </cell>
          <cell r="FR66">
            <v>25.426229508196734</v>
          </cell>
          <cell r="FS66">
            <v>0.2521697203471549</v>
          </cell>
          <cell r="FT66">
            <v>15545</v>
          </cell>
          <cell r="FU66">
            <v>15138</v>
          </cell>
          <cell r="FV66">
            <v>407</v>
          </cell>
          <cell r="FW66">
            <v>335</v>
          </cell>
          <cell r="FX66">
            <v>72</v>
          </cell>
          <cell r="FY66">
            <v>0.82309582309582308</v>
          </cell>
          <cell r="FZ66">
            <v>0.1769041769041769</v>
          </cell>
          <cell r="GQ66" t="str">
            <v>n/a</v>
          </cell>
          <cell r="GR66" t="str">
            <v>n/a</v>
          </cell>
          <cell r="GS66" t="str">
            <v>n/a</v>
          </cell>
          <cell r="GT66" t="str">
            <v>n/a</v>
          </cell>
          <cell r="GU66" t="str">
            <v>n/a</v>
          </cell>
          <cell r="GV66" t="str">
            <v>n/a</v>
          </cell>
          <cell r="GW66" t="str">
            <v>n/a</v>
          </cell>
          <cell r="GX66" t="str">
            <v>n/a</v>
          </cell>
          <cell r="GY66" t="str">
            <v>n/a</v>
          </cell>
          <cell r="GZ66" t="str">
            <v>n/a</v>
          </cell>
          <cell r="HA66" t="str">
            <v>n/a</v>
          </cell>
          <cell r="HB66" t="str">
            <v>n/a</v>
          </cell>
          <cell r="HC66" t="str">
            <v>n/a</v>
          </cell>
          <cell r="HD66" t="str">
            <v>n/a</v>
          </cell>
          <cell r="HE66" t="str">
            <v>n/a</v>
          </cell>
          <cell r="HF66" t="str">
            <v>n/a</v>
          </cell>
          <cell r="HG66" t="str">
            <v>n/a</v>
          </cell>
          <cell r="HH66" t="str">
            <v>n/a</v>
          </cell>
          <cell r="HI66" t="str">
            <v>n/a</v>
          </cell>
          <cell r="HJ66" t="str">
            <v>n/a</v>
          </cell>
          <cell r="HK66" t="str">
            <v>n/a</v>
          </cell>
          <cell r="HL66" t="str">
            <v>n/a</v>
          </cell>
          <cell r="HM66" t="str">
            <v>n/a</v>
          </cell>
          <cell r="HN66">
            <v>114</v>
          </cell>
          <cell r="HO66">
            <v>1.7986746607762703E-2</v>
          </cell>
          <cell r="HP66">
            <v>9693</v>
          </cell>
          <cell r="HQ66">
            <v>8518</v>
          </cell>
          <cell r="HR66">
            <v>1175</v>
          </cell>
          <cell r="HS66">
            <v>0.12122150005158362</v>
          </cell>
        </row>
        <row r="67">
          <cell r="A67" t="str">
            <v>CCG - Coastal West Sussex</v>
          </cell>
          <cell r="C67" t="str">
            <v>n/a</v>
          </cell>
          <cell r="D67" t="str">
            <v>n/a</v>
          </cell>
          <cell r="E67" t="str">
            <v>n/a</v>
          </cell>
          <cell r="G67" t="str">
            <v>n/a</v>
          </cell>
          <cell r="H67" t="str">
            <v>n/a</v>
          </cell>
          <cell r="I67" t="str">
            <v>n/a</v>
          </cell>
          <cell r="J67" t="str">
            <v>Coastal West Sussex</v>
          </cell>
          <cell r="K67" t="str">
            <v>n/a</v>
          </cell>
          <cell r="L67">
            <v>460050</v>
          </cell>
          <cell r="M67">
            <v>462250</v>
          </cell>
          <cell r="N67">
            <v>465500</v>
          </cell>
          <cell r="O67">
            <v>468900</v>
          </cell>
          <cell r="P67">
            <v>472100</v>
          </cell>
          <cell r="Q67">
            <v>474150</v>
          </cell>
          <cell r="R67">
            <v>477450</v>
          </cell>
          <cell r="S67">
            <v>480050</v>
          </cell>
          <cell r="T67">
            <v>483500</v>
          </cell>
          <cell r="U67">
            <v>487050</v>
          </cell>
          <cell r="V67">
            <v>22500</v>
          </cell>
          <cell r="W67">
            <v>22550</v>
          </cell>
          <cell r="X67">
            <v>22850</v>
          </cell>
          <cell r="Y67">
            <v>23450</v>
          </cell>
          <cell r="Z67">
            <v>24000</v>
          </cell>
          <cell r="AA67">
            <v>24500</v>
          </cell>
          <cell r="AB67">
            <v>25050</v>
          </cell>
          <cell r="AC67">
            <v>25500</v>
          </cell>
          <cell r="AD67">
            <v>26150</v>
          </cell>
          <cell r="AE67">
            <v>26300</v>
          </cell>
          <cell r="AF67">
            <v>0.88260783927516251</v>
          </cell>
          <cell r="AG67">
            <v>4.1559976363994486E-2</v>
          </cell>
          <cell r="AH67">
            <v>4.0575142800866652E-2</v>
          </cell>
          <cell r="AI67">
            <v>2.6196572779200317E-2</v>
          </cell>
          <cell r="AJ67">
            <v>5.5150679535158559E-3</v>
          </cell>
          <cell r="AK67">
            <v>3.7423675398857593E-3</v>
          </cell>
          <cell r="AL67">
            <v>0.1173921607248375</v>
          </cell>
          <cell r="AM67">
            <v>49115</v>
          </cell>
          <cell r="AN67">
            <v>0.61329532729308767</v>
          </cell>
          <cell r="AO67">
            <v>0.15492212155146085</v>
          </cell>
          <cell r="AP67">
            <v>0.23178255115545149</v>
          </cell>
          <cell r="AQ67" t="str">
            <v>n/a</v>
          </cell>
          <cell r="AR67" t="str">
            <v>n/a</v>
          </cell>
          <cell r="AS67" t="str">
            <v>n/a</v>
          </cell>
          <cell r="AT67" t="str">
            <v>n/a</v>
          </cell>
          <cell r="AU67" t="str">
            <v>n/a</v>
          </cell>
          <cell r="AV67" t="str">
            <v>n/a</v>
          </cell>
          <cell r="AW67" t="str">
            <v>n/a</v>
          </cell>
          <cell r="AX67" t="str">
            <v>n/a</v>
          </cell>
          <cell r="AY67" t="str">
            <v>n/a</v>
          </cell>
          <cell r="AZ67" t="str">
            <v>n/a</v>
          </cell>
          <cell r="BA67">
            <v>309</v>
          </cell>
          <cell r="BB67">
            <v>6.7100977198697065E-2</v>
          </cell>
          <cell r="BC67">
            <v>6.0229519571288234E-2</v>
          </cell>
          <cell r="BD67">
            <v>7.469407551801005E-2</v>
          </cell>
          <cell r="BE67" t="str">
            <v>n/a</v>
          </cell>
          <cell r="BU67">
            <v>11170</v>
          </cell>
          <cell r="BV67">
            <v>3826</v>
          </cell>
          <cell r="BW67">
            <v>0.34252461951656221</v>
          </cell>
          <cell r="BX67">
            <v>1065</v>
          </cell>
          <cell r="BY67" t="str">
            <v>n/a</v>
          </cell>
          <cell r="BZ67">
            <v>8575</v>
          </cell>
          <cell r="CA67">
            <v>4.0440101489327585E-2</v>
          </cell>
          <cell r="CB67">
            <v>4350</v>
          </cell>
          <cell r="CC67">
            <v>4315</v>
          </cell>
          <cell r="CD67">
            <v>4420</v>
          </cell>
          <cell r="CE67">
            <v>4155</v>
          </cell>
          <cell r="CF67">
            <v>11415</v>
          </cell>
          <cell r="CG67">
            <v>0.14360585879634916</v>
          </cell>
          <cell r="CH67">
            <v>11590</v>
          </cell>
          <cell r="CI67">
            <v>0.13800628423473185</v>
          </cell>
          <cell r="CJ67">
            <v>12195</v>
          </cell>
          <cell r="CK67">
            <v>0.14769797347046273</v>
          </cell>
          <cell r="CL67">
            <v>11375</v>
          </cell>
          <cell r="CM67">
            <v>0.1396245559285412</v>
          </cell>
          <cell r="CN67">
            <v>11845</v>
          </cell>
          <cell r="CO67">
            <v>0.13588628557226645</v>
          </cell>
          <cell r="CP67">
            <v>10605</v>
          </cell>
          <cell r="CQ67">
            <v>0.13300000000000001</v>
          </cell>
          <cell r="DE67">
            <v>0</v>
          </cell>
          <cell r="DG67">
            <v>-1.7000000000000001E-2</v>
          </cell>
          <cell r="DH67">
            <v>1.7000000000000001E-2</v>
          </cell>
          <cell r="DI67" t="str">
            <v>Sig better than Eng.</v>
          </cell>
          <cell r="DK67">
            <v>0</v>
          </cell>
          <cell r="DO67" t="str">
            <v>Sig better than Eng.</v>
          </cell>
          <cell r="DQ67">
            <v>0</v>
          </cell>
          <cell r="DS67">
            <v>-2.5999999999999999E-2</v>
          </cell>
          <cell r="DT67">
            <v>2.5999999999999999E-2</v>
          </cell>
          <cell r="DU67" t="str">
            <v>Sig better than Eng.</v>
          </cell>
          <cell r="DW67">
            <v>0</v>
          </cell>
          <cell r="DY67">
            <v>-2.1999999999999999E-2</v>
          </cell>
          <cell r="DZ67">
            <v>2.1999999999999999E-2</v>
          </cell>
          <cell r="EA67" t="str">
            <v>Sig better than Eng.</v>
          </cell>
          <cell r="EC67">
            <v>0</v>
          </cell>
          <cell r="EE67">
            <v>-3.2000000000000001E-2</v>
          </cell>
          <cell r="EF67">
            <v>3.2000000000000001E-2</v>
          </cell>
          <cell r="EG67" t="str">
            <v>Sig better than Eng.</v>
          </cell>
          <cell r="EI67">
            <v>0</v>
          </cell>
          <cell r="EK67">
            <v>-3.2000000000000001E-2</v>
          </cell>
          <cell r="EL67">
            <v>3.2000000000000001E-2</v>
          </cell>
          <cell r="EM67" t="str">
            <v>Sig better than Eng.</v>
          </cell>
          <cell r="EN67">
            <v>0</v>
          </cell>
          <cell r="EO67" t="e">
            <v>#DIV/0!</v>
          </cell>
          <cell r="EP67" t="e">
            <v>#DIV/0!</v>
          </cell>
          <cell r="EQ67" t="e">
            <v>#DIV/0!</v>
          </cell>
          <cell r="ER67" t="e">
            <v>#DIV/0!</v>
          </cell>
          <cell r="ES67" t="e">
            <v>#DIV/0!</v>
          </cell>
          <cell r="ET67">
            <v>3697</v>
          </cell>
          <cell r="EU67">
            <v>541</v>
          </cell>
          <cell r="EV67">
            <v>0.14633486610765487</v>
          </cell>
          <cell r="EW67">
            <v>0.11333486610765486</v>
          </cell>
          <cell r="EX67">
            <v>0.17933486610765487</v>
          </cell>
          <cell r="EY67" t="str">
            <v>Sig better than Eng.</v>
          </cell>
          <cell r="EZ67">
            <v>5155</v>
          </cell>
          <cell r="FA67">
            <v>2669</v>
          </cell>
          <cell r="FB67">
            <v>0.51774975751697383</v>
          </cell>
          <cell r="FC67">
            <v>0.50410112467583079</v>
          </cell>
          <cell r="FD67">
            <v>0.53137195614294552</v>
          </cell>
          <cell r="FE67">
            <v>5155</v>
          </cell>
          <cell r="FF67">
            <v>34</v>
          </cell>
          <cell r="FG67">
            <v>1031</v>
          </cell>
          <cell r="FH67">
            <v>23.428709990300685</v>
          </cell>
          <cell r="FI67">
            <v>0.31092029440292102</v>
          </cell>
          <cell r="FJ67">
            <v>5159</v>
          </cell>
          <cell r="FK67">
            <v>2997</v>
          </cell>
          <cell r="FL67">
            <v>0.58092653615041678</v>
          </cell>
          <cell r="FM67">
            <v>0.56740729295358927</v>
          </cell>
          <cell r="FN67">
            <v>0.59432535110686424</v>
          </cell>
          <cell r="FO67">
            <v>5159</v>
          </cell>
          <cell r="FP67">
            <v>34</v>
          </cell>
          <cell r="FQ67">
            <v>1031</v>
          </cell>
          <cell r="FR67">
            <v>24.20368574199804</v>
          </cell>
          <cell r="FS67">
            <v>0.28812688994123414</v>
          </cell>
          <cell r="GQ67" t="str">
            <v>n/a</v>
          </cell>
          <cell r="GR67" t="str">
            <v>n/a</v>
          </cell>
          <cell r="GS67" t="str">
            <v>n/a</v>
          </cell>
          <cell r="GT67" t="str">
            <v>n/a</v>
          </cell>
          <cell r="GU67" t="str">
            <v>n/a</v>
          </cell>
          <cell r="GV67" t="str">
            <v>n/a</v>
          </cell>
          <cell r="GW67" t="str">
            <v>n/a</v>
          </cell>
          <cell r="GX67" t="str">
            <v>n/a</v>
          </cell>
          <cell r="GY67" t="str">
            <v>n/a</v>
          </cell>
          <cell r="GZ67" t="str">
            <v>n/a</v>
          </cell>
          <cell r="HA67" t="str">
            <v>n/a</v>
          </cell>
          <cell r="HB67" t="str">
            <v>n/a</v>
          </cell>
          <cell r="HC67" t="str">
            <v>n/a</v>
          </cell>
          <cell r="HD67" t="str">
            <v>n/a</v>
          </cell>
          <cell r="HE67" t="str">
            <v>n/a</v>
          </cell>
          <cell r="HF67" t="str">
            <v>n/a</v>
          </cell>
          <cell r="HG67" t="str">
            <v>n/a</v>
          </cell>
          <cell r="HH67" t="str">
            <v>n/a</v>
          </cell>
          <cell r="HI67" t="str">
            <v>n/a</v>
          </cell>
          <cell r="HJ67" t="str">
            <v>n/a</v>
          </cell>
          <cell r="HK67" t="str">
            <v>n/a</v>
          </cell>
          <cell r="HL67" t="str">
            <v>n/a</v>
          </cell>
          <cell r="HM67" t="str">
            <v>n/a</v>
          </cell>
          <cell r="HN67">
            <v>470</v>
          </cell>
          <cell r="HO67">
            <v>1.8530200283866899E-2</v>
          </cell>
          <cell r="HP67">
            <v>39541</v>
          </cell>
          <cell r="HQ67">
            <v>35196</v>
          </cell>
          <cell r="HR67">
            <v>4345</v>
          </cell>
          <cell r="HS67">
            <v>0.10988594117498293</v>
          </cell>
        </row>
        <row r="68">
          <cell r="A68" t="str">
            <v>CCG - Crawley</v>
          </cell>
          <cell r="C68" t="str">
            <v>n/a</v>
          </cell>
          <cell r="D68" t="str">
            <v>n/a</v>
          </cell>
          <cell r="E68" t="str">
            <v>n/a</v>
          </cell>
          <cell r="G68" t="str">
            <v>n/a</v>
          </cell>
          <cell r="H68" t="str">
            <v>n/a</v>
          </cell>
          <cell r="I68" t="str">
            <v>n/a</v>
          </cell>
          <cell r="J68" t="str">
            <v>Crawley</v>
          </cell>
          <cell r="K68" t="str">
            <v>n/a</v>
          </cell>
          <cell r="L68">
            <v>98900</v>
          </cell>
          <cell r="M68">
            <v>99700</v>
          </cell>
          <cell r="N68">
            <v>100750</v>
          </cell>
          <cell r="O68">
            <v>101600</v>
          </cell>
          <cell r="P68">
            <v>102850</v>
          </cell>
          <cell r="Q68">
            <v>103850</v>
          </cell>
          <cell r="R68">
            <v>105500</v>
          </cell>
          <cell r="S68">
            <v>107050</v>
          </cell>
          <cell r="T68">
            <v>108300</v>
          </cell>
          <cell r="U68">
            <v>108950</v>
          </cell>
          <cell r="V68">
            <v>6300</v>
          </cell>
          <cell r="W68">
            <v>6300</v>
          </cell>
          <cell r="X68">
            <v>6350</v>
          </cell>
          <cell r="Y68">
            <v>6600</v>
          </cell>
          <cell r="Z68">
            <v>6950</v>
          </cell>
          <cell r="AA68">
            <v>7200</v>
          </cell>
          <cell r="AB68">
            <v>7750</v>
          </cell>
          <cell r="AC68">
            <v>8150</v>
          </cell>
          <cell r="AD68">
            <v>8300</v>
          </cell>
          <cell r="AE68">
            <v>8350</v>
          </cell>
          <cell r="AF68">
            <v>0.62205700123915741</v>
          </cell>
          <cell r="AG68">
            <v>6.5675340768277565E-2</v>
          </cell>
          <cell r="AH68">
            <v>7.6827757125154897E-2</v>
          </cell>
          <cell r="AI68">
            <v>0.17348203221809169</v>
          </cell>
          <cell r="AJ68">
            <v>4.8946716232961589E-2</v>
          </cell>
          <cell r="AK68">
            <v>1.3011152416356878E-2</v>
          </cell>
          <cell r="AL68">
            <v>0.37794299876084264</v>
          </cell>
          <cell r="AM68">
            <v>14546</v>
          </cell>
          <cell r="AN68">
            <v>0.49099408772171044</v>
          </cell>
          <cell r="AO68">
            <v>0.31527567716210642</v>
          </cell>
          <cell r="AP68">
            <v>0.19373023511618315</v>
          </cell>
          <cell r="AQ68" t="str">
            <v>n/a</v>
          </cell>
          <cell r="AR68" t="str">
            <v>n/a</v>
          </cell>
          <cell r="AS68" t="str">
            <v>n/a</v>
          </cell>
          <cell r="AT68" t="str">
            <v>n/a</v>
          </cell>
          <cell r="AU68" t="str">
            <v>n/a</v>
          </cell>
          <cell r="AV68" t="str">
            <v>n/a</v>
          </cell>
          <cell r="AW68" t="str">
            <v>n/a</v>
          </cell>
          <cell r="AX68" t="str">
            <v>n/a</v>
          </cell>
          <cell r="AY68" t="str">
            <v>n/a</v>
          </cell>
          <cell r="AZ68" t="str">
            <v>n/a</v>
          </cell>
          <cell r="BA68">
            <v>128</v>
          </cell>
          <cell r="BB68">
            <v>7.8963602714373846E-2</v>
          </cell>
          <cell r="BC68">
            <v>6.6808520694543738E-2</v>
          </cell>
          <cell r="BD68">
            <v>9.3109517714746015E-2</v>
          </cell>
          <cell r="BE68" t="str">
            <v>n/a</v>
          </cell>
          <cell r="BU68">
            <v>3293</v>
          </cell>
          <cell r="BV68">
            <v>1363</v>
          </cell>
          <cell r="BW68">
            <v>0.4139082903127847</v>
          </cell>
          <cell r="BX68">
            <v>248</v>
          </cell>
          <cell r="BY68" t="str">
            <v>n/a</v>
          </cell>
          <cell r="BZ68">
            <v>2084</v>
          </cell>
          <cell r="CA68">
            <v>4.8774779413485618E-2</v>
          </cell>
          <cell r="CB68">
            <v>1650</v>
          </cell>
          <cell r="CC68">
            <v>1650</v>
          </cell>
          <cell r="CD68">
            <v>1580</v>
          </cell>
          <cell r="CE68">
            <v>1475</v>
          </cell>
          <cell r="CF68">
            <v>3775</v>
          </cell>
          <cell r="CG68">
            <v>0.19</v>
          </cell>
          <cell r="CH68">
            <v>3775</v>
          </cell>
          <cell r="CI68">
            <v>0.187</v>
          </cell>
          <cell r="CJ68">
            <v>4090</v>
          </cell>
          <cell r="CK68">
            <v>0.19500000000000001</v>
          </cell>
          <cell r="CL68">
            <v>4165</v>
          </cell>
          <cell r="CM68">
            <v>0.19500000000000001</v>
          </cell>
          <cell r="CN68">
            <v>4165</v>
          </cell>
          <cell r="CO68">
            <v>0.19</v>
          </cell>
          <cell r="CP68">
            <v>3895</v>
          </cell>
          <cell r="CQ68">
            <v>0.17399999999999999</v>
          </cell>
          <cell r="DE68">
            <v>0</v>
          </cell>
          <cell r="DG68">
            <v>-1.7000000000000001E-2</v>
          </cell>
          <cell r="DH68">
            <v>1.7000000000000001E-2</v>
          </cell>
          <cell r="DI68" t="str">
            <v>Sig better than Eng.</v>
          </cell>
          <cell r="DK68">
            <v>0</v>
          </cell>
          <cell r="DO68" t="str">
            <v>Sig better than Eng.</v>
          </cell>
          <cell r="DQ68">
            <v>0</v>
          </cell>
          <cell r="DS68">
            <v>-2.5999999999999999E-2</v>
          </cell>
          <cell r="DT68">
            <v>2.5999999999999999E-2</v>
          </cell>
          <cell r="DU68" t="str">
            <v>Sig better than Eng.</v>
          </cell>
          <cell r="DW68">
            <v>0</v>
          </cell>
          <cell r="DY68">
            <v>-2.1999999999999999E-2</v>
          </cell>
          <cell r="DZ68">
            <v>2.1999999999999999E-2</v>
          </cell>
          <cell r="EA68" t="str">
            <v>Sig better than Eng.</v>
          </cell>
          <cell r="EC68">
            <v>0</v>
          </cell>
          <cell r="EE68">
            <v>-3.2000000000000001E-2</v>
          </cell>
          <cell r="EF68">
            <v>3.2000000000000001E-2</v>
          </cell>
          <cell r="EG68" t="str">
            <v>Sig better than Eng.</v>
          </cell>
          <cell r="EI68">
            <v>0</v>
          </cell>
          <cell r="EK68">
            <v>-3.2000000000000001E-2</v>
          </cell>
          <cell r="EL68">
            <v>3.2000000000000001E-2</v>
          </cell>
          <cell r="EM68" t="str">
            <v>Sig better than Eng.</v>
          </cell>
          <cell r="EN68">
            <v>0</v>
          </cell>
          <cell r="EO68" t="e">
            <v>#DIV/0!</v>
          </cell>
          <cell r="EP68" t="e">
            <v>#DIV/0!</v>
          </cell>
          <cell r="EQ68" t="e">
            <v>#DIV/0!</v>
          </cell>
          <cell r="ER68" t="e">
            <v>#DIV/0!</v>
          </cell>
          <cell r="ES68" t="e">
            <v>#DIV/0!</v>
          </cell>
          <cell r="ET68">
            <v>1075</v>
          </cell>
          <cell r="EU68">
            <v>210</v>
          </cell>
          <cell r="EV68">
            <v>0.19534883720930232</v>
          </cell>
          <cell r="EW68">
            <v>0.16234883720930232</v>
          </cell>
          <cell r="EX68">
            <v>0.22834883720930232</v>
          </cell>
          <cell r="EY68" t="str">
            <v>No Sig diff</v>
          </cell>
          <cell r="EZ68">
            <v>1440</v>
          </cell>
          <cell r="FA68">
            <v>693</v>
          </cell>
          <cell r="FB68">
            <v>0.48125000000000001</v>
          </cell>
          <cell r="FC68">
            <v>0.45552756226071045</v>
          </cell>
          <cell r="FD68">
            <v>0.50707220957012045</v>
          </cell>
          <cell r="FE68">
            <v>1440</v>
          </cell>
          <cell r="FF68">
            <v>34</v>
          </cell>
          <cell r="FG68">
            <v>288</v>
          </cell>
          <cell r="FH68">
            <v>22.378472222222197</v>
          </cell>
          <cell r="FI68">
            <v>0.34180964052287655</v>
          </cell>
          <cell r="FJ68">
            <v>1518</v>
          </cell>
          <cell r="FK68">
            <v>841</v>
          </cell>
          <cell r="FL68">
            <v>0.5540184453227931</v>
          </cell>
          <cell r="FM68">
            <v>0.52890795807318758</v>
          </cell>
          <cell r="FN68">
            <v>0.57885622396393932</v>
          </cell>
          <cell r="FO68">
            <v>1518</v>
          </cell>
          <cell r="FP68">
            <v>34</v>
          </cell>
          <cell r="FQ68">
            <v>303</v>
          </cell>
          <cell r="FR68">
            <v>22.61056105610562</v>
          </cell>
          <cell r="FS68">
            <v>0.33498349834983471</v>
          </cell>
          <cell r="GQ68" t="str">
            <v>n/a</v>
          </cell>
          <cell r="GR68" t="str">
            <v>n/a</v>
          </cell>
          <cell r="GS68" t="str">
            <v>n/a</v>
          </cell>
          <cell r="GT68" t="str">
            <v>n/a</v>
          </cell>
          <cell r="GU68" t="str">
            <v>n/a</v>
          </cell>
          <cell r="GV68" t="str">
            <v>n/a</v>
          </cell>
          <cell r="GW68" t="str">
            <v>n/a</v>
          </cell>
          <cell r="GX68" t="str">
            <v>n/a</v>
          </cell>
          <cell r="GY68" t="str">
            <v>n/a</v>
          </cell>
          <cell r="GZ68" t="str">
            <v>n/a</v>
          </cell>
          <cell r="HA68" t="str">
            <v>n/a</v>
          </cell>
          <cell r="HB68" t="str">
            <v>n/a</v>
          </cell>
          <cell r="HC68" t="str">
            <v>n/a</v>
          </cell>
          <cell r="HD68" t="str">
            <v>n/a</v>
          </cell>
          <cell r="HE68" t="str">
            <v>n/a</v>
          </cell>
          <cell r="HF68" t="str">
            <v>n/a</v>
          </cell>
          <cell r="HG68" t="str">
            <v>n/a</v>
          </cell>
          <cell r="HH68" t="str">
            <v>n/a</v>
          </cell>
          <cell r="HI68" t="str">
            <v>n/a</v>
          </cell>
          <cell r="HJ68" t="str">
            <v>n/a</v>
          </cell>
          <cell r="HK68" t="str">
            <v>n/a</v>
          </cell>
          <cell r="HL68" t="str">
            <v>n/a</v>
          </cell>
          <cell r="HM68" t="str">
            <v>n/a</v>
          </cell>
          <cell r="HN68">
            <v>158</v>
          </cell>
          <cell r="HO68">
            <v>1.9602977667493797E-2</v>
          </cell>
          <cell r="HP68">
            <v>12900</v>
          </cell>
          <cell r="HQ68">
            <v>11233</v>
          </cell>
          <cell r="HR68">
            <v>1667</v>
          </cell>
          <cell r="HS68">
            <v>0.12922480620155039</v>
          </cell>
        </row>
        <row r="69">
          <cell r="A69" t="str">
            <v>CCG - Horsham and Mid Sussex</v>
          </cell>
          <cell r="C69" t="str">
            <v>n/a</v>
          </cell>
          <cell r="D69" t="str">
            <v>n/a</v>
          </cell>
          <cell r="E69" t="str">
            <v>n/a</v>
          </cell>
          <cell r="G69" t="str">
            <v>n/a</v>
          </cell>
          <cell r="H69" t="str">
            <v>n/a</v>
          </cell>
          <cell r="I69" t="str">
            <v>n/a</v>
          </cell>
          <cell r="J69" t="str">
            <v>Horsham and Mid Sussex</v>
          </cell>
          <cell r="K69" t="str">
            <v>n/a</v>
          </cell>
          <cell r="L69">
            <v>207050</v>
          </cell>
          <cell r="M69">
            <v>208850</v>
          </cell>
          <cell r="N69">
            <v>211150</v>
          </cell>
          <cell r="O69">
            <v>213800</v>
          </cell>
          <cell r="P69">
            <v>216050</v>
          </cell>
          <cell r="Q69">
            <v>218050</v>
          </cell>
          <cell r="R69">
            <v>220250</v>
          </cell>
          <cell r="S69">
            <v>221850</v>
          </cell>
          <cell r="T69">
            <v>223350</v>
          </cell>
          <cell r="U69">
            <v>225300</v>
          </cell>
          <cell r="V69">
            <v>12000</v>
          </cell>
          <cell r="W69">
            <v>11900</v>
          </cell>
          <cell r="X69">
            <v>12100</v>
          </cell>
          <cell r="Y69">
            <v>12550</v>
          </cell>
          <cell r="Z69">
            <v>12700</v>
          </cell>
          <cell r="AA69">
            <v>12750</v>
          </cell>
          <cell r="AB69">
            <v>12900</v>
          </cell>
          <cell r="AC69">
            <v>13050</v>
          </cell>
          <cell r="AD69">
            <v>13200</v>
          </cell>
          <cell r="AE69">
            <v>13200</v>
          </cell>
          <cell r="AF69">
            <v>0.87605525709900234</v>
          </cell>
          <cell r="AG69">
            <v>3.760552570990023E-2</v>
          </cell>
          <cell r="AH69">
            <v>4.2210283960092097E-2</v>
          </cell>
          <cell r="AI69">
            <v>3.7221795855717575E-2</v>
          </cell>
          <cell r="AJ69">
            <v>5.3722179585571758E-3</v>
          </cell>
          <cell r="AK69">
            <v>1.5349194167306216E-3</v>
          </cell>
          <cell r="AL69">
            <v>0.1239447429009977</v>
          </cell>
          <cell r="AM69">
            <v>25861</v>
          </cell>
          <cell r="AN69">
            <v>0.71114806078651249</v>
          </cell>
          <cell r="AO69">
            <v>0.12714125517188044</v>
          </cell>
          <cell r="AP69">
            <v>0.16171068404160704</v>
          </cell>
          <cell r="AQ69" t="str">
            <v>n/a</v>
          </cell>
          <cell r="AR69" t="str">
            <v>n/a</v>
          </cell>
          <cell r="AS69" t="str">
            <v>n/a</v>
          </cell>
          <cell r="AT69" t="str">
            <v>n/a</v>
          </cell>
          <cell r="AU69" t="str">
            <v>n/a</v>
          </cell>
          <cell r="AV69" t="str">
            <v>n/a</v>
          </cell>
          <cell r="AW69" t="str">
            <v>n/a</v>
          </cell>
          <cell r="AX69" t="str">
            <v>n/a</v>
          </cell>
          <cell r="AY69" t="str">
            <v>n/a</v>
          </cell>
          <cell r="AZ69" t="str">
            <v>n/a</v>
          </cell>
          <cell r="BA69">
            <v>123</v>
          </cell>
          <cell r="BB69">
            <v>5.3829321663019694E-2</v>
          </cell>
          <cell r="BC69">
            <v>4.5302287629886681E-2</v>
          </cell>
          <cell r="BD69">
            <v>6.3854009700301834E-2</v>
          </cell>
          <cell r="BE69" t="str">
            <v>n/a</v>
          </cell>
          <cell r="BU69">
            <v>4174</v>
          </cell>
          <cell r="BV69">
            <v>1090</v>
          </cell>
          <cell r="BW69">
            <v>0.26114039290848107</v>
          </cell>
          <cell r="BX69">
            <v>382</v>
          </cell>
          <cell r="BY69" t="str">
            <v>n/a</v>
          </cell>
          <cell r="BZ69">
            <v>2313</v>
          </cell>
          <cell r="CA69">
            <v>2.5460949969728659E-2</v>
          </cell>
          <cell r="CB69">
            <v>1205</v>
          </cell>
          <cell r="CC69">
            <v>1240</v>
          </cell>
          <cell r="CD69">
            <v>1270</v>
          </cell>
          <cell r="CE69">
            <v>1151</v>
          </cell>
          <cell r="CF69">
            <v>3485</v>
          </cell>
          <cell r="CG69">
            <v>8.3856315349003868E-2</v>
          </cell>
          <cell r="CH69">
            <v>3545</v>
          </cell>
          <cell r="CI69">
            <v>7.7140536236946833E-2</v>
          </cell>
          <cell r="CJ69">
            <v>3655</v>
          </cell>
          <cell r="CK69">
            <v>8.6298797649483214E-2</v>
          </cell>
          <cell r="CL69">
            <v>3290</v>
          </cell>
          <cell r="CM69">
            <v>8.3734355128317436E-2</v>
          </cell>
          <cell r="CN69">
            <v>3450</v>
          </cell>
          <cell r="CO69">
            <v>8.1674341600085673E-2</v>
          </cell>
          <cell r="CP69">
            <v>3180</v>
          </cell>
          <cell r="CQ69">
            <v>7.8E-2</v>
          </cell>
          <cell r="DE69">
            <v>0</v>
          </cell>
          <cell r="DG69">
            <v>-1.7000000000000001E-2</v>
          </cell>
          <cell r="DH69">
            <v>1.7000000000000001E-2</v>
          </cell>
          <cell r="DI69" t="str">
            <v>Sig better than Eng.</v>
          </cell>
          <cell r="DK69">
            <v>0</v>
          </cell>
          <cell r="DO69" t="str">
            <v>Sig better than Eng.</v>
          </cell>
          <cell r="DQ69">
            <v>0</v>
          </cell>
          <cell r="DS69">
            <v>-2.5999999999999999E-2</v>
          </cell>
          <cell r="DT69">
            <v>2.5999999999999999E-2</v>
          </cell>
          <cell r="DU69" t="str">
            <v>Sig better than Eng.</v>
          </cell>
          <cell r="DW69">
            <v>0</v>
          </cell>
          <cell r="DY69">
            <v>-2.1999999999999999E-2</v>
          </cell>
          <cell r="DZ69">
            <v>2.1999999999999999E-2</v>
          </cell>
          <cell r="EA69" t="str">
            <v>Sig better than Eng.</v>
          </cell>
          <cell r="EC69">
            <v>0</v>
          </cell>
          <cell r="EE69">
            <v>-3.2000000000000001E-2</v>
          </cell>
          <cell r="EF69">
            <v>3.2000000000000001E-2</v>
          </cell>
          <cell r="EG69" t="str">
            <v>Sig better than Eng.</v>
          </cell>
          <cell r="EI69">
            <v>0</v>
          </cell>
          <cell r="EK69">
            <v>-3.2000000000000001E-2</v>
          </cell>
          <cell r="EL69">
            <v>3.2000000000000001E-2</v>
          </cell>
          <cell r="EM69" t="str">
            <v>Sig better than Eng.</v>
          </cell>
          <cell r="EN69">
            <v>0</v>
          </cell>
          <cell r="EO69" t="e">
            <v>#DIV/0!</v>
          </cell>
          <cell r="EP69" t="e">
            <v>#DIV/0!</v>
          </cell>
          <cell r="EQ69" t="e">
            <v>#DIV/0!</v>
          </cell>
          <cell r="ER69" t="e">
            <v>#DIV/0!</v>
          </cell>
          <cell r="ES69" t="e">
            <v>#DIV/0!</v>
          </cell>
          <cell r="ET69">
            <v>1894</v>
          </cell>
          <cell r="EU69">
            <v>228</v>
          </cell>
          <cell r="EV69">
            <v>0.12038014783526928</v>
          </cell>
          <cell r="EW69">
            <v>8.7380147835269276E-2</v>
          </cell>
          <cell r="EX69">
            <v>0.15338014783526926</v>
          </cell>
          <cell r="EY69" t="str">
            <v>Sig better than Eng.</v>
          </cell>
          <cell r="EZ69">
            <v>2517</v>
          </cell>
          <cell r="FA69">
            <v>1446</v>
          </cell>
          <cell r="FB69">
            <v>0.57449344457687723</v>
          </cell>
          <cell r="FC69">
            <v>0.55507898366826613</v>
          </cell>
          <cell r="FD69">
            <v>0.59368086740758585</v>
          </cell>
          <cell r="FE69">
            <v>2517</v>
          </cell>
          <cell r="FF69">
            <v>34</v>
          </cell>
          <cell r="FG69">
            <v>503</v>
          </cell>
          <cell r="FH69">
            <v>25.262425447316105</v>
          </cell>
          <cell r="FI69">
            <v>0.25698748684364398</v>
          </cell>
          <cell r="FJ69">
            <v>2577</v>
          </cell>
          <cell r="FK69">
            <v>1627</v>
          </cell>
          <cell r="FL69">
            <v>0.63135428793170356</v>
          </cell>
          <cell r="FM69">
            <v>0.61254508033958732</v>
          </cell>
          <cell r="FN69">
            <v>0.64977246639935593</v>
          </cell>
          <cell r="FO69">
            <v>2577</v>
          </cell>
          <cell r="FP69">
            <v>34</v>
          </cell>
          <cell r="FQ69">
            <v>515</v>
          </cell>
          <cell r="FR69">
            <v>26.021359223300998</v>
          </cell>
          <cell r="FS69">
            <v>0.23466590519702948</v>
          </cell>
          <cell r="GQ69" t="str">
            <v>n/a</v>
          </cell>
          <cell r="GR69" t="str">
            <v>n/a</v>
          </cell>
          <cell r="GS69" t="str">
            <v>n/a</v>
          </cell>
          <cell r="GT69" t="str">
            <v>n/a</v>
          </cell>
          <cell r="GU69" t="str">
            <v>n/a</v>
          </cell>
          <cell r="GV69" t="str">
            <v>n/a</v>
          </cell>
          <cell r="GW69" t="str">
            <v>n/a</v>
          </cell>
          <cell r="GX69" t="str">
            <v>n/a</v>
          </cell>
          <cell r="GY69" t="str">
            <v>n/a</v>
          </cell>
          <cell r="GZ69" t="str">
            <v>n/a</v>
          </cell>
          <cell r="HA69" t="str">
            <v>n/a</v>
          </cell>
          <cell r="HB69" t="str">
            <v>n/a</v>
          </cell>
          <cell r="HC69" t="str">
            <v>n/a</v>
          </cell>
          <cell r="HD69" t="str">
            <v>n/a</v>
          </cell>
          <cell r="HE69" t="str">
            <v>n/a</v>
          </cell>
          <cell r="HF69" t="str">
            <v>n/a</v>
          </cell>
          <cell r="HG69" t="str">
            <v>n/a</v>
          </cell>
          <cell r="HH69" t="str">
            <v>n/a</v>
          </cell>
          <cell r="HI69" t="str">
            <v>n/a</v>
          </cell>
          <cell r="HJ69" t="str">
            <v>n/a</v>
          </cell>
          <cell r="HK69" t="str">
            <v>n/a</v>
          </cell>
          <cell r="HL69" t="str">
            <v>n/a</v>
          </cell>
          <cell r="HM69" t="str">
            <v>n/a</v>
          </cell>
          <cell r="HN69">
            <v>225</v>
          </cell>
          <cell r="HO69">
            <v>1.7293059718699561E-2</v>
          </cell>
          <cell r="HP69">
            <v>20507</v>
          </cell>
          <cell r="HQ69">
            <v>19210</v>
          </cell>
          <cell r="HR69">
            <v>1297</v>
          </cell>
          <cell r="HS69">
            <v>6.3246696250060949E-2</v>
          </cell>
        </row>
        <row r="70">
          <cell r="A70" t="str">
            <v>Education Partnership Area - A</v>
          </cell>
          <cell r="C70" t="str">
            <v>n/a</v>
          </cell>
          <cell r="D70" t="str">
            <v>n/a</v>
          </cell>
          <cell r="E70" t="str">
            <v>n/a</v>
          </cell>
          <cell r="G70" t="str">
            <v>n/a</v>
          </cell>
          <cell r="H70" t="str">
            <v>n/a</v>
          </cell>
          <cell r="I70" t="str">
            <v>Education Partnership Area - A</v>
          </cell>
          <cell r="J70" t="str">
            <v>Coastal West Sussex</v>
          </cell>
          <cell r="K70" t="str">
            <v>n/a</v>
          </cell>
          <cell r="L70">
            <v>182350</v>
          </cell>
          <cell r="M70">
            <v>183400</v>
          </cell>
          <cell r="N70">
            <v>184450</v>
          </cell>
          <cell r="O70">
            <v>185750</v>
          </cell>
          <cell r="P70">
            <v>187300</v>
          </cell>
          <cell r="Q70">
            <v>188050</v>
          </cell>
          <cell r="R70">
            <v>189050</v>
          </cell>
          <cell r="S70">
            <v>189700</v>
          </cell>
          <cell r="T70">
            <v>191200</v>
          </cell>
          <cell r="U70">
            <v>192950</v>
          </cell>
          <cell r="V70">
            <v>8300</v>
          </cell>
          <cell r="W70">
            <v>8350</v>
          </cell>
          <cell r="X70">
            <v>8450</v>
          </cell>
          <cell r="Y70">
            <v>8700</v>
          </cell>
          <cell r="Z70">
            <v>8950</v>
          </cell>
          <cell r="AA70">
            <v>9250</v>
          </cell>
          <cell r="AB70">
            <v>9350</v>
          </cell>
          <cell r="AC70">
            <v>9450</v>
          </cell>
          <cell r="AD70">
            <v>9800</v>
          </cell>
          <cell r="AE70">
            <v>9950</v>
          </cell>
          <cell r="AF70">
            <v>0.88604898828541001</v>
          </cell>
          <cell r="AG70">
            <v>5.4845580404685838E-2</v>
          </cell>
          <cell r="AH70">
            <v>2.8221512247071354E-2</v>
          </cell>
          <cell r="AI70">
            <v>2.2364217252396165E-2</v>
          </cell>
          <cell r="AJ70">
            <v>6.3897763578274758E-3</v>
          </cell>
          <cell r="AK70">
            <v>3.1948881789137379E-3</v>
          </cell>
          <cell r="AL70">
            <v>0.11395101171458999</v>
          </cell>
          <cell r="AM70">
            <v>18292</v>
          </cell>
          <cell r="AN70">
            <v>0.58233107369341786</v>
          </cell>
          <cell r="AO70">
            <v>0.16909031270500766</v>
          </cell>
          <cell r="AP70">
            <v>0.24857861360157446</v>
          </cell>
          <cell r="AQ70" t="str">
            <v>n/a</v>
          </cell>
          <cell r="AR70" t="str">
            <v>n/a</v>
          </cell>
          <cell r="AS70" t="str">
            <v>n/a</v>
          </cell>
          <cell r="AT70" t="str">
            <v>n/a</v>
          </cell>
          <cell r="AU70" t="str">
            <v>n/a</v>
          </cell>
          <cell r="AV70" t="str">
            <v>n/a</v>
          </cell>
          <cell r="AW70" t="str">
            <v>n/a</v>
          </cell>
          <cell r="AX70" t="str">
            <v>n/a</v>
          </cell>
          <cell r="AY70" t="str">
            <v>n/a</v>
          </cell>
          <cell r="AZ70">
            <v>98</v>
          </cell>
          <cell r="BA70">
            <v>119</v>
          </cell>
          <cell r="BB70">
            <v>6.97538100820633E-2</v>
          </cell>
          <cell r="BC70">
            <v>5.8607749256263934E-2</v>
          </cell>
          <cell r="BD70">
            <v>8.2833118008409951E-2</v>
          </cell>
          <cell r="BE70" t="str">
            <v>n/a</v>
          </cell>
          <cell r="BU70">
            <v>4045</v>
          </cell>
          <cell r="BV70">
            <v>1341</v>
          </cell>
          <cell r="BW70">
            <v>0.3315203955500618</v>
          </cell>
          <cell r="BX70">
            <v>359</v>
          </cell>
          <cell r="BY70" t="str">
            <v>n/a</v>
          </cell>
          <cell r="BZ70">
            <v>3092</v>
          </cell>
          <cell r="CA70">
            <v>3.7113055585562875E-2</v>
          </cell>
          <cell r="CB70">
            <v>1485</v>
          </cell>
          <cell r="CC70">
            <v>1480</v>
          </cell>
          <cell r="CD70">
            <v>1620</v>
          </cell>
          <cell r="CE70">
            <v>1535</v>
          </cell>
          <cell r="CF70" t="str">
            <v>n/a</v>
          </cell>
          <cell r="CG70" t="str">
            <v>n/a</v>
          </cell>
          <cell r="CH70" t="str">
            <v>n/a</v>
          </cell>
          <cell r="CI70" t="str">
            <v>n/a</v>
          </cell>
          <cell r="CJ70" t="str">
            <v>n/a</v>
          </cell>
          <cell r="CK70" t="str">
            <v>n/a</v>
          </cell>
          <cell r="CL70" t="str">
            <v>n/a</v>
          </cell>
          <cell r="CM70" t="str">
            <v>n/a</v>
          </cell>
          <cell r="CN70">
            <v>4165</v>
          </cell>
          <cell r="CO70">
            <v>0.13771466314398942</v>
          </cell>
          <cell r="CP70">
            <v>3895</v>
          </cell>
          <cell r="CQ70">
            <v>0.12849893599607137</v>
          </cell>
          <cell r="DE70">
            <v>0</v>
          </cell>
          <cell r="DG70">
            <v>-1.7000000000000001E-2</v>
          </cell>
          <cell r="DH70">
            <v>1.7000000000000001E-2</v>
          </cell>
          <cell r="DI70" t="str">
            <v>Sig better than Eng.</v>
          </cell>
          <cell r="DK70">
            <v>0</v>
          </cell>
          <cell r="DO70" t="str">
            <v>Sig better than Eng.</v>
          </cell>
          <cell r="DQ70">
            <v>0</v>
          </cell>
          <cell r="DS70">
            <v>-2.5999999999999999E-2</v>
          </cell>
          <cell r="DT70">
            <v>2.5999999999999999E-2</v>
          </cell>
          <cell r="DU70" t="str">
            <v>Sig better than Eng.</v>
          </cell>
          <cell r="DV70">
            <v>1764</v>
          </cell>
          <cell r="DW70">
            <v>166</v>
          </cell>
          <cell r="DX70">
            <v>9.4104308390022678E-2</v>
          </cell>
          <cell r="DY70">
            <v>7.2104308390022687E-2</v>
          </cell>
          <cell r="DZ70">
            <v>0.11610430839002267</v>
          </cell>
          <cell r="EA70" t="str">
            <v>No Sig diff</v>
          </cell>
          <cell r="EC70">
            <v>0</v>
          </cell>
          <cell r="EE70">
            <v>-3.2000000000000001E-2</v>
          </cell>
          <cell r="EF70">
            <v>3.2000000000000001E-2</v>
          </cell>
          <cell r="EG70" t="str">
            <v>Sig better than Eng.</v>
          </cell>
          <cell r="EI70">
            <v>0</v>
          </cell>
          <cell r="EK70">
            <v>-3.2000000000000001E-2</v>
          </cell>
          <cell r="EL70">
            <v>3.2000000000000001E-2</v>
          </cell>
          <cell r="EM70" t="str">
            <v>Sig better than Eng.</v>
          </cell>
          <cell r="EO70">
            <v>0</v>
          </cell>
          <cell r="EQ70">
            <v>-3.3000000000000002E-2</v>
          </cell>
          <cell r="ER70">
            <v>3.3000000000000002E-2</v>
          </cell>
          <cell r="ES70" t="str">
            <v>Sig better than Eng.</v>
          </cell>
          <cell r="ET70">
            <v>1346</v>
          </cell>
          <cell r="EU70">
            <v>195.00000000000003</v>
          </cell>
          <cell r="EV70">
            <v>0.1448736998514116</v>
          </cell>
          <cell r="EW70">
            <v>0.1118736998514116</v>
          </cell>
          <cell r="EX70">
            <v>0.1778736998514116</v>
          </cell>
          <cell r="EY70" t="str">
            <v>Sig better than Eng.</v>
          </cell>
          <cell r="EZ70">
            <v>1955</v>
          </cell>
          <cell r="FA70">
            <v>929</v>
          </cell>
          <cell r="FB70">
            <v>0.4751918158567775</v>
          </cell>
          <cell r="FC70">
            <v>0.45312560281556069</v>
          </cell>
          <cell r="FD70">
            <v>0.49735533092044565</v>
          </cell>
          <cell r="FE70">
            <v>1955</v>
          </cell>
          <cell r="FF70">
            <v>33</v>
          </cell>
          <cell r="FG70">
            <v>391</v>
          </cell>
          <cell r="FH70">
            <v>22.069053708439903</v>
          </cell>
          <cell r="FI70">
            <v>0.33124079671394235</v>
          </cell>
          <cell r="FJ70">
            <v>1961</v>
          </cell>
          <cell r="FK70">
            <v>1078</v>
          </cell>
          <cell r="FL70">
            <v>0.5497195308516063</v>
          </cell>
          <cell r="FM70">
            <v>0.52762343707184223</v>
          </cell>
          <cell r="FN70">
            <v>0.57162121145926115</v>
          </cell>
          <cell r="FO70">
            <v>1961</v>
          </cell>
          <cell r="FP70">
            <v>34</v>
          </cell>
          <cell r="FQ70">
            <v>392</v>
          </cell>
          <cell r="FR70">
            <v>22.890306122448965</v>
          </cell>
          <cell r="FS70">
            <v>0.32675570228091277</v>
          </cell>
          <cell r="GQ70" t="str">
            <v>n/a</v>
          </cell>
          <cell r="GR70" t="str">
            <v>n/a</v>
          </cell>
          <cell r="GS70" t="str">
            <v>n/a</v>
          </cell>
          <cell r="GT70" t="str">
            <v>n/a</v>
          </cell>
          <cell r="GU70" t="str">
            <v>n/a</v>
          </cell>
          <cell r="GV70" t="str">
            <v>n/a</v>
          </cell>
          <cell r="GW70" t="str">
            <v>n/a</v>
          </cell>
          <cell r="GX70" t="str">
            <v>n/a</v>
          </cell>
          <cell r="GY70" t="str">
            <v>n/a</v>
          </cell>
          <cell r="GZ70" t="str">
            <v>n/a</v>
          </cell>
          <cell r="HA70" t="str">
            <v>n/a</v>
          </cell>
          <cell r="HB70" t="str">
            <v>n/a</v>
          </cell>
          <cell r="HC70" t="str">
            <v>n/a</v>
          </cell>
          <cell r="HD70" t="str">
            <v>n/a</v>
          </cell>
          <cell r="HE70" t="str">
            <v>n/a</v>
          </cell>
          <cell r="HF70" t="str">
            <v>n/a</v>
          </cell>
          <cell r="HG70" t="str">
            <v>n/a</v>
          </cell>
          <cell r="HH70" t="str">
            <v>n/a</v>
          </cell>
          <cell r="HI70" t="str">
            <v>n/a</v>
          </cell>
          <cell r="HJ70" t="str">
            <v>n/a</v>
          </cell>
          <cell r="HK70" t="str">
            <v>n/a</v>
          </cell>
          <cell r="HL70" t="str">
            <v>n/a</v>
          </cell>
          <cell r="HM70" t="str">
            <v>n/a</v>
          </cell>
          <cell r="HN70">
            <v>175</v>
          </cell>
          <cell r="HO70">
            <v>1.8660695244188525E-2</v>
          </cell>
          <cell r="HP70">
            <v>14691</v>
          </cell>
          <cell r="HQ70">
            <v>13198</v>
          </cell>
          <cell r="HR70">
            <v>1493</v>
          </cell>
          <cell r="HS70">
            <v>0.10162684636852495</v>
          </cell>
        </row>
        <row r="71">
          <cell r="A71" t="str">
            <v>Education Partnership Area - B</v>
          </cell>
          <cell r="C71" t="str">
            <v>n/a</v>
          </cell>
          <cell r="D71" t="str">
            <v>n/a</v>
          </cell>
          <cell r="E71" t="str">
            <v>n/a</v>
          </cell>
          <cell r="G71" t="str">
            <v>n/a</v>
          </cell>
          <cell r="H71" t="str">
            <v>n/a</v>
          </cell>
          <cell r="I71" t="str">
            <v>Education Partnership Area - B</v>
          </cell>
          <cell r="J71" t="str">
            <v>Coastal/Horsham and Mid Sussex</v>
          </cell>
          <cell r="K71" t="str">
            <v>n/a</v>
          </cell>
          <cell r="L71">
            <v>263500</v>
          </cell>
          <cell r="M71">
            <v>264550</v>
          </cell>
          <cell r="N71">
            <v>266350</v>
          </cell>
          <cell r="O71">
            <v>268100</v>
          </cell>
          <cell r="P71">
            <v>269550</v>
          </cell>
          <cell r="Q71">
            <v>270700</v>
          </cell>
          <cell r="R71">
            <v>272600</v>
          </cell>
          <cell r="S71">
            <v>274300</v>
          </cell>
          <cell r="T71">
            <v>276200</v>
          </cell>
          <cell r="U71">
            <v>277800</v>
          </cell>
          <cell r="V71">
            <v>13350</v>
          </cell>
          <cell r="W71">
            <v>13350</v>
          </cell>
          <cell r="X71">
            <v>13550</v>
          </cell>
          <cell r="Y71">
            <v>13900</v>
          </cell>
          <cell r="Z71">
            <v>14150</v>
          </cell>
          <cell r="AA71">
            <v>14400</v>
          </cell>
          <cell r="AB71">
            <v>14750</v>
          </cell>
          <cell r="AC71">
            <v>15100</v>
          </cell>
          <cell r="AD71">
            <v>15400</v>
          </cell>
          <cell r="AE71">
            <v>15350</v>
          </cell>
          <cell r="AF71">
            <v>0.87869724160850782</v>
          </cell>
          <cell r="AG71">
            <v>3.4230641409106012E-2</v>
          </cell>
          <cell r="AH71">
            <v>4.7856430707876374E-2</v>
          </cell>
          <cell r="AI71">
            <v>2.991026919242273E-2</v>
          </cell>
          <cell r="AJ71">
            <v>4.9850448654037887E-3</v>
          </cell>
          <cell r="AK71">
            <v>4.3203722166832836E-3</v>
          </cell>
          <cell r="AL71">
            <v>0.1213027583914922</v>
          </cell>
          <cell r="AM71">
            <v>28968</v>
          </cell>
          <cell r="AN71">
            <v>0.62810687655343833</v>
          </cell>
          <cell r="AO71">
            <v>0.14260563380281691</v>
          </cell>
          <cell r="AP71">
            <v>0.22928748964374482</v>
          </cell>
          <cell r="AQ71" t="str">
            <v>n/a</v>
          </cell>
          <cell r="AR71" t="str">
            <v>n/a</v>
          </cell>
          <cell r="AS71" t="str">
            <v>n/a</v>
          </cell>
          <cell r="AT71" t="str">
            <v>n/a</v>
          </cell>
          <cell r="AU71" t="str">
            <v>n/a</v>
          </cell>
          <cell r="AV71" t="str">
            <v>n/a</v>
          </cell>
          <cell r="AW71" t="str">
            <v>n/a</v>
          </cell>
          <cell r="AX71" t="str">
            <v>n/a</v>
          </cell>
          <cell r="AY71" t="str">
            <v>n/a</v>
          </cell>
          <cell r="AZ71">
            <v>110</v>
          </cell>
          <cell r="BA71">
            <v>174</v>
          </cell>
          <cell r="BB71">
            <v>6.3457330415754923E-2</v>
          </cell>
          <cell r="BC71">
            <v>5.4929303532980554E-2</v>
          </cell>
          <cell r="BD71">
            <v>7.3206812152229392E-2</v>
          </cell>
          <cell r="BE71" t="str">
            <v>n/a</v>
          </cell>
          <cell r="BU71">
            <v>6808</v>
          </cell>
          <cell r="BV71">
            <v>2392</v>
          </cell>
          <cell r="BW71">
            <v>0.35135135135135137</v>
          </cell>
          <cell r="BX71">
            <v>672</v>
          </cell>
          <cell r="BY71" t="str">
            <v>n/a</v>
          </cell>
          <cell r="BZ71">
            <v>5313</v>
          </cell>
          <cell r="CA71">
            <v>4.3575611436445054E-2</v>
          </cell>
          <cell r="CB71">
            <v>2725</v>
          </cell>
          <cell r="CC71">
            <v>2710</v>
          </cell>
          <cell r="CD71">
            <v>2705</v>
          </cell>
          <cell r="CE71">
            <v>2505</v>
          </cell>
          <cell r="CF71" t="str">
            <v>n/a</v>
          </cell>
          <cell r="CG71" t="str">
            <v>n/a</v>
          </cell>
          <cell r="CH71" t="str">
            <v>n/a</v>
          </cell>
          <cell r="CI71" t="str">
            <v>n/a</v>
          </cell>
          <cell r="CJ71" t="str">
            <v>n/a</v>
          </cell>
          <cell r="CK71" t="str">
            <v>n/a</v>
          </cell>
          <cell r="CL71" t="str">
            <v>n/a</v>
          </cell>
          <cell r="CM71" t="str">
            <v>n/a</v>
          </cell>
          <cell r="CN71">
            <v>7045</v>
          </cell>
          <cell r="CO71">
            <v>0.15298588490770901</v>
          </cell>
          <cell r="CP71">
            <v>6475</v>
          </cell>
          <cell r="CQ71">
            <v>0.13938219782585298</v>
          </cell>
          <cell r="DE71">
            <v>0</v>
          </cell>
          <cell r="DG71">
            <v>-1.7000000000000001E-2</v>
          </cell>
          <cell r="DH71">
            <v>1.7000000000000001E-2</v>
          </cell>
          <cell r="DI71" t="str">
            <v>Sig better than Eng.</v>
          </cell>
          <cell r="DK71">
            <v>0</v>
          </cell>
          <cell r="DO71" t="str">
            <v>Sig better than Eng.</v>
          </cell>
          <cell r="DQ71">
            <v>0</v>
          </cell>
          <cell r="DS71">
            <v>-2.5999999999999999E-2</v>
          </cell>
          <cell r="DT71">
            <v>2.5999999999999999E-2</v>
          </cell>
          <cell r="DU71" t="str">
            <v>Sig better than Eng.</v>
          </cell>
          <cell r="DV71">
            <v>2713</v>
          </cell>
          <cell r="DW71">
            <v>234</v>
          </cell>
          <cell r="DX71">
            <v>8.6251382233689639E-2</v>
          </cell>
          <cell r="DY71">
            <v>6.4251382233689647E-2</v>
          </cell>
          <cell r="DZ71">
            <v>0.10825138223368963</v>
          </cell>
          <cell r="EA71" t="str">
            <v>No Sig diff</v>
          </cell>
          <cell r="EC71">
            <v>0</v>
          </cell>
          <cell r="EE71">
            <v>-3.2000000000000001E-2</v>
          </cell>
          <cell r="EF71">
            <v>3.2000000000000001E-2</v>
          </cell>
          <cell r="EG71" t="str">
            <v>Sig better than Eng.</v>
          </cell>
          <cell r="EI71">
            <v>0</v>
          </cell>
          <cell r="EK71">
            <v>-3.2000000000000001E-2</v>
          </cell>
          <cell r="EL71">
            <v>3.2000000000000001E-2</v>
          </cell>
          <cell r="EM71" t="str">
            <v>Sig better than Eng.</v>
          </cell>
          <cell r="EO71">
            <v>0</v>
          </cell>
          <cell r="EQ71">
            <v>-3.3000000000000002E-2</v>
          </cell>
          <cell r="ER71">
            <v>3.3000000000000002E-2</v>
          </cell>
          <cell r="ES71" t="str">
            <v>Sig better than Eng.</v>
          </cell>
          <cell r="ET71">
            <v>2211</v>
          </cell>
          <cell r="EU71">
            <v>325</v>
          </cell>
          <cell r="EV71">
            <v>0.14699231117141565</v>
          </cell>
          <cell r="EW71">
            <v>0.11399231117141564</v>
          </cell>
          <cell r="EX71">
            <v>0.17999231117141565</v>
          </cell>
          <cell r="EY71" t="str">
            <v>Sig better than Eng.</v>
          </cell>
          <cell r="EZ71">
            <v>3032</v>
          </cell>
          <cell r="FA71">
            <v>1623</v>
          </cell>
          <cell r="FB71">
            <v>0.53529023746701843</v>
          </cell>
          <cell r="FC71">
            <v>0.51750387204929615</v>
          </cell>
          <cell r="FD71">
            <v>0.55298729255952062</v>
          </cell>
          <cell r="FE71">
            <v>3032</v>
          </cell>
          <cell r="FF71">
            <v>34</v>
          </cell>
          <cell r="FG71">
            <v>606</v>
          </cell>
          <cell r="FH71">
            <v>24.288778877887793</v>
          </cell>
          <cell r="FI71">
            <v>0.28562415065035901</v>
          </cell>
          <cell r="FJ71">
            <v>2971</v>
          </cell>
          <cell r="FK71">
            <v>1768</v>
          </cell>
          <cell r="FL71">
            <v>0.5950858296869741</v>
          </cell>
          <cell r="FM71">
            <v>0.57732306780997178</v>
          </cell>
          <cell r="FN71">
            <v>0.61260301995672917</v>
          </cell>
          <cell r="FO71">
            <v>2971</v>
          </cell>
          <cell r="FP71">
            <v>34</v>
          </cell>
          <cell r="FQ71">
            <v>594</v>
          </cell>
          <cell r="FR71">
            <v>25.101010101010115</v>
          </cell>
          <cell r="FS71">
            <v>0.26173499702911429</v>
          </cell>
          <cell r="GQ71" t="str">
            <v>n/a</v>
          </cell>
          <cell r="GR71" t="str">
            <v>n/a</v>
          </cell>
          <cell r="GS71" t="str">
            <v>n/a</v>
          </cell>
          <cell r="GT71" t="str">
            <v>n/a</v>
          </cell>
          <cell r="GU71" t="str">
            <v>n/a</v>
          </cell>
          <cell r="GV71" t="str">
            <v>n/a</v>
          </cell>
          <cell r="GW71" t="str">
            <v>n/a</v>
          </cell>
          <cell r="GX71" t="str">
            <v>n/a</v>
          </cell>
          <cell r="GY71" t="str">
            <v>n/a</v>
          </cell>
          <cell r="GZ71" t="str">
            <v>n/a</v>
          </cell>
          <cell r="HA71" t="str">
            <v>n/a</v>
          </cell>
          <cell r="HB71" t="str">
            <v>n/a</v>
          </cell>
          <cell r="HC71" t="str">
            <v>n/a</v>
          </cell>
          <cell r="HD71" t="str">
            <v>n/a</v>
          </cell>
          <cell r="HE71" t="str">
            <v>n/a</v>
          </cell>
          <cell r="HF71" t="str">
            <v>n/a</v>
          </cell>
          <cell r="HG71" t="str">
            <v>n/a</v>
          </cell>
          <cell r="HH71" t="str">
            <v>n/a</v>
          </cell>
          <cell r="HI71" t="str">
            <v>n/a</v>
          </cell>
          <cell r="HJ71" t="str">
            <v>n/a</v>
          </cell>
          <cell r="HK71" t="str">
            <v>n/a</v>
          </cell>
          <cell r="HL71" t="str">
            <v>n/a</v>
          </cell>
          <cell r="HM71" t="str">
            <v>n/a</v>
          </cell>
          <cell r="HN71">
            <v>289</v>
          </cell>
          <cell r="HO71">
            <v>1.9224373045965543E-2</v>
          </cell>
          <cell r="HP71">
            <v>23383</v>
          </cell>
          <cell r="HQ71">
            <v>20621</v>
          </cell>
          <cell r="HR71">
            <v>2762</v>
          </cell>
          <cell r="HS71">
            <v>0.11812000171064449</v>
          </cell>
        </row>
        <row r="72">
          <cell r="A72" t="str">
            <v>Education Partnership Area - C1</v>
          </cell>
          <cell r="C72" t="str">
            <v>n/a</v>
          </cell>
          <cell r="D72" t="str">
            <v>n/a</v>
          </cell>
          <cell r="E72" t="str">
            <v>n/a</v>
          </cell>
          <cell r="G72" t="str">
            <v>n/a</v>
          </cell>
          <cell r="H72" t="str">
            <v>n/a</v>
          </cell>
          <cell r="I72" t="str">
            <v>Education Partnership Area - C1</v>
          </cell>
          <cell r="J72" t="str">
            <v>Crawley</v>
          </cell>
          <cell r="K72" t="str">
            <v>n/a</v>
          </cell>
          <cell r="L72">
            <v>98900</v>
          </cell>
          <cell r="M72">
            <v>99700</v>
          </cell>
          <cell r="N72">
            <v>100750</v>
          </cell>
          <cell r="O72">
            <v>101600</v>
          </cell>
          <cell r="P72">
            <v>102850</v>
          </cell>
          <cell r="Q72">
            <v>103850</v>
          </cell>
          <cell r="R72">
            <v>105500</v>
          </cell>
          <cell r="S72">
            <v>107050</v>
          </cell>
          <cell r="T72">
            <v>108300</v>
          </cell>
          <cell r="U72">
            <v>108950</v>
          </cell>
          <cell r="V72">
            <v>6300</v>
          </cell>
          <cell r="W72">
            <v>6300</v>
          </cell>
          <cell r="X72">
            <v>6350</v>
          </cell>
          <cell r="Y72">
            <v>6600</v>
          </cell>
          <cell r="Z72">
            <v>6950</v>
          </cell>
          <cell r="AA72">
            <v>7200</v>
          </cell>
          <cell r="AB72">
            <v>7750</v>
          </cell>
          <cell r="AC72">
            <v>8150</v>
          </cell>
          <cell r="AD72">
            <v>8300</v>
          </cell>
          <cell r="AE72">
            <v>8350</v>
          </cell>
          <cell r="AF72">
            <v>0.62205700123915741</v>
          </cell>
          <cell r="AG72">
            <v>6.5675340768277565E-2</v>
          </cell>
          <cell r="AH72">
            <v>7.6827757125154897E-2</v>
          </cell>
          <cell r="AI72">
            <v>0.17348203221809169</v>
          </cell>
          <cell r="AJ72">
            <v>4.8946716232961589E-2</v>
          </cell>
          <cell r="AK72">
            <v>1.3011152416356878E-2</v>
          </cell>
          <cell r="AL72">
            <v>0.37794299876084264</v>
          </cell>
          <cell r="AM72">
            <v>14546</v>
          </cell>
          <cell r="AN72">
            <v>0.49099408772171044</v>
          </cell>
          <cell r="AO72">
            <v>0.31527567716210642</v>
          </cell>
          <cell r="AP72">
            <v>0.19373023511618315</v>
          </cell>
          <cell r="AQ72" t="str">
            <v>n/a</v>
          </cell>
          <cell r="AR72" t="str">
            <v>n/a</v>
          </cell>
          <cell r="AS72" t="str">
            <v>n/a</v>
          </cell>
          <cell r="AT72" t="str">
            <v>n/a</v>
          </cell>
          <cell r="AU72" t="str">
            <v>n/a</v>
          </cell>
          <cell r="AV72" t="str">
            <v>n/a</v>
          </cell>
          <cell r="AW72" t="str">
            <v>n/a</v>
          </cell>
          <cell r="AX72" t="str">
            <v>n/a</v>
          </cell>
          <cell r="AY72" t="str">
            <v>n/a</v>
          </cell>
          <cell r="AZ72">
            <v>64</v>
          </cell>
          <cell r="BA72">
            <v>128</v>
          </cell>
          <cell r="BB72">
            <v>7.8963602714373846E-2</v>
          </cell>
          <cell r="BC72">
            <v>6.6808520694543738E-2</v>
          </cell>
          <cell r="BD72">
            <v>9.3109517714746015E-2</v>
          </cell>
          <cell r="BE72" t="str">
            <v>n/a</v>
          </cell>
          <cell r="BU72">
            <v>3293</v>
          </cell>
          <cell r="BV72">
            <v>1363</v>
          </cell>
          <cell r="BW72">
            <v>0.4139082903127847</v>
          </cell>
          <cell r="BX72">
            <v>248</v>
          </cell>
          <cell r="BY72" t="str">
            <v>n/a</v>
          </cell>
          <cell r="BZ72">
            <v>2084</v>
          </cell>
          <cell r="CA72">
            <v>4.8774779413485618E-2</v>
          </cell>
          <cell r="CB72">
            <v>1650</v>
          </cell>
          <cell r="CC72">
            <v>1650</v>
          </cell>
          <cell r="CD72">
            <v>1580</v>
          </cell>
          <cell r="CE72">
            <v>1475</v>
          </cell>
          <cell r="CF72" t="str">
            <v>n/a</v>
          </cell>
          <cell r="CG72" t="str">
            <v>n/a</v>
          </cell>
          <cell r="CH72" t="str">
            <v>n/a</v>
          </cell>
          <cell r="CI72" t="str">
            <v>n/a</v>
          </cell>
          <cell r="CJ72" t="str">
            <v>n/a</v>
          </cell>
          <cell r="CK72" t="str">
            <v>n/a</v>
          </cell>
          <cell r="CL72" t="str">
            <v>n/a</v>
          </cell>
          <cell r="CM72" t="str">
            <v>n/a</v>
          </cell>
          <cell r="CN72">
            <v>4170</v>
          </cell>
          <cell r="CO72">
            <v>0.19002050580997951</v>
          </cell>
          <cell r="CP72">
            <v>3890</v>
          </cell>
          <cell r="CQ72">
            <v>0.17397137745974955</v>
          </cell>
          <cell r="DE72">
            <v>0</v>
          </cell>
          <cell r="DG72">
            <v>-1.7000000000000001E-2</v>
          </cell>
          <cell r="DH72">
            <v>1.7000000000000001E-2</v>
          </cell>
          <cell r="DI72" t="str">
            <v>Sig better than Eng.</v>
          </cell>
          <cell r="DK72">
            <v>0</v>
          </cell>
          <cell r="DO72" t="str">
            <v>Sig better than Eng.</v>
          </cell>
          <cell r="DQ72">
            <v>0</v>
          </cell>
          <cell r="DS72">
            <v>-2.5999999999999999E-2</v>
          </cell>
          <cell r="DT72">
            <v>2.5999999999999999E-2</v>
          </cell>
          <cell r="DU72" t="str">
            <v>Sig better than Eng.</v>
          </cell>
          <cell r="DV72">
            <v>1189</v>
          </cell>
          <cell r="DW72">
            <v>111.00000000000001</v>
          </cell>
          <cell r="DX72">
            <v>9.3355761143818342E-2</v>
          </cell>
          <cell r="DY72">
            <v>7.1355761143818336E-2</v>
          </cell>
          <cell r="DZ72">
            <v>0.11535576114381835</v>
          </cell>
          <cell r="EA72" t="str">
            <v>No Sig diff</v>
          </cell>
          <cell r="EC72">
            <v>0</v>
          </cell>
          <cell r="EE72">
            <v>-3.2000000000000001E-2</v>
          </cell>
          <cell r="EF72">
            <v>3.2000000000000001E-2</v>
          </cell>
          <cell r="EG72" t="str">
            <v>Sig better than Eng.</v>
          </cell>
          <cell r="EI72">
            <v>0</v>
          </cell>
          <cell r="EK72">
            <v>-3.2000000000000001E-2</v>
          </cell>
          <cell r="EL72">
            <v>3.2000000000000001E-2</v>
          </cell>
          <cell r="EM72" t="str">
            <v>Sig better than Eng.</v>
          </cell>
          <cell r="EO72">
            <v>0</v>
          </cell>
          <cell r="EQ72">
            <v>-3.3000000000000002E-2</v>
          </cell>
          <cell r="ER72">
            <v>3.3000000000000002E-2</v>
          </cell>
          <cell r="ES72" t="str">
            <v>Sig better than Eng.</v>
          </cell>
          <cell r="ET72">
            <v>1075</v>
          </cell>
          <cell r="EU72">
            <v>210</v>
          </cell>
          <cell r="EV72">
            <v>0.19534883720930232</v>
          </cell>
          <cell r="EW72">
            <v>0.16234883720930232</v>
          </cell>
          <cell r="EX72">
            <v>0.22834883720930232</v>
          </cell>
          <cell r="EY72" t="str">
            <v>No Sig diff</v>
          </cell>
          <cell r="EZ72">
            <v>1440</v>
          </cell>
          <cell r="FA72">
            <v>693</v>
          </cell>
          <cell r="FB72">
            <v>0.48125000000000001</v>
          </cell>
          <cell r="FC72">
            <v>0.45552756226071045</v>
          </cell>
          <cell r="FD72">
            <v>0.50707220957012045</v>
          </cell>
          <cell r="FE72">
            <v>1440</v>
          </cell>
          <cell r="FF72">
            <v>34</v>
          </cell>
          <cell r="FG72">
            <v>288</v>
          </cell>
          <cell r="FH72">
            <v>22.378472222222197</v>
          </cell>
          <cell r="FI72">
            <v>0.34180964052287655</v>
          </cell>
          <cell r="FJ72">
            <v>1518</v>
          </cell>
          <cell r="FK72">
            <v>841</v>
          </cell>
          <cell r="FL72">
            <v>0.5540184453227931</v>
          </cell>
          <cell r="FM72">
            <v>0.52890795807318758</v>
          </cell>
          <cell r="FN72">
            <v>0.57885622396393932</v>
          </cell>
          <cell r="FO72">
            <v>1518</v>
          </cell>
          <cell r="FP72">
            <v>34</v>
          </cell>
          <cell r="FQ72">
            <v>303</v>
          </cell>
          <cell r="FR72">
            <v>22.61056105610562</v>
          </cell>
          <cell r="FS72">
            <v>0.33498349834983471</v>
          </cell>
          <cell r="GQ72" t="str">
            <v>n/a</v>
          </cell>
          <cell r="GR72" t="str">
            <v>n/a</v>
          </cell>
          <cell r="GS72" t="str">
            <v>n/a</v>
          </cell>
          <cell r="GT72" t="str">
            <v>n/a</v>
          </cell>
          <cell r="GU72" t="str">
            <v>n/a</v>
          </cell>
          <cell r="GV72" t="str">
            <v>n/a</v>
          </cell>
          <cell r="GW72" t="str">
            <v>n/a</v>
          </cell>
          <cell r="GX72" t="str">
            <v>n/a</v>
          </cell>
          <cell r="GY72" t="str">
            <v>n/a</v>
          </cell>
          <cell r="GZ72" t="str">
            <v>n/a</v>
          </cell>
          <cell r="HA72" t="str">
            <v>n/a</v>
          </cell>
          <cell r="HB72" t="str">
            <v>n/a</v>
          </cell>
          <cell r="HC72" t="str">
            <v>n/a</v>
          </cell>
          <cell r="HD72" t="str">
            <v>n/a</v>
          </cell>
          <cell r="HE72" t="str">
            <v>n/a</v>
          </cell>
          <cell r="HF72" t="str">
            <v>n/a</v>
          </cell>
          <cell r="HG72" t="str">
            <v>n/a</v>
          </cell>
          <cell r="HH72" t="str">
            <v>n/a</v>
          </cell>
          <cell r="HI72" t="str">
            <v>n/a</v>
          </cell>
          <cell r="HJ72" t="str">
            <v>n/a</v>
          </cell>
          <cell r="HK72" t="str">
            <v>n/a</v>
          </cell>
          <cell r="HL72" t="str">
            <v>n/a</v>
          </cell>
          <cell r="HM72" t="str">
            <v>n/a</v>
          </cell>
          <cell r="HN72">
            <v>158</v>
          </cell>
          <cell r="HO72">
            <v>1.9602977667493797E-2</v>
          </cell>
          <cell r="HP72">
            <v>12900</v>
          </cell>
          <cell r="HQ72">
            <v>11233</v>
          </cell>
          <cell r="HR72">
            <v>1667</v>
          </cell>
          <cell r="HS72">
            <v>0.12922480620155039</v>
          </cell>
        </row>
        <row r="73">
          <cell r="A73" t="str">
            <v>Education Partnership Area - C2</v>
          </cell>
          <cell r="C73" t="str">
            <v>n/a</v>
          </cell>
          <cell r="D73" t="str">
            <v>n/a</v>
          </cell>
          <cell r="E73" t="str">
            <v>n/a</v>
          </cell>
          <cell r="G73" t="str">
            <v>n/a</v>
          </cell>
          <cell r="H73" t="str">
            <v>n/a</v>
          </cell>
          <cell r="I73" t="str">
            <v>Education Partnership Area - C2</v>
          </cell>
          <cell r="J73" t="str">
            <v>Horsham and Mid Sussex</v>
          </cell>
          <cell r="K73" t="str">
            <v>n/a</v>
          </cell>
          <cell r="L73">
            <v>129450</v>
          </cell>
          <cell r="M73">
            <v>130500</v>
          </cell>
          <cell r="N73">
            <v>132050</v>
          </cell>
          <cell r="O73">
            <v>134000</v>
          </cell>
          <cell r="P73">
            <v>135750</v>
          </cell>
          <cell r="Q73">
            <v>137200</v>
          </cell>
          <cell r="R73">
            <v>138900</v>
          </cell>
          <cell r="S73">
            <v>140200</v>
          </cell>
          <cell r="T73">
            <v>141150</v>
          </cell>
          <cell r="U73">
            <v>142750</v>
          </cell>
          <cell r="V73">
            <v>7400</v>
          </cell>
          <cell r="W73">
            <v>7450</v>
          </cell>
          <cell r="X73">
            <v>7650</v>
          </cell>
          <cell r="Y73">
            <v>8000</v>
          </cell>
          <cell r="Z73">
            <v>8150</v>
          </cell>
          <cell r="AA73">
            <v>8150</v>
          </cell>
          <cell r="AB73">
            <v>8250</v>
          </cell>
          <cell r="AC73">
            <v>8350</v>
          </cell>
          <cell r="AD73">
            <v>8500</v>
          </cell>
          <cell r="AE73">
            <v>8550</v>
          </cell>
          <cell r="AF73">
            <v>0.87477531455961655</v>
          </cell>
          <cell r="AG73">
            <v>3.8945476333133611E-2</v>
          </cell>
          <cell r="AH73">
            <v>4.0143798681845415E-2</v>
          </cell>
          <cell r="AI73">
            <v>3.9544637507489516E-2</v>
          </cell>
          <cell r="AJ73">
            <v>5.3924505692031152E-3</v>
          </cell>
          <cell r="AK73">
            <v>5.9916117435590175E-4</v>
          </cell>
          <cell r="AL73">
            <v>0.12522468544038345</v>
          </cell>
          <cell r="AM73">
            <v>16498</v>
          </cell>
          <cell r="AN73">
            <v>0.71044975148502854</v>
          </cell>
          <cell r="AO73">
            <v>0.12456055279427809</v>
          </cell>
          <cell r="AP73">
            <v>0.16498969572069341</v>
          </cell>
          <cell r="AQ73" t="str">
            <v>n/a</v>
          </cell>
          <cell r="AR73" t="str">
            <v>n/a</v>
          </cell>
          <cell r="AS73" t="str">
            <v>n/a</v>
          </cell>
          <cell r="AT73" t="str">
            <v>n/a</v>
          </cell>
          <cell r="AU73" t="str">
            <v>n/a</v>
          </cell>
          <cell r="AV73" t="str">
            <v>n/a</v>
          </cell>
          <cell r="AW73" t="str">
            <v>n/a</v>
          </cell>
          <cell r="AX73" t="str">
            <v>n/a</v>
          </cell>
          <cell r="AY73" t="str">
            <v>n/a</v>
          </cell>
          <cell r="AZ73">
            <v>36</v>
          </cell>
          <cell r="BA73">
            <v>74</v>
          </cell>
          <cell r="BB73">
            <v>4.9798115746971738E-2</v>
          </cell>
          <cell r="BC73">
            <v>3.9852422821900144E-2</v>
          </cell>
          <cell r="BD73">
            <v>6.2065440935822419E-2</v>
          </cell>
          <cell r="BE73" t="str">
            <v>n/a</v>
          </cell>
          <cell r="BU73">
            <v>2645</v>
          </cell>
          <cell r="BV73">
            <v>656</v>
          </cell>
          <cell r="BW73">
            <v>0.24801512287334593</v>
          </cell>
          <cell r="BX73">
            <v>222</v>
          </cell>
          <cell r="BY73" t="str">
            <v>n/a</v>
          </cell>
          <cell r="BZ73">
            <v>1360</v>
          </cell>
          <cell r="CA73">
            <v>2.3689665383476458E-2</v>
          </cell>
          <cell r="CB73">
            <v>740</v>
          </cell>
          <cell r="CC73">
            <v>770</v>
          </cell>
          <cell r="CD73">
            <v>785</v>
          </cell>
          <cell r="CE73">
            <v>691</v>
          </cell>
          <cell r="CF73" t="str">
            <v>n/a</v>
          </cell>
          <cell r="CG73" t="str">
            <v>n/a</v>
          </cell>
          <cell r="CH73" t="str">
            <v>n/a</v>
          </cell>
          <cell r="CI73" t="str">
            <v>n/a</v>
          </cell>
          <cell r="CJ73" t="str">
            <v>n/a</v>
          </cell>
          <cell r="CK73" t="str">
            <v>n/a</v>
          </cell>
          <cell r="CL73" t="str">
            <v>n/a</v>
          </cell>
          <cell r="CM73" t="str">
            <v>n/a</v>
          </cell>
          <cell r="CN73">
            <v>2105</v>
          </cell>
          <cell r="CO73">
            <v>8.2955665024630545E-2</v>
          </cell>
          <cell r="CP73">
            <v>1930</v>
          </cell>
          <cell r="CQ73">
            <v>7.5805184603299297E-2</v>
          </cell>
          <cell r="DE73">
            <v>0</v>
          </cell>
          <cell r="DG73">
            <v>-1.7000000000000001E-2</v>
          </cell>
          <cell r="DH73">
            <v>1.7000000000000001E-2</v>
          </cell>
          <cell r="DI73" t="str">
            <v>Sig better than Eng.</v>
          </cell>
          <cell r="DK73">
            <v>0</v>
          </cell>
          <cell r="DO73" t="str">
            <v>Sig better than Eng.</v>
          </cell>
          <cell r="DQ73">
            <v>0</v>
          </cell>
          <cell r="DS73">
            <v>-2.5999999999999999E-2</v>
          </cell>
          <cell r="DT73">
            <v>2.5999999999999999E-2</v>
          </cell>
          <cell r="DU73" t="str">
            <v>Sig better than Eng.</v>
          </cell>
          <cell r="DV73">
            <v>1303</v>
          </cell>
          <cell r="DW73">
            <v>90</v>
          </cell>
          <cell r="DX73">
            <v>6.9071373752877974E-2</v>
          </cell>
          <cell r="DY73">
            <v>4.7071373752877975E-2</v>
          </cell>
          <cell r="DZ73">
            <v>9.1071373752877965E-2</v>
          </cell>
          <cell r="EA73" t="str">
            <v>Sig better than Eng.</v>
          </cell>
          <cell r="EC73">
            <v>0</v>
          </cell>
          <cell r="EE73">
            <v>-3.2000000000000001E-2</v>
          </cell>
          <cell r="EF73">
            <v>3.2000000000000001E-2</v>
          </cell>
          <cell r="EG73" t="str">
            <v>Sig better than Eng.</v>
          </cell>
          <cell r="EI73">
            <v>0</v>
          </cell>
          <cell r="EK73">
            <v>-3.2000000000000001E-2</v>
          </cell>
          <cell r="EL73">
            <v>3.2000000000000001E-2</v>
          </cell>
          <cell r="EM73" t="str">
            <v>Sig better than Eng.</v>
          </cell>
          <cell r="EO73">
            <v>0</v>
          </cell>
          <cell r="EQ73">
            <v>-3.3000000000000002E-2</v>
          </cell>
          <cell r="ER73">
            <v>3.3000000000000002E-2</v>
          </cell>
          <cell r="ES73" t="str">
            <v>Sig better than Eng.</v>
          </cell>
          <cell r="ET73">
            <v>1154</v>
          </cell>
          <cell r="EU73">
            <v>133</v>
          </cell>
          <cell r="EV73">
            <v>0.11525129982668977</v>
          </cell>
          <cell r="EW73">
            <v>8.2251299826689772E-2</v>
          </cell>
          <cell r="EX73">
            <v>0.14825129982668978</v>
          </cell>
          <cell r="EY73" t="str">
            <v>Sig better than Eng.</v>
          </cell>
          <cell r="EZ73">
            <v>1637</v>
          </cell>
          <cell r="FA73">
            <v>947</v>
          </cell>
          <cell r="FB73">
            <v>0.57849725106902872</v>
          </cell>
          <cell r="FC73">
            <v>0.55442004800520173</v>
          </cell>
          <cell r="FD73">
            <v>0.60220690618250572</v>
          </cell>
          <cell r="FE73">
            <v>1637</v>
          </cell>
          <cell r="FF73">
            <v>34</v>
          </cell>
          <cell r="FG73">
            <v>327</v>
          </cell>
          <cell r="FH73">
            <v>25.431192660550472</v>
          </cell>
          <cell r="FI73">
            <v>0.25202374527792726</v>
          </cell>
          <cell r="FJ73">
            <v>1614</v>
          </cell>
          <cell r="FK73">
            <v>1025</v>
          </cell>
          <cell r="FL73">
            <v>0.63506815365551428</v>
          </cell>
          <cell r="FM73">
            <v>0.61128697123654441</v>
          </cell>
          <cell r="FN73">
            <v>0.65820791506573717</v>
          </cell>
          <cell r="FO73">
            <v>1614</v>
          </cell>
          <cell r="FP73">
            <v>34</v>
          </cell>
          <cell r="FQ73">
            <v>322</v>
          </cell>
          <cell r="FR73">
            <v>26.602484472049689</v>
          </cell>
          <cell r="FS73">
            <v>0.21757398611618561</v>
          </cell>
          <cell r="GQ73" t="str">
            <v>n/a</v>
          </cell>
          <cell r="GR73" t="str">
            <v>n/a</v>
          </cell>
          <cell r="GS73" t="str">
            <v>n/a</v>
          </cell>
          <cell r="GT73" t="str">
            <v>n/a</v>
          </cell>
          <cell r="GU73" t="str">
            <v>n/a</v>
          </cell>
          <cell r="GV73" t="str">
            <v>n/a</v>
          </cell>
          <cell r="GW73" t="str">
            <v>n/a</v>
          </cell>
          <cell r="GX73" t="str">
            <v>n/a</v>
          </cell>
          <cell r="GY73" t="str">
            <v>n/a</v>
          </cell>
          <cell r="GZ73" t="str">
            <v>n/a</v>
          </cell>
          <cell r="HA73" t="str">
            <v>n/a</v>
          </cell>
          <cell r="HB73" t="str">
            <v>n/a</v>
          </cell>
          <cell r="HC73" t="str">
            <v>n/a</v>
          </cell>
          <cell r="HD73" t="str">
            <v>n/a</v>
          </cell>
          <cell r="HE73" t="str">
            <v>n/a</v>
          </cell>
          <cell r="HF73" t="str">
            <v>n/a</v>
          </cell>
          <cell r="HG73" t="str">
            <v>n/a</v>
          </cell>
          <cell r="HH73" t="str">
            <v>n/a</v>
          </cell>
          <cell r="HI73" t="str">
            <v>n/a</v>
          </cell>
          <cell r="HJ73" t="str">
            <v>n/a</v>
          </cell>
          <cell r="HK73" t="str">
            <v>n/a</v>
          </cell>
          <cell r="HL73" t="str">
            <v>n/a</v>
          </cell>
          <cell r="HM73" t="str">
            <v>n/a</v>
          </cell>
          <cell r="HN73">
            <v>140</v>
          </cell>
          <cell r="HO73">
            <v>1.6794625719769675E-2</v>
          </cell>
          <cell r="HP73">
            <v>13214</v>
          </cell>
          <cell r="HQ73">
            <v>12411</v>
          </cell>
          <cell r="HR73">
            <v>803</v>
          </cell>
          <cell r="HS73">
            <v>6.0768881489329497E-2</v>
          </cell>
        </row>
        <row r="74">
          <cell r="A74" t="str">
            <v>Education Partnership Area - C3</v>
          </cell>
          <cell r="C74" t="str">
            <v>n/a</v>
          </cell>
          <cell r="D74" t="str">
            <v>n/a</v>
          </cell>
          <cell r="E74" t="str">
            <v>n/a</v>
          </cell>
          <cell r="G74" t="str">
            <v>n/a</v>
          </cell>
          <cell r="H74" t="str">
            <v>n/a</v>
          </cell>
          <cell r="I74" t="str">
            <v>Education Partnership Area - C3</v>
          </cell>
          <cell r="J74" t="str">
            <v>Coastal/Horsham and Mid Sussex</v>
          </cell>
          <cell r="K74" t="str">
            <v>n/a</v>
          </cell>
          <cell r="L74">
            <v>91850</v>
          </cell>
          <cell r="M74">
            <v>92650</v>
          </cell>
          <cell r="N74">
            <v>93800</v>
          </cell>
          <cell r="O74">
            <v>94800</v>
          </cell>
          <cell r="P74">
            <v>95550</v>
          </cell>
          <cell r="Q74">
            <v>96250</v>
          </cell>
          <cell r="R74">
            <v>97100</v>
          </cell>
          <cell r="S74">
            <v>97700</v>
          </cell>
          <cell r="T74">
            <v>98250</v>
          </cell>
          <cell r="U74">
            <v>98900</v>
          </cell>
          <cell r="V74">
            <v>5450</v>
          </cell>
          <cell r="W74">
            <v>5300</v>
          </cell>
          <cell r="X74">
            <v>5250</v>
          </cell>
          <cell r="Y74">
            <v>5450</v>
          </cell>
          <cell r="Z74">
            <v>5450</v>
          </cell>
          <cell r="AA74">
            <v>5500</v>
          </cell>
          <cell r="AB74">
            <v>5550</v>
          </cell>
          <cell r="AC74">
            <v>5650</v>
          </cell>
          <cell r="AD74">
            <v>5650</v>
          </cell>
          <cell r="AE74">
            <v>5650</v>
          </cell>
          <cell r="AF74">
            <v>0.88475177304964536</v>
          </cell>
          <cell r="AG74">
            <v>3.3687943262411348E-2</v>
          </cell>
          <cell r="AH74">
            <v>4.6099290780141841E-2</v>
          </cell>
          <cell r="AI74">
            <v>2.8368794326241134E-2</v>
          </cell>
          <cell r="AJ74">
            <v>4.4326241134751776E-3</v>
          </cell>
          <cell r="AK74">
            <v>1.7730496453900709E-3</v>
          </cell>
          <cell r="AL74">
            <v>0.11524822695035461</v>
          </cell>
          <cell r="AM74">
            <v>11218</v>
          </cell>
          <cell r="AN74">
            <v>0.70823676234622923</v>
          </cell>
          <cell r="AO74">
            <v>0.14423248350864681</v>
          </cell>
          <cell r="AP74">
            <v>0.1475307541451239</v>
          </cell>
          <cell r="AQ74" t="str">
            <v>n/a</v>
          </cell>
          <cell r="AR74" t="str">
            <v>n/a</v>
          </cell>
          <cell r="AS74" t="str">
            <v>n/a</v>
          </cell>
          <cell r="AT74" t="str">
            <v>n/a</v>
          </cell>
          <cell r="AU74" t="str">
            <v>n/a</v>
          </cell>
          <cell r="AV74" t="str">
            <v>n/a</v>
          </cell>
          <cell r="AW74" t="str">
            <v>n/a</v>
          </cell>
          <cell r="AX74" t="str">
            <v>n/a</v>
          </cell>
          <cell r="AY74" t="str">
            <v>n/a</v>
          </cell>
          <cell r="AZ74">
            <v>14</v>
          </cell>
          <cell r="BA74">
            <v>65</v>
          </cell>
          <cell r="BB74">
            <v>6.7991631799163177E-2</v>
          </cell>
          <cell r="BC74">
            <v>5.3701786657227038E-2</v>
          </cell>
          <cell r="BD74">
            <v>8.5739427921207589E-2</v>
          </cell>
          <cell r="BE74" t="str">
            <v>n/a</v>
          </cell>
          <cell r="BU74">
            <v>1846</v>
          </cell>
          <cell r="BV74">
            <v>527</v>
          </cell>
          <cell r="BW74">
            <v>0.28548212351029251</v>
          </cell>
          <cell r="BX74">
            <v>194</v>
          </cell>
          <cell r="BY74" t="str">
            <v>n/a</v>
          </cell>
          <cell r="BZ74">
            <v>1123</v>
          </cell>
          <cell r="CA74">
            <v>2.7908248216903998E-2</v>
          </cell>
          <cell r="CB74">
            <v>605</v>
          </cell>
          <cell r="CC74">
            <v>595</v>
          </cell>
          <cell r="CD74">
            <v>580</v>
          </cell>
          <cell r="CE74">
            <v>575</v>
          </cell>
          <cell r="CF74" t="str">
            <v>n/a</v>
          </cell>
          <cell r="CG74" t="str">
            <v>n/a</v>
          </cell>
          <cell r="CH74" t="str">
            <v>n/a</v>
          </cell>
          <cell r="CI74" t="str">
            <v>n/a</v>
          </cell>
          <cell r="CJ74" t="str">
            <v>n/a</v>
          </cell>
          <cell r="CK74" t="str">
            <v>n/a</v>
          </cell>
          <cell r="CL74" t="str">
            <v>n/a</v>
          </cell>
          <cell r="CM74" t="str">
            <v>n/a</v>
          </cell>
          <cell r="CN74">
            <v>1575</v>
          </cell>
          <cell r="CO74">
            <v>8.7792642140468224E-2</v>
          </cell>
          <cell r="CP74">
            <v>1455</v>
          </cell>
          <cell r="CQ74">
            <v>8.1284916201117316E-2</v>
          </cell>
          <cell r="DE74">
            <v>0</v>
          </cell>
          <cell r="DG74">
            <v>-1.7000000000000001E-2</v>
          </cell>
          <cell r="DH74">
            <v>1.7000000000000001E-2</v>
          </cell>
          <cell r="DI74" t="str">
            <v>Sig better than Eng.</v>
          </cell>
          <cell r="DK74">
            <v>0</v>
          </cell>
          <cell r="DO74" t="str">
            <v>Sig better than Eng.</v>
          </cell>
          <cell r="DQ74">
            <v>0</v>
          </cell>
          <cell r="DS74">
            <v>-2.5999999999999999E-2</v>
          </cell>
          <cell r="DT74">
            <v>2.5999999999999999E-2</v>
          </cell>
          <cell r="DU74" t="str">
            <v>Sig better than Eng.</v>
          </cell>
          <cell r="DV74">
            <v>872</v>
          </cell>
          <cell r="DW74">
            <v>65</v>
          </cell>
          <cell r="DX74">
            <v>7.4541284403669722E-2</v>
          </cell>
          <cell r="DY74">
            <v>5.2541284403669723E-2</v>
          </cell>
          <cell r="DZ74">
            <v>9.6541284403669714E-2</v>
          </cell>
          <cell r="EA74" t="str">
            <v>No Sig diff</v>
          </cell>
          <cell r="EC74">
            <v>0</v>
          </cell>
          <cell r="EE74">
            <v>-3.2000000000000001E-2</v>
          </cell>
          <cell r="EF74">
            <v>3.2000000000000001E-2</v>
          </cell>
          <cell r="EG74" t="str">
            <v>Sig better than Eng.</v>
          </cell>
          <cell r="EI74">
            <v>0</v>
          </cell>
          <cell r="EK74">
            <v>-3.2000000000000001E-2</v>
          </cell>
          <cell r="EL74">
            <v>3.2000000000000001E-2</v>
          </cell>
          <cell r="EM74" t="str">
            <v>Sig better than Eng.</v>
          </cell>
          <cell r="EO74">
            <v>0</v>
          </cell>
          <cell r="EQ74">
            <v>-3.3000000000000002E-2</v>
          </cell>
          <cell r="ER74">
            <v>3.3000000000000002E-2</v>
          </cell>
          <cell r="ES74" t="str">
            <v>Sig better than Eng.</v>
          </cell>
          <cell r="ET74">
            <v>880</v>
          </cell>
          <cell r="EU74">
            <v>115.99999999999999</v>
          </cell>
          <cell r="EV74">
            <v>0.13181818181818181</v>
          </cell>
          <cell r="EW74">
            <v>9.8818181818181805E-2</v>
          </cell>
          <cell r="EX74">
            <v>0.16481818181818181</v>
          </cell>
          <cell r="EY74" t="str">
            <v>Sig better than Eng.</v>
          </cell>
          <cell r="EZ74">
            <v>1048</v>
          </cell>
          <cell r="FA74">
            <v>616</v>
          </cell>
          <cell r="FB74">
            <v>0.58778625954198471</v>
          </cell>
          <cell r="FC74">
            <v>0.55771687583754714</v>
          </cell>
          <cell r="FD74">
            <v>0.61721443007075727</v>
          </cell>
          <cell r="FE74">
            <v>1048</v>
          </cell>
          <cell r="FF74">
            <v>34</v>
          </cell>
          <cell r="FG74">
            <v>209</v>
          </cell>
          <cell r="FH74">
            <v>25.28708133971292</v>
          </cell>
          <cell r="FI74">
            <v>0.25626231353785528</v>
          </cell>
          <cell r="FJ74">
            <v>1190</v>
          </cell>
          <cell r="FK74">
            <v>753</v>
          </cell>
          <cell r="FL74">
            <v>0.63277310924369745</v>
          </cell>
          <cell r="FM74">
            <v>0.60499829450020992</v>
          </cell>
          <cell r="FN74">
            <v>0.6596934680996186</v>
          </cell>
          <cell r="FO74">
            <v>1190</v>
          </cell>
          <cell r="FP74">
            <v>34</v>
          </cell>
          <cell r="FQ74">
            <v>238</v>
          </cell>
          <cell r="FR74">
            <v>25.205882352941188</v>
          </cell>
          <cell r="FS74">
            <v>0.2586505190311415</v>
          </cell>
          <cell r="GQ74" t="str">
            <v>n/a</v>
          </cell>
          <cell r="GR74" t="str">
            <v>n/a</v>
          </cell>
          <cell r="GS74" t="str">
            <v>n/a</v>
          </cell>
          <cell r="GT74" t="str">
            <v>n/a</v>
          </cell>
          <cell r="GU74" t="str">
            <v>n/a</v>
          </cell>
          <cell r="GV74" t="str">
            <v>n/a</v>
          </cell>
          <cell r="GW74" t="str">
            <v>n/a</v>
          </cell>
          <cell r="GX74" t="str">
            <v>n/a</v>
          </cell>
          <cell r="GY74" t="str">
            <v>n/a</v>
          </cell>
          <cell r="GZ74" t="str">
            <v>n/a</v>
          </cell>
          <cell r="HA74" t="str">
            <v>n/a</v>
          </cell>
          <cell r="HB74" t="str">
            <v>n/a</v>
          </cell>
          <cell r="HC74" t="str">
            <v>n/a</v>
          </cell>
          <cell r="HD74" t="str">
            <v>n/a</v>
          </cell>
          <cell r="HE74" t="str">
            <v>n/a</v>
          </cell>
          <cell r="HF74" t="str">
            <v>n/a</v>
          </cell>
          <cell r="HG74" t="str">
            <v>n/a</v>
          </cell>
          <cell r="HH74" t="str">
            <v>n/a</v>
          </cell>
          <cell r="HI74" t="str">
            <v>n/a</v>
          </cell>
          <cell r="HJ74" t="str">
            <v>n/a</v>
          </cell>
          <cell r="HK74" t="str">
            <v>n/a</v>
          </cell>
          <cell r="HL74" t="str">
            <v>n/a</v>
          </cell>
          <cell r="HM74" t="str">
            <v>n/a</v>
          </cell>
          <cell r="HN74">
            <v>91</v>
          </cell>
          <cell r="HO74">
            <v>1.6169154228855721E-2</v>
          </cell>
          <cell r="HP74">
            <v>8760</v>
          </cell>
          <cell r="HQ74">
            <v>8176</v>
          </cell>
          <cell r="HR74">
            <v>584</v>
          </cell>
          <cell r="HS74">
            <v>6.6666666666666666E-2</v>
          </cell>
        </row>
        <row r="75">
          <cell r="A75" t="str">
            <v>West Sussex</v>
          </cell>
          <cell r="C75" t="str">
            <v>n/a</v>
          </cell>
          <cell r="D75" t="str">
            <v>n/a</v>
          </cell>
          <cell r="E75" t="str">
            <v>n/a</v>
          </cell>
          <cell r="G75" t="str">
            <v>n/a</v>
          </cell>
          <cell r="H75" t="str">
            <v>n/a</v>
          </cell>
          <cell r="I75" t="str">
            <v>n/a</v>
          </cell>
          <cell r="J75" t="str">
            <v>n/a</v>
          </cell>
          <cell r="K75" t="str">
            <v>n/a</v>
          </cell>
          <cell r="L75">
            <v>766000</v>
          </cell>
          <cell r="M75">
            <v>770800</v>
          </cell>
          <cell r="N75">
            <v>777400</v>
          </cell>
          <cell r="O75">
            <v>784300</v>
          </cell>
          <cell r="P75">
            <v>791000</v>
          </cell>
          <cell r="Q75">
            <v>796000</v>
          </cell>
          <cell r="R75">
            <v>803200</v>
          </cell>
          <cell r="S75">
            <v>808900</v>
          </cell>
          <cell r="T75">
            <v>815100</v>
          </cell>
          <cell r="U75">
            <v>821400</v>
          </cell>
          <cell r="V75">
            <v>40800</v>
          </cell>
          <cell r="W75">
            <v>40700</v>
          </cell>
          <cell r="X75">
            <v>41300</v>
          </cell>
          <cell r="Y75">
            <v>42600</v>
          </cell>
          <cell r="Z75">
            <v>43700</v>
          </cell>
          <cell r="AA75">
            <v>44500</v>
          </cell>
          <cell r="AB75">
            <v>45700</v>
          </cell>
          <cell r="AC75">
            <v>46700</v>
          </cell>
          <cell r="AD75">
            <v>47600</v>
          </cell>
          <cell r="AE75">
            <v>47800</v>
          </cell>
          <cell r="AF75">
            <v>0.8356459072819189</v>
          </cell>
          <cell r="AG75">
            <v>4.442293212864365E-2</v>
          </cell>
          <cell r="AH75">
            <v>4.7434656340755083E-2</v>
          </cell>
          <cell r="AI75">
            <v>5.4856405292029689E-2</v>
          </cell>
          <cell r="AJ75">
            <v>1.2907389480477573E-2</v>
          </cell>
          <cell r="AK75">
            <v>4.7327094761751105E-3</v>
          </cell>
          <cell r="AL75">
            <v>0.16252554587501344</v>
          </cell>
          <cell r="AM75">
            <v>89522</v>
          </cell>
          <cell r="AN75">
            <v>0.62169075757914261</v>
          </cell>
          <cell r="AO75">
            <v>0.17295190009159758</v>
          </cell>
          <cell r="AP75">
            <v>0.20535734232925984</v>
          </cell>
          <cell r="AQ75">
            <v>8927</v>
          </cell>
          <cell r="AR75">
            <v>9024</v>
          </cell>
          <cell r="AS75">
            <v>9198</v>
          </cell>
          <cell r="AT75">
            <v>9207</v>
          </cell>
          <cell r="AU75">
            <v>8835</v>
          </cell>
          <cell r="AV75">
            <v>456</v>
          </cell>
          <cell r="AW75">
            <v>399</v>
          </cell>
          <cell r="AX75">
            <v>367</v>
          </cell>
          <cell r="AY75">
            <v>345</v>
          </cell>
          <cell r="AZ75">
            <v>331</v>
          </cell>
          <cell r="BE75">
            <v>714</v>
          </cell>
          <cell r="BF75">
            <v>14471</v>
          </cell>
          <cell r="BG75">
            <v>14675</v>
          </cell>
          <cell r="BH75">
            <v>7032</v>
          </cell>
          <cell r="BJ75">
            <v>92663</v>
          </cell>
          <cell r="BK75">
            <v>163825</v>
          </cell>
          <cell r="BL75">
            <v>93098</v>
          </cell>
          <cell r="BM75">
            <v>55058</v>
          </cell>
          <cell r="BN75">
            <v>53</v>
          </cell>
          <cell r="BO75">
            <v>12250</v>
          </cell>
          <cell r="BP75">
            <v>18695</v>
          </cell>
          <cell r="BQ75">
            <v>7042</v>
          </cell>
          <cell r="BR75">
            <v>5340</v>
          </cell>
          <cell r="BS75">
            <v>5030</v>
          </cell>
          <cell r="BT75">
            <v>4265</v>
          </cell>
          <cell r="BU75">
            <v>18637</v>
          </cell>
          <cell r="BV75">
            <v>6279</v>
          </cell>
          <cell r="BW75">
            <v>0.33691044696034772</v>
          </cell>
          <cell r="BX75">
            <v>1695</v>
          </cell>
          <cell r="BY75" t="str">
            <v>n/a</v>
          </cell>
          <cell r="BZ75">
            <v>12980</v>
          </cell>
          <cell r="CA75">
            <v>3.7999999999999999E-2</v>
          </cell>
          <cell r="CB75">
            <v>7205</v>
          </cell>
          <cell r="CC75">
            <v>7205</v>
          </cell>
          <cell r="CD75">
            <v>8688</v>
          </cell>
          <cell r="CE75">
            <v>6781</v>
          </cell>
          <cell r="CF75">
            <v>19140</v>
          </cell>
          <cell r="CG75">
            <v>0.13900000000000001</v>
          </cell>
          <cell r="CH75">
            <v>18490</v>
          </cell>
          <cell r="CI75">
            <v>0.13400000000000001</v>
          </cell>
          <cell r="CJ75">
            <v>19950</v>
          </cell>
          <cell r="CK75">
            <v>0.14299999999999999</v>
          </cell>
          <cell r="CL75">
            <v>19345</v>
          </cell>
          <cell r="CM75">
            <v>0.13800000000000001</v>
          </cell>
          <cell r="CN75">
            <v>19070</v>
          </cell>
          <cell r="CO75">
            <v>0.13500000000000001</v>
          </cell>
          <cell r="CP75">
            <v>17645</v>
          </cell>
          <cell r="CQ75">
            <v>0.124</v>
          </cell>
          <cell r="CR75">
            <v>8655</v>
          </cell>
          <cell r="CS75">
            <v>345</v>
          </cell>
          <cell r="CT75">
            <v>8310</v>
          </cell>
          <cell r="CU75">
            <v>0.94599999999999995</v>
          </cell>
          <cell r="CV75">
            <v>3498</v>
          </cell>
          <cell r="CW75">
            <v>4605</v>
          </cell>
          <cell r="CX75">
            <v>0.42299999999999999</v>
          </cell>
          <cell r="CY75">
            <v>0.55200000000000005</v>
          </cell>
          <cell r="DD75">
            <v>6935</v>
          </cell>
          <cell r="DE75">
            <v>540.92999999999995</v>
          </cell>
          <cell r="DF75">
            <v>7.8E-2</v>
          </cell>
          <cell r="DG75">
            <v>7.1999999999999995E-2</v>
          </cell>
          <cell r="DH75">
            <v>8.4000000000000005E-2</v>
          </cell>
          <cell r="DI75" t="str">
            <v>Sig better than Eng.</v>
          </cell>
          <cell r="DJ75">
            <v>7601</v>
          </cell>
          <cell r="DK75">
            <v>7601.08</v>
          </cell>
          <cell r="DL75">
            <v>0.08</v>
          </cell>
          <cell r="DM75">
            <v>7.3999999999999996E-2</v>
          </cell>
          <cell r="DN75">
            <v>8.6000000000000007E-2</v>
          </cell>
          <cell r="DO75" t="str">
            <v>Sig better than Eng.</v>
          </cell>
          <cell r="DP75">
            <v>6858</v>
          </cell>
          <cell r="DQ75">
            <v>541.78200000000004</v>
          </cell>
          <cell r="DR75">
            <v>7.9000000000000001E-2</v>
          </cell>
          <cell r="DS75">
            <v>7.2999999999999995E-2</v>
          </cell>
          <cell r="DT75">
            <v>8.5000000000000006E-2</v>
          </cell>
          <cell r="DU75" t="str">
            <v>Sig better than Eng.</v>
          </cell>
          <cell r="DV75">
            <v>7939</v>
          </cell>
          <cell r="DW75">
            <v>674.81500000000005</v>
          </cell>
          <cell r="DX75">
            <v>8.5000000000000006E-2</v>
          </cell>
          <cell r="DY75">
            <v>7.9000000000000001E-2</v>
          </cell>
          <cell r="DZ75">
            <v>9.1000000000000011E-2</v>
          </cell>
          <cell r="EA75" t="str">
            <v>Sig better than Eng.</v>
          </cell>
          <cell r="EB75">
            <v>7034</v>
          </cell>
          <cell r="EC75">
            <v>1104.338</v>
          </cell>
          <cell r="ED75">
            <v>0.157</v>
          </cell>
          <cell r="EE75">
            <v>0.14799999999999999</v>
          </cell>
          <cell r="EF75">
            <v>0.16600000000000001</v>
          </cell>
          <cell r="EG75" t="str">
            <v>Sig better than Eng.</v>
          </cell>
          <cell r="EH75">
            <v>7004</v>
          </cell>
          <cell r="EI75">
            <v>1113.636</v>
          </cell>
          <cell r="EJ75">
            <v>0.159</v>
          </cell>
          <cell r="EK75">
            <v>0.15</v>
          </cell>
          <cell r="EL75">
            <v>0.16800000000000001</v>
          </cell>
          <cell r="EM75" t="str">
            <v>Sig better than Eng.</v>
          </cell>
          <cell r="EN75">
            <v>6928</v>
          </cell>
          <cell r="EO75">
            <v>1080.768</v>
          </cell>
          <cell r="EP75">
            <v>0.156</v>
          </cell>
          <cell r="EQ75">
            <v>0.14699999999999999</v>
          </cell>
          <cell r="ER75">
            <v>0.16500000000000001</v>
          </cell>
          <cell r="ES75" t="str">
            <v>Sig better than Eng.</v>
          </cell>
          <cell r="ET75">
            <v>6804</v>
          </cell>
          <cell r="EU75">
            <v>1000.188</v>
          </cell>
          <cell r="EV75">
            <v>0.14699999999999999</v>
          </cell>
          <cell r="EW75">
            <v>0.13899999999999998</v>
          </cell>
          <cell r="EX75">
            <v>0.155</v>
          </cell>
          <cell r="EY75" t="str">
            <v>Sig better than Eng.</v>
          </cell>
          <cell r="FB75">
            <v>0.52</v>
          </cell>
          <cell r="FF75">
            <v>34</v>
          </cell>
          <cell r="FH75">
            <v>23.7</v>
          </cell>
          <cell r="FI75">
            <v>0.30399999999999999</v>
          </cell>
          <cell r="FL75">
            <v>0.59</v>
          </cell>
          <cell r="FP75">
            <v>34</v>
          </cell>
          <cell r="FR75">
            <v>24.5</v>
          </cell>
          <cell r="FS75">
            <v>0.27900000000000003</v>
          </cell>
          <cell r="FT75">
            <v>117072</v>
          </cell>
          <cell r="FU75">
            <v>113395</v>
          </cell>
          <cell r="FV75">
            <v>3677</v>
          </cell>
          <cell r="FW75">
            <v>3091</v>
          </cell>
          <cell r="FX75">
            <v>586</v>
          </cell>
          <cell r="FY75">
            <v>0.84063094914332337</v>
          </cell>
          <cell r="FZ75">
            <v>0.15936905085667663</v>
          </cell>
          <cell r="GA75">
            <v>0.88888888888888884</v>
          </cell>
          <cell r="GB75">
            <v>0.1111111111111111</v>
          </cell>
          <cell r="GC75">
            <v>0.10265589099194035</v>
          </cell>
          <cell r="GD75">
            <v>0.12016948154318471</v>
          </cell>
          <cell r="GE75">
            <v>0.9129116993331986</v>
          </cell>
          <cell r="GF75">
            <v>8.7088300666801371E-2</v>
          </cell>
          <cell r="GG75">
            <v>7.9549266554230474E-2</v>
          </cell>
          <cell r="GH75">
            <v>9.5267872762318642E-2</v>
          </cell>
          <cell r="GI75">
            <v>0.89232948795790323</v>
          </cell>
          <cell r="GJ75">
            <v>0.10767051204209674</v>
          </cell>
          <cell r="GK75">
            <v>9.9330388823194393E-2</v>
          </cell>
          <cell r="GL75">
            <v>0.11662022929165079</v>
          </cell>
          <cell r="GM75">
            <v>0.775904104022755</v>
          </cell>
          <cell r="GN75">
            <v>0.22409589597724502</v>
          </cell>
          <cell r="GO75">
            <v>0.21266415369596228</v>
          </cell>
          <cell r="GP75">
            <v>0.23595798632575507</v>
          </cell>
          <cell r="GQ75" t="str">
            <v>n/a</v>
          </cell>
          <cell r="GR75" t="str">
            <v>n/a</v>
          </cell>
          <cell r="GS75" t="str">
            <v>n/a</v>
          </cell>
          <cell r="GT75" t="str">
            <v>n/a</v>
          </cell>
          <cell r="GU75" t="str">
            <v>n/a</v>
          </cell>
          <cell r="GV75" t="str">
            <v>n/a</v>
          </cell>
          <cell r="GW75" t="str">
            <v>n/a</v>
          </cell>
          <cell r="GX75" t="str">
            <v>n/a</v>
          </cell>
          <cell r="GY75" t="str">
            <v>n/a</v>
          </cell>
          <cell r="GZ75" t="str">
            <v>n/a</v>
          </cell>
          <cell r="HA75" t="str">
            <v>n/a</v>
          </cell>
          <cell r="HB75" t="str">
            <v>n/a</v>
          </cell>
          <cell r="HC75" t="str">
            <v>n/a</v>
          </cell>
          <cell r="HD75" t="str">
            <v>n/a</v>
          </cell>
          <cell r="HE75" t="str">
            <v>n/a</v>
          </cell>
          <cell r="HF75" t="str">
            <v>n/a</v>
          </cell>
          <cell r="HG75" t="str">
            <v>n/a</v>
          </cell>
          <cell r="HH75" t="str">
            <v>n/a</v>
          </cell>
          <cell r="HI75" t="str">
            <v>n/a</v>
          </cell>
          <cell r="HJ75" t="str">
            <v>n/a</v>
          </cell>
          <cell r="HK75" t="str">
            <v>n/a</v>
          </cell>
          <cell r="HL75" t="str">
            <v>n/a</v>
          </cell>
          <cell r="HM75" t="str">
            <v>n/a</v>
          </cell>
          <cell r="HN75">
            <v>853</v>
          </cell>
          <cell r="HO75">
            <v>1.8369764186497255E-2</v>
          </cell>
          <cell r="HP75">
            <v>72948</v>
          </cell>
          <cell r="HQ75">
            <v>65639</v>
          </cell>
          <cell r="HR75">
            <v>7309</v>
          </cell>
          <cell r="HS75">
            <v>0.10019465920929978</v>
          </cell>
        </row>
        <row r="76">
          <cell r="A76" t="str">
            <v>South East</v>
          </cell>
          <cell r="C76" t="str">
            <v>n/a</v>
          </cell>
          <cell r="D76" t="str">
            <v>n/a</v>
          </cell>
          <cell r="E76" t="str">
            <v>n/a</v>
          </cell>
          <cell r="G76" t="str">
            <v>n/a</v>
          </cell>
          <cell r="H76" t="str">
            <v>n/a</v>
          </cell>
          <cell r="I76" t="str">
            <v>n/a</v>
          </cell>
          <cell r="J76" t="str">
            <v>n/a</v>
          </cell>
          <cell r="K76" t="str">
            <v>n/a</v>
          </cell>
          <cell r="L76">
            <v>8133100</v>
          </cell>
          <cell r="M76">
            <v>8202900</v>
          </cell>
          <cell r="N76">
            <v>8270900</v>
          </cell>
          <cell r="O76">
            <v>8351400</v>
          </cell>
          <cell r="P76">
            <v>8426400</v>
          </cell>
          <cell r="Q76">
            <v>8490900</v>
          </cell>
          <cell r="R76">
            <v>8577800</v>
          </cell>
          <cell r="S76">
            <v>8652800</v>
          </cell>
          <cell r="T76">
            <v>8724700</v>
          </cell>
          <cell r="U76">
            <v>8792600</v>
          </cell>
          <cell r="V76">
            <v>460400</v>
          </cell>
          <cell r="W76">
            <v>463200</v>
          </cell>
          <cell r="X76">
            <v>471000</v>
          </cell>
          <cell r="Y76">
            <v>485900</v>
          </cell>
          <cell r="Z76">
            <v>500100</v>
          </cell>
          <cell r="AA76">
            <v>510600</v>
          </cell>
          <cell r="AB76">
            <v>525200</v>
          </cell>
          <cell r="AC76">
            <v>536000</v>
          </cell>
          <cell r="AD76">
            <v>545700</v>
          </cell>
          <cell r="AE76">
            <v>547500</v>
          </cell>
          <cell r="AF76">
            <v>0.78797720104448421</v>
          </cell>
          <cell r="AG76">
            <v>4.9481969545237585E-2</v>
          </cell>
          <cell r="AH76">
            <v>5.8579089726431249E-2</v>
          </cell>
          <cell r="AI76">
            <v>7.2617855438149873E-2</v>
          </cell>
          <cell r="AJ76">
            <v>2.3922056772768537E-2</v>
          </cell>
          <cell r="AK76">
            <v>7.4218274729285797E-3</v>
          </cell>
          <cell r="AL76">
            <v>0.20955197619025334</v>
          </cell>
          <cell r="AM76">
            <v>1020973</v>
          </cell>
          <cell r="AN76">
            <v>0.60131071046932683</v>
          </cell>
          <cell r="AO76">
            <v>0.17231993402372051</v>
          </cell>
          <cell r="AP76">
            <v>0.22636935550695267</v>
          </cell>
          <cell r="AQ76">
            <v>103669</v>
          </cell>
          <cell r="AR76">
            <v>106434</v>
          </cell>
          <cell r="AS76">
            <v>107132</v>
          </cell>
          <cell r="AT76">
            <v>107858</v>
          </cell>
          <cell r="AU76">
            <v>102190</v>
          </cell>
          <cell r="AV76">
            <v>5317</v>
          </cell>
          <cell r="AW76">
            <v>4994</v>
          </cell>
          <cell r="AX76">
            <v>4521</v>
          </cell>
          <cell r="AY76">
            <v>4191</v>
          </cell>
          <cell r="AZ76">
            <v>3686</v>
          </cell>
          <cell r="BE76" t="str">
            <v>n/a</v>
          </cell>
          <cell r="BF76">
            <v>167421</v>
          </cell>
          <cell r="BG76">
            <v>162401</v>
          </cell>
          <cell r="BH76">
            <v>85422</v>
          </cell>
          <cell r="BJ76">
            <v>1041021</v>
          </cell>
          <cell r="BK76">
            <v>1860927</v>
          </cell>
          <cell r="BL76">
            <v>1044637</v>
          </cell>
          <cell r="BM76">
            <v>607685</v>
          </cell>
          <cell r="BN76">
            <v>566</v>
          </cell>
          <cell r="BO76">
            <v>138651</v>
          </cell>
          <cell r="BP76">
            <v>216366</v>
          </cell>
          <cell r="BQ76">
            <v>81369</v>
          </cell>
          <cell r="BU76">
            <v>215348</v>
          </cell>
          <cell r="BV76">
            <v>78504</v>
          </cell>
          <cell r="BW76">
            <v>0.364544829763917</v>
          </cell>
          <cell r="BX76">
            <v>22090</v>
          </cell>
          <cell r="BY76" t="str">
            <v>n/a</v>
          </cell>
          <cell r="BZ76">
            <v>143980</v>
          </cell>
          <cell r="CA76">
            <v>0.04</v>
          </cell>
          <cell r="CB76">
            <v>87780</v>
          </cell>
          <cell r="CC76">
            <v>87380</v>
          </cell>
          <cell r="CD76">
            <v>88800</v>
          </cell>
          <cell r="CE76">
            <v>84810</v>
          </cell>
          <cell r="CF76">
            <v>238745</v>
          </cell>
          <cell r="CG76">
            <v>0.156</v>
          </cell>
          <cell r="CH76">
            <v>233325</v>
          </cell>
          <cell r="CI76">
            <v>0.152</v>
          </cell>
          <cell r="CJ76">
            <v>249690</v>
          </cell>
          <cell r="CK76">
            <v>0.16</v>
          </cell>
          <cell r="CL76">
            <v>243950</v>
          </cell>
          <cell r="CM76">
            <v>0.155</v>
          </cell>
          <cell r="CN76">
            <v>239725</v>
          </cell>
          <cell r="CO76">
            <v>0.151</v>
          </cell>
          <cell r="CP76">
            <v>226290</v>
          </cell>
          <cell r="CQ76">
            <v>0.14199999999999999</v>
          </cell>
          <cell r="CY76">
            <v>0.48899999999999999</v>
          </cell>
          <cell r="DD76">
            <v>82264</v>
          </cell>
          <cell r="DE76">
            <v>7156.9679999999998</v>
          </cell>
          <cell r="DF76">
            <v>8.6999999999999994E-2</v>
          </cell>
          <cell r="DG76">
            <v>8.4999999999999992E-2</v>
          </cell>
          <cell r="DH76">
            <v>8.8999999999999996E-2</v>
          </cell>
          <cell r="DI76" t="str">
            <v>Sig better than Eng.</v>
          </cell>
          <cell r="DJ76">
            <v>83380</v>
          </cell>
          <cell r="DK76">
            <v>83380.081999999995</v>
          </cell>
          <cell r="DL76">
            <v>8.2000000000000003E-2</v>
          </cell>
          <cell r="DM76">
            <v>0.08</v>
          </cell>
          <cell r="DN76">
            <v>8.4000000000000005E-2</v>
          </cell>
          <cell r="DO76" t="str">
            <v>Sig better than Eng.</v>
          </cell>
          <cell r="DP76">
            <v>87844</v>
          </cell>
          <cell r="DQ76">
            <v>7291.0520000000006</v>
          </cell>
          <cell r="DR76">
            <v>8.3000000000000004E-2</v>
          </cell>
          <cell r="DS76">
            <v>8.1000000000000003E-2</v>
          </cell>
          <cell r="DT76">
            <v>8.5000000000000006E-2</v>
          </cell>
          <cell r="DU76" t="str">
            <v>Sig better than Eng.</v>
          </cell>
          <cell r="DV76">
            <v>89710</v>
          </cell>
          <cell r="DW76">
            <v>7087.09</v>
          </cell>
          <cell r="DX76">
            <v>7.9000000000000001E-2</v>
          </cell>
          <cell r="DY76">
            <v>7.6999999999999999E-2</v>
          </cell>
          <cell r="DZ76">
            <v>8.1000000000000003E-2</v>
          </cell>
          <cell r="EA76" t="str">
            <v>Sig better than Eng.</v>
          </cell>
          <cell r="EB76">
            <v>78560</v>
          </cell>
          <cell r="EC76">
            <v>13040.960000000001</v>
          </cell>
          <cell r="ED76">
            <v>0.16600000000000001</v>
          </cell>
          <cell r="EE76">
            <v>0.16300000000000001</v>
          </cell>
          <cell r="EF76">
            <v>0.16900000000000001</v>
          </cell>
          <cell r="EG76" t="str">
            <v>Sig better than Eng.</v>
          </cell>
          <cell r="EH76">
            <v>76553</v>
          </cell>
          <cell r="EI76">
            <v>12707.798000000001</v>
          </cell>
          <cell r="EJ76">
            <v>0.16600000000000001</v>
          </cell>
          <cell r="EK76">
            <v>0.16300000000000001</v>
          </cell>
          <cell r="EL76">
            <v>0.16900000000000001</v>
          </cell>
          <cell r="EM76" t="str">
            <v>Sig better than Eng.</v>
          </cell>
          <cell r="EN76">
            <v>76433</v>
          </cell>
          <cell r="EO76">
            <v>12611.445</v>
          </cell>
          <cell r="EP76">
            <v>0.16500000000000001</v>
          </cell>
          <cell r="EQ76">
            <v>0.16200000000000001</v>
          </cell>
          <cell r="ER76">
            <v>0.16800000000000001</v>
          </cell>
          <cell r="ES76" t="str">
            <v>Sig better than Eng.</v>
          </cell>
          <cell r="ET76">
            <v>76191</v>
          </cell>
          <cell r="EU76">
            <v>12190.56</v>
          </cell>
          <cell r="EV76">
            <v>0.16</v>
          </cell>
          <cell r="EW76">
            <v>0.157</v>
          </cell>
          <cell r="EX76">
            <v>0.16300000000000001</v>
          </cell>
          <cell r="EY76" t="str">
            <v>Sig better than Eng.</v>
          </cell>
          <cell r="FB76">
            <v>0.54</v>
          </cell>
          <cell r="FF76">
            <v>34</v>
          </cell>
          <cell r="FH76">
            <v>23.4</v>
          </cell>
          <cell r="FI76">
            <v>0.311</v>
          </cell>
          <cell r="FL76">
            <v>0.64</v>
          </cell>
          <cell r="FP76">
            <v>34</v>
          </cell>
          <cell r="FR76">
            <v>24.7</v>
          </cell>
          <cell r="FS76">
            <v>0.27500000000000002</v>
          </cell>
          <cell r="FT76">
            <v>1321193</v>
          </cell>
          <cell r="FU76">
            <v>1269063</v>
          </cell>
          <cell r="FV76">
            <v>52130</v>
          </cell>
          <cell r="FW76">
            <v>43594</v>
          </cell>
          <cell r="FX76">
            <v>8536</v>
          </cell>
          <cell r="FY76">
            <v>0.83625551505850759</v>
          </cell>
          <cell r="FZ76">
            <v>0.16374448494149244</v>
          </cell>
          <cell r="GQ76" t="str">
            <v>n/a</v>
          </cell>
          <cell r="GR76" t="str">
            <v>n/a</v>
          </cell>
          <cell r="GS76" t="str">
            <v>n/a</v>
          </cell>
          <cell r="GT76" t="str">
            <v>n/a</v>
          </cell>
          <cell r="GU76" t="str">
            <v>n/a</v>
          </cell>
          <cell r="GV76" t="str">
            <v>n/a</v>
          </cell>
          <cell r="GW76" t="str">
            <v>n/a</v>
          </cell>
          <cell r="GX76" t="str">
            <v>n/a</v>
          </cell>
          <cell r="GY76" t="str">
            <v>n/a</v>
          </cell>
          <cell r="GZ76" t="str">
            <v>n/a</v>
          </cell>
          <cell r="HA76" t="str">
            <v>n/a</v>
          </cell>
          <cell r="HB76" t="str">
            <v>n/a</v>
          </cell>
          <cell r="HC76" t="str">
            <v>n/a</v>
          </cell>
          <cell r="HD76" t="str">
            <v>n/a</v>
          </cell>
          <cell r="HE76" t="str">
            <v>n/a</v>
          </cell>
          <cell r="HF76" t="str">
            <v>n/a</v>
          </cell>
          <cell r="HG76" t="str">
            <v>n/a</v>
          </cell>
          <cell r="HH76" t="str">
            <v>n/a</v>
          </cell>
          <cell r="HI76" t="str">
            <v>n/a</v>
          </cell>
          <cell r="HJ76" t="str">
            <v>n/a</v>
          </cell>
          <cell r="HK76" t="str">
            <v>n/a</v>
          </cell>
          <cell r="HL76" t="str">
            <v>n/a</v>
          </cell>
          <cell r="HM76" t="str">
            <v>n/a</v>
          </cell>
          <cell r="HN76">
            <v>10296</v>
          </cell>
          <cell r="HO76">
            <v>1.9291520050364809E-2</v>
          </cell>
          <cell r="HP76">
            <v>838584</v>
          </cell>
          <cell r="HQ76">
            <v>748605</v>
          </cell>
          <cell r="HR76">
            <v>89979</v>
          </cell>
          <cell r="HS76">
            <v>0.10729873214847886</v>
          </cell>
        </row>
        <row r="77">
          <cell r="A77" t="str">
            <v>England</v>
          </cell>
          <cell r="C77" t="str">
            <v>n/a</v>
          </cell>
          <cell r="D77" t="str">
            <v>n/a</v>
          </cell>
          <cell r="E77" t="str">
            <v>n/a</v>
          </cell>
          <cell r="G77" t="str">
            <v>n/a</v>
          </cell>
          <cell r="H77" t="str">
            <v>n/a</v>
          </cell>
          <cell r="I77" t="str">
            <v>n/a</v>
          </cell>
          <cell r="J77" t="str">
            <v>n/a</v>
          </cell>
          <cell r="K77" t="str">
            <v>n/a</v>
          </cell>
          <cell r="L77">
            <v>50194600</v>
          </cell>
          <cell r="M77">
            <v>50606000</v>
          </cell>
          <cell r="N77">
            <v>50965200</v>
          </cell>
          <cell r="O77">
            <v>51381100</v>
          </cell>
          <cell r="P77">
            <v>51815900</v>
          </cell>
          <cell r="Q77">
            <v>52196400</v>
          </cell>
          <cell r="R77">
            <v>52642500</v>
          </cell>
          <cell r="S77">
            <v>53107200</v>
          </cell>
          <cell r="T77">
            <v>53493700</v>
          </cell>
          <cell r="U77">
            <v>53865800</v>
          </cell>
          <cell r="V77">
            <v>2876000</v>
          </cell>
          <cell r="W77">
            <v>2908000</v>
          </cell>
          <cell r="X77">
            <v>2963100</v>
          </cell>
          <cell r="Y77">
            <v>3049000</v>
          </cell>
          <cell r="Z77">
            <v>3142700</v>
          </cell>
          <cell r="AA77">
            <v>3211900</v>
          </cell>
          <cell r="AB77">
            <v>3280500</v>
          </cell>
          <cell r="AC77">
            <v>3328700</v>
          </cell>
          <cell r="AD77">
            <v>3393300</v>
          </cell>
          <cell r="AE77">
            <v>3414100</v>
          </cell>
          <cell r="AF77">
            <v>0.70716448944537358</v>
          </cell>
          <cell r="AG77">
            <v>5.2382889602073254E-2</v>
          </cell>
          <cell r="AH77">
            <v>6.4863113803130978E-2</v>
          </cell>
          <cell r="AI77">
            <v>0.10811824797721828</v>
          </cell>
          <cell r="AJ77">
            <v>5.2839428046226398E-2</v>
          </cell>
          <cell r="AK77">
            <v>1.463032439843903E-2</v>
          </cell>
          <cell r="AL77">
            <v>0.29015956244632285</v>
          </cell>
          <cell r="AM77">
            <v>6286051</v>
          </cell>
          <cell r="AN77">
            <v>0.55249679011512953</v>
          </cell>
          <cell r="AO77">
            <v>0.21446978397089048</v>
          </cell>
          <cell r="AP77">
            <v>0.23303342591398002</v>
          </cell>
          <cell r="AQ77">
            <v>671058</v>
          </cell>
          <cell r="AR77">
            <v>687006</v>
          </cell>
          <cell r="AS77">
            <v>688120</v>
          </cell>
          <cell r="AT77">
            <v>694241</v>
          </cell>
          <cell r="AU77">
            <v>664517</v>
          </cell>
          <cell r="AV77">
            <v>40359</v>
          </cell>
          <cell r="AW77">
            <v>37844</v>
          </cell>
          <cell r="AX77">
            <v>34025</v>
          </cell>
          <cell r="AY77">
            <v>31566</v>
          </cell>
          <cell r="AZ77">
            <v>27213</v>
          </cell>
          <cell r="BE77" t="str">
            <v>n/a</v>
          </cell>
          <cell r="BF77">
            <v>1064130</v>
          </cell>
          <cell r="BG77">
            <v>957255</v>
          </cell>
          <cell r="BH77">
            <v>566275</v>
          </cell>
          <cell r="BJ77">
            <v>6408564</v>
          </cell>
          <cell r="BK77">
            <v>11437443</v>
          </cell>
          <cell r="BL77">
            <v>6423941</v>
          </cell>
          <cell r="BM77">
            <v>3373005</v>
          </cell>
          <cell r="BN77">
            <v>2885</v>
          </cell>
          <cell r="BO77">
            <v>890780</v>
          </cell>
          <cell r="BP77">
            <v>1573255</v>
          </cell>
          <cell r="BQ77">
            <v>584016</v>
          </cell>
          <cell r="BU77">
            <v>1564681</v>
          </cell>
          <cell r="BV77">
            <v>634019</v>
          </cell>
          <cell r="BW77">
            <v>0.40520655648020265</v>
          </cell>
          <cell r="BX77">
            <v>151744</v>
          </cell>
          <cell r="BY77" t="str">
            <v>n/a</v>
          </cell>
          <cell r="BZ77">
            <v>1249560</v>
          </cell>
          <cell r="CA77">
            <v>5.7000000000000002E-2</v>
          </cell>
          <cell r="CB77">
            <v>724870</v>
          </cell>
          <cell r="CC77">
            <v>721690</v>
          </cell>
          <cell r="CD77">
            <v>731670</v>
          </cell>
          <cell r="CE77">
            <v>700500</v>
          </cell>
          <cell r="CF77">
            <v>2141960</v>
          </cell>
          <cell r="CG77">
            <v>0.224</v>
          </cell>
          <cell r="CH77">
            <v>2068970</v>
          </cell>
          <cell r="CI77">
            <v>0.216</v>
          </cell>
          <cell r="CJ77">
            <v>2131350</v>
          </cell>
          <cell r="CK77">
            <v>0.219</v>
          </cell>
          <cell r="CL77">
            <v>2066320</v>
          </cell>
          <cell r="CM77">
            <v>0.21099999999999999</v>
          </cell>
          <cell r="CN77">
            <v>2026465</v>
          </cell>
          <cell r="CO77">
            <v>0.20599999999999999</v>
          </cell>
          <cell r="CP77">
            <v>1910205</v>
          </cell>
          <cell r="CQ77">
            <v>0.192</v>
          </cell>
          <cell r="CY77">
            <v>0.47099999999999997</v>
          </cell>
          <cell r="DD77">
            <v>526499</v>
          </cell>
          <cell r="DE77">
            <v>51596.902000000002</v>
          </cell>
          <cell r="DF77">
            <v>9.8000000000000004E-2</v>
          </cell>
          <cell r="DG77">
            <v>9.7000000000000003E-2</v>
          </cell>
          <cell r="DH77">
            <v>9.9000000000000005E-2</v>
          </cell>
          <cell r="DJ77">
            <v>540228</v>
          </cell>
          <cell r="DK77">
            <v>540228.09400000004</v>
          </cell>
          <cell r="DL77">
            <v>9.4E-2</v>
          </cell>
          <cell r="DM77">
            <v>9.2999999999999999E-2</v>
          </cell>
          <cell r="DN77">
            <v>9.5000000000000001E-2</v>
          </cell>
          <cell r="DP77">
            <v>565662</v>
          </cell>
          <cell r="DQ77">
            <v>53737.89</v>
          </cell>
          <cell r="DR77">
            <v>9.5000000000000001E-2</v>
          </cell>
          <cell r="DS77">
            <v>9.4E-2</v>
          </cell>
          <cell r="DT77">
            <v>9.6000000000000002E-2</v>
          </cell>
          <cell r="DV77">
            <v>586332</v>
          </cell>
          <cell r="DW77">
            <v>54528.875999999997</v>
          </cell>
          <cell r="DX77">
            <v>9.2999999999999999E-2</v>
          </cell>
          <cell r="DY77">
            <v>9.1999999999999998E-2</v>
          </cell>
          <cell r="DZ77">
            <v>9.4E-2</v>
          </cell>
          <cell r="EB77">
            <v>499867</v>
          </cell>
          <cell r="EC77">
            <v>93475.129000000001</v>
          </cell>
          <cell r="ED77">
            <v>0.187</v>
          </cell>
          <cell r="EE77">
            <v>0.186</v>
          </cell>
          <cell r="EF77">
            <v>0.188</v>
          </cell>
          <cell r="EH77">
            <v>464334</v>
          </cell>
          <cell r="EI77">
            <v>88223.46</v>
          </cell>
          <cell r="EJ77">
            <v>0.19</v>
          </cell>
          <cell r="EK77">
            <v>0.189</v>
          </cell>
          <cell r="EL77">
            <v>0.191</v>
          </cell>
          <cell r="EN77">
            <v>491118</v>
          </cell>
          <cell r="EO77">
            <v>94294.656000000003</v>
          </cell>
          <cell r="EP77">
            <v>0.192</v>
          </cell>
          <cell r="EQ77">
            <v>0.191</v>
          </cell>
          <cell r="ER77">
            <v>0.193</v>
          </cell>
          <cell r="ET77">
            <v>487817</v>
          </cell>
          <cell r="EU77">
            <v>92197.413</v>
          </cell>
          <cell r="EV77">
            <v>0.189</v>
          </cell>
          <cell r="EW77">
            <v>0.188</v>
          </cell>
          <cell r="EX77">
            <v>0.19</v>
          </cell>
          <cell r="FB77">
            <v>0.52</v>
          </cell>
          <cell r="FF77">
            <v>34</v>
          </cell>
          <cell r="FH77">
            <v>21.6</v>
          </cell>
          <cell r="FI77">
            <v>0.36599999999999999</v>
          </cell>
          <cell r="FL77">
            <v>0.6</v>
          </cell>
          <cell r="FP77">
            <v>34</v>
          </cell>
          <cell r="FR77">
            <v>22.5</v>
          </cell>
          <cell r="FS77">
            <v>0.33900000000000002</v>
          </cell>
          <cell r="FT77">
            <v>8015990</v>
          </cell>
          <cell r="FU77">
            <v>7549840</v>
          </cell>
          <cell r="FV77">
            <v>466150</v>
          </cell>
          <cell r="FW77">
            <v>390060</v>
          </cell>
          <cell r="FX77">
            <v>76090</v>
          </cell>
          <cell r="FY77">
            <v>0.83676928027458974</v>
          </cell>
          <cell r="FZ77">
            <v>0.16323071972541028</v>
          </cell>
          <cell r="GQ77" t="str">
            <v>n/a</v>
          </cell>
          <cell r="GR77" t="str">
            <v>n/a</v>
          </cell>
          <cell r="GS77" t="str">
            <v>n/a</v>
          </cell>
          <cell r="GT77" t="str">
            <v>n/a</v>
          </cell>
          <cell r="GU77" t="str">
            <v>n/a</v>
          </cell>
          <cell r="GV77" t="str">
            <v>n/a</v>
          </cell>
          <cell r="GW77" t="str">
            <v>n/a</v>
          </cell>
          <cell r="GX77" t="str">
            <v>n/a</v>
          </cell>
          <cell r="GY77" t="str">
            <v>n/a</v>
          </cell>
          <cell r="GZ77" t="str">
            <v>n/a</v>
          </cell>
          <cell r="HA77" t="str">
            <v>n/a</v>
          </cell>
          <cell r="HB77" t="str">
            <v>n/a</v>
          </cell>
          <cell r="HC77" t="str">
            <v>n/a</v>
          </cell>
          <cell r="HD77" t="str">
            <v>n/a</v>
          </cell>
          <cell r="HE77" t="str">
            <v>n/a</v>
          </cell>
          <cell r="HF77" t="str">
            <v>n/a</v>
          </cell>
          <cell r="HG77" t="str">
            <v>n/a</v>
          </cell>
          <cell r="HH77" t="str">
            <v>n/a</v>
          </cell>
          <cell r="HI77" t="str">
            <v>n/a</v>
          </cell>
          <cell r="HJ77" t="str">
            <v>n/a</v>
          </cell>
          <cell r="HK77" t="str">
            <v>n/a</v>
          </cell>
          <cell r="HL77" t="str">
            <v>n/a</v>
          </cell>
          <cell r="HM77" t="str">
            <v>n/a</v>
          </cell>
          <cell r="HN77">
            <v>70922</v>
          </cell>
          <cell r="HO77">
            <v>2.1388687416405674E-2</v>
          </cell>
          <cell r="HP77">
            <v>5223191</v>
          </cell>
          <cell r="HQ77">
            <v>4482036</v>
          </cell>
          <cell r="HR77">
            <v>741155</v>
          </cell>
          <cell r="HS77">
            <v>0.14189697447403321</v>
          </cell>
        </row>
      </sheetData>
      <sheetData sheetId="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Override1.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2.xml"/><Relationship Id="rId5" Type="http://schemas.openxmlformats.org/officeDocument/2006/relationships/ctrlProp" Target="../ctrlProps/ctrlProp1.xml"/><Relationship Id="rId4" Type="http://schemas.openxmlformats.org/officeDocument/2006/relationships/vmlDrawing" Target="../drawings/vmlDrawing2.vml"/></Relationships>
</file>

<file path=xl/worksheets/_rels/sheet10.xml.rels><?xml version="1.0" encoding="UTF-8" standalone="yes"?>
<Relationships xmlns="http://schemas.openxmlformats.org/package/2006/relationships"><Relationship Id="rId8" Type="http://schemas.openxmlformats.org/officeDocument/2006/relationships/hyperlink" Target="http://reports.ofsted.gov.uk/inspection-reports/find-inspection-report/provider/ELS/80266" TargetMode="External"/><Relationship Id="rId13" Type="http://schemas.openxmlformats.org/officeDocument/2006/relationships/hyperlink" Target="http://reports.ofsted.gov.uk/inspection-reports/find-inspection-report/provider/ELS/80191" TargetMode="External"/><Relationship Id="rId18" Type="http://schemas.openxmlformats.org/officeDocument/2006/relationships/hyperlink" Target="http://reports.ofsted.gov.uk/inspection-reports/find-inspection-report/provider/ELS/21563" TargetMode="External"/><Relationship Id="rId26" Type="http://schemas.openxmlformats.org/officeDocument/2006/relationships/hyperlink" Target="http://reports.ofsted.gov.uk/inspection-reports/find-inspection-report/provider/ELS/80305" TargetMode="External"/><Relationship Id="rId3" Type="http://schemas.openxmlformats.org/officeDocument/2006/relationships/hyperlink" Target="http://reports.ofsted.gov.uk/inspection-reports/find-inspection-report/provider/ELS/80374" TargetMode="External"/><Relationship Id="rId21" Type="http://schemas.openxmlformats.org/officeDocument/2006/relationships/hyperlink" Target="http://reports.ofsted.gov.uk/inspection-reports/find-inspection-report/provider/ELS/22587" TargetMode="External"/><Relationship Id="rId34" Type="http://schemas.openxmlformats.org/officeDocument/2006/relationships/printerSettings" Target="../printerSettings/printerSettings10.bin"/><Relationship Id="rId7" Type="http://schemas.openxmlformats.org/officeDocument/2006/relationships/hyperlink" Target="http://reports.ofsted.gov.uk/inspection-reports/find-inspection-report/provider/ELS/80266" TargetMode="External"/><Relationship Id="rId12" Type="http://schemas.openxmlformats.org/officeDocument/2006/relationships/hyperlink" Target="http://reports.ofsted.gov.uk/inspection-reports/find-inspection-report/provider/ELS/80206" TargetMode="External"/><Relationship Id="rId17" Type="http://schemas.openxmlformats.org/officeDocument/2006/relationships/hyperlink" Target="http://reports.ofsted.gov.uk/inspection-reports/find-inspection-report/provider/ELS/20690" TargetMode="External"/><Relationship Id="rId25" Type="http://schemas.openxmlformats.org/officeDocument/2006/relationships/hyperlink" Target="http://reports.ofsted.gov.uk/inspection-reports/find-inspection-report/provider/ELS/80312" TargetMode="External"/><Relationship Id="rId33" Type="http://schemas.openxmlformats.org/officeDocument/2006/relationships/hyperlink" Target="http://reports.ofsted.gov.uk/inspection-reports/find-inspection-report/provider/ELS/80773" TargetMode="External"/><Relationship Id="rId2" Type="http://schemas.openxmlformats.org/officeDocument/2006/relationships/hyperlink" Target="http://reports.ofsted.gov.uk/inspection-reports/find-inspection-report/provider/ELS/80374" TargetMode="External"/><Relationship Id="rId16" Type="http://schemas.openxmlformats.org/officeDocument/2006/relationships/hyperlink" Target="http://reports.ofsted.gov.uk/inspection-reports/find-inspection-report/provider/ELS/20357" TargetMode="External"/><Relationship Id="rId20" Type="http://schemas.openxmlformats.org/officeDocument/2006/relationships/hyperlink" Target="http://reports.ofsted.gov.uk/inspection-reports/find-inspection-report/provider/ELS/22371" TargetMode="External"/><Relationship Id="rId29" Type="http://schemas.openxmlformats.org/officeDocument/2006/relationships/hyperlink" Target="http://reports.ofsted.gov.uk/inspection-reports/find-inspection-report/provider/ELS/22580" TargetMode="External"/><Relationship Id="rId1" Type="http://schemas.openxmlformats.org/officeDocument/2006/relationships/hyperlink" Target="http://reports.ofsted.gov.uk/inspection-reports/find-inspection-report/provider/ELS/80374" TargetMode="External"/><Relationship Id="rId6" Type="http://schemas.openxmlformats.org/officeDocument/2006/relationships/hyperlink" Target="http://reports.ofsted.gov.uk/inspection-reports/find-inspection-report/provider/ELS/80266" TargetMode="External"/><Relationship Id="rId11" Type="http://schemas.openxmlformats.org/officeDocument/2006/relationships/hyperlink" Target="http://reports.ofsted.gov.uk/inspection-reports/find-inspection-report/provider/ELS/80206" TargetMode="External"/><Relationship Id="rId24" Type="http://schemas.openxmlformats.org/officeDocument/2006/relationships/hyperlink" Target="http://reports.ofsted.gov.uk/inspection-reports/find-inspection-report/provider/ELS/80312" TargetMode="External"/><Relationship Id="rId32" Type="http://schemas.openxmlformats.org/officeDocument/2006/relationships/hyperlink" Target="http://reports.ofsted.gov.uk/inspection-reports/find-inspection-report/provider/ELS/80773" TargetMode="External"/><Relationship Id="rId5" Type="http://schemas.openxmlformats.org/officeDocument/2006/relationships/hyperlink" Target="http://reports.ofsted.gov.uk/inspection-reports/find-inspection-report/provider/ELS/80266" TargetMode="External"/><Relationship Id="rId15" Type="http://schemas.openxmlformats.org/officeDocument/2006/relationships/hyperlink" Target="http://reports.ofsted.gov.uk/inspection-reports/find-inspection-report/provider/ELS/80191" TargetMode="External"/><Relationship Id="rId23" Type="http://schemas.openxmlformats.org/officeDocument/2006/relationships/hyperlink" Target="http://reports.ofsted.gov.uk/inspection-reports/find-inspection-report/provider/ELS/80312" TargetMode="External"/><Relationship Id="rId28" Type="http://schemas.openxmlformats.org/officeDocument/2006/relationships/hyperlink" Target="http://reports.ofsted.gov.uk/inspection-reports/find-inspection-report/provider/ELS/22585" TargetMode="External"/><Relationship Id="rId36" Type="http://schemas.openxmlformats.org/officeDocument/2006/relationships/comments" Target="../comments1.xml"/><Relationship Id="rId10" Type="http://schemas.openxmlformats.org/officeDocument/2006/relationships/hyperlink" Target="http://reports.ofsted.gov.uk/inspection-reports/find-inspection-report/provider/ELS/80206" TargetMode="External"/><Relationship Id="rId19" Type="http://schemas.openxmlformats.org/officeDocument/2006/relationships/hyperlink" Target="http://reports.ofsted.gov.uk/inspection-reports/find-inspection-report/provider/ELS/22003" TargetMode="External"/><Relationship Id="rId31" Type="http://schemas.openxmlformats.org/officeDocument/2006/relationships/hyperlink" Target="http://reports.ofsted.gov.uk/inspection-reports/find-inspection-report/provider/ELS/21023" TargetMode="External"/><Relationship Id="rId4" Type="http://schemas.openxmlformats.org/officeDocument/2006/relationships/hyperlink" Target="http://reports.ofsted.gov.uk/inspection-reports/find-inspection-report/provider/ELS/80266" TargetMode="External"/><Relationship Id="rId9" Type="http://schemas.openxmlformats.org/officeDocument/2006/relationships/hyperlink" Target="http://reports.ofsted.gov.uk/inspection-reports/find-inspection-report/provider/ELS/80266" TargetMode="External"/><Relationship Id="rId14" Type="http://schemas.openxmlformats.org/officeDocument/2006/relationships/hyperlink" Target="http://reports.ofsted.gov.uk/inspection-reports/find-inspection-report/provider/ELS/80191" TargetMode="External"/><Relationship Id="rId22" Type="http://schemas.openxmlformats.org/officeDocument/2006/relationships/hyperlink" Target="http://reports.ofsted.gov.uk/inspection-reports/find-inspection-report/provider/ELS/22667" TargetMode="External"/><Relationship Id="rId27" Type="http://schemas.openxmlformats.org/officeDocument/2006/relationships/hyperlink" Target="http://reports.ofsted.gov.uk/inspection-reports/find-inspection-report/provider/ELS/80305" TargetMode="External"/><Relationship Id="rId30" Type="http://schemas.openxmlformats.org/officeDocument/2006/relationships/hyperlink" Target="http://reports.ofsted.gov.uk/inspection-reports/find-inspection-report/provider/ELS/21421" TargetMode="External"/><Relationship Id="rId35"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www.sussexcommunity.nhs.uk/services/servicedetails.htm?directoryID=22580"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5" Type="http://schemas.openxmlformats.org/officeDocument/2006/relationships/ctrlProp" Target="../ctrlProps/ctrlProp4.xml"/><Relationship Id="rId4" Type="http://schemas.openxmlformats.org/officeDocument/2006/relationships/ctrlProp" Target="../ctrlProps/ctrlProp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5.xml"/><Relationship Id="rId1" Type="http://schemas.openxmlformats.org/officeDocument/2006/relationships/printerSettings" Target="../printerSettings/printerSettings4.bin"/><Relationship Id="rId5" Type="http://schemas.openxmlformats.org/officeDocument/2006/relationships/ctrlProp" Target="../ctrlProps/ctrlProp6.xml"/><Relationship Id="rId4" Type="http://schemas.openxmlformats.org/officeDocument/2006/relationships/ctrlProp" Target="../ctrlProps/ctrlProp5.xml"/></Relationships>
</file>

<file path=xl/worksheets/_rels/sheet5.xml.rels><?xml version="1.0" encoding="UTF-8" standalone="yes"?>
<Relationships xmlns="http://schemas.openxmlformats.org/package/2006/relationships"><Relationship Id="rId8" Type="http://schemas.openxmlformats.org/officeDocument/2006/relationships/printerSettings" Target="../printerSettings/printerSettings5.bin"/><Relationship Id="rId13" Type="http://schemas.openxmlformats.org/officeDocument/2006/relationships/ctrlProp" Target="../ctrlProps/ctrlProp7.xml"/><Relationship Id="rId3" Type="http://schemas.openxmlformats.org/officeDocument/2006/relationships/hyperlink" Target="../Verity%20Pinkney/CFC%20Profiles/2016%20CFC%20Profile/breastfeeding-at-6-to-8-weeks-after-birth-2015-to-2016-quarterly-data" TargetMode="External"/><Relationship Id="rId7" Type="http://schemas.openxmlformats.org/officeDocument/2006/relationships/hyperlink" Target="https://www.gov.uk/government/publications/the-complete-routine-immunisation-schedule" TargetMode="External"/><Relationship Id="rId12" Type="http://schemas.openxmlformats.org/officeDocument/2006/relationships/image" Target="../media/image5.emf"/><Relationship Id="rId2" Type="http://schemas.openxmlformats.org/officeDocument/2006/relationships/hyperlink" Target="https://www.england.nhs.uk/statistics/statistical-work-areas/maternity-and-breastfeeding/" TargetMode="External"/><Relationship Id="rId1" Type="http://schemas.openxmlformats.org/officeDocument/2006/relationships/hyperlink" Target="http://www.nwph.net/dentalhealth/survey-results%205(14_15).aspx" TargetMode="External"/><Relationship Id="rId6" Type="http://schemas.openxmlformats.org/officeDocument/2006/relationships/hyperlink" Target="http://www.nwph.net/dentalhealth/extractions.aspx" TargetMode="External"/><Relationship Id="rId11" Type="http://schemas.openxmlformats.org/officeDocument/2006/relationships/oleObject" Target="../embeddings/oleObject1.bin"/><Relationship Id="rId5" Type="http://schemas.openxmlformats.org/officeDocument/2006/relationships/hyperlink" Target="http://www.phoutcomes.info/public-health-outcomes-framework" TargetMode="External"/><Relationship Id="rId10" Type="http://schemas.openxmlformats.org/officeDocument/2006/relationships/vmlDrawing" Target="../drawings/vmlDrawing5.vml"/><Relationship Id="rId4" Type="http://schemas.openxmlformats.org/officeDocument/2006/relationships/hyperlink" Target="https://www.ons.gov.uk/peoplepopulationandcommunity/birthsdeathsandmarriages/deaths/datasets/unexplaineddeathsininfancyenglandandwalesunexpecteddeaths" TargetMode="External"/><Relationship Id="rId9" Type="http://schemas.openxmlformats.org/officeDocument/2006/relationships/drawing" Target="../drawings/drawing6.xml"/><Relationship Id="rId14" Type="http://schemas.openxmlformats.org/officeDocument/2006/relationships/ctrlProp" Target="../ctrlProps/ctrlProp8.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7.xml"/><Relationship Id="rId1" Type="http://schemas.openxmlformats.org/officeDocument/2006/relationships/printerSettings" Target="../printerSettings/printerSettings6.bin"/><Relationship Id="rId5" Type="http://schemas.openxmlformats.org/officeDocument/2006/relationships/ctrlProp" Target="../ctrlProps/ctrlProp10.xml"/><Relationship Id="rId4" Type="http://schemas.openxmlformats.org/officeDocument/2006/relationships/ctrlProp" Target="../ctrlProps/ctrlProp9.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8.xml"/><Relationship Id="rId1" Type="http://schemas.openxmlformats.org/officeDocument/2006/relationships/printerSettings" Target="../printerSettings/printerSettings7.bin"/><Relationship Id="rId5" Type="http://schemas.openxmlformats.org/officeDocument/2006/relationships/ctrlProp" Target="../ctrlProps/ctrlProp12.xml"/><Relationship Id="rId4" Type="http://schemas.openxmlformats.org/officeDocument/2006/relationships/ctrlProp" Target="../ctrlProps/ctrlProp11.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9.xml"/><Relationship Id="rId1" Type="http://schemas.openxmlformats.org/officeDocument/2006/relationships/printerSettings" Target="../printerSettings/printerSettings8.bin"/><Relationship Id="rId5" Type="http://schemas.openxmlformats.org/officeDocument/2006/relationships/ctrlProp" Target="../ctrlProps/ctrlProp14.xml"/><Relationship Id="rId4" Type="http://schemas.openxmlformats.org/officeDocument/2006/relationships/ctrlProp" Target="../ctrlProps/ctrlProp13.xml"/></Relationships>
</file>

<file path=xl/worksheets/_rels/sheet9.xml.rels><?xml version="1.0" encoding="UTF-8" standalone="yes"?>
<Relationships xmlns="http://schemas.openxmlformats.org/package/2006/relationships"><Relationship Id="rId8" Type="http://schemas.openxmlformats.org/officeDocument/2006/relationships/hyperlink" Target="http://www.capt.org.uk/" TargetMode="External"/><Relationship Id="rId3" Type="http://schemas.openxmlformats.org/officeDocument/2006/relationships/hyperlink" Target="http://www.poverty.ac.uk/report-poverty-measurement-life-chances-children-parenting-uk-government-policy/field-review" TargetMode="External"/><Relationship Id="rId7" Type="http://schemas.openxmlformats.org/officeDocument/2006/relationships/hyperlink" Target="http://www.ons.gov.uk/ons/dcp171778_413784.pdf" TargetMode="External"/><Relationship Id="rId12" Type="http://schemas.openxmlformats.org/officeDocument/2006/relationships/drawing" Target="../drawings/drawing10.xml"/><Relationship Id="rId2" Type="http://schemas.openxmlformats.org/officeDocument/2006/relationships/hyperlink" Target="https://www.gov.uk/government/uploads/system/uploads/attachment_data/file/285389/Cm_8781_Child_Poverty_Evidence_Review_Print.pdf" TargetMode="External"/><Relationship Id="rId1" Type="http://schemas.openxmlformats.org/officeDocument/2006/relationships/hyperlink" Target="http://www.unicef.org.uk/BabyFriendly/" TargetMode="External"/><Relationship Id="rId6" Type="http://schemas.openxmlformats.org/officeDocument/2006/relationships/hyperlink" Target="http://www.instituteofhealthequity.org/projects/fair-society-healthy-lives-the-marmot-review" TargetMode="External"/><Relationship Id="rId11" Type="http://schemas.openxmlformats.org/officeDocument/2006/relationships/printerSettings" Target="../printerSettings/printerSettings9.bin"/><Relationship Id="rId5" Type="http://schemas.openxmlformats.org/officeDocument/2006/relationships/hyperlink" Target="https://www.gov.uk/government/publications/commissioning-of-public-health-services-for-children" TargetMode="External"/><Relationship Id="rId10" Type="http://schemas.openxmlformats.org/officeDocument/2006/relationships/hyperlink" Target="http://webarchive.nationalarchives.gov.uk/20130401151715/http:/www.education.gov.uk/publications/standard/publicationdetail/page1/DCSF-00632-2008" TargetMode="External"/><Relationship Id="rId4" Type="http://schemas.openxmlformats.org/officeDocument/2006/relationships/hyperlink" Target="https://www.gov.uk/government/publications/commissioning-of-public-health-services-for-children" TargetMode="External"/><Relationship Id="rId9" Type="http://schemas.openxmlformats.org/officeDocument/2006/relationships/hyperlink" Target="http://www.lullabytrust.org.uk/"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tabColor theme="8" tint="0.39997558519241921"/>
    <pageSetUpPr fitToPage="1"/>
  </sheetPr>
  <dimension ref="A1:L57"/>
  <sheetViews>
    <sheetView tabSelected="1" zoomScaleNormal="100" zoomScaleSheetLayoutView="100" zoomScalePageLayoutView="80" workbookViewId="0">
      <selection activeCell="N50" sqref="N50"/>
    </sheetView>
  </sheetViews>
  <sheetFormatPr defaultColWidth="8.796875" defaultRowHeight="14.25" x14ac:dyDescent="0.2"/>
  <cols>
    <col min="1" max="10" width="8.796875" style="1"/>
    <col min="11" max="11" width="18.5" style="1" customWidth="1"/>
    <col min="12" max="12" width="8.796875" style="1" customWidth="1"/>
    <col min="13" max="16384" width="8.796875" style="1"/>
  </cols>
  <sheetData>
    <row r="1" spans="1:12" x14ac:dyDescent="0.2">
      <c r="A1" s="486"/>
      <c r="B1" s="486"/>
      <c r="C1" s="486"/>
      <c r="D1" s="486"/>
      <c r="E1" s="486"/>
      <c r="F1" s="486"/>
      <c r="G1" s="486"/>
      <c r="H1" s="486"/>
      <c r="I1" s="486"/>
      <c r="J1" s="486"/>
      <c r="K1" s="486"/>
      <c r="L1" s="486"/>
    </row>
    <row r="2" spans="1:12" ht="17.25" customHeight="1" x14ac:dyDescent="0.2">
      <c r="A2" s="729"/>
      <c r="B2" s="730"/>
      <c r="C2" s="730"/>
      <c r="D2" s="730"/>
      <c r="E2" s="730"/>
      <c r="F2" s="730"/>
      <c r="G2" s="730"/>
      <c r="H2" s="730"/>
      <c r="I2" s="730"/>
      <c r="J2" s="730"/>
      <c r="K2" s="730"/>
      <c r="L2" s="730"/>
    </row>
    <row r="3" spans="1:12" ht="15" x14ac:dyDescent="0.25">
      <c r="A3" s="2"/>
      <c r="B3" s="2"/>
      <c r="C3" s="2"/>
      <c r="D3" s="2"/>
      <c r="E3" s="2"/>
      <c r="F3" s="2"/>
      <c r="G3" s="2"/>
      <c r="H3" s="2"/>
      <c r="I3" s="2"/>
      <c r="J3" s="2"/>
      <c r="K3" s="2"/>
      <c r="L3" s="2"/>
    </row>
    <row r="4" spans="1:12" ht="15" x14ac:dyDescent="0.25">
      <c r="A4" s="2"/>
      <c r="B4" s="2"/>
      <c r="C4" s="2"/>
      <c r="D4" s="2"/>
      <c r="E4" s="2"/>
      <c r="F4" s="2"/>
      <c r="G4" s="2"/>
      <c r="H4" s="2"/>
      <c r="I4" s="2"/>
      <c r="J4" s="2"/>
      <c r="K4" s="2"/>
      <c r="L4" s="2"/>
    </row>
    <row r="5" spans="1:12" ht="15" x14ac:dyDescent="0.25">
      <c r="A5" s="2"/>
      <c r="B5" s="2"/>
      <c r="C5" s="2"/>
      <c r="D5" s="2"/>
      <c r="E5" s="2"/>
      <c r="F5" s="2"/>
      <c r="G5" s="2"/>
      <c r="H5" s="2"/>
      <c r="I5" s="2"/>
      <c r="J5" s="2"/>
      <c r="K5" s="2"/>
      <c r="L5" s="2"/>
    </row>
    <row r="6" spans="1:12" ht="15" x14ac:dyDescent="0.25">
      <c r="A6" s="2"/>
      <c r="B6" s="2"/>
      <c r="C6" s="2"/>
      <c r="D6" s="2"/>
      <c r="E6" s="2"/>
      <c r="F6" s="2"/>
      <c r="G6" s="2"/>
      <c r="H6" s="2"/>
      <c r="I6" s="2"/>
      <c r="J6" s="2"/>
      <c r="K6" s="2"/>
      <c r="L6" s="2"/>
    </row>
    <row r="7" spans="1:12" ht="15" x14ac:dyDescent="0.25">
      <c r="A7" s="2"/>
      <c r="B7" s="2"/>
      <c r="C7" s="2"/>
      <c r="D7" s="2"/>
      <c r="E7" s="2"/>
      <c r="F7" s="2"/>
      <c r="G7" s="2"/>
      <c r="H7" s="2"/>
      <c r="I7" s="2"/>
      <c r="J7" s="2"/>
      <c r="K7" s="2"/>
      <c r="L7" s="2"/>
    </row>
    <row r="8" spans="1:12" ht="15" x14ac:dyDescent="0.25">
      <c r="A8" s="2"/>
      <c r="B8" s="2"/>
      <c r="C8" s="2"/>
      <c r="D8" s="2"/>
      <c r="E8" s="2"/>
      <c r="F8" s="2"/>
      <c r="G8" s="2"/>
      <c r="H8" s="2"/>
      <c r="I8" s="2"/>
      <c r="J8" s="2"/>
      <c r="K8" s="2"/>
      <c r="L8" s="2"/>
    </row>
    <row r="9" spans="1:12" ht="15" x14ac:dyDescent="0.25">
      <c r="A9" s="2"/>
      <c r="B9" s="2"/>
      <c r="C9" s="2"/>
      <c r="D9" s="2"/>
      <c r="E9" s="2"/>
      <c r="F9" s="2"/>
      <c r="G9" s="2"/>
      <c r="H9" s="2"/>
      <c r="I9" s="2"/>
      <c r="J9" s="2"/>
      <c r="K9" s="2"/>
      <c r="L9" s="2"/>
    </row>
    <row r="10" spans="1:12" ht="15" x14ac:dyDescent="0.25">
      <c r="A10" s="2"/>
      <c r="B10" s="2"/>
      <c r="C10" s="2"/>
      <c r="D10" s="2"/>
      <c r="E10" s="2"/>
      <c r="F10" s="2"/>
      <c r="G10" s="2"/>
      <c r="H10" s="2"/>
      <c r="I10" s="2"/>
      <c r="J10" s="2"/>
      <c r="K10" s="2"/>
      <c r="L10" s="2"/>
    </row>
    <row r="11" spans="1:12" ht="15" x14ac:dyDescent="0.25">
      <c r="A11" s="2"/>
      <c r="B11" s="2"/>
      <c r="C11" s="2"/>
      <c r="D11" s="2"/>
      <c r="E11" s="2"/>
      <c r="F11" s="2"/>
      <c r="G11" s="2"/>
      <c r="H11" s="2"/>
      <c r="I11" s="2"/>
      <c r="J11" s="2"/>
      <c r="K11" s="2"/>
      <c r="L11" s="2"/>
    </row>
    <row r="12" spans="1:12" ht="15" x14ac:dyDescent="0.25">
      <c r="A12" s="2"/>
      <c r="B12" s="2"/>
      <c r="C12" s="2"/>
      <c r="D12" s="2"/>
      <c r="E12" s="2"/>
      <c r="F12" s="2"/>
      <c r="G12" s="2"/>
      <c r="H12" s="2"/>
      <c r="I12" s="2"/>
      <c r="J12" s="2"/>
      <c r="K12" s="2"/>
      <c r="L12" s="2"/>
    </row>
    <row r="13" spans="1:12" ht="15" x14ac:dyDescent="0.25">
      <c r="A13" s="2"/>
      <c r="B13" s="2"/>
      <c r="C13" s="2"/>
      <c r="D13" s="2"/>
      <c r="E13" s="2"/>
      <c r="F13" s="2"/>
      <c r="G13" s="2"/>
      <c r="H13" s="2"/>
      <c r="I13" s="2"/>
      <c r="J13" s="2"/>
      <c r="K13" s="2"/>
      <c r="L13" s="2"/>
    </row>
    <row r="14" spans="1:12" ht="15" x14ac:dyDescent="0.25">
      <c r="A14" s="2"/>
      <c r="B14" s="2"/>
      <c r="C14" s="2"/>
      <c r="D14" s="2"/>
      <c r="E14" s="2"/>
      <c r="F14" s="2"/>
      <c r="G14" s="2"/>
      <c r="H14" s="2"/>
      <c r="I14" s="2"/>
      <c r="J14" s="2"/>
      <c r="K14" s="2"/>
      <c r="L14" s="2"/>
    </row>
    <row r="15" spans="1:12" ht="15" x14ac:dyDescent="0.25">
      <c r="A15" s="2"/>
      <c r="B15" s="2"/>
      <c r="C15" s="2"/>
      <c r="D15" s="2"/>
      <c r="E15" s="2"/>
      <c r="F15" s="2"/>
      <c r="G15" s="2"/>
      <c r="H15" s="2"/>
      <c r="I15" s="2"/>
      <c r="J15" s="2"/>
      <c r="K15" s="2"/>
      <c r="L15" s="2"/>
    </row>
    <row r="16" spans="1:12" ht="15" x14ac:dyDescent="0.25">
      <c r="A16" s="2"/>
      <c r="B16" s="2"/>
      <c r="C16" s="2"/>
      <c r="D16" s="2"/>
      <c r="E16" s="2"/>
      <c r="F16" s="2"/>
      <c r="G16" s="2"/>
      <c r="H16" s="2"/>
      <c r="I16" s="2"/>
      <c r="J16" s="2"/>
      <c r="K16" s="2"/>
      <c r="L16" s="2"/>
    </row>
    <row r="17" spans="1:12" ht="15" x14ac:dyDescent="0.25">
      <c r="A17" s="2"/>
      <c r="B17" s="2"/>
      <c r="C17" s="2"/>
      <c r="D17" s="2"/>
      <c r="E17" s="2"/>
      <c r="F17" s="2"/>
      <c r="G17" s="2"/>
      <c r="H17" s="2"/>
      <c r="I17" s="2"/>
      <c r="J17" s="2"/>
      <c r="K17" s="2"/>
      <c r="L17" s="2"/>
    </row>
    <row r="18" spans="1:12" ht="15" x14ac:dyDescent="0.25">
      <c r="A18" s="2"/>
      <c r="B18" s="2"/>
      <c r="C18" s="2"/>
      <c r="D18" s="2"/>
      <c r="E18" s="2"/>
      <c r="F18" s="2"/>
      <c r="G18" s="2"/>
      <c r="H18" s="2"/>
      <c r="I18" s="2"/>
      <c r="J18" s="2"/>
      <c r="K18" s="2"/>
      <c r="L18" s="2"/>
    </row>
    <row r="19" spans="1:12" ht="15" x14ac:dyDescent="0.25">
      <c r="A19" s="2"/>
      <c r="B19" s="2"/>
      <c r="C19" s="2"/>
      <c r="D19" s="2"/>
      <c r="E19" s="2"/>
      <c r="F19" s="2"/>
      <c r="G19" s="2"/>
      <c r="H19" s="2"/>
      <c r="I19" s="2"/>
      <c r="J19" s="2"/>
      <c r="K19" s="2"/>
      <c r="L19" s="2"/>
    </row>
    <row r="20" spans="1:12" ht="15" x14ac:dyDescent="0.25">
      <c r="A20" s="2"/>
      <c r="B20" s="2"/>
      <c r="C20" s="2"/>
      <c r="D20" s="2"/>
      <c r="E20" s="2"/>
      <c r="F20" s="2"/>
      <c r="G20" s="2"/>
      <c r="H20" s="2"/>
      <c r="I20" s="2"/>
      <c r="J20" s="2"/>
      <c r="K20" s="2"/>
      <c r="L20" s="2"/>
    </row>
    <row r="21" spans="1:12" ht="15" x14ac:dyDescent="0.25">
      <c r="A21" s="2"/>
      <c r="B21" s="2"/>
      <c r="C21" s="2"/>
      <c r="D21" s="2"/>
      <c r="E21" s="2"/>
      <c r="F21" s="2"/>
      <c r="G21" s="2"/>
      <c r="H21" s="2"/>
      <c r="I21" s="2"/>
      <c r="J21" s="2"/>
      <c r="K21" s="2"/>
      <c r="L21" s="2"/>
    </row>
    <row r="22" spans="1:12" ht="15" x14ac:dyDescent="0.25">
      <c r="A22" s="487"/>
      <c r="B22" s="487"/>
      <c r="C22" s="487"/>
      <c r="D22" s="487"/>
      <c r="E22" s="487"/>
      <c r="F22" s="487"/>
      <c r="G22" s="487"/>
      <c r="H22" s="487"/>
      <c r="I22" s="487"/>
      <c r="J22" s="487"/>
      <c r="K22" s="487"/>
      <c r="L22" s="487"/>
    </row>
    <row r="23" spans="1:12" ht="15" x14ac:dyDescent="0.25">
      <c r="A23" s="487"/>
      <c r="B23" s="487"/>
      <c r="C23" s="487"/>
      <c r="D23" s="487"/>
      <c r="E23" s="731"/>
      <c r="F23" s="731"/>
      <c r="G23" s="731"/>
      <c r="H23" s="731"/>
      <c r="I23" s="487"/>
      <c r="J23" s="487"/>
      <c r="K23" s="487"/>
      <c r="L23" s="487"/>
    </row>
    <row r="24" spans="1:12" ht="15" x14ac:dyDescent="0.25">
      <c r="A24" s="487"/>
      <c r="B24" s="487"/>
      <c r="C24" s="487"/>
      <c r="D24" s="487"/>
      <c r="E24" s="487"/>
      <c r="F24" s="487"/>
      <c r="G24" s="487"/>
      <c r="H24" s="487"/>
      <c r="I24" s="487"/>
      <c r="J24" s="487"/>
      <c r="K24" s="487"/>
      <c r="L24" s="487"/>
    </row>
    <row r="25" spans="1:12" ht="15" x14ac:dyDescent="0.25">
      <c r="A25" s="487"/>
      <c r="B25" s="487"/>
      <c r="C25" s="487"/>
      <c r="D25" s="487"/>
      <c r="E25" s="487"/>
      <c r="F25" s="487"/>
      <c r="G25" s="487"/>
      <c r="H25" s="487"/>
      <c r="I25" s="487"/>
      <c r="J25" s="487"/>
      <c r="K25" s="487"/>
      <c r="L25" s="487"/>
    </row>
    <row r="26" spans="1:12" ht="15" x14ac:dyDescent="0.25">
      <c r="A26" s="487"/>
      <c r="B26" s="487"/>
      <c r="C26" s="487"/>
      <c r="D26" s="487"/>
      <c r="E26" s="487"/>
      <c r="F26" s="487"/>
      <c r="G26" s="487"/>
      <c r="H26" s="487"/>
      <c r="I26" s="487"/>
      <c r="J26" s="487"/>
      <c r="K26" s="488">
        <f ca="1">NOW()</f>
        <v>42740.35657314815</v>
      </c>
      <c r="L26" s="487"/>
    </row>
    <row r="27" spans="1:12" ht="15" x14ac:dyDescent="0.25">
      <c r="A27" s="487"/>
      <c r="B27" s="487"/>
      <c r="C27" s="487"/>
      <c r="D27" s="487"/>
      <c r="E27" s="487"/>
      <c r="F27" s="487"/>
      <c r="G27" s="487"/>
      <c r="H27" s="487"/>
      <c r="I27" s="487"/>
      <c r="J27" s="487"/>
      <c r="K27" s="487"/>
      <c r="L27" s="487"/>
    </row>
    <row r="28" spans="1:12" x14ac:dyDescent="0.2">
      <c r="A28" s="489"/>
      <c r="B28" s="489"/>
      <c r="C28" s="489"/>
      <c r="D28" s="489"/>
      <c r="E28" s="489"/>
      <c r="F28" s="489"/>
      <c r="G28" s="489"/>
      <c r="H28" s="489"/>
      <c r="I28" s="489"/>
      <c r="J28" s="489"/>
      <c r="K28" s="489"/>
      <c r="L28" s="489"/>
    </row>
    <row r="29" spans="1:12" x14ac:dyDescent="0.2">
      <c r="A29" s="489"/>
      <c r="B29" s="489"/>
      <c r="C29" s="489"/>
      <c r="D29" s="489"/>
      <c r="E29" s="489"/>
      <c r="F29" s="489"/>
      <c r="G29" s="489"/>
      <c r="H29" s="489"/>
      <c r="I29" s="489"/>
      <c r="J29" s="489"/>
      <c r="K29" s="489"/>
      <c r="L29" s="489"/>
    </row>
    <row r="30" spans="1:12" x14ac:dyDescent="0.2">
      <c r="A30" s="489"/>
      <c r="B30" s="489"/>
      <c r="C30" s="489"/>
      <c r="D30" s="489"/>
      <c r="E30" s="489"/>
      <c r="F30" s="489"/>
      <c r="G30" s="489"/>
      <c r="H30" s="489"/>
      <c r="I30" s="489"/>
      <c r="J30" s="489"/>
      <c r="K30" s="489"/>
      <c r="L30" s="489"/>
    </row>
    <row r="31" spans="1:12" x14ac:dyDescent="0.2">
      <c r="A31" s="489"/>
      <c r="B31" s="489"/>
      <c r="C31" s="489"/>
      <c r="D31" s="489"/>
      <c r="E31" s="489"/>
      <c r="F31" s="489"/>
      <c r="G31" s="489"/>
      <c r="H31" s="489"/>
      <c r="I31" s="489"/>
      <c r="J31" s="489"/>
      <c r="K31" s="489"/>
      <c r="L31" s="489"/>
    </row>
    <row r="32" spans="1:12" x14ac:dyDescent="0.2">
      <c r="A32" s="489"/>
      <c r="B32" s="489"/>
      <c r="C32" s="489"/>
      <c r="D32" s="489"/>
      <c r="E32" s="489"/>
      <c r="F32" s="489"/>
      <c r="G32" s="489"/>
      <c r="H32" s="489"/>
      <c r="I32" s="489"/>
      <c r="J32" s="489"/>
      <c r="K32" s="489"/>
      <c r="L32" s="489"/>
    </row>
    <row r="33" spans="1:12" x14ac:dyDescent="0.2">
      <c r="A33" s="489"/>
      <c r="B33" s="489"/>
      <c r="C33" s="489"/>
      <c r="D33" s="489"/>
      <c r="E33" s="489"/>
      <c r="F33" s="489"/>
      <c r="G33" s="489"/>
      <c r="H33" s="489"/>
      <c r="I33" s="489"/>
      <c r="J33" s="489"/>
      <c r="K33" s="489"/>
      <c r="L33" s="489"/>
    </row>
    <row r="34" spans="1:12" x14ac:dyDescent="0.2">
      <c r="A34" s="489"/>
      <c r="B34" s="489"/>
      <c r="C34" s="489"/>
      <c r="D34" s="489"/>
      <c r="E34" s="489"/>
      <c r="F34" s="489"/>
      <c r="G34" s="489"/>
      <c r="H34" s="489"/>
      <c r="I34" s="489"/>
      <c r="J34" s="489"/>
      <c r="K34" s="489"/>
      <c r="L34" s="489"/>
    </row>
    <row r="35" spans="1:12" x14ac:dyDescent="0.2">
      <c r="A35" s="489"/>
      <c r="B35" s="489"/>
      <c r="C35" s="489"/>
      <c r="D35" s="489"/>
      <c r="E35" s="489"/>
      <c r="F35" s="489"/>
      <c r="G35" s="489"/>
      <c r="H35" s="489"/>
      <c r="I35" s="489"/>
      <c r="J35" s="489"/>
      <c r="K35" s="489"/>
      <c r="L35" s="489"/>
    </row>
    <row r="36" spans="1:12" x14ac:dyDescent="0.2">
      <c r="A36" s="489"/>
      <c r="B36" s="489"/>
      <c r="C36" s="489"/>
      <c r="D36" s="489"/>
      <c r="E36" s="489"/>
      <c r="F36" s="489"/>
      <c r="G36" s="489"/>
      <c r="H36" s="489"/>
      <c r="I36" s="489"/>
      <c r="J36" s="489"/>
      <c r="K36" s="489"/>
      <c r="L36" s="489"/>
    </row>
    <row r="37" spans="1:12" x14ac:dyDescent="0.2">
      <c r="A37" s="489"/>
      <c r="B37" s="489"/>
      <c r="C37" s="489"/>
      <c r="D37" s="489"/>
      <c r="E37" s="489"/>
      <c r="F37" s="489"/>
      <c r="G37" s="489"/>
      <c r="H37" s="489"/>
      <c r="I37" s="489"/>
      <c r="J37" s="489"/>
      <c r="K37" s="489"/>
      <c r="L37" s="489"/>
    </row>
    <row r="38" spans="1:12" x14ac:dyDescent="0.2">
      <c r="A38" s="489"/>
      <c r="B38" s="489"/>
      <c r="C38" s="489"/>
      <c r="D38" s="489"/>
      <c r="E38" s="489"/>
      <c r="F38" s="489"/>
      <c r="G38" s="489"/>
      <c r="H38" s="489"/>
      <c r="I38" s="489"/>
      <c r="J38" s="489"/>
      <c r="K38" s="489"/>
      <c r="L38" s="489"/>
    </row>
    <row r="39" spans="1:12" x14ac:dyDescent="0.2">
      <c r="A39" s="489"/>
      <c r="B39" s="489"/>
      <c r="C39" s="489"/>
      <c r="D39" s="489"/>
      <c r="E39" s="489"/>
      <c r="F39" s="489"/>
      <c r="G39" s="489"/>
      <c r="H39" s="489"/>
      <c r="I39" s="489"/>
      <c r="J39" s="489"/>
      <c r="K39" s="489"/>
      <c r="L39" s="489"/>
    </row>
    <row r="40" spans="1:12" x14ac:dyDescent="0.2">
      <c r="A40" s="489"/>
      <c r="B40" s="489"/>
      <c r="C40" s="489"/>
      <c r="D40" s="489"/>
      <c r="E40" s="489"/>
      <c r="F40" s="489"/>
      <c r="G40" s="489"/>
      <c r="H40" s="489"/>
      <c r="I40" s="489"/>
      <c r="J40" s="489"/>
      <c r="K40" s="489"/>
      <c r="L40" s="489"/>
    </row>
    <row r="41" spans="1:12" x14ac:dyDescent="0.2">
      <c r="A41" s="489"/>
      <c r="B41" s="489"/>
      <c r="C41" s="489"/>
      <c r="D41" s="489"/>
      <c r="E41" s="489"/>
      <c r="F41" s="489"/>
      <c r="G41" s="489"/>
      <c r="H41" s="489"/>
      <c r="I41" s="489"/>
      <c r="J41" s="489"/>
      <c r="K41" s="489"/>
      <c r="L41" s="489"/>
    </row>
    <row r="42" spans="1:12" x14ac:dyDescent="0.2">
      <c r="A42" s="489"/>
      <c r="B42" s="489"/>
      <c r="C42" s="489"/>
      <c r="D42" s="489"/>
      <c r="E42" s="489"/>
      <c r="F42" s="489"/>
      <c r="G42" s="489"/>
      <c r="H42" s="489"/>
      <c r="I42" s="489"/>
      <c r="J42" s="489"/>
      <c r="K42" s="489"/>
      <c r="L42" s="489"/>
    </row>
    <row r="43" spans="1:12" x14ac:dyDescent="0.2">
      <c r="A43" s="489"/>
      <c r="B43" s="489"/>
      <c r="C43" s="489"/>
      <c r="D43" s="489"/>
      <c r="E43" s="489"/>
      <c r="F43" s="489"/>
      <c r="G43" s="489"/>
      <c r="H43" s="489"/>
      <c r="I43" s="489"/>
      <c r="J43" s="489"/>
      <c r="K43" s="489"/>
      <c r="L43" s="489"/>
    </row>
    <row r="44" spans="1:12" x14ac:dyDescent="0.2">
      <c r="A44" s="489"/>
      <c r="B44" s="489"/>
      <c r="C44" s="489"/>
      <c r="D44" s="489"/>
      <c r="E44" s="489"/>
      <c r="F44" s="489"/>
      <c r="G44" s="489"/>
      <c r="H44" s="489"/>
      <c r="I44" s="489"/>
      <c r="J44" s="489"/>
      <c r="K44" s="489"/>
      <c r="L44" s="489"/>
    </row>
    <row r="45" spans="1:12" x14ac:dyDescent="0.2">
      <c r="A45" s="489"/>
      <c r="B45" s="489"/>
      <c r="C45" s="489"/>
      <c r="D45" s="489"/>
      <c r="E45" s="489"/>
      <c r="F45" s="489"/>
      <c r="G45" s="489"/>
      <c r="H45" s="489"/>
      <c r="I45" s="489"/>
      <c r="J45" s="489"/>
      <c r="K45" s="489"/>
      <c r="L45" s="489"/>
    </row>
    <row r="46" spans="1:12" x14ac:dyDescent="0.2">
      <c r="A46" s="489"/>
      <c r="B46" s="489"/>
      <c r="C46" s="489"/>
      <c r="D46" s="489"/>
      <c r="E46" s="489"/>
      <c r="F46" s="489"/>
      <c r="G46" s="489"/>
      <c r="H46" s="489"/>
      <c r="I46" s="489"/>
      <c r="J46" s="489"/>
      <c r="K46" s="489"/>
      <c r="L46" s="489"/>
    </row>
    <row r="47" spans="1:12" x14ac:dyDescent="0.2">
      <c r="A47" s="489"/>
      <c r="B47" s="489"/>
      <c r="C47" s="489"/>
      <c r="D47" s="489"/>
      <c r="E47" s="489"/>
      <c r="F47" s="489"/>
      <c r="G47" s="489"/>
      <c r="H47" s="489"/>
      <c r="I47" s="489"/>
      <c r="J47" s="489"/>
      <c r="K47" s="489"/>
      <c r="L47" s="489"/>
    </row>
    <row r="48" spans="1:12" x14ac:dyDescent="0.2">
      <c r="A48" s="489"/>
      <c r="B48" s="489"/>
      <c r="C48" s="489"/>
      <c r="D48" s="489"/>
      <c r="E48" s="489"/>
      <c r="F48" s="489"/>
      <c r="G48" s="489"/>
      <c r="H48" s="489"/>
      <c r="I48" s="489"/>
      <c r="J48" s="489"/>
      <c r="K48" s="489"/>
      <c r="L48" s="489"/>
    </row>
    <row r="49" spans="1:12" x14ac:dyDescent="0.2">
      <c r="A49" s="489"/>
      <c r="B49" s="489"/>
      <c r="C49" s="489"/>
      <c r="D49" s="489"/>
      <c r="E49" s="489"/>
      <c r="F49" s="489"/>
      <c r="G49" s="489"/>
      <c r="H49" s="489"/>
      <c r="I49" s="489"/>
      <c r="J49" s="489"/>
      <c r="K49" s="489"/>
      <c r="L49" s="489"/>
    </row>
    <row r="50" spans="1:12" x14ac:dyDescent="0.2">
      <c r="A50" s="489"/>
      <c r="B50" s="489"/>
      <c r="C50" s="489"/>
      <c r="D50" s="489"/>
      <c r="E50" s="489"/>
      <c r="F50" s="489"/>
      <c r="G50" s="489"/>
      <c r="H50" s="489"/>
      <c r="I50" s="489"/>
      <c r="J50" s="489"/>
      <c r="K50" s="489"/>
      <c r="L50" s="489"/>
    </row>
    <row r="51" spans="1:12" x14ac:dyDescent="0.2">
      <c r="A51" s="489"/>
      <c r="B51" s="489"/>
      <c r="C51" s="489"/>
      <c r="D51" s="489"/>
      <c r="E51" s="489"/>
      <c r="F51" s="489"/>
      <c r="G51" s="489"/>
      <c r="H51" s="489"/>
      <c r="I51" s="489"/>
      <c r="J51" s="489"/>
      <c r="K51" s="489"/>
      <c r="L51" s="489"/>
    </row>
    <row r="52" spans="1:12" x14ac:dyDescent="0.2">
      <c r="A52" s="489"/>
      <c r="B52" s="489"/>
      <c r="C52" s="489"/>
      <c r="D52" s="489"/>
      <c r="E52" s="489"/>
      <c r="F52" s="489"/>
      <c r="G52" s="489"/>
      <c r="H52" s="489"/>
      <c r="I52" s="489"/>
      <c r="J52" s="489"/>
      <c r="K52" s="489"/>
      <c r="L52" s="489"/>
    </row>
    <row r="53" spans="1:12" s="67" customFormat="1" x14ac:dyDescent="0.2">
      <c r="A53" s="489"/>
      <c r="B53" s="489"/>
      <c r="C53" s="489"/>
      <c r="D53" s="489"/>
      <c r="E53" s="489"/>
      <c r="F53" s="489"/>
      <c r="G53" s="489"/>
      <c r="H53" s="489"/>
      <c r="I53" s="489"/>
      <c r="J53" s="489"/>
      <c r="K53" s="489"/>
      <c r="L53" s="489"/>
    </row>
    <row r="54" spans="1:12" s="67" customFormat="1" x14ac:dyDescent="0.2">
      <c r="A54" s="489"/>
      <c r="B54" s="489"/>
      <c r="C54" s="489"/>
      <c r="D54" s="489"/>
      <c r="E54" s="489"/>
      <c r="F54" s="489"/>
      <c r="G54" s="489"/>
      <c r="H54" s="489"/>
      <c r="I54" s="489"/>
      <c r="J54" s="489"/>
      <c r="K54" s="489"/>
      <c r="L54" s="489"/>
    </row>
    <row r="55" spans="1:12" x14ac:dyDescent="0.2">
      <c r="A55" s="489"/>
      <c r="B55" s="489"/>
      <c r="C55" s="489"/>
      <c r="D55" s="489"/>
      <c r="E55" s="489"/>
      <c r="F55" s="489"/>
      <c r="G55" s="489"/>
      <c r="H55" s="489"/>
      <c r="I55" s="489"/>
      <c r="J55" s="489"/>
      <c r="K55" s="489"/>
      <c r="L55" s="489"/>
    </row>
    <row r="56" spans="1:12" x14ac:dyDescent="0.2">
      <c r="A56" s="489"/>
      <c r="B56" s="489"/>
      <c r="C56" s="489"/>
      <c r="D56" s="489"/>
      <c r="E56" s="489"/>
      <c r="F56" s="489"/>
      <c r="G56" s="489"/>
      <c r="H56" s="489"/>
      <c r="I56" s="489"/>
      <c r="J56" s="489"/>
      <c r="K56" s="489"/>
      <c r="L56" s="489"/>
    </row>
    <row r="57" spans="1:12" x14ac:dyDescent="0.2">
      <c r="A57" s="489"/>
      <c r="B57" s="489"/>
      <c r="C57" s="489"/>
      <c r="D57" s="489"/>
      <c r="E57" s="489"/>
      <c r="F57" s="489"/>
      <c r="G57" s="489"/>
      <c r="H57" s="489"/>
      <c r="I57" s="489"/>
      <c r="J57" s="489"/>
      <c r="K57" s="489"/>
      <c r="L57" s="489"/>
    </row>
  </sheetData>
  <sheetProtection sheet="1" objects="1" scenarios="1"/>
  <mergeCells count="2">
    <mergeCell ref="A2:L2"/>
    <mergeCell ref="E23:H23"/>
  </mergeCells>
  <printOptions horizontalCentered="1"/>
  <pageMargins left="0.23622047244094491" right="0.23622047244094491" top="0.74803149606299213" bottom="0.74803149606299213" header="0.31496062992125984" footer="0.31496062992125984"/>
  <pageSetup paperSize="9" scale="69" orientation="portrait" r:id="rId1"/>
  <headerFooter>
    <oddHeader>&amp;C&amp;G</oddHeader>
  </headerFooter>
  <drawing r:id="rId2"/>
  <legacyDrawing r:id="rId3"/>
  <legacyDrawingHF r:id="rId4"/>
  <mc:AlternateContent xmlns:mc="http://schemas.openxmlformats.org/markup-compatibility/2006">
    <mc:Choice Requires="x14">
      <controls>
        <mc:AlternateContent xmlns:mc="http://schemas.openxmlformats.org/markup-compatibility/2006">
          <mc:Choice Requires="x14">
            <control shapeId="2050" r:id="rId5" name="Drop Down 2">
              <controlPr defaultSize="0" autoLine="0" autoPict="0">
                <anchor>
                  <from>
                    <xdr:col>4</xdr:col>
                    <xdr:colOff>457200</xdr:colOff>
                    <xdr:row>16</xdr:row>
                    <xdr:rowOff>133350</xdr:rowOff>
                  </from>
                  <to>
                    <xdr:col>8</xdr:col>
                    <xdr:colOff>285750</xdr:colOff>
                    <xdr:row>18</xdr:row>
                    <xdr:rowOff>19050</xdr:rowOff>
                  </to>
                </anchor>
              </controlPr>
            </control>
          </mc:Choice>
        </mc:AlternateContent>
        <mc:AlternateContent xmlns:mc="http://schemas.openxmlformats.org/markup-compatibility/2006">
          <mc:Choice Requires="x14">
            <control shapeId="2051" r:id="rId6" name="Drop Down 3">
              <controlPr defaultSize="0" autoLine="0" autoPict="0">
                <anchor>
                  <from>
                    <xdr:col>4</xdr:col>
                    <xdr:colOff>457200</xdr:colOff>
                    <xdr:row>18</xdr:row>
                    <xdr:rowOff>171450</xdr:rowOff>
                  </from>
                  <to>
                    <xdr:col>8</xdr:col>
                    <xdr:colOff>285750</xdr:colOff>
                    <xdr:row>20</xdr:row>
                    <xdr:rowOff>57150</xdr:rowOff>
                  </to>
                </anchor>
              </controlPr>
            </control>
          </mc:Choice>
        </mc:AlternateContent>
      </controls>
    </mc:Choice>
  </mc:AlternateConten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0">
    <tabColor theme="8" tint="0.39997558519241921"/>
  </sheetPr>
  <dimension ref="A1:RT512"/>
  <sheetViews>
    <sheetView zoomScale="90" zoomScaleNormal="90" zoomScaleSheetLayoutView="100" workbookViewId="0">
      <pane xSplit="2" ySplit="5" topLeftCell="C6" activePane="bottomRight" state="frozen"/>
      <selection pane="topRight"/>
      <selection pane="bottomLeft"/>
      <selection pane="bottomRight"/>
    </sheetView>
  </sheetViews>
  <sheetFormatPr defaultColWidth="8.796875" defaultRowHeight="15" x14ac:dyDescent="0.25"/>
  <cols>
    <col min="1" max="1" width="20.296875" style="10" customWidth="1"/>
    <col min="2" max="2" width="10" style="8" customWidth="1"/>
    <col min="3" max="3" width="28" style="10" customWidth="1"/>
    <col min="4" max="4" width="9" style="10" customWidth="1"/>
    <col min="5" max="5" width="15.19921875" style="10" customWidth="1"/>
    <col min="6" max="6" width="10.59765625" style="66" customWidth="1"/>
    <col min="7" max="7" width="10" style="10" customWidth="1"/>
    <col min="8" max="8" width="12.5" style="10" customWidth="1"/>
    <col min="9" max="9" width="10" style="10" customWidth="1"/>
    <col min="10" max="10" width="21" style="10" customWidth="1"/>
    <col min="11" max="11" width="7.796875" style="10" customWidth="1"/>
    <col min="12" max="12" width="8.3984375" style="10" customWidth="1"/>
    <col min="13" max="13" width="46.59765625" style="10" customWidth="1"/>
    <col min="14" max="14" width="10" style="10" customWidth="1"/>
    <col min="15" max="15" width="6.796875" style="10" customWidth="1"/>
    <col min="16" max="16" width="7.3984375" style="10" customWidth="1"/>
    <col min="17" max="19" width="7.3984375" style="66" customWidth="1"/>
    <col min="20" max="20" width="8.796875" style="68"/>
    <col min="21" max="28" width="8.796875" style="2"/>
    <col min="29" max="29" width="8.796875" style="61"/>
    <col min="30" max="30" width="8.796875" style="66"/>
    <col min="31" max="31" width="8.796875" style="68"/>
    <col min="32" max="39" width="8.796875" style="2"/>
    <col min="40" max="40" width="8.8984375" style="10" customWidth="1"/>
    <col min="41" max="41" width="8.8984375" style="66" customWidth="1"/>
    <col min="42" max="42" width="8.796875" style="68"/>
    <col min="43" max="48" width="8.796875" style="2"/>
    <col min="49" max="49" width="8.796875" style="10"/>
    <col min="50" max="50" width="8.796875" style="68"/>
    <col min="51" max="51" width="8.796875" style="2"/>
    <col min="52" max="52" width="9.796875" style="2" customWidth="1"/>
    <col min="53" max="55" width="8.796875" style="2"/>
    <col min="56" max="56" width="8.796875" style="10"/>
    <col min="57" max="57" width="8.796875" style="68"/>
    <col min="58" max="63" width="8.796875" style="10"/>
    <col min="64" max="64" width="9.5" style="63" customWidth="1"/>
    <col min="65" max="66" width="8.796875" style="2"/>
    <col min="67" max="67" width="8.796875" style="61"/>
    <col min="68" max="68" width="8.796875" style="63"/>
    <col min="69" max="73" width="8.796875" style="2"/>
    <col min="74" max="74" width="8.8984375" style="66" customWidth="1"/>
    <col min="75" max="75" width="8.796875" style="68"/>
    <col min="76" max="79" width="8.796875" style="2"/>
    <col min="80" max="80" width="8.796875" style="8"/>
    <col min="81" max="84" width="8.796875" style="2"/>
    <col min="85" max="85" width="8.796875" style="273"/>
    <col min="86" max="86" width="8.796875" style="8"/>
    <col min="87" max="88" width="8.796875" style="2"/>
    <col min="89" max="90" width="8.796875" style="299"/>
    <col min="91" max="92" width="8.796875" style="66"/>
    <col min="93" max="93" width="8.796875" style="68"/>
    <col min="94" max="95" width="8.796875" style="2"/>
    <col min="96" max="96" width="8.796875" style="8"/>
    <col min="97" max="101" width="8.796875" style="2"/>
    <col min="102" max="102" width="8.796875" style="66"/>
    <col min="103" max="103" width="8.796875" style="532"/>
    <col min="104" max="108" width="8.796875" style="2"/>
    <col min="109" max="110" width="8.796875" style="66"/>
    <col min="111" max="111" width="14.3984375" style="68" customWidth="1"/>
    <col min="112" max="112" width="8.796875" style="68"/>
    <col min="113" max="114" width="8.796875" style="2"/>
    <col min="115" max="123" width="8.796875" style="66"/>
    <col min="124" max="124" width="8.796875" style="68"/>
    <col min="125" max="125" width="8.796875" style="66"/>
    <col min="126" max="126" width="8.796875" style="296"/>
    <col min="127" max="127" width="8.796875" style="330"/>
    <col min="128" max="130" width="8.796875" style="631"/>
    <col min="131" max="131" width="8.796875" style="330"/>
    <col min="132" max="132" width="8.796875" style="204"/>
    <col min="133" max="133" width="8.796875" style="66"/>
    <col min="134" max="134" width="8.796875" style="68"/>
    <col min="135" max="137" width="8.796875" style="248"/>
    <col min="138" max="139" width="8.796875" style="66"/>
    <col min="140" max="140" width="8.796875" style="68"/>
    <col min="141" max="143" width="8.796875" style="252"/>
    <col min="144" max="144" width="8.796875" style="248"/>
    <col min="145" max="147" width="8.796875" style="252"/>
    <col min="148" max="148" width="8.796875" style="248"/>
    <col min="149" max="151" width="8.796875" style="252"/>
    <col min="152" max="152" width="8.796875" style="248"/>
    <col min="153" max="155" width="8.796875" style="252"/>
    <col min="156" max="156" width="8.796875" style="248"/>
    <col min="157" max="163" width="8.796875" style="250"/>
    <col min="164" max="164" width="8.796875" style="424"/>
    <col min="165" max="167" width="8.796875" style="250"/>
    <col min="168" max="168" width="9.796875" style="256" bestFit="1" customWidth="1"/>
    <col min="169" max="169" width="8.796875" style="250"/>
    <col min="170" max="170" width="8.796875" style="256"/>
    <col min="171" max="171" width="8.796875" style="250"/>
    <col min="172" max="172" width="8.796875" style="256"/>
    <col min="173" max="173" width="8.796875" style="250"/>
    <col min="174" max="174" width="9.796875" style="256" bestFit="1" customWidth="1"/>
    <col min="175" max="175" width="8.796875" style="250"/>
    <col min="176" max="178" width="8.796875" style="256"/>
    <col min="179" max="179" width="8.796875" style="250"/>
    <col min="180" max="180" width="9.3984375" style="424" bestFit="1" customWidth="1"/>
    <col min="181" max="181" width="8.796875" style="251"/>
    <col min="182" max="184" width="8.796875" style="248"/>
    <col min="185" max="185" width="8.796875" style="252"/>
    <col min="186" max="187" width="8.796875" style="248"/>
    <col min="188" max="188" width="8.796875" style="252"/>
    <col min="189" max="189" width="10.09765625" style="252" customWidth="1"/>
    <col min="190" max="191" width="10.796875" style="252" customWidth="1"/>
    <col min="192" max="192" width="8.796875" style="252"/>
    <col min="193" max="193" width="8.796875" style="251"/>
    <col min="194" max="202" width="8.796875" style="250"/>
    <col min="203" max="203" width="8.796875" style="251"/>
    <col min="204" max="215" width="8.796875" style="250"/>
    <col min="216" max="216" width="8.796875" style="251"/>
    <col min="217" max="217" width="8.796875" style="424"/>
    <col min="218" max="219" width="8.796875" style="255"/>
    <col min="220" max="220" width="8.796875" style="250"/>
    <col min="221" max="223" width="8.796875" style="255"/>
    <col min="224" max="228" width="8.796875" style="250"/>
    <col min="229" max="229" width="8.796875" style="251"/>
    <col min="230" max="231" width="8.796875" style="217"/>
    <col min="232" max="234" width="8.796875" style="218"/>
    <col min="235" max="235" width="12.5" style="217" bestFit="1" customWidth="1"/>
    <col min="236" max="237" width="8.796875" style="217"/>
    <col min="238" max="240" width="8.796875" style="218"/>
    <col min="241" max="241" width="12.3984375" style="217" bestFit="1" customWidth="1"/>
    <col min="242" max="243" width="8.796875" style="217"/>
    <col min="244" max="246" width="8.796875" style="218"/>
    <col min="247" max="247" width="12.5" style="217" bestFit="1" customWidth="1"/>
    <col min="248" max="249" width="8.796875" style="217"/>
    <col min="250" max="252" width="8.796875" style="218"/>
    <col min="253" max="253" width="12.5" style="217" bestFit="1" customWidth="1"/>
    <col min="254" max="258" width="8.796875" style="217"/>
    <col min="259" max="259" width="10.09765625" style="459" bestFit="1" customWidth="1"/>
    <col min="260" max="261" width="10.09765625" style="459" customWidth="1"/>
    <col min="262" max="262" width="10.09765625" style="335" customWidth="1"/>
    <col min="263" max="264" width="10.09765625" style="459" customWidth="1"/>
    <col min="265" max="270" width="12.8984375" style="459" customWidth="1"/>
    <col min="271" max="271" width="12.8984375" style="216" customWidth="1"/>
    <col min="272" max="273" width="8.796875" style="217"/>
    <col min="274" max="276" width="8.796875" style="218"/>
    <col min="277" max="277" width="12.3984375" style="217" bestFit="1" customWidth="1"/>
    <col min="278" max="279" width="8.796875" style="217"/>
    <col min="280" max="282" width="8.796875" style="218"/>
    <col min="283" max="283" width="12.3984375" style="217" bestFit="1" customWidth="1"/>
    <col min="284" max="285" width="8.796875" style="217"/>
    <col min="286" max="288" width="8.796875" style="218"/>
    <col min="289" max="289" width="12.5" style="217" bestFit="1" customWidth="1"/>
    <col min="290" max="290" width="8.796875" style="217" customWidth="1"/>
    <col min="291" max="291" width="8.796875" style="217"/>
    <col min="292" max="293" width="8.796875" style="218"/>
    <col min="294" max="294" width="8.69921875" style="218" customWidth="1"/>
    <col min="295" max="295" width="9.796875" style="217" customWidth="1"/>
    <col min="296" max="300" width="8.796875" style="217"/>
    <col min="301" max="301" width="12.3984375" style="459" bestFit="1" customWidth="1"/>
    <col min="302" max="312" width="12.3984375" style="459" customWidth="1"/>
    <col min="313" max="313" width="12.3984375" style="216" customWidth="1"/>
    <col min="314" max="315" width="8.796875" style="217"/>
    <col min="316" max="318" width="8.796875" style="218"/>
    <col min="319" max="321" width="8.796875" style="217"/>
    <col min="322" max="323" width="8.796875" style="218"/>
    <col min="324" max="325" width="8.796875" style="217"/>
    <col min="326" max="328" width="8.796875" style="218"/>
    <col min="329" max="331" width="8.796875" style="217"/>
    <col min="332" max="332" width="8.796875" style="219"/>
    <col min="333" max="348" width="8.796875" style="335"/>
    <col min="349" max="349" width="8.796875" style="647"/>
    <col min="350" max="350" width="8.796875" style="645"/>
    <col min="351" max="351" width="8.796875" style="215"/>
    <col min="352" max="366" width="8.796875" style="218"/>
    <col min="367" max="367" width="8.796875" style="215"/>
    <col min="368" max="386" width="8.796875" style="335"/>
    <col min="387" max="387" width="8.796875" style="215"/>
    <col min="388" max="409" width="8.796875" style="217"/>
    <col min="410" max="410" width="8.796875" style="216"/>
    <col min="411" max="448" width="8.796875" style="2"/>
    <col min="449" max="449" width="8.796875" style="8"/>
    <col min="450" max="487" width="8.796875" style="2"/>
    <col min="488" max="488" width="8.796875" style="8"/>
    <col min="489" max="16384" width="8.796875" style="2"/>
  </cols>
  <sheetData>
    <row r="1" spans="1:488" s="66" customFormat="1" x14ac:dyDescent="0.25">
      <c r="A1" s="27" t="s">
        <v>104</v>
      </c>
      <c r="T1" s="68"/>
      <c r="AE1" s="68"/>
      <c r="AP1" s="68"/>
      <c r="AX1" s="68"/>
      <c r="BE1" s="68"/>
      <c r="BL1" s="68"/>
      <c r="BP1" s="68"/>
      <c r="BW1" s="68"/>
      <c r="CB1" s="8"/>
      <c r="CC1" s="205"/>
      <c r="CH1" s="8"/>
      <c r="CO1" s="68"/>
      <c r="CR1" s="8"/>
      <c r="CY1" s="532"/>
      <c r="DG1" s="68"/>
      <c r="DH1" s="68"/>
      <c r="DT1" s="68"/>
      <c r="DV1" s="296"/>
      <c r="DW1" s="330"/>
      <c r="DX1" s="631"/>
      <c r="DY1" s="631"/>
      <c r="DZ1" s="631"/>
      <c r="EA1" s="330"/>
      <c r="ED1" s="68"/>
      <c r="EJ1" s="68"/>
      <c r="EK1" s="250"/>
      <c r="EL1" s="250"/>
      <c r="EM1" s="250"/>
      <c r="EO1" s="250"/>
      <c r="EP1" s="250"/>
      <c r="EQ1" s="250"/>
      <c r="ES1" s="250"/>
      <c r="ET1" s="250"/>
      <c r="EU1" s="250"/>
      <c r="EW1" s="250"/>
      <c r="EX1" s="250"/>
      <c r="EY1" s="250"/>
      <c r="FA1" s="250"/>
      <c r="FB1" s="250"/>
      <c r="FC1" s="250"/>
      <c r="FD1" s="250"/>
      <c r="FE1" s="250"/>
      <c r="FF1" s="250"/>
      <c r="FG1" s="250"/>
      <c r="FH1" s="424"/>
      <c r="FI1" s="250"/>
      <c r="FJ1" s="250"/>
      <c r="FK1" s="250"/>
      <c r="FL1" s="339"/>
      <c r="FM1" s="250"/>
      <c r="FN1" s="256"/>
      <c r="FO1" s="250"/>
      <c r="FP1" s="256"/>
      <c r="FQ1" s="250"/>
      <c r="FR1" s="256"/>
      <c r="FS1" s="250"/>
      <c r="FT1" s="256"/>
      <c r="FU1" s="256"/>
      <c r="FV1" s="256"/>
      <c r="FW1" s="250"/>
      <c r="FX1" s="424"/>
      <c r="FY1" s="251"/>
      <c r="GC1" s="250"/>
      <c r="GE1" s="472"/>
      <c r="GF1" s="473"/>
      <c r="GG1" s="250"/>
      <c r="GH1" s="250"/>
      <c r="GI1" s="250"/>
      <c r="GJ1" s="250"/>
      <c r="GK1" s="251"/>
      <c r="GL1" s="250"/>
      <c r="GM1" s="250"/>
      <c r="GN1" s="250"/>
      <c r="GO1" s="250"/>
      <c r="GP1" s="250"/>
      <c r="GQ1" s="250"/>
      <c r="GR1" s="250"/>
      <c r="GS1" s="250"/>
      <c r="GT1" s="250"/>
      <c r="GU1" s="251"/>
      <c r="GV1" s="250"/>
      <c r="GW1" s="250"/>
      <c r="GX1" s="250"/>
      <c r="GY1" s="250"/>
      <c r="GZ1" s="250"/>
      <c r="HA1" s="250"/>
      <c r="HB1" s="250"/>
      <c r="HC1" s="250"/>
      <c r="HD1" s="250"/>
      <c r="HE1" s="250"/>
      <c r="HF1" s="250"/>
      <c r="HG1" s="250"/>
      <c r="HH1" s="251"/>
      <c r="HI1" s="424"/>
      <c r="HJ1" s="255"/>
      <c r="HK1" s="255"/>
      <c r="HL1" s="250"/>
      <c r="HM1" s="255"/>
      <c r="HN1" s="255"/>
      <c r="HO1" s="255"/>
      <c r="HP1" s="250"/>
      <c r="HQ1" s="250"/>
      <c r="HR1" s="250"/>
      <c r="HS1" s="250"/>
      <c r="HT1" s="250"/>
      <c r="HU1" s="251"/>
      <c r="HX1" s="250"/>
      <c r="HY1" s="250"/>
      <c r="HZ1" s="250"/>
      <c r="ID1" s="250"/>
      <c r="IE1" s="250"/>
      <c r="IF1" s="250"/>
      <c r="IJ1" s="250"/>
      <c r="IK1" s="250"/>
      <c r="IL1" s="250"/>
      <c r="IP1" s="250"/>
      <c r="IQ1" s="250"/>
      <c r="IR1" s="250"/>
      <c r="JB1" s="250"/>
      <c r="JK1" s="8"/>
      <c r="JN1" s="250"/>
      <c r="JO1" s="250"/>
      <c r="JP1" s="250"/>
      <c r="JT1" s="250"/>
      <c r="JU1" s="250"/>
      <c r="JV1" s="250"/>
      <c r="JZ1" s="250"/>
      <c r="KA1" s="250"/>
      <c r="KB1" s="250"/>
      <c r="KF1" s="250"/>
      <c r="KG1" s="250"/>
      <c r="KH1" s="250"/>
      <c r="LA1" s="8"/>
      <c r="LD1" s="250"/>
      <c r="LE1" s="250"/>
      <c r="LF1" s="250"/>
      <c r="LJ1" s="250"/>
      <c r="LK1" s="250"/>
      <c r="LN1" s="250"/>
      <c r="LO1" s="250"/>
      <c r="LP1" s="250"/>
      <c r="LS1" s="301"/>
      <c r="LT1" s="255"/>
      <c r="LU1" s="250"/>
      <c r="LV1" s="250"/>
      <c r="LW1" s="250"/>
      <c r="LX1" s="250"/>
      <c r="LY1" s="354">
        <v>95</v>
      </c>
      <c r="LZ1" s="250"/>
      <c r="MA1" s="250"/>
      <c r="MB1" s="250"/>
      <c r="MC1" s="250"/>
      <c r="MD1" s="250"/>
      <c r="ME1" s="250"/>
      <c r="MF1" s="250"/>
      <c r="MG1" s="250"/>
      <c r="MH1" s="250"/>
      <c r="MI1" s="250"/>
      <c r="MJ1" s="250"/>
      <c r="MK1" s="424"/>
      <c r="ML1" s="640"/>
      <c r="MM1" s="251"/>
      <c r="MN1" s="250"/>
      <c r="MO1" s="250"/>
      <c r="MP1" s="250"/>
      <c r="MQ1" s="250"/>
      <c r="MR1" s="250"/>
      <c r="MS1" s="250"/>
      <c r="MT1" s="250"/>
      <c r="MU1" s="250"/>
      <c r="MV1" s="250"/>
      <c r="MW1" s="250"/>
      <c r="MX1" s="250"/>
      <c r="MY1" s="250"/>
      <c r="MZ1" s="250"/>
      <c r="NA1" s="250"/>
      <c r="NB1" s="250"/>
      <c r="NC1" s="251"/>
      <c r="ND1" s="250"/>
      <c r="NE1" s="250"/>
      <c r="NF1" s="250"/>
      <c r="NG1" s="250"/>
      <c r="NH1" s="250"/>
      <c r="NI1" s="250"/>
      <c r="NJ1" s="250"/>
      <c r="NK1" s="250"/>
      <c r="NL1" s="250"/>
      <c r="NM1" s="250"/>
      <c r="NN1" s="250"/>
      <c r="NO1" s="250"/>
      <c r="NP1" s="250"/>
      <c r="NQ1" s="250"/>
      <c r="NR1" s="250"/>
      <c r="NS1" s="250"/>
      <c r="NT1" s="250"/>
      <c r="NU1" s="250"/>
      <c r="NV1" s="250"/>
      <c r="NW1" s="251"/>
      <c r="OT1" s="8"/>
      <c r="QG1" s="8"/>
      <c r="RT1" s="8"/>
    </row>
    <row r="2" spans="1:488" s="248" customFormat="1" x14ac:dyDescent="0.25">
      <c r="A2" s="27" t="s">
        <v>103</v>
      </c>
      <c r="B2" s="8"/>
      <c r="C2" s="66"/>
      <c r="D2" s="66"/>
      <c r="E2" s="66"/>
      <c r="F2" s="66"/>
      <c r="G2" s="66"/>
      <c r="H2" s="66"/>
      <c r="I2" s="66"/>
      <c r="J2" s="66"/>
      <c r="K2" s="66"/>
      <c r="L2" s="66"/>
      <c r="M2" s="66"/>
      <c r="N2" s="66"/>
      <c r="O2" s="66"/>
      <c r="P2" s="66"/>
      <c r="Q2" s="66"/>
      <c r="R2" s="66"/>
      <c r="S2" s="66"/>
      <c r="T2" s="68"/>
      <c r="AC2" s="66"/>
      <c r="AD2" s="66"/>
      <c r="AE2" s="68"/>
      <c r="AN2" s="66"/>
      <c r="AO2" s="66"/>
      <c r="AP2" s="68"/>
      <c r="AW2" s="66"/>
      <c r="AX2" s="68"/>
      <c r="BD2" s="66"/>
      <c r="BE2" s="68"/>
      <c r="BF2" s="66"/>
      <c r="BG2" s="66"/>
      <c r="BH2" s="66"/>
      <c r="BI2" s="66"/>
      <c r="BJ2" s="66"/>
      <c r="BK2" s="66"/>
      <c r="BL2" s="68"/>
      <c r="BO2" s="66"/>
      <c r="BP2" s="68"/>
      <c r="BV2" s="66"/>
      <c r="BW2" s="68"/>
      <c r="CB2" s="8"/>
      <c r="CC2" s="205"/>
      <c r="CG2" s="273"/>
      <c r="CH2" s="8"/>
      <c r="CK2" s="299"/>
      <c r="CL2" s="299"/>
      <c r="CM2" s="66"/>
      <c r="CN2" s="66"/>
      <c r="CO2" s="68"/>
      <c r="CR2" s="8"/>
      <c r="CX2" s="66"/>
      <c r="CY2" s="532"/>
      <c r="DE2" s="66"/>
      <c r="DF2" s="66"/>
      <c r="DG2" s="1440" t="s">
        <v>799</v>
      </c>
      <c r="DH2" s="68"/>
      <c r="DK2" s="66"/>
      <c r="DL2" s="66"/>
      <c r="DM2" s="66"/>
      <c r="DN2" s="66"/>
      <c r="DO2" s="66"/>
      <c r="DP2" s="66"/>
      <c r="DQ2" s="66"/>
      <c r="DR2" s="66"/>
      <c r="DS2" s="66"/>
      <c r="DT2" s="68"/>
      <c r="DU2" s="66"/>
      <c r="DV2" s="296"/>
      <c r="DW2" s="330"/>
      <c r="DX2" s="631"/>
      <c r="DY2" s="631"/>
      <c r="DZ2" s="631"/>
      <c r="EA2" s="330"/>
      <c r="EC2" s="66"/>
      <c r="ED2" s="68"/>
      <c r="EH2" s="66"/>
      <c r="EI2" s="66"/>
      <c r="EJ2" s="68"/>
      <c r="EK2" s="252"/>
      <c r="EL2" s="252"/>
      <c r="EM2" s="252"/>
      <c r="EO2" s="252"/>
      <c r="EP2" s="252"/>
      <c r="EQ2" s="252"/>
      <c r="ES2" s="252"/>
      <c r="ET2" s="252"/>
      <c r="EU2" s="252"/>
      <c r="EW2" s="252"/>
      <c r="EX2" s="252"/>
      <c r="EY2" s="252"/>
      <c r="FA2" s="250"/>
      <c r="FB2" s="250"/>
      <c r="FC2" s="250"/>
      <c r="FD2" s="250"/>
      <c r="FE2" s="250"/>
      <c r="FF2" s="250"/>
      <c r="FG2" s="250"/>
      <c r="FH2" s="424"/>
      <c r="FI2" s="250"/>
      <c r="FJ2" s="250"/>
      <c r="FK2" s="250"/>
      <c r="FL2" s="339"/>
      <c r="FM2" s="250"/>
      <c r="FN2" s="256"/>
      <c r="FO2" s="250"/>
      <c r="FP2" s="256"/>
      <c r="FQ2" s="250"/>
      <c r="FR2" s="256"/>
      <c r="FS2" s="250"/>
      <c r="FT2" s="256"/>
      <c r="FU2" s="256"/>
      <c r="FV2" s="256"/>
      <c r="FW2" s="250"/>
      <c r="FX2" s="424"/>
      <c r="FY2" s="251"/>
      <c r="GC2" s="252"/>
      <c r="GF2" s="252"/>
      <c r="GG2" s="271"/>
      <c r="GH2" s="252"/>
      <c r="GI2" s="252"/>
      <c r="GJ2" s="252"/>
      <c r="GK2" s="251"/>
      <c r="GL2" s="250"/>
      <c r="GM2" s="250"/>
      <c r="GN2" s="250"/>
      <c r="GO2" s="250"/>
      <c r="GP2" s="250"/>
      <c r="GQ2" s="250"/>
      <c r="GR2" s="250"/>
      <c r="GS2" s="250"/>
      <c r="GT2" s="250"/>
      <c r="GU2" s="251"/>
      <c r="GV2" s="250"/>
      <c r="GW2" s="250"/>
      <c r="GX2" s="250"/>
      <c r="GY2" s="250"/>
      <c r="GZ2" s="250"/>
      <c r="HA2" s="250"/>
      <c r="HB2" s="250"/>
      <c r="HC2" s="250"/>
      <c r="HD2" s="250"/>
      <c r="HE2" s="250"/>
      <c r="HF2" s="250"/>
      <c r="HG2" s="250"/>
      <c r="HH2" s="251"/>
      <c r="HI2" s="424"/>
      <c r="HJ2" s="255"/>
      <c r="HK2" s="255"/>
      <c r="HL2" s="250"/>
      <c r="HM2" s="255"/>
      <c r="HN2" s="255"/>
      <c r="HO2" s="255"/>
      <c r="HP2" s="250"/>
      <c r="HQ2" s="250"/>
      <c r="HR2" s="250"/>
      <c r="HS2" s="250"/>
      <c r="HT2" s="250"/>
      <c r="HU2" s="251"/>
      <c r="HX2" s="252"/>
      <c r="HY2" s="252"/>
      <c r="HZ2" s="252"/>
      <c r="ID2" s="252"/>
      <c r="IE2" s="252"/>
      <c r="IF2" s="252"/>
      <c r="IJ2" s="252"/>
      <c r="IK2" s="252"/>
      <c r="IL2" s="252"/>
      <c r="IP2" s="252"/>
      <c r="IQ2" s="252"/>
      <c r="IR2" s="252"/>
      <c r="IY2" s="66"/>
      <c r="IZ2" s="66"/>
      <c r="JA2" s="66"/>
      <c r="JB2" s="250"/>
      <c r="JC2" s="66"/>
      <c r="JD2" s="66"/>
      <c r="JE2" s="66"/>
      <c r="JF2" s="66"/>
      <c r="JG2" s="66"/>
      <c r="JH2" s="66"/>
      <c r="JI2" s="66"/>
      <c r="JJ2" s="66"/>
      <c r="JK2" s="8"/>
      <c r="JN2" s="252"/>
      <c r="JO2" s="252"/>
      <c r="JP2" s="252"/>
      <c r="JT2" s="252"/>
      <c r="JU2" s="252"/>
      <c r="JV2" s="252"/>
      <c r="JZ2" s="252"/>
      <c r="KA2" s="252"/>
      <c r="KB2" s="252"/>
      <c r="KF2" s="252"/>
      <c r="KG2" s="252"/>
      <c r="KH2" s="252"/>
      <c r="KO2" s="66"/>
      <c r="KP2" s="66"/>
      <c r="KQ2" s="66"/>
      <c r="KR2" s="66"/>
      <c r="KS2" s="66"/>
      <c r="KT2" s="66"/>
      <c r="KU2" s="66"/>
      <c r="KV2" s="66"/>
      <c r="KW2" s="66"/>
      <c r="KX2" s="66"/>
      <c r="KY2" s="66"/>
      <c r="KZ2" s="66"/>
      <c r="LA2" s="8"/>
      <c r="LD2" s="252"/>
      <c r="LE2" s="252"/>
      <c r="LF2" s="252"/>
      <c r="LH2" s="66"/>
      <c r="LJ2" s="252"/>
      <c r="LK2" s="252"/>
      <c r="LN2" s="252"/>
      <c r="LO2" s="252"/>
      <c r="LP2" s="252"/>
      <c r="LS2" s="302"/>
      <c r="LT2" s="255"/>
      <c r="LU2" s="255"/>
      <c r="LV2" s="250"/>
      <c r="LW2" s="250"/>
      <c r="LX2" s="250"/>
      <c r="LY2" s="250"/>
      <c r="LZ2" s="250"/>
      <c r="MA2" s="250"/>
      <c r="MB2" s="250"/>
      <c r="MC2" s="250"/>
      <c r="MD2" s="250"/>
      <c r="ME2" s="250"/>
      <c r="MF2" s="250"/>
      <c r="MG2" s="250"/>
      <c r="MH2" s="250"/>
      <c r="MI2" s="250"/>
      <c r="MJ2" s="250"/>
      <c r="MK2" s="424"/>
      <c r="ML2" s="640"/>
      <c r="MM2" s="251"/>
      <c r="MN2" s="252"/>
      <c r="MO2" s="252"/>
      <c r="MP2" s="252"/>
      <c r="MQ2" s="252"/>
      <c r="MR2" s="252"/>
      <c r="MS2" s="252"/>
      <c r="MT2" s="252"/>
      <c r="MU2" s="252"/>
      <c r="MV2" s="252"/>
      <c r="MW2" s="252"/>
      <c r="MX2" s="252"/>
      <c r="MY2" s="252"/>
      <c r="MZ2" s="252"/>
      <c r="NA2" s="252"/>
      <c r="NB2" s="252"/>
      <c r="NC2" s="251"/>
      <c r="ND2" s="250"/>
      <c r="NE2" s="250"/>
      <c r="NF2" s="250"/>
      <c r="NG2" s="250"/>
      <c r="NH2" s="250"/>
      <c r="NI2" s="250"/>
      <c r="NJ2" s="250"/>
      <c r="NK2" s="250"/>
      <c r="NL2" s="250"/>
      <c r="NM2" s="250"/>
      <c r="NN2" s="250"/>
      <c r="NO2" s="250"/>
      <c r="NP2" s="250"/>
      <c r="NQ2" s="250"/>
      <c r="NR2" s="250"/>
      <c r="NS2" s="250"/>
      <c r="NT2" s="250"/>
      <c r="NU2" s="250"/>
      <c r="NV2" s="250"/>
      <c r="NW2" s="251"/>
      <c r="OT2" s="8"/>
      <c r="QG2" s="8"/>
      <c r="RT2" s="8"/>
    </row>
    <row r="3" spans="1:488" s="248" customFormat="1" ht="18.75" x14ac:dyDescent="0.25">
      <c r="A3" s="474">
        <v>1</v>
      </c>
      <c r="B3" s="66"/>
      <c r="C3" s="66"/>
      <c r="D3" s="66"/>
      <c r="E3" s="66"/>
      <c r="F3" s="66"/>
      <c r="G3" s="66"/>
      <c r="H3" s="66"/>
      <c r="I3" s="66"/>
      <c r="J3" s="66"/>
      <c r="K3" s="66"/>
      <c r="L3" s="66"/>
      <c r="M3" s="66"/>
      <c r="N3" s="66"/>
      <c r="O3" s="66"/>
      <c r="P3" s="66"/>
      <c r="Q3" s="66"/>
      <c r="R3" s="66"/>
      <c r="S3" s="66"/>
      <c r="T3" s="68"/>
      <c r="AC3" s="66"/>
      <c r="AD3" s="66"/>
      <c r="AE3" s="68"/>
      <c r="AN3" s="66"/>
      <c r="AO3" s="66"/>
      <c r="AP3" s="68"/>
      <c r="AW3" s="66"/>
      <c r="AX3" s="68"/>
      <c r="BD3" s="66"/>
      <c r="BE3" s="68"/>
      <c r="BF3" s="66"/>
      <c r="BG3" s="66"/>
      <c r="BH3" s="66"/>
      <c r="BI3" s="66"/>
      <c r="BJ3" s="66"/>
      <c r="BK3" s="66"/>
      <c r="BL3" s="68"/>
      <c r="BO3" s="66"/>
      <c r="BP3" s="68"/>
      <c r="BQ3" s="205"/>
      <c r="BV3" s="66"/>
      <c r="BW3" s="68"/>
      <c r="CB3" s="8"/>
      <c r="CC3" s="205"/>
      <c r="CD3" s="205"/>
      <c r="CG3" s="273"/>
      <c r="CH3" s="8"/>
      <c r="CK3" s="299"/>
      <c r="CL3" s="299"/>
      <c r="CM3" s="66"/>
      <c r="CN3" s="66"/>
      <c r="CO3" s="68"/>
      <c r="CR3" s="8"/>
      <c r="CX3" s="66"/>
      <c r="CY3" s="532"/>
      <c r="DE3" s="66"/>
      <c r="DF3" s="66"/>
      <c r="DG3" s="1440"/>
      <c r="DH3" s="68"/>
      <c r="DK3" s="66"/>
      <c r="DL3" s="66"/>
      <c r="DM3" s="66"/>
      <c r="DN3" s="66"/>
      <c r="DO3" s="66"/>
      <c r="DP3" s="66"/>
      <c r="DQ3" s="66"/>
      <c r="DR3" s="66"/>
      <c r="DS3" s="66"/>
      <c r="DT3" s="68"/>
      <c r="DU3" s="66"/>
      <c r="DV3" s="296"/>
      <c r="DW3" s="330"/>
      <c r="DX3" s="631"/>
      <c r="DY3" s="631"/>
      <c r="DZ3" s="631"/>
      <c r="EA3" s="330"/>
      <c r="EC3" s="66"/>
      <c r="ED3" s="68"/>
      <c r="EH3" s="66"/>
      <c r="EI3" s="66"/>
      <c r="EJ3" s="68"/>
      <c r="EK3" s="252"/>
      <c r="EL3" s="252"/>
      <c r="EM3" s="252"/>
      <c r="EO3" s="252"/>
      <c r="EP3" s="252"/>
      <c r="EQ3" s="252"/>
      <c r="ES3" s="252"/>
      <c r="ET3" s="252"/>
      <c r="EU3" s="252"/>
      <c r="EW3" s="252"/>
      <c r="EX3" s="252"/>
      <c r="EY3" s="252"/>
      <c r="FA3" s="250"/>
      <c r="FB3" s="250"/>
      <c r="FC3" s="250"/>
      <c r="FD3" s="250"/>
      <c r="FE3" s="250"/>
      <c r="FF3" s="250"/>
      <c r="FG3" s="250"/>
      <c r="FH3" s="424"/>
      <c r="FI3" s="250"/>
      <c r="FJ3" s="250"/>
      <c r="FK3" s="250"/>
      <c r="FL3" s="339"/>
      <c r="FM3" s="250"/>
      <c r="FN3" s="256"/>
      <c r="FO3" s="250"/>
      <c r="FP3" s="256"/>
      <c r="FQ3" s="250"/>
      <c r="FR3" s="256"/>
      <c r="FS3" s="250"/>
      <c r="FT3" s="256"/>
      <c r="FU3" s="256"/>
      <c r="FV3" s="256"/>
      <c r="FW3" s="250"/>
      <c r="FX3" s="424"/>
      <c r="FY3" s="251"/>
      <c r="GC3" s="252"/>
      <c r="GF3" s="252"/>
      <c r="GG3" s="271"/>
      <c r="GH3" s="252"/>
      <c r="GI3" s="252"/>
      <c r="GJ3" s="252"/>
      <c r="GK3" s="251"/>
      <c r="GL3" s="250"/>
      <c r="GM3" s="250"/>
      <c r="GN3" s="250"/>
      <c r="GO3" s="250"/>
      <c r="GP3" s="250"/>
      <c r="GQ3" s="250"/>
      <c r="GR3" s="250"/>
      <c r="GS3" s="250"/>
      <c r="GT3" s="250"/>
      <c r="GU3" s="251"/>
      <c r="GV3" s="250"/>
      <c r="GW3" s="250"/>
      <c r="GX3" s="250"/>
      <c r="GY3" s="250"/>
      <c r="GZ3" s="250"/>
      <c r="HA3" s="250"/>
      <c r="HB3" s="250"/>
      <c r="HC3" s="250"/>
      <c r="HD3" s="250"/>
      <c r="HE3" s="250"/>
      <c r="HF3" s="250"/>
      <c r="HG3" s="250"/>
      <c r="HH3" s="251"/>
      <c r="HI3" s="424"/>
      <c r="HJ3" s="255"/>
      <c r="HK3" s="255"/>
      <c r="HL3" s="250"/>
      <c r="HM3" s="255"/>
      <c r="HN3" s="255"/>
      <c r="HO3" s="255"/>
      <c r="HP3" s="250"/>
      <c r="HQ3" s="250"/>
      <c r="HR3" s="250"/>
      <c r="HS3" s="250"/>
      <c r="HT3" s="250"/>
      <c r="HU3" s="251"/>
      <c r="HV3" s="1437" t="s">
        <v>712</v>
      </c>
      <c r="HW3" s="1438"/>
      <c r="HX3" s="1438"/>
      <c r="HY3" s="1438"/>
      <c r="HZ3" s="1438"/>
      <c r="IA3" s="1438"/>
      <c r="IB3" s="1438"/>
      <c r="IC3" s="1438"/>
      <c r="ID3" s="1438"/>
      <c r="IE3" s="1438"/>
      <c r="IF3" s="1438"/>
      <c r="IG3" s="1438"/>
      <c r="IH3" s="1438"/>
      <c r="II3" s="1438"/>
      <c r="IJ3" s="1438"/>
      <c r="IK3" s="1438"/>
      <c r="IL3" s="1438"/>
      <c r="IM3" s="1438"/>
      <c r="IN3" s="1438"/>
      <c r="IO3" s="1438"/>
      <c r="IP3" s="1438"/>
      <c r="IQ3" s="1438"/>
      <c r="IR3" s="1438"/>
      <c r="IS3" s="1438"/>
      <c r="IT3" s="1438"/>
      <c r="IU3" s="1438"/>
      <c r="IV3" s="1438"/>
      <c r="IW3" s="1438"/>
      <c r="IX3" s="1438"/>
      <c r="IY3" s="1438"/>
      <c r="IZ3" s="1438"/>
      <c r="JA3" s="1438"/>
      <c r="JB3" s="1438"/>
      <c r="JC3" s="1438"/>
      <c r="JD3" s="1438"/>
      <c r="JE3" s="1438"/>
      <c r="JF3" s="1438"/>
      <c r="JG3" s="1438"/>
      <c r="JH3" s="1438"/>
      <c r="JI3" s="1438"/>
      <c r="JJ3" s="1438"/>
      <c r="JK3" s="1439"/>
      <c r="JL3" s="1437" t="s">
        <v>711</v>
      </c>
      <c r="JM3" s="1438"/>
      <c r="JN3" s="1438"/>
      <c r="JO3" s="1438"/>
      <c r="JP3" s="1438"/>
      <c r="JQ3" s="1438"/>
      <c r="JR3" s="1438"/>
      <c r="JS3" s="1438"/>
      <c r="JT3" s="1438"/>
      <c r="JU3" s="1438"/>
      <c r="JV3" s="1438"/>
      <c r="JW3" s="1438"/>
      <c r="JX3" s="1438"/>
      <c r="JY3" s="1438"/>
      <c r="JZ3" s="1438"/>
      <c r="KA3" s="1438"/>
      <c r="KB3" s="1438"/>
      <c r="KC3" s="1438"/>
      <c r="KD3" s="1438"/>
      <c r="KE3" s="1438"/>
      <c r="KF3" s="1438"/>
      <c r="KG3" s="1438"/>
      <c r="KH3" s="1438"/>
      <c r="KI3" s="1438"/>
      <c r="KJ3" s="1438"/>
      <c r="KK3" s="1438"/>
      <c r="KL3" s="1438"/>
      <c r="KM3" s="1438"/>
      <c r="KN3" s="1438"/>
      <c r="KO3" s="1438"/>
      <c r="KP3" s="1438"/>
      <c r="KQ3" s="1438"/>
      <c r="KR3" s="1438"/>
      <c r="KS3" s="1438"/>
      <c r="KT3" s="1438"/>
      <c r="KU3" s="1438"/>
      <c r="KV3" s="1438"/>
      <c r="KW3" s="1438"/>
      <c r="KX3" s="1438"/>
      <c r="KY3" s="1438"/>
      <c r="KZ3" s="1438"/>
      <c r="LA3" s="1439"/>
      <c r="LB3" s="1438" t="s">
        <v>713</v>
      </c>
      <c r="LC3" s="1438"/>
      <c r="LD3" s="1438"/>
      <c r="LE3" s="1438"/>
      <c r="LF3" s="1438"/>
      <c r="LG3" s="1438"/>
      <c r="LH3" s="1438"/>
      <c r="LI3" s="1438"/>
      <c r="LJ3" s="1438"/>
      <c r="LK3" s="1438"/>
      <c r="LL3" s="1438"/>
      <c r="LM3" s="1438"/>
      <c r="LN3" s="1438"/>
      <c r="LO3" s="1438"/>
      <c r="LP3" s="1438"/>
      <c r="LQ3" s="1438"/>
      <c r="LR3" s="1438"/>
      <c r="LS3" s="1438"/>
      <c r="LT3" s="1438"/>
      <c r="LU3" s="1438"/>
      <c r="LV3" s="1438"/>
      <c r="LW3" s="1438"/>
      <c r="LX3" s="1438"/>
      <c r="LY3" s="1438"/>
      <c r="LZ3" s="1438"/>
      <c r="MA3" s="1438"/>
      <c r="MB3" s="1438"/>
      <c r="MC3" s="1438"/>
      <c r="MD3" s="1438"/>
      <c r="ME3" s="618"/>
      <c r="MF3" s="618"/>
      <c r="MG3" s="618"/>
      <c r="MH3" s="618"/>
      <c r="MI3" s="618"/>
      <c r="MJ3" s="618"/>
      <c r="MK3" s="630"/>
      <c r="ML3" s="641"/>
      <c r="MM3" s="619"/>
      <c r="MN3" s="252"/>
      <c r="MO3" s="252"/>
      <c r="MP3" s="252"/>
      <c r="MQ3" s="252"/>
      <c r="MR3" s="252"/>
      <c r="MS3" s="252"/>
      <c r="MT3" s="252"/>
      <c r="MU3" s="252"/>
      <c r="MV3" s="252"/>
      <c r="MW3" s="252"/>
      <c r="MX3" s="252"/>
      <c r="MY3" s="252"/>
      <c r="MZ3" s="252"/>
      <c r="NA3" s="252"/>
      <c r="NB3" s="252"/>
      <c r="NC3" s="251"/>
      <c r="ND3" s="250"/>
      <c r="NE3" s="250"/>
      <c r="NF3" s="250"/>
      <c r="NG3" s="250"/>
      <c r="NH3" s="250"/>
      <c r="NI3" s="250"/>
      <c r="NJ3" s="250"/>
      <c r="NK3" s="250"/>
      <c r="NL3" s="250"/>
      <c r="NM3" s="250"/>
      <c r="NN3" s="250"/>
      <c r="NO3" s="250"/>
      <c r="NP3" s="250"/>
      <c r="NQ3" s="250"/>
      <c r="NR3" s="250"/>
      <c r="NS3" s="250"/>
      <c r="NT3" s="250"/>
      <c r="NU3" s="250"/>
      <c r="NV3" s="250"/>
      <c r="NW3" s="251"/>
      <c r="OT3" s="8"/>
      <c r="QG3" s="8"/>
      <c r="RT3" s="8"/>
    </row>
    <row r="4" spans="1:488" s="25" customFormat="1" ht="45" customHeight="1" x14ac:dyDescent="0.3">
      <c r="A4" s="475">
        <v>2</v>
      </c>
      <c r="B4" s="24"/>
      <c r="C4" s="24"/>
      <c r="D4" s="24"/>
      <c r="E4" s="24"/>
      <c r="F4" s="24"/>
      <c r="G4" s="24"/>
      <c r="H4" s="24"/>
      <c r="I4" s="24"/>
      <c r="J4" s="24"/>
      <c r="K4" s="24"/>
      <c r="L4" s="24"/>
      <c r="M4" s="24"/>
      <c r="N4" s="24"/>
      <c r="O4" s="24"/>
      <c r="P4" s="24"/>
      <c r="Q4" s="24"/>
      <c r="R4" s="24"/>
      <c r="S4" s="24"/>
      <c r="T4" s="1437" t="s">
        <v>0</v>
      </c>
      <c r="U4" s="1438"/>
      <c r="V4" s="1438"/>
      <c r="W4" s="1438"/>
      <c r="X4" s="1438"/>
      <c r="Y4" s="1438"/>
      <c r="Z4" s="1438"/>
      <c r="AA4" s="1438"/>
      <c r="AB4" s="1438"/>
      <c r="AC4" s="1438"/>
      <c r="AD4" s="1439"/>
      <c r="AE4" s="1437" t="s">
        <v>0</v>
      </c>
      <c r="AF4" s="1438"/>
      <c r="AG4" s="1438"/>
      <c r="AH4" s="1438"/>
      <c r="AI4" s="1438"/>
      <c r="AJ4" s="1438"/>
      <c r="AK4" s="1438"/>
      <c r="AL4" s="1438"/>
      <c r="AM4" s="1438"/>
      <c r="AN4" s="1438"/>
      <c r="AO4" s="1439"/>
      <c r="AP4" s="1437" t="s">
        <v>88</v>
      </c>
      <c r="AQ4" s="1438"/>
      <c r="AR4" s="1438"/>
      <c r="AS4" s="1438"/>
      <c r="AT4" s="1438"/>
      <c r="AU4" s="1438"/>
      <c r="AV4" s="1438"/>
      <c r="AW4" s="1438"/>
      <c r="AX4" s="1437" t="s">
        <v>88</v>
      </c>
      <c r="AY4" s="1438"/>
      <c r="AZ4" s="1438"/>
      <c r="BA4" s="1438"/>
      <c r="BB4" s="1438"/>
      <c r="BC4" s="1438"/>
      <c r="BD4" s="1438"/>
      <c r="BE4" s="1437" t="s">
        <v>825</v>
      </c>
      <c r="BF4" s="1438"/>
      <c r="BG4" s="1438"/>
      <c r="BH4" s="1438"/>
      <c r="BI4" s="1438"/>
      <c r="BJ4" s="1438"/>
      <c r="BK4" s="1439"/>
      <c r="BL4" s="1437" t="s">
        <v>91</v>
      </c>
      <c r="BM4" s="1438"/>
      <c r="BN4" s="1438"/>
      <c r="BO4" s="1439"/>
      <c r="BP4" s="1437" t="s">
        <v>415</v>
      </c>
      <c r="BQ4" s="1438"/>
      <c r="BR4" s="1438"/>
      <c r="BS4" s="1438"/>
      <c r="BT4" s="1438"/>
      <c r="BU4" s="1438"/>
      <c r="BV4" s="1438"/>
      <c r="BW4" s="1437" t="s">
        <v>414</v>
      </c>
      <c r="BX4" s="1438"/>
      <c r="BY4" s="1438"/>
      <c r="BZ4" s="1438"/>
      <c r="CA4" s="1438"/>
      <c r="CB4" s="1439"/>
      <c r="CC4" s="1437" t="s">
        <v>802</v>
      </c>
      <c r="CD4" s="1452"/>
      <c r="CE4" s="1452"/>
      <c r="CF4" s="1452"/>
      <c r="CG4" s="1452"/>
      <c r="CH4" s="1439"/>
      <c r="CI4" s="1440" t="s">
        <v>995</v>
      </c>
      <c r="CJ4" s="1441"/>
      <c r="CK4" s="1441"/>
      <c r="CL4" s="1441"/>
      <c r="CM4" s="1441"/>
      <c r="CN4" s="1442"/>
      <c r="CO4" s="1437" t="s">
        <v>454</v>
      </c>
      <c r="CP4" s="1438"/>
      <c r="CQ4" s="1438"/>
      <c r="CR4" s="1439"/>
      <c r="CS4" s="1437" t="s">
        <v>798</v>
      </c>
      <c r="CT4" s="1438"/>
      <c r="CU4" s="1438"/>
      <c r="CV4" s="1438"/>
      <c r="CW4" s="1438"/>
      <c r="CX4" s="1438"/>
      <c r="CY4" s="1438"/>
      <c r="CZ4" s="1437" t="s">
        <v>836</v>
      </c>
      <c r="DA4" s="1438"/>
      <c r="DB4" s="1438"/>
      <c r="DC4" s="1438"/>
      <c r="DD4" s="1438"/>
      <c r="DE4" s="1438"/>
      <c r="DF4" s="1439"/>
      <c r="DG4" s="1440"/>
      <c r="DH4" s="1437" t="s">
        <v>800</v>
      </c>
      <c r="DI4" s="1438"/>
      <c r="DJ4" s="1438"/>
      <c r="DK4" s="1438"/>
      <c r="DL4" s="1438"/>
      <c r="DM4" s="1438"/>
      <c r="DN4" s="1438"/>
      <c r="DO4" s="1438"/>
      <c r="DP4" s="1438"/>
      <c r="DQ4" s="1438"/>
      <c r="DR4" s="1438"/>
      <c r="DS4" s="1439"/>
      <c r="DT4" s="1440" t="s">
        <v>801</v>
      </c>
      <c r="DU4" s="1442"/>
      <c r="DV4" s="326" t="s">
        <v>653</v>
      </c>
      <c r="DW4" s="331" t="s">
        <v>826</v>
      </c>
      <c r="DX4" s="1449" t="s">
        <v>1081</v>
      </c>
      <c r="DY4" s="1450"/>
      <c r="DZ4" s="1450" t="s">
        <v>1082</v>
      </c>
      <c r="EA4" s="1451"/>
      <c r="EB4" s="1441" t="s">
        <v>636</v>
      </c>
      <c r="EC4" s="1441"/>
      <c r="ED4" s="1440" t="s">
        <v>649</v>
      </c>
      <c r="EE4" s="1441"/>
      <c r="EF4" s="1441"/>
      <c r="EG4" s="1441"/>
      <c r="EH4" s="1441"/>
      <c r="EI4" s="1442"/>
      <c r="EJ4" s="1437" t="s">
        <v>803</v>
      </c>
      <c r="EK4" s="1438"/>
      <c r="EL4" s="1438"/>
      <c r="EM4" s="1438"/>
      <c r="EN4" s="1438"/>
      <c r="EO4" s="1438"/>
      <c r="EP4" s="1438"/>
      <c r="EQ4" s="1438"/>
      <c r="ER4" s="1438"/>
      <c r="ES4" s="1438"/>
      <c r="ET4" s="1438"/>
      <c r="EU4" s="1438"/>
      <c r="EV4" s="1438"/>
      <c r="EW4" s="1438"/>
      <c r="EX4" s="1438"/>
      <c r="EY4" s="1438"/>
      <c r="EZ4" s="1438"/>
      <c r="FA4" s="1438"/>
      <c r="FB4" s="1438"/>
      <c r="FC4" s="1438"/>
      <c r="FD4" s="1438"/>
      <c r="FE4" s="1438"/>
      <c r="FF4" s="1438"/>
      <c r="FG4" s="1438"/>
      <c r="FH4" s="1438"/>
      <c r="FI4" s="1438"/>
      <c r="FJ4" s="1438"/>
      <c r="FK4" s="1439"/>
      <c r="FL4" s="1437" t="s">
        <v>804</v>
      </c>
      <c r="FM4" s="1438"/>
      <c r="FN4" s="1438"/>
      <c r="FO4" s="1438"/>
      <c r="FP4" s="1438"/>
      <c r="FQ4" s="1438"/>
      <c r="FR4" s="1438"/>
      <c r="FS4" s="1438"/>
      <c r="FT4" s="1438"/>
      <c r="FU4" s="1438"/>
      <c r="FV4" s="1438"/>
      <c r="FW4" s="1438"/>
      <c r="FX4" s="1438"/>
      <c r="FY4" s="1439"/>
      <c r="FZ4" s="1438" t="s">
        <v>777</v>
      </c>
      <c r="GA4" s="1438"/>
      <c r="GB4" s="1438"/>
      <c r="GC4" s="1438"/>
      <c r="GD4" s="1438"/>
      <c r="GE4" s="1438"/>
      <c r="GF4" s="1438"/>
      <c r="GG4" s="1438"/>
      <c r="GH4" s="1438"/>
      <c r="GI4" s="1438"/>
      <c r="GJ4" s="1438"/>
      <c r="GK4" s="1439"/>
      <c r="GL4" s="1437" t="s">
        <v>952</v>
      </c>
      <c r="GM4" s="1438"/>
      <c r="GN4" s="1438"/>
      <c r="GO4" s="1438"/>
      <c r="GP4" s="1438"/>
      <c r="GQ4" s="1438"/>
      <c r="GR4" s="1438"/>
      <c r="GS4" s="1438"/>
      <c r="GT4" s="1438"/>
      <c r="GU4" s="1439"/>
      <c r="GV4" s="1437" t="s">
        <v>1112</v>
      </c>
      <c r="GW4" s="1438"/>
      <c r="GX4" s="1438"/>
      <c r="GY4" s="1438"/>
      <c r="GZ4" s="1438"/>
      <c r="HA4" s="1438"/>
      <c r="HB4" s="1438"/>
      <c r="HC4" s="1438"/>
      <c r="HD4" s="1438"/>
      <c r="HE4" s="1438"/>
      <c r="HF4" s="1438"/>
      <c r="HG4" s="1438"/>
      <c r="HH4" s="1439"/>
      <c r="HI4" s="1443" t="s">
        <v>953</v>
      </c>
      <c r="HJ4" s="1444"/>
      <c r="HK4" s="1444"/>
      <c r="HL4" s="1444"/>
      <c r="HM4" s="1444"/>
      <c r="HN4" s="1444"/>
      <c r="HO4" s="1444"/>
      <c r="HP4" s="1444"/>
      <c r="HQ4" s="1444"/>
      <c r="HR4" s="1444"/>
      <c r="HS4" s="1444"/>
      <c r="HT4" s="1444"/>
      <c r="HU4" s="1445"/>
      <c r="HV4" s="1433" t="s">
        <v>741</v>
      </c>
      <c r="HW4" s="1434"/>
      <c r="HX4" s="1434"/>
      <c r="HY4" s="1434"/>
      <c r="HZ4" s="1434"/>
      <c r="IA4" s="1434"/>
      <c r="IB4" s="1434" t="s">
        <v>608</v>
      </c>
      <c r="IC4" s="1434"/>
      <c r="ID4" s="1434"/>
      <c r="IE4" s="1434"/>
      <c r="IF4" s="1434"/>
      <c r="IG4" s="1434"/>
      <c r="IH4" s="1434" t="s">
        <v>612</v>
      </c>
      <c r="II4" s="1434"/>
      <c r="IJ4" s="1434"/>
      <c r="IK4" s="1434"/>
      <c r="IL4" s="1434"/>
      <c r="IM4" s="1434"/>
      <c r="IN4" s="1434" t="s">
        <v>613</v>
      </c>
      <c r="IO4" s="1434"/>
      <c r="IP4" s="1434"/>
      <c r="IQ4" s="1434"/>
      <c r="IR4" s="1434"/>
      <c r="IS4" s="1434"/>
      <c r="IT4" s="1436" t="s">
        <v>502</v>
      </c>
      <c r="IU4" s="1436"/>
      <c r="IV4" s="1436"/>
      <c r="IW4" s="1436"/>
      <c r="IX4" s="1436"/>
      <c r="IY4" s="1436"/>
      <c r="IZ4" s="1436" t="s">
        <v>503</v>
      </c>
      <c r="JA4" s="1436"/>
      <c r="JB4" s="1436"/>
      <c r="JC4" s="1436"/>
      <c r="JD4" s="1436"/>
      <c r="JE4" s="1436"/>
      <c r="JF4" s="1436" t="s">
        <v>1018</v>
      </c>
      <c r="JG4" s="1436"/>
      <c r="JH4" s="1436"/>
      <c r="JI4" s="1436"/>
      <c r="JJ4" s="1436"/>
      <c r="JK4" s="1435"/>
      <c r="JL4" s="1433" t="s">
        <v>741</v>
      </c>
      <c r="JM4" s="1436"/>
      <c r="JN4" s="1436"/>
      <c r="JO4" s="1436"/>
      <c r="JP4" s="1436"/>
      <c r="JQ4" s="1436"/>
      <c r="JR4" s="1436" t="s">
        <v>608</v>
      </c>
      <c r="JS4" s="1436"/>
      <c r="JT4" s="1436"/>
      <c r="JU4" s="1436"/>
      <c r="JV4" s="1436"/>
      <c r="JW4" s="1436"/>
      <c r="JX4" s="1436" t="s">
        <v>612</v>
      </c>
      <c r="JY4" s="1436"/>
      <c r="JZ4" s="1436"/>
      <c r="KA4" s="1436"/>
      <c r="KB4" s="1436"/>
      <c r="KC4" s="1436"/>
      <c r="KD4" s="1436" t="s">
        <v>613</v>
      </c>
      <c r="KE4" s="1436"/>
      <c r="KF4" s="1436"/>
      <c r="KG4" s="1436"/>
      <c r="KH4" s="1436"/>
      <c r="KI4" s="1436"/>
      <c r="KJ4" s="1436" t="s">
        <v>502</v>
      </c>
      <c r="KK4" s="1436"/>
      <c r="KL4" s="1436"/>
      <c r="KM4" s="1436"/>
      <c r="KN4" s="1436"/>
      <c r="KO4" s="1436"/>
      <c r="KP4" s="1436" t="s">
        <v>503</v>
      </c>
      <c r="KQ4" s="1436"/>
      <c r="KR4" s="1436"/>
      <c r="KS4" s="1436"/>
      <c r="KT4" s="1436"/>
      <c r="KU4" s="1436"/>
      <c r="KV4" s="1436" t="s">
        <v>1018</v>
      </c>
      <c r="KW4" s="1436"/>
      <c r="KX4" s="1436"/>
      <c r="KY4" s="1436"/>
      <c r="KZ4" s="1436"/>
      <c r="LA4" s="1435"/>
      <c r="LB4" s="1436">
        <v>2013</v>
      </c>
      <c r="LC4" s="1436"/>
      <c r="LD4" s="1436"/>
      <c r="LE4" s="1436"/>
      <c r="LF4" s="1436"/>
      <c r="LG4" s="1436"/>
      <c r="LH4" s="1436"/>
      <c r="LI4" s="1436"/>
      <c r="LJ4" s="1436"/>
      <c r="LK4" s="1436"/>
      <c r="LL4" s="1436">
        <v>2014</v>
      </c>
      <c r="LM4" s="1436"/>
      <c r="LN4" s="1436"/>
      <c r="LO4" s="1436"/>
      <c r="LP4" s="1436"/>
      <c r="LQ4" s="1436"/>
      <c r="LR4" s="1436"/>
      <c r="LS4" s="1436"/>
      <c r="LT4" s="1436"/>
      <c r="LU4" s="1436"/>
      <c r="LV4" s="1436">
        <v>2015</v>
      </c>
      <c r="LW4" s="1436"/>
      <c r="LX4" s="1436"/>
      <c r="LY4" s="1436"/>
      <c r="LZ4" s="1436"/>
      <c r="MA4" s="1436"/>
      <c r="MB4" s="1436"/>
      <c r="MC4" s="1436"/>
      <c r="MD4" s="1436"/>
      <c r="ME4" s="1436">
        <v>2016</v>
      </c>
      <c r="MF4" s="1436"/>
      <c r="MG4" s="1436"/>
      <c r="MH4" s="1436"/>
      <c r="MI4" s="1436"/>
      <c r="MJ4" s="1436"/>
      <c r="MK4" s="1436"/>
      <c r="ML4" s="1436"/>
      <c r="MM4" s="1435"/>
      <c r="MN4" s="1446" t="s">
        <v>714</v>
      </c>
      <c r="MO4" s="1447"/>
      <c r="MP4" s="1447"/>
      <c r="MQ4" s="1447"/>
      <c r="MR4" s="1447"/>
      <c r="MS4" s="1447"/>
      <c r="MT4" s="1447"/>
      <c r="MU4" s="1447"/>
      <c r="MV4" s="1447"/>
      <c r="MW4" s="1447"/>
      <c r="MX4" s="1447"/>
      <c r="MY4" s="1447"/>
      <c r="MZ4" s="1447"/>
      <c r="NA4" s="1447"/>
      <c r="NB4" s="1447"/>
      <c r="NC4" s="1448"/>
      <c r="ND4" s="1446" t="s">
        <v>984</v>
      </c>
      <c r="NE4" s="1447"/>
      <c r="NF4" s="1447"/>
      <c r="NG4" s="1447"/>
      <c r="NH4" s="1447"/>
      <c r="NI4" s="1447"/>
      <c r="NJ4" s="1447"/>
      <c r="NK4" s="1447"/>
      <c r="NL4" s="1447"/>
      <c r="NM4" s="1447"/>
      <c r="NN4" s="1447"/>
      <c r="NO4" s="1447"/>
      <c r="NP4" s="1447"/>
      <c r="NQ4" s="1447"/>
      <c r="NR4" s="1447"/>
      <c r="NS4" s="1447"/>
      <c r="NT4" s="1447"/>
      <c r="NU4" s="1447"/>
      <c r="NV4" s="1447"/>
      <c r="NW4" s="1448"/>
      <c r="NX4" s="1437" t="s">
        <v>877</v>
      </c>
      <c r="NY4" s="1438"/>
      <c r="NZ4" s="1438"/>
      <c r="OA4" s="1438"/>
      <c r="OB4" s="1438"/>
      <c r="OC4" s="1438"/>
      <c r="OD4" s="1438"/>
      <c r="OE4" s="1438"/>
      <c r="OF4" s="1438"/>
      <c r="OG4" s="1438"/>
      <c r="OH4" s="1438"/>
      <c r="OI4" s="1438"/>
      <c r="OJ4" s="1438"/>
      <c r="OK4" s="1438"/>
      <c r="OL4" s="1438"/>
      <c r="OM4" s="1438"/>
      <c r="ON4" s="1438"/>
      <c r="OO4" s="1438"/>
      <c r="OP4" s="1438"/>
      <c r="OQ4" s="1438"/>
      <c r="OR4" s="1438"/>
      <c r="OS4" s="1438"/>
      <c r="OT4" s="1439"/>
      <c r="OU4" s="1433" t="s">
        <v>917</v>
      </c>
      <c r="OV4" s="1434"/>
      <c r="OW4" s="1434"/>
      <c r="OX4" s="1434"/>
      <c r="OY4" s="1434"/>
      <c r="OZ4" s="1434"/>
      <c r="PA4" s="1434"/>
      <c r="PB4" s="1434"/>
      <c r="PC4" s="1434"/>
      <c r="PD4" s="1434"/>
      <c r="PE4" s="1434"/>
      <c r="PF4" s="1434"/>
      <c r="PG4" s="1434"/>
      <c r="PH4" s="1434"/>
      <c r="PI4" s="1434"/>
      <c r="PJ4" s="1434"/>
      <c r="PK4" s="1434"/>
      <c r="PL4" s="1434"/>
      <c r="PM4" s="1434"/>
      <c r="PN4" s="1434"/>
      <c r="PO4" s="1434"/>
      <c r="PP4" s="1434"/>
      <c r="PQ4" s="1434"/>
      <c r="PR4" s="1434"/>
      <c r="PS4" s="1434"/>
      <c r="PT4" s="1434"/>
      <c r="PU4" s="1434"/>
      <c r="PV4" s="1434"/>
      <c r="PW4" s="1434"/>
      <c r="PX4" s="1434"/>
      <c r="PY4" s="1434"/>
      <c r="PZ4" s="1434"/>
      <c r="QA4" s="1434"/>
      <c r="QB4" s="1434"/>
      <c r="QC4" s="1434"/>
      <c r="QD4" s="1434"/>
      <c r="QE4" s="1434"/>
      <c r="QF4" s="1434"/>
      <c r="QG4" s="1435"/>
      <c r="QH4" s="1433" t="s">
        <v>1123</v>
      </c>
      <c r="QI4" s="1434"/>
      <c r="QJ4" s="1434"/>
      <c r="QK4" s="1434"/>
      <c r="QL4" s="1434"/>
      <c r="QM4" s="1434"/>
      <c r="QN4" s="1434"/>
      <c r="QO4" s="1434"/>
      <c r="QP4" s="1434"/>
      <c r="QQ4" s="1434"/>
      <c r="QR4" s="1434"/>
      <c r="QS4" s="1434"/>
      <c r="QT4" s="1434"/>
      <c r="QU4" s="1434"/>
      <c r="QV4" s="1434"/>
      <c r="QW4" s="1434"/>
      <c r="QX4" s="1434"/>
      <c r="QY4" s="1434"/>
      <c r="QZ4" s="1434"/>
      <c r="RA4" s="1434"/>
      <c r="RB4" s="1434"/>
      <c r="RC4" s="1434"/>
      <c r="RD4" s="1434"/>
      <c r="RE4" s="1434"/>
      <c r="RF4" s="1434"/>
      <c r="RG4" s="1434"/>
      <c r="RH4" s="1434"/>
      <c r="RI4" s="1434"/>
      <c r="RJ4" s="1434"/>
      <c r="RK4" s="1434"/>
      <c r="RL4" s="1434"/>
      <c r="RM4" s="1434"/>
      <c r="RN4" s="1434"/>
      <c r="RO4" s="1434"/>
      <c r="RP4" s="1434"/>
      <c r="RQ4" s="1434"/>
      <c r="RR4" s="1434"/>
      <c r="RS4" s="1434"/>
      <c r="RT4" s="1435"/>
    </row>
    <row r="5" spans="1:488" s="11" customFormat="1" ht="89.25" customHeight="1" x14ac:dyDescent="0.2">
      <c r="A5" s="11" t="s">
        <v>1</v>
      </c>
      <c r="B5" s="12" t="s">
        <v>2</v>
      </c>
      <c r="C5" s="11" t="s">
        <v>133</v>
      </c>
      <c r="D5" s="11" t="s">
        <v>135</v>
      </c>
      <c r="E5" s="11" t="s">
        <v>134</v>
      </c>
      <c r="F5" s="11" t="s">
        <v>856</v>
      </c>
      <c r="G5" s="11" t="s">
        <v>264</v>
      </c>
      <c r="H5" s="11" t="s">
        <v>265</v>
      </c>
      <c r="I5" s="11" t="s">
        <v>278</v>
      </c>
      <c r="J5" s="11" t="s">
        <v>138</v>
      </c>
      <c r="K5" s="11" t="s">
        <v>284</v>
      </c>
      <c r="L5" s="11" t="s">
        <v>285</v>
      </c>
      <c r="M5" s="11" t="s">
        <v>282</v>
      </c>
      <c r="N5" s="11" t="s">
        <v>283</v>
      </c>
      <c r="O5" s="11" t="s">
        <v>136</v>
      </c>
      <c r="P5" s="11" t="s">
        <v>137</v>
      </c>
      <c r="Q5" s="11" t="s">
        <v>794</v>
      </c>
      <c r="R5" s="11" t="s">
        <v>795</v>
      </c>
      <c r="S5" s="11" t="s">
        <v>796</v>
      </c>
      <c r="T5" s="15" t="s">
        <v>3</v>
      </c>
      <c r="U5" s="62" t="s">
        <v>4</v>
      </c>
      <c r="V5" s="62" t="s">
        <v>5</v>
      </c>
      <c r="W5" s="62" t="s">
        <v>6</v>
      </c>
      <c r="X5" s="62" t="s">
        <v>7</v>
      </c>
      <c r="Y5" s="62" t="s">
        <v>8</v>
      </c>
      <c r="Z5" s="62" t="s">
        <v>9</v>
      </c>
      <c r="AA5" s="62" t="s">
        <v>10</v>
      </c>
      <c r="AB5" s="62" t="s">
        <v>11</v>
      </c>
      <c r="AC5" s="62" t="s">
        <v>12</v>
      </c>
      <c r="AD5" s="603" t="s">
        <v>992</v>
      </c>
      <c r="AE5" s="15" t="s">
        <v>13</v>
      </c>
      <c r="AF5" s="62" t="s">
        <v>14</v>
      </c>
      <c r="AG5" s="62" t="s">
        <v>15</v>
      </c>
      <c r="AH5" s="62" t="s">
        <v>16</v>
      </c>
      <c r="AI5" s="62" t="s">
        <v>17</v>
      </c>
      <c r="AJ5" s="62" t="s">
        <v>18</v>
      </c>
      <c r="AK5" s="62" t="s">
        <v>19</v>
      </c>
      <c r="AL5" s="62" t="s">
        <v>20</v>
      </c>
      <c r="AM5" s="62" t="s">
        <v>21</v>
      </c>
      <c r="AN5" s="62" t="s">
        <v>22</v>
      </c>
      <c r="AO5" s="603" t="s">
        <v>993</v>
      </c>
      <c r="AP5" s="15" t="s">
        <v>23</v>
      </c>
      <c r="AQ5" s="62" t="s">
        <v>24</v>
      </c>
      <c r="AR5" s="62" t="s">
        <v>89</v>
      </c>
      <c r="AS5" s="62" t="s">
        <v>90</v>
      </c>
      <c r="AT5" s="62" t="s">
        <v>25</v>
      </c>
      <c r="AU5" s="62" t="s">
        <v>26</v>
      </c>
      <c r="AV5" s="62" t="s">
        <v>27</v>
      </c>
      <c r="AW5" s="62" t="s">
        <v>28</v>
      </c>
      <c r="AX5" s="15" t="s">
        <v>306</v>
      </c>
      <c r="AY5" s="62" t="s">
        <v>307</v>
      </c>
      <c r="AZ5" s="62" t="s">
        <v>308</v>
      </c>
      <c r="BA5" s="62" t="s">
        <v>29</v>
      </c>
      <c r="BB5" s="62" t="s">
        <v>30</v>
      </c>
      <c r="BC5" s="62" t="s">
        <v>31</v>
      </c>
      <c r="BD5" s="62" t="s">
        <v>32</v>
      </c>
      <c r="BE5" s="15" t="s">
        <v>311</v>
      </c>
      <c r="BF5" s="62" t="s">
        <v>312</v>
      </c>
      <c r="BG5" s="62" t="s">
        <v>313</v>
      </c>
      <c r="BH5" s="62" t="s">
        <v>314</v>
      </c>
      <c r="BI5" s="62" t="s">
        <v>315</v>
      </c>
      <c r="BJ5" s="62" t="s">
        <v>316</v>
      </c>
      <c r="BK5" s="62" t="s">
        <v>317</v>
      </c>
      <c r="BL5" s="15" t="s">
        <v>323</v>
      </c>
      <c r="BM5" s="62" t="s">
        <v>92</v>
      </c>
      <c r="BN5" s="62" t="s">
        <v>93</v>
      </c>
      <c r="BO5" s="62" t="s">
        <v>94</v>
      </c>
      <c r="BP5" s="15" t="s">
        <v>328</v>
      </c>
      <c r="BQ5" s="62" t="s">
        <v>324</v>
      </c>
      <c r="BR5" s="62" t="s">
        <v>325</v>
      </c>
      <c r="BS5" s="62" t="s">
        <v>326</v>
      </c>
      <c r="BT5" s="62" t="s">
        <v>327</v>
      </c>
      <c r="BU5" s="62" t="s">
        <v>404</v>
      </c>
      <c r="BV5" s="11" t="s">
        <v>652</v>
      </c>
      <c r="BW5" s="65" t="s">
        <v>408</v>
      </c>
      <c r="BX5" s="11" t="s">
        <v>409</v>
      </c>
      <c r="BY5" s="11" t="s">
        <v>410</v>
      </c>
      <c r="BZ5" s="11" t="s">
        <v>411</v>
      </c>
      <c r="CA5" s="11" t="s">
        <v>412</v>
      </c>
      <c r="CB5" s="12" t="s">
        <v>413</v>
      </c>
      <c r="CC5" s="11" t="s">
        <v>444</v>
      </c>
      <c r="CD5" s="11" t="s">
        <v>416</v>
      </c>
      <c r="CE5" s="11" t="s">
        <v>441</v>
      </c>
      <c r="CF5" s="11" t="s">
        <v>417</v>
      </c>
      <c r="CG5" s="11" t="s">
        <v>774</v>
      </c>
      <c r="CH5" s="12" t="s">
        <v>445</v>
      </c>
      <c r="CI5" s="11" t="s">
        <v>448</v>
      </c>
      <c r="CJ5" s="11" t="s">
        <v>449</v>
      </c>
      <c r="CK5" s="11" t="s">
        <v>450</v>
      </c>
      <c r="CL5" s="11" t="s">
        <v>805</v>
      </c>
      <c r="CM5" s="11" t="s">
        <v>806</v>
      </c>
      <c r="CN5" s="578" t="s">
        <v>994</v>
      </c>
      <c r="CO5" s="65" t="s">
        <v>451</v>
      </c>
      <c r="CP5" s="11" t="s">
        <v>455</v>
      </c>
      <c r="CQ5" s="11" t="s">
        <v>452</v>
      </c>
      <c r="CR5" s="12" t="s">
        <v>453</v>
      </c>
      <c r="CS5" s="11" t="s">
        <v>456</v>
      </c>
      <c r="CT5" s="11" t="s">
        <v>457</v>
      </c>
      <c r="CU5" s="11" t="s">
        <v>458</v>
      </c>
      <c r="CV5" s="11" t="s">
        <v>459</v>
      </c>
      <c r="CW5" s="11" t="s">
        <v>460</v>
      </c>
      <c r="CX5" s="460" t="s">
        <v>461</v>
      </c>
      <c r="CY5" s="671" t="s">
        <v>996</v>
      </c>
      <c r="CZ5" s="11" t="s">
        <v>465</v>
      </c>
      <c r="DA5" s="11" t="s">
        <v>466</v>
      </c>
      <c r="DB5" s="11" t="s">
        <v>467</v>
      </c>
      <c r="DC5" s="11" t="s">
        <v>468</v>
      </c>
      <c r="DD5" s="11" t="s">
        <v>469</v>
      </c>
      <c r="DE5" s="460" t="s">
        <v>470</v>
      </c>
      <c r="DF5" s="578" t="s">
        <v>997</v>
      </c>
      <c r="DG5" s="720" t="s">
        <v>487</v>
      </c>
      <c r="DH5" s="65" t="s">
        <v>998</v>
      </c>
      <c r="DI5" s="11" t="s">
        <v>999</v>
      </c>
      <c r="DJ5" s="11" t="s">
        <v>1000</v>
      </c>
      <c r="DK5" s="11" t="s">
        <v>1001</v>
      </c>
      <c r="DL5" s="11" t="s">
        <v>1002</v>
      </c>
      <c r="DM5" s="11" t="s">
        <v>1003</v>
      </c>
      <c r="DN5" s="11" t="s">
        <v>1004</v>
      </c>
      <c r="DO5" s="11" t="s">
        <v>1005</v>
      </c>
      <c r="DP5" s="11" t="s">
        <v>1006</v>
      </c>
      <c r="DQ5" s="11" t="s">
        <v>1007</v>
      </c>
      <c r="DR5" s="11" t="s">
        <v>1008</v>
      </c>
      <c r="DS5" s="11" t="s">
        <v>1009</v>
      </c>
      <c r="DT5" s="65" t="s">
        <v>605</v>
      </c>
      <c r="DU5" s="11" t="s">
        <v>606</v>
      </c>
      <c r="DV5" s="327" t="s">
        <v>829</v>
      </c>
      <c r="DW5" s="332" t="s">
        <v>830</v>
      </c>
      <c r="DX5" s="632" t="s">
        <v>1083</v>
      </c>
      <c r="DY5" s="632" t="s">
        <v>1085</v>
      </c>
      <c r="DZ5" s="632" t="s">
        <v>1084</v>
      </c>
      <c r="EA5" s="332" t="s">
        <v>1086</v>
      </c>
      <c r="EB5" s="11" t="s">
        <v>637</v>
      </c>
      <c r="EC5" s="11" t="s">
        <v>639</v>
      </c>
      <c r="ED5" s="65" t="s">
        <v>644</v>
      </c>
      <c r="EE5" s="11" t="s">
        <v>645</v>
      </c>
      <c r="EF5" s="11" t="s">
        <v>646</v>
      </c>
      <c r="EG5" s="11" t="s">
        <v>647</v>
      </c>
      <c r="EH5" s="11" t="s">
        <v>648</v>
      </c>
      <c r="EI5" s="11" t="s">
        <v>1010</v>
      </c>
      <c r="EJ5" s="65" t="s">
        <v>654</v>
      </c>
      <c r="EK5" s="253" t="s">
        <v>718</v>
      </c>
      <c r="EL5" s="253" t="s">
        <v>839</v>
      </c>
      <c r="EM5" s="253" t="s">
        <v>840</v>
      </c>
      <c r="EN5" s="11" t="s">
        <v>655</v>
      </c>
      <c r="EO5" s="253" t="s">
        <v>719</v>
      </c>
      <c r="EP5" s="253" t="s">
        <v>841</v>
      </c>
      <c r="EQ5" s="253" t="s">
        <v>842</v>
      </c>
      <c r="ER5" s="11" t="s">
        <v>656</v>
      </c>
      <c r="ES5" s="253" t="s">
        <v>720</v>
      </c>
      <c r="ET5" s="253" t="s">
        <v>843</v>
      </c>
      <c r="EU5" s="253" t="s">
        <v>844</v>
      </c>
      <c r="EV5" s="11" t="s">
        <v>657</v>
      </c>
      <c r="EW5" s="253" t="s">
        <v>721</v>
      </c>
      <c r="EX5" s="253" t="s">
        <v>845</v>
      </c>
      <c r="EY5" s="253" t="s">
        <v>846</v>
      </c>
      <c r="EZ5" s="11" t="s">
        <v>658</v>
      </c>
      <c r="FA5" s="336" t="s">
        <v>722</v>
      </c>
      <c r="FB5" s="336" t="s">
        <v>847</v>
      </c>
      <c r="FC5" s="336" t="s">
        <v>848</v>
      </c>
      <c r="FD5" s="336" t="s">
        <v>838</v>
      </c>
      <c r="FE5" s="336" t="s">
        <v>837</v>
      </c>
      <c r="FF5" s="336" t="s">
        <v>849</v>
      </c>
      <c r="FG5" s="336" t="s">
        <v>850</v>
      </c>
      <c r="FH5" s="574" t="s">
        <v>1011</v>
      </c>
      <c r="FI5" s="336" t="s">
        <v>1012</v>
      </c>
      <c r="FJ5" s="253" t="s">
        <v>1013</v>
      </c>
      <c r="FK5" s="253" t="s">
        <v>1014</v>
      </c>
      <c r="FL5" s="340" t="s">
        <v>654</v>
      </c>
      <c r="FM5" s="253" t="s">
        <v>718</v>
      </c>
      <c r="FN5" s="257" t="s">
        <v>655</v>
      </c>
      <c r="FO5" s="253" t="s">
        <v>719</v>
      </c>
      <c r="FP5" s="257" t="s">
        <v>656</v>
      </c>
      <c r="FQ5" s="253" t="s">
        <v>720</v>
      </c>
      <c r="FR5" s="257" t="s">
        <v>657</v>
      </c>
      <c r="FS5" s="253" t="s">
        <v>721</v>
      </c>
      <c r="FT5" s="257" t="s">
        <v>658</v>
      </c>
      <c r="FU5" s="336" t="s">
        <v>722</v>
      </c>
      <c r="FV5" s="257" t="s">
        <v>838</v>
      </c>
      <c r="FW5" s="460" t="s">
        <v>837</v>
      </c>
      <c r="FX5" s="575" t="s">
        <v>1011</v>
      </c>
      <c r="FY5" s="12" t="s">
        <v>1012</v>
      </c>
      <c r="FZ5" s="11" t="s">
        <v>493</v>
      </c>
      <c r="GA5" s="11" t="s">
        <v>659</v>
      </c>
      <c r="GB5" s="11" t="s">
        <v>494</v>
      </c>
      <c r="GC5" s="253" t="s">
        <v>495</v>
      </c>
      <c r="GD5" s="11" t="s">
        <v>725</v>
      </c>
      <c r="GE5" s="11" t="s">
        <v>726</v>
      </c>
      <c r="GF5" s="253" t="s">
        <v>728</v>
      </c>
      <c r="GG5" s="253" t="s">
        <v>727</v>
      </c>
      <c r="GH5" s="253" t="s">
        <v>660</v>
      </c>
      <c r="GI5" s="253" t="s">
        <v>661</v>
      </c>
      <c r="GJ5" s="253" t="s">
        <v>662</v>
      </c>
      <c r="GK5" s="254" t="s">
        <v>663</v>
      </c>
      <c r="GL5" s="253" t="s">
        <v>940</v>
      </c>
      <c r="GM5" s="253" t="s">
        <v>942</v>
      </c>
      <c r="GN5" s="253" t="s">
        <v>946</v>
      </c>
      <c r="GO5" s="253" t="s">
        <v>943</v>
      </c>
      <c r="GP5" s="253" t="s">
        <v>944</v>
      </c>
      <c r="GQ5" s="253" t="s">
        <v>945</v>
      </c>
      <c r="GR5" s="253" t="s">
        <v>660</v>
      </c>
      <c r="GS5" s="253" t="s">
        <v>661</v>
      </c>
      <c r="GT5" s="253" t="s">
        <v>662</v>
      </c>
      <c r="GU5" s="254" t="s">
        <v>663</v>
      </c>
      <c r="GV5" s="253" t="s">
        <v>1113</v>
      </c>
      <c r="GW5" s="253" t="s">
        <v>1115</v>
      </c>
      <c r="GX5" s="253" t="s">
        <v>1019</v>
      </c>
      <c r="GY5" s="253" t="s">
        <v>1118</v>
      </c>
      <c r="GZ5" s="253" t="s">
        <v>1020</v>
      </c>
      <c r="HA5" s="253" t="s">
        <v>1114</v>
      </c>
      <c r="HB5" s="253" t="s">
        <v>1022</v>
      </c>
      <c r="HC5" s="253" t="s">
        <v>1021</v>
      </c>
      <c r="HD5" s="253" t="s">
        <v>1023</v>
      </c>
      <c r="HE5" s="253" t="s">
        <v>660</v>
      </c>
      <c r="HF5" s="253" t="s">
        <v>661</v>
      </c>
      <c r="HG5" s="253" t="s">
        <v>662</v>
      </c>
      <c r="HH5" s="254" t="s">
        <v>663</v>
      </c>
      <c r="HI5" s="692" t="s">
        <v>938</v>
      </c>
      <c r="HJ5" s="693" t="s">
        <v>939</v>
      </c>
      <c r="HK5" s="693" t="s">
        <v>940</v>
      </c>
      <c r="HL5" s="694" t="s">
        <v>941</v>
      </c>
      <c r="HM5" s="693" t="s">
        <v>942</v>
      </c>
      <c r="HN5" s="693" t="s">
        <v>946</v>
      </c>
      <c r="HO5" s="693" t="s">
        <v>943</v>
      </c>
      <c r="HP5" s="694" t="s">
        <v>944</v>
      </c>
      <c r="HQ5" s="694" t="s">
        <v>945</v>
      </c>
      <c r="HR5" s="694" t="s">
        <v>660</v>
      </c>
      <c r="HS5" s="694" t="s">
        <v>661</v>
      </c>
      <c r="HT5" s="694" t="s">
        <v>662</v>
      </c>
      <c r="HU5" s="695" t="s">
        <v>663</v>
      </c>
      <c r="HV5" s="11" t="s">
        <v>738</v>
      </c>
      <c r="HW5" s="11" t="s">
        <v>742</v>
      </c>
      <c r="HX5" s="253" t="s">
        <v>737</v>
      </c>
      <c r="HY5" s="253" t="s">
        <v>526</v>
      </c>
      <c r="HZ5" s="253" t="s">
        <v>527</v>
      </c>
      <c r="IA5" s="11" t="s">
        <v>739</v>
      </c>
      <c r="IB5" s="11" t="s">
        <v>738</v>
      </c>
      <c r="IC5" s="11" t="s">
        <v>742</v>
      </c>
      <c r="ID5" s="253" t="s">
        <v>737</v>
      </c>
      <c r="IE5" s="253" t="s">
        <v>526</v>
      </c>
      <c r="IF5" s="253" t="s">
        <v>527</v>
      </c>
      <c r="IG5" s="11" t="s">
        <v>739</v>
      </c>
      <c r="IH5" s="11" t="s">
        <v>738</v>
      </c>
      <c r="II5" s="11" t="s">
        <v>742</v>
      </c>
      <c r="IJ5" s="253" t="s">
        <v>737</v>
      </c>
      <c r="IK5" s="253" t="s">
        <v>526</v>
      </c>
      <c r="IL5" s="253" t="s">
        <v>527</v>
      </c>
      <c r="IM5" s="11" t="s">
        <v>743</v>
      </c>
      <c r="IN5" s="11" t="s">
        <v>738</v>
      </c>
      <c r="IO5" s="11" t="s">
        <v>742</v>
      </c>
      <c r="IP5" s="253" t="s">
        <v>737</v>
      </c>
      <c r="IQ5" s="253" t="s">
        <v>526</v>
      </c>
      <c r="IR5" s="253" t="s">
        <v>527</v>
      </c>
      <c r="IS5" s="11" t="s">
        <v>739</v>
      </c>
      <c r="IT5" s="11" t="s">
        <v>738</v>
      </c>
      <c r="IU5" s="11" t="s">
        <v>742</v>
      </c>
      <c r="IV5" s="253" t="s">
        <v>737</v>
      </c>
      <c r="IW5" s="253" t="s">
        <v>526</v>
      </c>
      <c r="IX5" s="253" t="s">
        <v>527</v>
      </c>
      <c r="IY5" s="11" t="s">
        <v>739</v>
      </c>
      <c r="IZ5" s="11" t="s">
        <v>738</v>
      </c>
      <c r="JA5" s="11" t="s">
        <v>742</v>
      </c>
      <c r="JB5" s="253" t="s">
        <v>737</v>
      </c>
      <c r="JC5" s="253" t="s">
        <v>526</v>
      </c>
      <c r="JD5" s="253" t="s">
        <v>527</v>
      </c>
      <c r="JE5" s="460" t="s">
        <v>739</v>
      </c>
      <c r="JF5" s="11" t="s">
        <v>738</v>
      </c>
      <c r="JG5" s="11" t="s">
        <v>742</v>
      </c>
      <c r="JH5" s="253" t="s">
        <v>737</v>
      </c>
      <c r="JI5" s="253" t="s">
        <v>526</v>
      </c>
      <c r="JJ5" s="253" t="s">
        <v>527</v>
      </c>
      <c r="JK5" s="671" t="s">
        <v>739</v>
      </c>
      <c r="JL5" s="11" t="s">
        <v>738</v>
      </c>
      <c r="JM5" s="11" t="s">
        <v>742</v>
      </c>
      <c r="JN5" s="253" t="s">
        <v>737</v>
      </c>
      <c r="JO5" s="253" t="s">
        <v>526</v>
      </c>
      <c r="JP5" s="253" t="s">
        <v>527</v>
      </c>
      <c r="JQ5" s="11" t="s">
        <v>739</v>
      </c>
      <c r="JR5" s="11" t="s">
        <v>738</v>
      </c>
      <c r="JS5" s="11" t="s">
        <v>742</v>
      </c>
      <c r="JT5" s="253" t="s">
        <v>737</v>
      </c>
      <c r="JU5" s="253" t="s">
        <v>526</v>
      </c>
      <c r="JV5" s="253" t="s">
        <v>527</v>
      </c>
      <c r="JW5" s="11" t="s">
        <v>739</v>
      </c>
      <c r="JX5" s="11" t="s">
        <v>738</v>
      </c>
      <c r="JY5" s="11" t="s">
        <v>742</v>
      </c>
      <c r="JZ5" s="253" t="s">
        <v>737</v>
      </c>
      <c r="KA5" s="253" t="s">
        <v>526</v>
      </c>
      <c r="KB5" s="253" t="s">
        <v>527</v>
      </c>
      <c r="KC5" s="11" t="s">
        <v>739</v>
      </c>
      <c r="KD5" s="11" t="s">
        <v>738</v>
      </c>
      <c r="KE5" s="11" t="s">
        <v>742</v>
      </c>
      <c r="KF5" s="253" t="s">
        <v>737</v>
      </c>
      <c r="KG5" s="253" t="s">
        <v>526</v>
      </c>
      <c r="KH5" s="253" t="s">
        <v>527</v>
      </c>
      <c r="KI5" s="11" t="s">
        <v>739</v>
      </c>
      <c r="KJ5" s="11" t="s">
        <v>738</v>
      </c>
      <c r="KK5" s="11" t="s">
        <v>742</v>
      </c>
      <c r="KL5" s="253" t="s">
        <v>737</v>
      </c>
      <c r="KM5" s="253" t="s">
        <v>526</v>
      </c>
      <c r="KN5" s="253" t="s">
        <v>527</v>
      </c>
      <c r="KO5" s="460" t="s">
        <v>739</v>
      </c>
      <c r="KP5" s="11" t="s">
        <v>738</v>
      </c>
      <c r="KQ5" s="11" t="s">
        <v>742</v>
      </c>
      <c r="KR5" s="253" t="s">
        <v>737</v>
      </c>
      <c r="KS5" s="253" t="s">
        <v>526</v>
      </c>
      <c r="KT5" s="253" t="s">
        <v>527</v>
      </c>
      <c r="KU5" s="460" t="s">
        <v>739</v>
      </c>
      <c r="KV5" s="460" t="s">
        <v>738</v>
      </c>
      <c r="KW5" s="460" t="s">
        <v>742</v>
      </c>
      <c r="KX5" s="460" t="s">
        <v>737</v>
      </c>
      <c r="KY5" s="460" t="s">
        <v>526</v>
      </c>
      <c r="KZ5" s="460" t="s">
        <v>527</v>
      </c>
      <c r="LA5" s="659" t="s">
        <v>739</v>
      </c>
      <c r="LB5" s="11" t="s">
        <v>751</v>
      </c>
      <c r="LC5" s="11" t="s">
        <v>752</v>
      </c>
      <c r="LD5" s="253" t="s">
        <v>750</v>
      </c>
      <c r="LE5" s="253" t="s">
        <v>665</v>
      </c>
      <c r="LF5" s="253" t="s">
        <v>666</v>
      </c>
      <c r="LG5" s="11" t="s">
        <v>664</v>
      </c>
      <c r="LH5" s="11" t="s">
        <v>755</v>
      </c>
      <c r="LI5" s="11" t="s">
        <v>757</v>
      </c>
      <c r="LJ5" s="253" t="s">
        <v>758</v>
      </c>
      <c r="LK5" s="253" t="s">
        <v>756</v>
      </c>
      <c r="LL5" s="11" t="s">
        <v>751</v>
      </c>
      <c r="LM5" s="11" t="s">
        <v>752</v>
      </c>
      <c r="LN5" s="253" t="s">
        <v>750</v>
      </c>
      <c r="LO5" s="253" t="s">
        <v>668</v>
      </c>
      <c r="LP5" s="253" t="s">
        <v>669</v>
      </c>
      <c r="LQ5" s="11" t="s">
        <v>667</v>
      </c>
      <c r="LR5" s="11" t="s">
        <v>755</v>
      </c>
      <c r="LS5" s="11" t="s">
        <v>757</v>
      </c>
      <c r="LT5" s="272" t="s">
        <v>758</v>
      </c>
      <c r="LU5" s="336" t="s">
        <v>756</v>
      </c>
      <c r="LV5" s="336" t="s">
        <v>876</v>
      </c>
      <c r="LW5" s="336" t="s">
        <v>752</v>
      </c>
      <c r="LX5" s="336" t="s">
        <v>750</v>
      </c>
      <c r="LY5" s="336" t="s">
        <v>833</v>
      </c>
      <c r="LZ5" s="336" t="s">
        <v>832</v>
      </c>
      <c r="MA5" s="336" t="s">
        <v>755</v>
      </c>
      <c r="MB5" s="336" t="s">
        <v>757</v>
      </c>
      <c r="MC5" s="336" t="s">
        <v>758</v>
      </c>
      <c r="MD5" s="253" t="s">
        <v>756</v>
      </c>
      <c r="ME5" s="336" t="s">
        <v>1095</v>
      </c>
      <c r="MF5" s="253" t="s">
        <v>752</v>
      </c>
      <c r="MG5" s="253" t="s">
        <v>750</v>
      </c>
      <c r="MH5" s="253" t="s">
        <v>1096</v>
      </c>
      <c r="MI5" s="253" t="s">
        <v>1097</v>
      </c>
      <c r="MJ5" s="648" t="s">
        <v>755</v>
      </c>
      <c r="MK5" s="649" t="s">
        <v>757</v>
      </c>
      <c r="ML5" s="650" t="s">
        <v>758</v>
      </c>
      <c r="MM5" s="651" t="s">
        <v>756</v>
      </c>
      <c r="MN5" s="253" t="s">
        <v>670</v>
      </c>
      <c r="MO5" s="253" t="s">
        <v>671</v>
      </c>
      <c r="MP5" s="253" t="s">
        <v>672</v>
      </c>
      <c r="MQ5" s="253" t="s">
        <v>673</v>
      </c>
      <c r="MR5" s="253" t="s">
        <v>674</v>
      </c>
      <c r="MS5" s="253" t="s">
        <v>767</v>
      </c>
      <c r="MT5" s="253" t="s">
        <v>675</v>
      </c>
      <c r="MU5" s="253" t="s">
        <v>676</v>
      </c>
      <c r="MV5" s="253" t="s">
        <v>677</v>
      </c>
      <c r="MW5" s="253" t="s">
        <v>678</v>
      </c>
      <c r="MX5" s="253" t="s">
        <v>679</v>
      </c>
      <c r="MY5" s="253" t="s">
        <v>680</v>
      </c>
      <c r="MZ5" s="253" t="s">
        <v>681</v>
      </c>
      <c r="NA5" s="253" t="s">
        <v>682</v>
      </c>
      <c r="NB5" s="253" t="s">
        <v>683</v>
      </c>
      <c r="NC5" s="254" t="s">
        <v>684</v>
      </c>
      <c r="ND5" s="253" t="s">
        <v>965</v>
      </c>
      <c r="NE5" s="253" t="s">
        <v>966</v>
      </c>
      <c r="NF5" s="253" t="s">
        <v>967</v>
      </c>
      <c r="NG5" s="253" t="s">
        <v>672</v>
      </c>
      <c r="NH5" s="253" t="s">
        <v>673</v>
      </c>
      <c r="NI5" s="253" t="s">
        <v>968</v>
      </c>
      <c r="NJ5" s="253" t="s">
        <v>969</v>
      </c>
      <c r="NK5" s="253" t="s">
        <v>970</v>
      </c>
      <c r="NL5" s="253" t="s">
        <v>675</v>
      </c>
      <c r="NM5" s="253" t="s">
        <v>676</v>
      </c>
      <c r="NN5" s="253" t="s">
        <v>971</v>
      </c>
      <c r="NO5" s="253" t="s">
        <v>972</v>
      </c>
      <c r="NP5" s="253" t="s">
        <v>973</v>
      </c>
      <c r="NQ5" s="253" t="s">
        <v>974</v>
      </c>
      <c r="NR5" s="253" t="s">
        <v>975</v>
      </c>
      <c r="NS5" s="253" t="s">
        <v>976</v>
      </c>
      <c r="NT5" s="253" t="s">
        <v>977</v>
      </c>
      <c r="NU5" s="253" t="s">
        <v>978</v>
      </c>
      <c r="NV5" s="253" t="s">
        <v>979</v>
      </c>
      <c r="NW5" s="254" t="s">
        <v>980</v>
      </c>
      <c r="NX5" s="11" t="s">
        <v>812</v>
      </c>
      <c r="NY5" s="11" t="s">
        <v>685</v>
      </c>
      <c r="NZ5" s="11" t="s">
        <v>686</v>
      </c>
      <c r="OA5" s="11" t="s">
        <v>687</v>
      </c>
      <c r="OB5" s="11" t="s">
        <v>688</v>
      </c>
      <c r="OC5" s="11" t="s">
        <v>689</v>
      </c>
      <c r="OD5" s="11" t="s">
        <v>690</v>
      </c>
      <c r="OE5" s="11" t="s">
        <v>691</v>
      </c>
      <c r="OF5" s="11" t="s">
        <v>692</v>
      </c>
      <c r="OG5" s="11" t="s">
        <v>693</v>
      </c>
      <c r="OH5" s="11" t="s">
        <v>694</v>
      </c>
      <c r="OI5" s="11" t="s">
        <v>695</v>
      </c>
      <c r="OJ5" s="11" t="s">
        <v>696</v>
      </c>
      <c r="OK5" s="11" t="s">
        <v>697</v>
      </c>
      <c r="OL5" s="11" t="s">
        <v>698</v>
      </c>
      <c r="OM5" s="11" t="s">
        <v>699</v>
      </c>
      <c r="ON5" s="11" t="s">
        <v>700</v>
      </c>
      <c r="OO5" s="11" t="s">
        <v>701</v>
      </c>
      <c r="OP5" s="11" t="s">
        <v>702</v>
      </c>
      <c r="OQ5" s="11" t="s">
        <v>703</v>
      </c>
      <c r="OR5" s="11" t="s">
        <v>704</v>
      </c>
      <c r="OS5" s="11" t="s">
        <v>705</v>
      </c>
      <c r="OT5" s="12" t="s">
        <v>706</v>
      </c>
      <c r="OU5" s="11" t="s">
        <v>878</v>
      </c>
      <c r="OV5" s="11" t="s">
        <v>879</v>
      </c>
      <c r="OW5" s="11" t="s">
        <v>880</v>
      </c>
      <c r="OX5" s="11" t="s">
        <v>881</v>
      </c>
      <c r="OY5" s="11" t="s">
        <v>882</v>
      </c>
      <c r="OZ5" s="11" t="s">
        <v>883</v>
      </c>
      <c r="PA5" s="11" t="s">
        <v>884</v>
      </c>
      <c r="PB5" s="11" t="s">
        <v>885</v>
      </c>
      <c r="PC5" s="11" t="s">
        <v>886</v>
      </c>
      <c r="PD5" s="11" t="s">
        <v>887</v>
      </c>
      <c r="PE5" s="11" t="s">
        <v>888</v>
      </c>
      <c r="PF5" s="11" t="s">
        <v>889</v>
      </c>
      <c r="PG5" s="11" t="s">
        <v>890</v>
      </c>
      <c r="PH5" s="11" t="s">
        <v>891</v>
      </c>
      <c r="PI5" s="11" t="s">
        <v>892</v>
      </c>
      <c r="PJ5" s="11" t="s">
        <v>893</v>
      </c>
      <c r="PK5" s="11" t="s">
        <v>894</v>
      </c>
      <c r="PL5" s="11" t="s">
        <v>895</v>
      </c>
      <c r="PM5" s="11" t="s">
        <v>896</v>
      </c>
      <c r="PN5" s="11" t="s">
        <v>897</v>
      </c>
      <c r="PO5" s="11" t="s">
        <v>898</v>
      </c>
      <c r="PP5" s="11" t="s">
        <v>900</v>
      </c>
      <c r="PQ5" s="11" t="s">
        <v>901</v>
      </c>
      <c r="PR5" s="11" t="s">
        <v>902</v>
      </c>
      <c r="PS5" s="11" t="s">
        <v>903</v>
      </c>
      <c r="PT5" s="11" t="s">
        <v>904</v>
      </c>
      <c r="PU5" s="11" t="s">
        <v>905</v>
      </c>
      <c r="PV5" s="11" t="s">
        <v>906</v>
      </c>
      <c r="PW5" s="11" t="s">
        <v>907</v>
      </c>
      <c r="PX5" s="11" t="s">
        <v>908</v>
      </c>
      <c r="PY5" s="11" t="s">
        <v>909</v>
      </c>
      <c r="PZ5" s="11" t="s">
        <v>899</v>
      </c>
      <c r="QA5" s="11" t="s">
        <v>910</v>
      </c>
      <c r="QB5" s="11" t="s">
        <v>911</v>
      </c>
      <c r="QC5" s="11" t="s">
        <v>912</v>
      </c>
      <c r="QD5" s="11" t="s">
        <v>913</v>
      </c>
      <c r="QE5" s="11" t="s">
        <v>914</v>
      </c>
      <c r="QF5" s="11" t="s">
        <v>915</v>
      </c>
      <c r="QG5" s="12" t="s">
        <v>916</v>
      </c>
      <c r="QH5" s="11" t="s">
        <v>1120</v>
      </c>
      <c r="QI5" s="11" t="s">
        <v>879</v>
      </c>
      <c r="QJ5" s="11" t="s">
        <v>880</v>
      </c>
      <c r="QK5" s="11" t="s">
        <v>881</v>
      </c>
      <c r="QL5" s="11" t="s">
        <v>882</v>
      </c>
      <c r="QM5" s="11" t="s">
        <v>883</v>
      </c>
      <c r="QN5" s="11" t="s">
        <v>884</v>
      </c>
      <c r="QO5" s="11" t="s">
        <v>1121</v>
      </c>
      <c r="QP5" s="11" t="s">
        <v>886</v>
      </c>
      <c r="QQ5" s="11" t="s">
        <v>887</v>
      </c>
      <c r="QR5" s="11" t="s">
        <v>888</v>
      </c>
      <c r="QS5" s="11" t="s">
        <v>889</v>
      </c>
      <c r="QT5" s="11" t="s">
        <v>890</v>
      </c>
      <c r="QU5" s="11" t="s">
        <v>891</v>
      </c>
      <c r="QV5" s="11" t="s">
        <v>892</v>
      </c>
      <c r="QW5" s="11" t="s">
        <v>893</v>
      </c>
      <c r="QX5" s="11" t="s">
        <v>894</v>
      </c>
      <c r="QY5" s="11" t="s">
        <v>895</v>
      </c>
      <c r="QZ5" s="11" t="s">
        <v>1122</v>
      </c>
      <c r="RA5" s="11" t="s">
        <v>897</v>
      </c>
      <c r="RB5" s="11" t="s">
        <v>898</v>
      </c>
      <c r="RC5" s="11" t="s">
        <v>900</v>
      </c>
      <c r="RD5" s="11" t="s">
        <v>901</v>
      </c>
      <c r="RE5" s="11" t="s">
        <v>902</v>
      </c>
      <c r="RF5" s="11" t="s">
        <v>903</v>
      </c>
      <c r="RG5" s="11" t="s">
        <v>904</v>
      </c>
      <c r="RH5" s="11" t="s">
        <v>905</v>
      </c>
      <c r="RI5" s="11" t="s">
        <v>906</v>
      </c>
      <c r="RJ5" s="11" t="s">
        <v>907</v>
      </c>
      <c r="RK5" s="11" t="s">
        <v>908</v>
      </c>
      <c r="RL5" s="11" t="s">
        <v>909</v>
      </c>
      <c r="RM5" s="11" t="s">
        <v>899</v>
      </c>
      <c r="RN5" s="11" t="s">
        <v>910</v>
      </c>
      <c r="RO5" s="11" t="s">
        <v>911</v>
      </c>
      <c r="RP5" s="11" t="s">
        <v>912</v>
      </c>
      <c r="RQ5" s="11" t="s">
        <v>913</v>
      </c>
      <c r="RR5" s="11" t="s">
        <v>914</v>
      </c>
      <c r="RS5" s="11" t="s">
        <v>915</v>
      </c>
      <c r="RT5" s="12" t="s">
        <v>916</v>
      </c>
    </row>
    <row r="6" spans="1:488" s="3" customFormat="1" ht="12.75" customHeight="1" x14ac:dyDescent="0.2">
      <c r="A6" s="9" t="s">
        <v>37</v>
      </c>
      <c r="B6" s="6">
        <v>5</v>
      </c>
      <c r="C6" s="9" t="s">
        <v>151</v>
      </c>
      <c r="D6" s="9" t="s">
        <v>152</v>
      </c>
      <c r="E6" s="9" t="s">
        <v>286</v>
      </c>
      <c r="F6" s="9" t="s">
        <v>286</v>
      </c>
      <c r="G6" s="9" t="s">
        <v>153</v>
      </c>
      <c r="H6" s="9" t="s">
        <v>75</v>
      </c>
      <c r="I6" s="9" t="s">
        <v>82</v>
      </c>
      <c r="J6" s="9" t="s">
        <v>268</v>
      </c>
      <c r="K6" s="9" t="s">
        <v>370</v>
      </c>
      <c r="L6" s="9" t="s">
        <v>271</v>
      </c>
      <c r="M6" s="9" t="s">
        <v>863</v>
      </c>
      <c r="N6" s="3" t="s">
        <v>401</v>
      </c>
      <c r="O6" s="9">
        <v>506734</v>
      </c>
      <c r="P6" s="9">
        <v>104386</v>
      </c>
      <c r="Q6" s="109">
        <v>20092</v>
      </c>
      <c r="R6" s="109">
        <v>80206</v>
      </c>
      <c r="S6" s="310" t="s">
        <v>797</v>
      </c>
      <c r="T6" s="36">
        <v>17065</v>
      </c>
      <c r="U6" s="37">
        <v>17415</v>
      </c>
      <c r="V6" s="37">
        <v>17650</v>
      </c>
      <c r="W6" s="37">
        <v>17770</v>
      </c>
      <c r="X6" s="37">
        <v>17725</v>
      </c>
      <c r="Y6" s="37">
        <v>17835</v>
      </c>
      <c r="Z6" s="37">
        <v>17855</v>
      </c>
      <c r="AA6" s="37">
        <v>18075</v>
      </c>
      <c r="AB6" s="37">
        <v>18165</v>
      </c>
      <c r="AC6" s="42">
        <v>18358</v>
      </c>
      <c r="AD6" s="42">
        <v>18450</v>
      </c>
      <c r="AE6" s="36">
        <v>1025</v>
      </c>
      <c r="AF6" s="37">
        <v>1040</v>
      </c>
      <c r="AG6" s="37">
        <v>1025</v>
      </c>
      <c r="AH6" s="37">
        <v>1030</v>
      </c>
      <c r="AI6" s="37">
        <v>1005</v>
      </c>
      <c r="AJ6" s="37">
        <v>1010</v>
      </c>
      <c r="AK6" s="37">
        <v>990</v>
      </c>
      <c r="AL6" s="37">
        <v>1020</v>
      </c>
      <c r="AM6" s="37">
        <v>1020</v>
      </c>
      <c r="AN6" s="42">
        <v>1041</v>
      </c>
      <c r="AO6" s="42">
        <v>1001</v>
      </c>
      <c r="AP6" s="13">
        <v>982</v>
      </c>
      <c r="AQ6" s="3">
        <v>912</v>
      </c>
      <c r="AR6" s="3">
        <v>27</v>
      </c>
      <c r="AS6" s="3">
        <v>34</v>
      </c>
      <c r="AT6" s="3">
        <v>8</v>
      </c>
      <c r="AU6" s="3">
        <v>1</v>
      </c>
      <c r="AV6" s="3">
        <v>0</v>
      </c>
      <c r="AW6" s="9">
        <v>70</v>
      </c>
      <c r="AX6" s="16">
        <v>0.92871690427698572</v>
      </c>
      <c r="AY6" s="17">
        <v>2.7494908350305498E-2</v>
      </c>
      <c r="AZ6" s="17">
        <v>3.4623217922606926E-2</v>
      </c>
      <c r="BA6" s="17">
        <v>8.1466395112016286E-3</v>
      </c>
      <c r="BB6" s="17">
        <v>1.0183299389002036E-3</v>
      </c>
      <c r="BC6" s="17">
        <v>0</v>
      </c>
      <c r="BD6" s="18">
        <v>7.1283095723014278E-2</v>
      </c>
      <c r="BE6" s="13">
        <v>2763</v>
      </c>
      <c r="BF6" s="3">
        <v>2742</v>
      </c>
      <c r="BG6" s="3">
        <v>21</v>
      </c>
      <c r="BH6" s="3">
        <v>15</v>
      </c>
      <c r="BI6" s="3">
        <v>6</v>
      </c>
      <c r="BJ6" s="17">
        <v>0.7142857142857143</v>
      </c>
      <c r="BK6" s="18">
        <v>0.2857142857142857</v>
      </c>
      <c r="BL6" s="13">
        <v>2024</v>
      </c>
      <c r="BM6" s="17">
        <v>0.68083003952569165</v>
      </c>
      <c r="BN6" s="17">
        <v>9.3379446640316208E-2</v>
      </c>
      <c r="BO6" s="18">
        <v>0.2257905138339921</v>
      </c>
      <c r="BP6" s="36">
        <v>5406</v>
      </c>
      <c r="BQ6" s="37">
        <v>308</v>
      </c>
      <c r="BR6" s="37">
        <v>333</v>
      </c>
      <c r="BS6" s="37">
        <v>133</v>
      </c>
      <c r="BT6" s="37">
        <v>3804</v>
      </c>
      <c r="BU6" s="37">
        <v>2175</v>
      </c>
      <c r="BV6" s="18">
        <v>0.13333333333333333</v>
      </c>
      <c r="BW6" s="36">
        <v>1276</v>
      </c>
      <c r="BX6" s="37">
        <v>1</v>
      </c>
      <c r="BY6" s="37">
        <v>284</v>
      </c>
      <c r="BZ6" s="37">
        <v>480</v>
      </c>
      <c r="CA6" s="37">
        <v>148</v>
      </c>
      <c r="CB6" s="38">
        <v>2189</v>
      </c>
      <c r="CC6" s="37">
        <v>779</v>
      </c>
      <c r="CD6" s="37">
        <v>654</v>
      </c>
      <c r="CE6" s="37">
        <v>123</v>
      </c>
      <c r="CF6" s="37">
        <v>125</v>
      </c>
      <c r="CG6" s="17">
        <v>0.15789473684210525</v>
      </c>
      <c r="CH6" s="93">
        <v>0.16046213093709885</v>
      </c>
      <c r="CI6" s="37">
        <v>115</v>
      </c>
      <c r="CJ6" s="37">
        <v>95</v>
      </c>
      <c r="CK6" s="37">
        <v>75</v>
      </c>
      <c r="CL6" s="37">
        <v>75</v>
      </c>
      <c r="CM6" s="42">
        <v>70</v>
      </c>
      <c r="CN6" s="42">
        <v>70</v>
      </c>
      <c r="CO6" s="36">
        <v>480</v>
      </c>
      <c r="CP6" s="37">
        <v>144</v>
      </c>
      <c r="CQ6" s="17">
        <v>0.3</v>
      </c>
      <c r="CR6" s="38">
        <v>46</v>
      </c>
      <c r="CS6" s="37">
        <v>183</v>
      </c>
      <c r="CT6" s="37">
        <v>179</v>
      </c>
      <c r="CU6" s="37">
        <v>203</v>
      </c>
      <c r="CV6" s="37">
        <v>195</v>
      </c>
      <c r="CW6" s="37">
        <v>163</v>
      </c>
      <c r="CX6" s="526" t="s">
        <v>471</v>
      </c>
      <c r="CY6" s="568">
        <v>183</v>
      </c>
      <c r="CZ6" s="37">
        <v>7</v>
      </c>
      <c r="DA6" s="37">
        <v>4</v>
      </c>
      <c r="DB6" s="37">
        <v>12</v>
      </c>
      <c r="DC6" s="37">
        <v>8</v>
      </c>
      <c r="DD6" s="37">
        <v>6</v>
      </c>
      <c r="DE6" s="528" t="s">
        <v>471</v>
      </c>
      <c r="DF6" s="715">
        <v>4</v>
      </c>
      <c r="DG6" s="13">
        <v>13</v>
      </c>
      <c r="DH6" s="13">
        <v>11</v>
      </c>
      <c r="DI6" s="17">
        <v>6.7484662576687116E-2</v>
      </c>
      <c r="DJ6" s="17">
        <v>3.8096986536392215E-2</v>
      </c>
      <c r="DK6" s="18">
        <v>0.1167893289115334</v>
      </c>
      <c r="DL6" s="425" t="s">
        <v>286</v>
      </c>
      <c r="DM6" s="258" t="s">
        <v>286</v>
      </c>
      <c r="DN6" s="258" t="s">
        <v>286</v>
      </c>
      <c r="DO6" s="258" t="s">
        <v>286</v>
      </c>
      <c r="DP6" s="337">
        <v>14</v>
      </c>
      <c r="DQ6" s="393">
        <v>7.650273224043716E-2</v>
      </c>
      <c r="DR6" s="393">
        <v>4.6115353092286537E-2</v>
      </c>
      <c r="DS6" s="393">
        <v>0.12430431190964095</v>
      </c>
      <c r="DT6" s="13">
        <v>19</v>
      </c>
      <c r="DU6" s="18">
        <v>1.9348268839103868E-2</v>
      </c>
      <c r="DV6" s="328">
        <v>5</v>
      </c>
      <c r="DW6" s="333">
        <v>5</v>
      </c>
      <c r="DX6" s="337">
        <v>5</v>
      </c>
      <c r="DY6" s="393">
        <v>0.128898182867032</v>
      </c>
      <c r="DZ6" s="337">
        <v>5</v>
      </c>
      <c r="EA6" s="93">
        <v>0.11922366479787547</v>
      </c>
      <c r="EB6" s="3">
        <v>230</v>
      </c>
      <c r="EC6" s="18">
        <v>3.0006523157208087E-2</v>
      </c>
      <c r="ED6" s="13">
        <v>140</v>
      </c>
      <c r="EE6" s="3">
        <v>115</v>
      </c>
      <c r="EF6" s="3">
        <v>130</v>
      </c>
      <c r="EG6" s="3">
        <v>145</v>
      </c>
      <c r="EH6" s="9">
        <v>110</v>
      </c>
      <c r="EI6" s="9">
        <v>110</v>
      </c>
      <c r="EJ6" s="13">
        <v>125</v>
      </c>
      <c r="EK6" s="17">
        <v>0.12376237623762376</v>
      </c>
      <c r="EL6" s="17">
        <v>0.10486719883753579</v>
      </c>
      <c r="EM6" s="17">
        <v>0.14550869239496902</v>
      </c>
      <c r="EN6" s="3">
        <v>120</v>
      </c>
      <c r="EO6" s="17">
        <v>0.12182741116751269</v>
      </c>
      <c r="EP6" s="17">
        <v>0.1028569598232156</v>
      </c>
      <c r="EQ6" s="17">
        <v>0.14373611801102368</v>
      </c>
      <c r="ER6" s="3">
        <v>130</v>
      </c>
      <c r="ES6" s="17">
        <v>0.1326530612244898</v>
      </c>
      <c r="ET6" s="17">
        <v>0.11284355972000057</v>
      </c>
      <c r="EU6" s="17">
        <v>0.15533121219594839</v>
      </c>
      <c r="EV6" s="3">
        <v>125</v>
      </c>
      <c r="EW6" s="17">
        <v>0.12886597938144329</v>
      </c>
      <c r="EX6" s="17">
        <v>0.10923572334279229</v>
      </c>
      <c r="EY6" s="17">
        <v>0.15142421932189148</v>
      </c>
      <c r="EZ6" s="3">
        <v>135</v>
      </c>
      <c r="FA6" s="18">
        <v>0.13775510204081631</v>
      </c>
      <c r="FB6" s="18">
        <v>0.11758762126776107</v>
      </c>
      <c r="FC6" s="18">
        <v>0.16075138992713303</v>
      </c>
      <c r="FD6" s="337">
        <v>130</v>
      </c>
      <c r="FE6" s="18">
        <v>0.13333333333333333</v>
      </c>
      <c r="FF6" s="18">
        <v>0.11342827796070107</v>
      </c>
      <c r="FG6" s="393">
        <v>0.15611635201295135</v>
      </c>
      <c r="FH6" s="425" t="s">
        <v>286</v>
      </c>
      <c r="FI6" s="258" t="s">
        <v>286</v>
      </c>
      <c r="FJ6" s="258" t="s">
        <v>286</v>
      </c>
      <c r="FK6" s="258" t="s">
        <v>286</v>
      </c>
      <c r="FL6" s="36">
        <v>440</v>
      </c>
      <c r="FM6" s="18">
        <v>0.12960235640648013</v>
      </c>
      <c r="FN6" s="42">
        <v>435</v>
      </c>
      <c r="FO6" s="18">
        <v>0.13004484304932734</v>
      </c>
      <c r="FP6" s="42">
        <v>470</v>
      </c>
      <c r="FQ6" s="18">
        <v>0.14135338345864662</v>
      </c>
      <c r="FR6" s="42">
        <v>410</v>
      </c>
      <c r="FS6" s="18">
        <v>0.12330827067669173</v>
      </c>
      <c r="FT6" s="42">
        <v>395</v>
      </c>
      <c r="FU6" s="18">
        <v>0.11791044776119403</v>
      </c>
      <c r="FV6" s="42">
        <v>345</v>
      </c>
      <c r="FW6" s="393">
        <v>0.10375939849624061</v>
      </c>
      <c r="FX6" s="114" t="s">
        <v>286</v>
      </c>
      <c r="FY6" s="259" t="s">
        <v>286</v>
      </c>
      <c r="FZ6" s="3">
        <v>191</v>
      </c>
      <c r="GA6" s="3">
        <v>4</v>
      </c>
      <c r="GB6" s="3">
        <v>187</v>
      </c>
      <c r="GC6" s="17">
        <v>0.97905759162303663</v>
      </c>
      <c r="GD6" s="3">
        <v>84</v>
      </c>
      <c r="GE6" s="3">
        <v>99</v>
      </c>
      <c r="GF6" s="17">
        <v>0.44919786096256686</v>
      </c>
      <c r="GG6" s="17">
        <v>0.52941176470588236</v>
      </c>
      <c r="GH6" s="17">
        <v>0.37964047544544022</v>
      </c>
      <c r="GI6" s="17">
        <v>0.52080051855167575</v>
      </c>
      <c r="GJ6" s="17">
        <v>0.458000343620654</v>
      </c>
      <c r="GK6" s="93">
        <v>0.59963908090733153</v>
      </c>
      <c r="GL6" s="337">
        <v>159</v>
      </c>
      <c r="GM6" s="337">
        <v>61</v>
      </c>
      <c r="GN6" s="337">
        <v>19</v>
      </c>
      <c r="GO6" s="337">
        <v>80</v>
      </c>
      <c r="GP6" s="393">
        <v>0.38364779874213839</v>
      </c>
      <c r="GQ6" s="393">
        <v>0.50314465408805031</v>
      </c>
      <c r="GR6" s="393">
        <v>0.31165490612038382</v>
      </c>
      <c r="GS6" s="393">
        <v>0.46113022938530485</v>
      </c>
      <c r="GT6" s="393">
        <v>0.42627648407830598</v>
      </c>
      <c r="GU6" s="93">
        <v>0.57986445820532406</v>
      </c>
      <c r="GV6" s="42">
        <v>178</v>
      </c>
      <c r="GW6" s="42">
        <v>13</v>
      </c>
      <c r="GX6" s="42">
        <v>165</v>
      </c>
      <c r="GY6" s="393">
        <f>GX6/GV6</f>
        <v>0.9269662921348315</v>
      </c>
      <c r="GZ6" s="42">
        <v>69</v>
      </c>
      <c r="HA6" s="42">
        <v>22</v>
      </c>
      <c r="HB6" s="42">
        <v>91</v>
      </c>
      <c r="HC6" s="393">
        <v>0.41818181818181815</v>
      </c>
      <c r="HD6" s="393">
        <v>0.55151515151515151</v>
      </c>
      <c r="HE6" s="393">
        <v>0.34561802528487612</v>
      </c>
      <c r="HF6" s="393">
        <v>0.49446864425359666</v>
      </c>
      <c r="HG6" s="393">
        <v>0.47531667728761329</v>
      </c>
      <c r="HH6" s="688">
        <v>0.62536949374371864</v>
      </c>
      <c r="HI6" s="696">
        <v>139</v>
      </c>
      <c r="HJ6" s="696">
        <v>19</v>
      </c>
      <c r="HK6" s="696">
        <v>120</v>
      </c>
      <c r="HL6" s="697">
        <v>0.86330935251798557</v>
      </c>
      <c r="HM6" s="696">
        <v>47</v>
      </c>
      <c r="HN6" s="696">
        <v>19</v>
      </c>
      <c r="HO6" s="696">
        <v>66</v>
      </c>
      <c r="HP6" s="697">
        <v>0.39166666666666666</v>
      </c>
      <c r="HQ6" s="697">
        <v>0.55000000000000004</v>
      </c>
      <c r="HR6" s="697">
        <v>0.3089919697233256</v>
      </c>
      <c r="HS6" s="697">
        <v>0.48106218300072684</v>
      </c>
      <c r="HT6" s="697">
        <v>0.46081543419687576</v>
      </c>
      <c r="HU6" s="698">
        <v>0.6360826491612539</v>
      </c>
      <c r="HV6" s="3">
        <v>161</v>
      </c>
      <c r="HW6" s="3">
        <v>10</v>
      </c>
      <c r="HX6" s="17">
        <v>6.2111801242236024E-2</v>
      </c>
      <c r="HY6" s="17">
        <v>3.4084412068514494E-2</v>
      </c>
      <c r="HZ6" s="17">
        <v>0.11054824886072183</v>
      </c>
      <c r="IA6" s="267" t="s">
        <v>707</v>
      </c>
      <c r="IB6" s="3">
        <v>163</v>
      </c>
      <c r="IC6" s="3">
        <v>9</v>
      </c>
      <c r="ID6" s="17">
        <v>5.5214723926380369E-2</v>
      </c>
      <c r="IE6" s="17">
        <v>2.9317368755345873E-2</v>
      </c>
      <c r="IF6" s="17">
        <v>0.10159409039323013</v>
      </c>
      <c r="IG6" s="3" t="s">
        <v>707</v>
      </c>
      <c r="IH6" s="3">
        <v>130</v>
      </c>
      <c r="II6" s="3">
        <v>9</v>
      </c>
      <c r="IJ6" s="17">
        <v>6.9230769230769235E-2</v>
      </c>
      <c r="IK6" s="17">
        <v>3.6847119144994243E-2</v>
      </c>
      <c r="IL6" s="17">
        <v>0.12634191819174664</v>
      </c>
      <c r="IM6" s="3" t="s">
        <v>707</v>
      </c>
      <c r="IN6" s="3">
        <v>165</v>
      </c>
      <c r="IO6" s="3">
        <v>16</v>
      </c>
      <c r="IP6" s="17">
        <v>9.696969696969697E-2</v>
      </c>
      <c r="IQ6" s="17">
        <v>6.0572005169180751E-2</v>
      </c>
      <c r="IR6" s="17">
        <v>0.15170677440922217</v>
      </c>
      <c r="IS6" s="3" t="s">
        <v>707</v>
      </c>
      <c r="IT6" s="3">
        <v>117</v>
      </c>
      <c r="IU6" s="3">
        <v>12</v>
      </c>
      <c r="IV6" s="17">
        <v>0.10256410256410256</v>
      </c>
      <c r="IW6" s="17">
        <v>5.9649622027734467E-2</v>
      </c>
      <c r="IX6" s="17">
        <v>0.17074695785802793</v>
      </c>
      <c r="IY6" s="9" t="s">
        <v>707</v>
      </c>
      <c r="IZ6" s="9">
        <v>194</v>
      </c>
      <c r="JA6" s="9">
        <v>23</v>
      </c>
      <c r="JB6" s="393">
        <v>0.11855670103092783</v>
      </c>
      <c r="JC6" s="393">
        <v>8.0312981203821396E-2</v>
      </c>
      <c r="JD6" s="393">
        <v>0.17161327893291761</v>
      </c>
      <c r="JE6" s="9" t="str">
        <f t="shared" ref="JE6:JE48" si="0">IF(JC6&gt;$JD$78, "Sig worse than Eng.", IF(JD6&lt;$JC$78,"Sig better than Eng.", "No Sig diff"))</f>
        <v>No Sig diff</v>
      </c>
      <c r="JF6" s="9">
        <v>212</v>
      </c>
      <c r="JG6" s="9">
        <v>19</v>
      </c>
      <c r="JH6" s="393">
        <v>8.9622641509433956E-2</v>
      </c>
      <c r="JI6" s="393">
        <v>5.8126142464667338E-2</v>
      </c>
      <c r="JJ6" s="393">
        <v>0.13572660042034557</v>
      </c>
      <c r="JK6" s="9" t="str">
        <f t="shared" ref="JK6" si="1">IF(JI6&gt;$JD$78, "Sig worse than Eng.", IF(JJ6&lt;$JC$78,"Sig better than Eng.", "No Sig diff"))</f>
        <v>No Sig diff</v>
      </c>
      <c r="JL6" s="3">
        <v>174</v>
      </c>
      <c r="JM6" s="3">
        <v>26</v>
      </c>
      <c r="JN6" s="17">
        <v>0.14942528735632185</v>
      </c>
      <c r="JO6" s="17">
        <v>0.10405726954201303</v>
      </c>
      <c r="JP6" s="17">
        <v>0.20993846121160956</v>
      </c>
      <c r="JQ6" s="3" t="s">
        <v>707</v>
      </c>
      <c r="JR6" s="3">
        <v>171</v>
      </c>
      <c r="JS6" s="3">
        <v>30</v>
      </c>
      <c r="JT6" s="17">
        <v>0.17543859649122806</v>
      </c>
      <c r="JU6" s="17">
        <v>0.12574362675464065</v>
      </c>
      <c r="JV6" s="17">
        <v>0.23939550701434556</v>
      </c>
      <c r="JW6" s="3" t="s">
        <v>707</v>
      </c>
      <c r="JX6" s="3">
        <v>191</v>
      </c>
      <c r="JY6" s="3">
        <v>35</v>
      </c>
      <c r="JZ6" s="17">
        <v>0.18324607329842932</v>
      </c>
      <c r="KA6" s="17">
        <v>0.13481200656779935</v>
      </c>
      <c r="KB6" s="17">
        <v>0.24417026582756324</v>
      </c>
      <c r="KC6" s="3" t="s">
        <v>707</v>
      </c>
      <c r="KD6" s="3">
        <v>186</v>
      </c>
      <c r="KE6" s="3">
        <v>18</v>
      </c>
      <c r="KF6" s="17">
        <v>9.6774193548387094E-2</v>
      </c>
      <c r="KG6" s="17">
        <v>6.2093076397520854E-2</v>
      </c>
      <c r="KH6" s="17">
        <v>0.14777393088419472</v>
      </c>
      <c r="KI6" s="3" t="s">
        <v>708</v>
      </c>
      <c r="KJ6" s="3">
        <v>188</v>
      </c>
      <c r="KK6" s="3">
        <v>36</v>
      </c>
      <c r="KL6" s="17">
        <v>0.19148936170212766</v>
      </c>
      <c r="KM6" s="17">
        <v>0.14164627861962834</v>
      </c>
      <c r="KN6" s="17">
        <v>0.25368776067987386</v>
      </c>
      <c r="KO6" s="465" t="s">
        <v>707</v>
      </c>
      <c r="KP6" s="465">
        <v>191</v>
      </c>
      <c r="KQ6" s="465">
        <v>28</v>
      </c>
      <c r="KR6" s="393">
        <v>0.14659685863874344</v>
      </c>
      <c r="KS6" s="393">
        <v>0.10341352463772394</v>
      </c>
      <c r="KT6" s="393">
        <v>0.20371545696040785</v>
      </c>
      <c r="KU6" s="465" t="s">
        <v>772</v>
      </c>
      <c r="KV6" s="465">
        <v>180</v>
      </c>
      <c r="KW6" s="465">
        <v>39</v>
      </c>
      <c r="KX6" s="393">
        <v>0.21666666666666667</v>
      </c>
      <c r="KY6" s="393">
        <v>0.16274157861520308</v>
      </c>
      <c r="KZ6" s="393">
        <v>0.282432536873711</v>
      </c>
      <c r="LA6" s="660" t="str">
        <f>IF(KY6&gt;$KZ$78, "Sig worse than Eng.", IF(KZ6&lt;$KY$78,"Sig better than Eng.", "No Sig diff"))</f>
        <v>No Sig diff</v>
      </c>
      <c r="LB6" s="3">
        <v>180</v>
      </c>
      <c r="LC6" s="3">
        <v>99</v>
      </c>
      <c r="LD6" s="17">
        <v>0.55000000000000004</v>
      </c>
      <c r="LE6" s="17">
        <v>0.4770335504141382</v>
      </c>
      <c r="LF6" s="17">
        <v>0.62087689979370053</v>
      </c>
      <c r="LG6" s="3">
        <v>180</v>
      </c>
      <c r="LH6" s="3">
        <v>34</v>
      </c>
      <c r="LI6" s="3">
        <v>36</v>
      </c>
      <c r="LJ6" s="293">
        <v>25.361111111111111</v>
      </c>
      <c r="LK6" s="17">
        <v>0.25408496732026142</v>
      </c>
      <c r="LL6" s="3">
        <v>219</v>
      </c>
      <c r="LM6" s="3">
        <v>132</v>
      </c>
      <c r="LN6" s="17">
        <v>0.60273972602739723</v>
      </c>
      <c r="LO6" s="17">
        <v>0.53669727911714793</v>
      </c>
      <c r="LP6" s="17">
        <v>0.66524000956398821</v>
      </c>
      <c r="LQ6" s="3">
        <v>219</v>
      </c>
      <c r="LR6" s="3">
        <v>34</v>
      </c>
      <c r="LS6" s="3">
        <v>43</v>
      </c>
      <c r="LT6" s="293">
        <v>24.883720930232553</v>
      </c>
      <c r="LU6" s="18">
        <v>0.26812585499316022</v>
      </c>
      <c r="LV6" s="42">
        <v>219</v>
      </c>
      <c r="LW6" s="42">
        <v>128</v>
      </c>
      <c r="LX6" s="18">
        <v>0.58447488584474883</v>
      </c>
      <c r="LY6" s="18">
        <v>0.51829819927284948</v>
      </c>
      <c r="LZ6" s="18">
        <v>0.6477391269760846</v>
      </c>
      <c r="MA6" s="337">
        <v>34</v>
      </c>
      <c r="MB6" s="337">
        <v>43</v>
      </c>
      <c r="MC6" s="294">
        <v>21.5</v>
      </c>
      <c r="MD6" s="636">
        <v>0.36699999999999999</v>
      </c>
      <c r="ME6" s="337">
        <v>226</v>
      </c>
      <c r="MF6" s="337">
        <v>158</v>
      </c>
      <c r="MG6" s="393">
        <v>0.69911504424778803</v>
      </c>
      <c r="MH6" s="393">
        <v>0.63640012577932381</v>
      </c>
      <c r="MI6" s="393">
        <v>0.75517413789697652</v>
      </c>
      <c r="MJ6" s="337">
        <v>34</v>
      </c>
      <c r="MK6" s="337">
        <v>45</v>
      </c>
      <c r="ML6" s="294">
        <v>26.222222222222221</v>
      </c>
      <c r="MM6" s="93">
        <v>0.22875816993464054</v>
      </c>
      <c r="MN6" s="17">
        <v>0.9612962962962962</v>
      </c>
      <c r="MO6" s="17">
        <v>3.8703703703703699E-2</v>
      </c>
      <c r="MP6" s="17">
        <v>1.9930699774880899E-2</v>
      </c>
      <c r="MQ6" s="17">
        <v>9.0972566500489863E-2</v>
      </c>
      <c r="MR6" s="17">
        <v>0.95129629629629631</v>
      </c>
      <c r="MS6" s="17">
        <v>4.8703703703703707E-2</v>
      </c>
      <c r="MT6" s="17">
        <v>1.9930699774880899E-2</v>
      </c>
      <c r="MU6" s="17">
        <v>9.0972566500489863E-2</v>
      </c>
      <c r="MV6" s="17">
        <v>0.95759259259259255</v>
      </c>
      <c r="MW6" s="17">
        <v>4.2407407407407408E-2</v>
      </c>
      <c r="MX6" s="17">
        <v>2.4605238882088657E-2</v>
      </c>
      <c r="MY6" s="17">
        <v>0.1002995507590243</v>
      </c>
      <c r="MZ6" s="17">
        <v>0.86300158175158193</v>
      </c>
      <c r="NA6" s="17">
        <v>0.13699841824841824</v>
      </c>
      <c r="NB6" s="17">
        <v>9.0616305858033777E-2</v>
      </c>
      <c r="NC6" s="93">
        <v>0.2064663742592043</v>
      </c>
      <c r="ND6" s="337">
        <v>8</v>
      </c>
      <c r="NE6" s="337">
        <v>90</v>
      </c>
      <c r="NF6" s="393">
        <v>8.8888888888888892E-2</v>
      </c>
      <c r="NG6" s="393">
        <v>4.5730492536794481E-2</v>
      </c>
      <c r="NH6" s="393">
        <v>0.16570546626054083</v>
      </c>
      <c r="NI6" s="337">
        <v>8</v>
      </c>
      <c r="NJ6" s="337">
        <v>90</v>
      </c>
      <c r="NK6" s="393">
        <v>8.8888888888888892E-2</v>
      </c>
      <c r="NL6" s="393">
        <v>4.5730492536794481E-2</v>
      </c>
      <c r="NM6" s="393">
        <v>0.16570546626054083</v>
      </c>
      <c r="NN6" s="337">
        <v>9</v>
      </c>
      <c r="NO6" s="337">
        <v>90</v>
      </c>
      <c r="NP6" s="393">
        <v>0.1</v>
      </c>
      <c r="NQ6" s="393">
        <v>5.3506751697124912E-2</v>
      </c>
      <c r="NR6" s="393">
        <v>0.17924174875433646</v>
      </c>
      <c r="NS6" s="337">
        <v>14</v>
      </c>
      <c r="NT6" s="337">
        <v>90</v>
      </c>
      <c r="NU6" s="393">
        <v>0.15555555555555556</v>
      </c>
      <c r="NV6" s="393">
        <v>9.4982755949108141E-2</v>
      </c>
      <c r="NW6" s="93">
        <v>0.2443284527729836</v>
      </c>
      <c r="NX6" s="3">
        <v>59</v>
      </c>
      <c r="NY6" s="3">
        <v>55</v>
      </c>
      <c r="NZ6" s="3">
        <v>55</v>
      </c>
      <c r="OA6" s="3">
        <v>58</v>
      </c>
      <c r="OB6" s="3">
        <v>55</v>
      </c>
      <c r="OC6" s="3">
        <v>56</v>
      </c>
      <c r="OD6" s="3">
        <v>53</v>
      </c>
      <c r="OE6" s="3">
        <v>55</v>
      </c>
      <c r="OF6" s="3">
        <v>53</v>
      </c>
      <c r="OG6" s="3">
        <v>55</v>
      </c>
      <c r="OH6" s="3">
        <v>55</v>
      </c>
      <c r="OI6" s="3">
        <v>51</v>
      </c>
      <c r="OJ6" s="3">
        <v>55</v>
      </c>
      <c r="OK6" s="3">
        <v>56</v>
      </c>
      <c r="OL6" s="3">
        <v>56</v>
      </c>
      <c r="OM6" s="3">
        <v>55</v>
      </c>
      <c r="ON6" s="3">
        <v>54</v>
      </c>
      <c r="OO6" s="3">
        <v>56</v>
      </c>
      <c r="OP6" s="3">
        <v>56</v>
      </c>
      <c r="OQ6" s="3">
        <v>55</v>
      </c>
      <c r="OR6" s="3">
        <v>56</v>
      </c>
      <c r="OS6" s="3">
        <v>55</v>
      </c>
      <c r="OT6" s="6">
        <v>56</v>
      </c>
      <c r="OU6" s="3">
        <v>136</v>
      </c>
      <c r="OV6" s="22">
        <v>0.95599999999999996</v>
      </c>
      <c r="OW6" s="22">
        <v>2.1999999999999999E-2</v>
      </c>
      <c r="OX6" s="22">
        <v>0.95599999999999996</v>
      </c>
      <c r="OY6" s="3">
        <v>130</v>
      </c>
      <c r="OZ6" s="3">
        <v>3</v>
      </c>
      <c r="PA6" s="3">
        <v>130</v>
      </c>
      <c r="PB6" s="3">
        <v>169</v>
      </c>
      <c r="PC6" s="22">
        <v>0.97599999999999998</v>
      </c>
      <c r="PD6" s="22">
        <v>0.95299999999999996</v>
      </c>
      <c r="PE6" s="22">
        <v>0.94699999999999995</v>
      </c>
      <c r="PF6" s="22">
        <v>0.96399999999999997</v>
      </c>
      <c r="PG6" s="22">
        <v>0.96399999999999997</v>
      </c>
      <c r="PH6" s="3">
        <v>165</v>
      </c>
      <c r="PI6" s="3">
        <v>161</v>
      </c>
      <c r="PJ6" s="3">
        <v>160</v>
      </c>
      <c r="PK6" s="3">
        <v>163</v>
      </c>
      <c r="PL6" s="3">
        <v>163</v>
      </c>
      <c r="PM6" s="3">
        <v>162</v>
      </c>
      <c r="PN6" s="22">
        <v>0.98099999999999998</v>
      </c>
      <c r="PO6" s="22">
        <v>0.92</v>
      </c>
      <c r="PP6" s="22">
        <v>0.98099999999999998</v>
      </c>
      <c r="PQ6" s="22">
        <v>0.98099999999999998</v>
      </c>
      <c r="PR6" s="22">
        <v>0.98799999999999999</v>
      </c>
      <c r="PS6" s="22">
        <v>0.92600000000000005</v>
      </c>
      <c r="PT6" s="22">
        <v>0.93799999999999994</v>
      </c>
      <c r="PU6" s="22">
        <v>0.91400000000000003</v>
      </c>
      <c r="PV6" s="22">
        <v>0.98799999999999999</v>
      </c>
      <c r="PW6" s="22">
        <v>0.93799999999999994</v>
      </c>
      <c r="PX6" s="3">
        <v>159</v>
      </c>
      <c r="PY6" s="3">
        <v>149</v>
      </c>
      <c r="PZ6" s="3">
        <v>159</v>
      </c>
      <c r="QA6" s="3">
        <v>159</v>
      </c>
      <c r="QB6" s="3">
        <v>160</v>
      </c>
      <c r="QC6" s="3">
        <v>150</v>
      </c>
      <c r="QD6" s="3">
        <v>152</v>
      </c>
      <c r="QE6" s="3">
        <v>148</v>
      </c>
      <c r="QF6" s="3">
        <v>160</v>
      </c>
      <c r="QG6" s="6">
        <v>152</v>
      </c>
      <c r="QH6" s="37">
        <v>147</v>
      </c>
      <c r="QI6" s="17">
        <v>0.94557823129251706</v>
      </c>
      <c r="QJ6" s="17">
        <v>0.22448979591836735</v>
      </c>
      <c r="QK6" s="17">
        <v>0.93877551020408168</v>
      </c>
      <c r="QL6" s="37">
        <v>139</v>
      </c>
      <c r="QM6" s="37">
        <v>33</v>
      </c>
      <c r="QN6" s="37">
        <v>138</v>
      </c>
      <c r="QO6" s="37">
        <v>145</v>
      </c>
      <c r="QP6" s="17">
        <v>0.9517241379310345</v>
      </c>
      <c r="QQ6" s="17">
        <v>0.92413793103448272</v>
      </c>
      <c r="QR6" s="17">
        <v>0.69655172413793098</v>
      </c>
      <c r="QS6" s="17">
        <v>0.91724137931034477</v>
      </c>
      <c r="QT6" s="17">
        <v>0.66206896551724137</v>
      </c>
      <c r="QU6" s="37">
        <v>138</v>
      </c>
      <c r="QV6" s="37">
        <v>134</v>
      </c>
      <c r="QW6" s="37">
        <v>101</v>
      </c>
      <c r="QX6" s="37">
        <v>133</v>
      </c>
      <c r="QY6" s="37">
        <v>96</v>
      </c>
      <c r="QZ6" s="3">
        <v>193</v>
      </c>
      <c r="RA6" s="17">
        <v>0.98445595854922274</v>
      </c>
      <c r="RB6" s="17">
        <v>0.89119170984455953</v>
      </c>
      <c r="RC6" s="17">
        <v>0.98445595854922274</v>
      </c>
      <c r="RD6" s="17">
        <v>0.98445595854922274</v>
      </c>
      <c r="RE6" s="17">
        <v>0.78238341968911918</v>
      </c>
      <c r="RF6" s="17">
        <v>0.92746113989637302</v>
      </c>
      <c r="RG6" s="17">
        <v>0.94300518134715028</v>
      </c>
      <c r="RH6" s="17">
        <v>0.92227979274611394</v>
      </c>
      <c r="RI6" s="17">
        <v>0.78238341968911918</v>
      </c>
      <c r="RJ6" s="17">
        <v>0.73056994818652854</v>
      </c>
      <c r="RK6" s="37">
        <v>190</v>
      </c>
      <c r="RL6" s="37">
        <v>172</v>
      </c>
      <c r="RM6" s="37">
        <v>190</v>
      </c>
      <c r="RN6" s="37">
        <v>190</v>
      </c>
      <c r="RO6" s="37">
        <v>151</v>
      </c>
      <c r="RP6" s="37">
        <v>179</v>
      </c>
      <c r="RQ6" s="37">
        <v>182</v>
      </c>
      <c r="RR6" s="37">
        <v>178</v>
      </c>
      <c r="RS6" s="37">
        <v>151</v>
      </c>
      <c r="RT6" s="38">
        <v>141</v>
      </c>
    </row>
    <row r="7" spans="1:488" s="3" customFormat="1" ht="12.75" customHeight="1" x14ac:dyDescent="0.2">
      <c r="A7" s="9" t="s">
        <v>48</v>
      </c>
      <c r="B7" s="6">
        <v>17</v>
      </c>
      <c r="C7" s="9" t="s">
        <v>187</v>
      </c>
      <c r="D7" s="9" t="s">
        <v>188</v>
      </c>
      <c r="E7" s="9" t="s">
        <v>286</v>
      </c>
      <c r="F7" s="9" t="s">
        <v>286</v>
      </c>
      <c r="G7" s="9" t="s">
        <v>189</v>
      </c>
      <c r="H7" s="9" t="s">
        <v>79</v>
      </c>
      <c r="I7" s="9" t="s">
        <v>79</v>
      </c>
      <c r="J7" s="9" t="s">
        <v>269</v>
      </c>
      <c r="K7" s="9" t="s">
        <v>376</v>
      </c>
      <c r="L7" s="9" t="s">
        <v>272</v>
      </c>
      <c r="M7" s="9" t="s">
        <v>341</v>
      </c>
      <c r="N7" s="3" t="s">
        <v>79</v>
      </c>
      <c r="O7" s="9">
        <v>524572</v>
      </c>
      <c r="P7" s="9">
        <v>135334</v>
      </c>
      <c r="Q7" s="109">
        <v>20288</v>
      </c>
      <c r="R7" s="109">
        <v>80266</v>
      </c>
      <c r="S7" s="310" t="s">
        <v>797</v>
      </c>
      <c r="T7" s="36">
        <v>13945</v>
      </c>
      <c r="U7" s="37">
        <v>14000</v>
      </c>
      <c r="V7" s="37">
        <v>13975</v>
      </c>
      <c r="W7" s="37">
        <v>14045</v>
      </c>
      <c r="X7" s="37">
        <v>14080</v>
      </c>
      <c r="Y7" s="37">
        <v>14005</v>
      </c>
      <c r="Z7" s="37">
        <v>14160</v>
      </c>
      <c r="AA7" s="37">
        <v>14250</v>
      </c>
      <c r="AB7" s="37">
        <v>14270</v>
      </c>
      <c r="AC7" s="42">
        <v>14397</v>
      </c>
      <c r="AD7" s="42">
        <v>14868</v>
      </c>
      <c r="AE7" s="36">
        <v>950</v>
      </c>
      <c r="AF7" s="37">
        <v>930</v>
      </c>
      <c r="AG7" s="37">
        <v>935</v>
      </c>
      <c r="AH7" s="37">
        <v>950</v>
      </c>
      <c r="AI7" s="37">
        <v>975</v>
      </c>
      <c r="AJ7" s="37">
        <v>1040</v>
      </c>
      <c r="AK7" s="37">
        <v>1085</v>
      </c>
      <c r="AL7" s="37">
        <v>1120</v>
      </c>
      <c r="AM7" s="37">
        <v>1145</v>
      </c>
      <c r="AN7" s="42">
        <v>1159</v>
      </c>
      <c r="AO7" s="42">
        <v>1186</v>
      </c>
      <c r="AP7" s="13">
        <v>1088</v>
      </c>
      <c r="AQ7" s="3">
        <v>670</v>
      </c>
      <c r="AR7" s="3">
        <v>83</v>
      </c>
      <c r="AS7" s="3">
        <v>83</v>
      </c>
      <c r="AT7" s="3">
        <v>144</v>
      </c>
      <c r="AU7" s="3">
        <v>90</v>
      </c>
      <c r="AV7" s="3">
        <v>18</v>
      </c>
      <c r="AW7" s="9">
        <v>418</v>
      </c>
      <c r="AX7" s="16">
        <v>0.6158088235294118</v>
      </c>
      <c r="AY7" s="17">
        <v>7.6286764705882359E-2</v>
      </c>
      <c r="AZ7" s="17">
        <v>7.6286764705882359E-2</v>
      </c>
      <c r="BA7" s="17">
        <v>0.13235294117647059</v>
      </c>
      <c r="BB7" s="17">
        <v>8.2720588235294115E-2</v>
      </c>
      <c r="BC7" s="17">
        <v>1.6544117647058824E-2</v>
      </c>
      <c r="BD7" s="18">
        <v>0.3841911764705882</v>
      </c>
      <c r="BE7" s="13">
        <v>2434</v>
      </c>
      <c r="BF7" s="3">
        <v>2172</v>
      </c>
      <c r="BG7" s="3">
        <v>262</v>
      </c>
      <c r="BH7" s="3">
        <v>223</v>
      </c>
      <c r="BI7" s="3">
        <v>39</v>
      </c>
      <c r="BJ7" s="17">
        <v>0.85114503816793896</v>
      </c>
      <c r="BK7" s="18">
        <v>0.14885496183206107</v>
      </c>
      <c r="BL7" s="13">
        <v>1979</v>
      </c>
      <c r="BM7" s="17">
        <v>0.4770085901970692</v>
      </c>
      <c r="BN7" s="17">
        <v>0.32491157150075795</v>
      </c>
      <c r="BO7" s="18">
        <v>0.19807983830217282</v>
      </c>
      <c r="BP7" s="36">
        <v>3967</v>
      </c>
      <c r="BQ7" s="37">
        <v>337</v>
      </c>
      <c r="BR7" s="37">
        <v>306</v>
      </c>
      <c r="BS7" s="37">
        <v>203</v>
      </c>
      <c r="BT7" s="37">
        <v>3572</v>
      </c>
      <c r="BU7" s="37">
        <v>1995</v>
      </c>
      <c r="BV7" s="18">
        <v>0.1724310776942356</v>
      </c>
      <c r="BW7" s="36">
        <v>985</v>
      </c>
      <c r="BX7" s="37">
        <v>1</v>
      </c>
      <c r="BY7" s="37">
        <v>244</v>
      </c>
      <c r="BZ7" s="37">
        <v>521</v>
      </c>
      <c r="CA7" s="37">
        <v>248</v>
      </c>
      <c r="CB7" s="38">
        <v>1999</v>
      </c>
      <c r="CC7" s="37">
        <v>853</v>
      </c>
      <c r="CD7" s="37">
        <v>647</v>
      </c>
      <c r="CE7" s="37">
        <v>200</v>
      </c>
      <c r="CF7" s="37">
        <v>206</v>
      </c>
      <c r="CG7" s="17">
        <v>0.23446658851113716</v>
      </c>
      <c r="CH7" s="93">
        <v>0.24150058616647127</v>
      </c>
      <c r="CI7" s="37">
        <v>220</v>
      </c>
      <c r="CJ7" s="37">
        <v>180</v>
      </c>
      <c r="CK7" s="37">
        <v>165</v>
      </c>
      <c r="CL7" s="37">
        <v>155</v>
      </c>
      <c r="CM7" s="42">
        <v>145</v>
      </c>
      <c r="CN7" s="42">
        <v>130</v>
      </c>
      <c r="CO7" s="36">
        <v>519</v>
      </c>
      <c r="CP7" s="37">
        <v>232</v>
      </c>
      <c r="CQ7" s="17">
        <v>0.44701348747591524</v>
      </c>
      <c r="CR7" s="38">
        <v>39</v>
      </c>
      <c r="CS7" s="37">
        <v>227</v>
      </c>
      <c r="CT7" s="37">
        <v>214</v>
      </c>
      <c r="CU7" s="37">
        <v>199</v>
      </c>
      <c r="CV7" s="37">
        <v>196</v>
      </c>
      <c r="CW7" s="37">
        <v>236</v>
      </c>
      <c r="CX7" s="526" t="s">
        <v>471</v>
      </c>
      <c r="CY7" s="568">
        <v>177</v>
      </c>
      <c r="CZ7" s="37">
        <v>15</v>
      </c>
      <c r="DA7" s="37">
        <v>12</v>
      </c>
      <c r="DB7" s="37">
        <v>8</v>
      </c>
      <c r="DC7" s="37">
        <v>14</v>
      </c>
      <c r="DD7" s="37">
        <v>15</v>
      </c>
      <c r="DE7" s="528" t="s">
        <v>471</v>
      </c>
      <c r="DF7" s="716">
        <v>3</v>
      </c>
      <c r="DG7" s="13">
        <v>26</v>
      </c>
      <c r="DH7" s="13">
        <v>22</v>
      </c>
      <c r="DI7" s="17">
        <v>9.3220338983050849E-2</v>
      </c>
      <c r="DJ7" s="17">
        <v>6.2367935694190454E-2</v>
      </c>
      <c r="DK7" s="18">
        <v>0.13710324437589275</v>
      </c>
      <c r="DL7" s="425" t="s">
        <v>286</v>
      </c>
      <c r="DM7" s="258" t="s">
        <v>286</v>
      </c>
      <c r="DN7" s="258" t="s">
        <v>286</v>
      </c>
      <c r="DO7" s="258" t="s">
        <v>286</v>
      </c>
      <c r="DP7" s="337">
        <v>12</v>
      </c>
      <c r="DQ7" s="393">
        <v>6.7796610169491525E-2</v>
      </c>
      <c r="DR7" s="393">
        <v>3.9204563937825572E-2</v>
      </c>
      <c r="DS7" s="393">
        <v>0.11475050257321805</v>
      </c>
      <c r="DT7" s="13">
        <v>24</v>
      </c>
      <c r="DU7" s="18">
        <v>2.2058823529411766E-2</v>
      </c>
      <c r="DV7" s="328">
        <v>2</v>
      </c>
      <c r="DW7" s="333">
        <v>2</v>
      </c>
      <c r="DX7" s="337">
        <v>2</v>
      </c>
      <c r="DY7" s="393">
        <v>0.22450417362270453</v>
      </c>
      <c r="DZ7" s="337">
        <v>1</v>
      </c>
      <c r="EA7" s="93">
        <v>0.22842705995511384</v>
      </c>
      <c r="EB7" s="3">
        <v>287</v>
      </c>
      <c r="EC7" s="18">
        <v>5.3524804177545689E-2</v>
      </c>
      <c r="ED7" s="13">
        <v>260</v>
      </c>
      <c r="EE7" s="3">
        <v>265</v>
      </c>
      <c r="EF7" s="3">
        <v>285</v>
      </c>
      <c r="EG7" s="3">
        <v>265</v>
      </c>
      <c r="EH7" s="9">
        <v>245</v>
      </c>
      <c r="EI7" s="9">
        <v>220</v>
      </c>
      <c r="EJ7" s="13">
        <v>195</v>
      </c>
      <c r="EK7" s="17">
        <v>0.20967741935483872</v>
      </c>
      <c r="EL7" s="17">
        <v>0.18473543493235009</v>
      </c>
      <c r="EM7" s="17">
        <v>0.23700795105745012</v>
      </c>
      <c r="EN7" s="3">
        <v>210</v>
      </c>
      <c r="EO7" s="17">
        <v>0.21761658031088082</v>
      </c>
      <c r="EP7" s="17">
        <v>0.1927298209654176</v>
      </c>
      <c r="EQ7" s="17">
        <v>0.24474264159477049</v>
      </c>
      <c r="ER7" s="3">
        <v>245</v>
      </c>
      <c r="ES7" s="17">
        <v>0.24378109452736318</v>
      </c>
      <c r="ET7" s="17">
        <v>0.21824398058625152</v>
      </c>
      <c r="EU7" s="17">
        <v>0.27126946526080975</v>
      </c>
      <c r="EV7" s="3">
        <v>265</v>
      </c>
      <c r="EW7" s="17">
        <v>0.25118483412322273</v>
      </c>
      <c r="EX7" s="17">
        <v>0.22594932437469986</v>
      </c>
      <c r="EY7" s="17">
        <v>0.27822573825957853</v>
      </c>
      <c r="EZ7" s="3">
        <v>250</v>
      </c>
      <c r="FA7" s="18">
        <v>0.23364485981308411</v>
      </c>
      <c r="FB7" s="18">
        <v>0.20927098646746681</v>
      </c>
      <c r="FC7" s="18">
        <v>0.25992440050708626</v>
      </c>
      <c r="FD7" s="337">
        <v>250</v>
      </c>
      <c r="FE7" s="18">
        <v>0.23809523809523808</v>
      </c>
      <c r="FF7" s="18">
        <v>0.2133172388709024</v>
      </c>
      <c r="FG7" s="393">
        <v>0.26478262577526568</v>
      </c>
      <c r="FH7" s="425" t="s">
        <v>286</v>
      </c>
      <c r="FI7" s="258" t="s">
        <v>286</v>
      </c>
      <c r="FJ7" s="258" t="s">
        <v>286</v>
      </c>
      <c r="FK7" s="258" t="s">
        <v>286</v>
      </c>
      <c r="FL7" s="36">
        <v>645</v>
      </c>
      <c r="FM7" s="18">
        <v>0.21217105263157895</v>
      </c>
      <c r="FN7" s="42">
        <v>665</v>
      </c>
      <c r="FO7" s="18">
        <v>0.21521035598705501</v>
      </c>
      <c r="FP7" s="42">
        <v>705</v>
      </c>
      <c r="FQ7" s="18">
        <v>0.23039215686274508</v>
      </c>
      <c r="FR7" s="42">
        <v>735</v>
      </c>
      <c r="FS7" s="18">
        <v>0.23557692307692307</v>
      </c>
      <c r="FT7" s="42">
        <v>695</v>
      </c>
      <c r="FU7" s="18">
        <v>0.22347266881028938</v>
      </c>
      <c r="FV7" s="42">
        <v>685</v>
      </c>
      <c r="FW7" s="393">
        <v>0.21677215189873417</v>
      </c>
      <c r="FX7" s="114" t="s">
        <v>286</v>
      </c>
      <c r="FY7" s="259" t="s">
        <v>286</v>
      </c>
      <c r="FZ7" s="3">
        <v>199</v>
      </c>
      <c r="GA7" s="3">
        <v>9</v>
      </c>
      <c r="GB7" s="3">
        <v>190</v>
      </c>
      <c r="GC7" s="17">
        <v>0.95477386934673369</v>
      </c>
      <c r="GD7" s="3">
        <v>63</v>
      </c>
      <c r="GE7" s="3">
        <v>90</v>
      </c>
      <c r="GF7" s="17">
        <v>0.33157894736842103</v>
      </c>
      <c r="GG7" s="17">
        <v>0.47368421052631576</v>
      </c>
      <c r="GH7" s="17">
        <v>0.26855754915982444</v>
      </c>
      <c r="GI7" s="17">
        <v>0.40127596438938273</v>
      </c>
      <c r="GJ7" s="17">
        <v>0.40391272589420474</v>
      </c>
      <c r="GK7" s="93">
        <v>0.54449876059785884</v>
      </c>
      <c r="GL7" s="337">
        <v>206</v>
      </c>
      <c r="GM7" s="337">
        <v>55</v>
      </c>
      <c r="GN7" s="337">
        <v>44</v>
      </c>
      <c r="GO7" s="337">
        <v>99</v>
      </c>
      <c r="GP7" s="393">
        <v>0.26699029126213591</v>
      </c>
      <c r="GQ7" s="393">
        <v>0.48058252427184467</v>
      </c>
      <c r="GR7" s="393">
        <v>0.21124844426378794</v>
      </c>
      <c r="GS7" s="393">
        <v>0.33126331418700355</v>
      </c>
      <c r="GT7" s="393">
        <v>0.41333736472490185</v>
      </c>
      <c r="GU7" s="93">
        <v>0.54853861514599744</v>
      </c>
      <c r="GV7" s="42">
        <v>220</v>
      </c>
      <c r="GW7" s="42">
        <v>23</v>
      </c>
      <c r="GX7" s="42">
        <v>197</v>
      </c>
      <c r="GY7" s="393">
        <f t="shared" ref="GY7:GY70" si="2">GX7/GV7</f>
        <v>0.8954545454545455</v>
      </c>
      <c r="GZ7" s="42">
        <v>59</v>
      </c>
      <c r="HA7" s="42">
        <v>29</v>
      </c>
      <c r="HB7" s="42">
        <v>88</v>
      </c>
      <c r="HC7" s="393">
        <v>0.29949238578680204</v>
      </c>
      <c r="HD7" s="393">
        <v>0.4467005076142132</v>
      </c>
      <c r="HE7" s="393">
        <v>0.23986525119009861</v>
      </c>
      <c r="HF7" s="393">
        <v>0.36678966725216844</v>
      </c>
      <c r="HG7" s="393">
        <v>0.37895653263991225</v>
      </c>
      <c r="HH7" s="93">
        <v>0.51648338238904479</v>
      </c>
      <c r="HI7" s="696">
        <v>216</v>
      </c>
      <c r="HJ7" s="696">
        <v>0</v>
      </c>
      <c r="HK7" s="696">
        <v>216</v>
      </c>
      <c r="HL7" s="697">
        <v>1</v>
      </c>
      <c r="HM7" s="696">
        <v>72</v>
      </c>
      <c r="HN7" s="696">
        <v>37</v>
      </c>
      <c r="HO7" s="696">
        <v>109</v>
      </c>
      <c r="HP7" s="697">
        <v>0.33333333333333331</v>
      </c>
      <c r="HQ7" s="697">
        <v>0.50462962962962965</v>
      </c>
      <c r="HR7" s="697">
        <v>0.27386340958340299</v>
      </c>
      <c r="HS7" s="697">
        <v>0.3986278466781184</v>
      </c>
      <c r="HT7" s="697">
        <v>0.43845732450995195</v>
      </c>
      <c r="HU7" s="698">
        <v>0.57064014059389467</v>
      </c>
      <c r="HV7" s="3">
        <v>139</v>
      </c>
      <c r="HW7" s="3">
        <v>13</v>
      </c>
      <c r="HX7" s="17">
        <v>9.3525179856115109E-2</v>
      </c>
      <c r="HY7" s="17">
        <v>5.5472392932265871E-2</v>
      </c>
      <c r="HZ7" s="17">
        <v>0.153440755022583</v>
      </c>
      <c r="IA7" s="267" t="s">
        <v>707</v>
      </c>
      <c r="IB7" s="3">
        <v>167</v>
      </c>
      <c r="IC7" s="3">
        <v>17</v>
      </c>
      <c r="ID7" s="17">
        <v>0.10179640718562874</v>
      </c>
      <c r="IE7" s="17">
        <v>6.453215761708575E-2</v>
      </c>
      <c r="IF7" s="17">
        <v>0.15696828543643829</v>
      </c>
      <c r="IG7" s="3" t="s">
        <v>707</v>
      </c>
      <c r="IH7" s="3">
        <v>148</v>
      </c>
      <c r="II7" s="3">
        <v>15</v>
      </c>
      <c r="IJ7" s="17">
        <v>0.10135135135135136</v>
      </c>
      <c r="IK7" s="17">
        <v>6.2386399530736276E-2</v>
      </c>
      <c r="IL7" s="17">
        <v>0.160487241723308</v>
      </c>
      <c r="IM7" s="3" t="s">
        <v>707</v>
      </c>
      <c r="IN7" s="3">
        <v>185</v>
      </c>
      <c r="IO7" s="3">
        <v>22</v>
      </c>
      <c r="IP7" s="17">
        <v>0.11891891891891893</v>
      </c>
      <c r="IQ7" s="17">
        <v>7.9857528522488064E-2</v>
      </c>
      <c r="IR7" s="17">
        <v>0.17348439713018241</v>
      </c>
      <c r="IS7" s="3" t="s">
        <v>707</v>
      </c>
      <c r="IT7" s="3">
        <v>116</v>
      </c>
      <c r="IU7" s="3">
        <v>13</v>
      </c>
      <c r="IV7" s="17">
        <v>0.11206896551724138</v>
      </c>
      <c r="IW7" s="17">
        <v>6.6673496204662189E-2</v>
      </c>
      <c r="IX7" s="17">
        <v>0.18233431056229885</v>
      </c>
      <c r="IY7" s="9" t="s">
        <v>707</v>
      </c>
      <c r="IZ7" s="9">
        <v>243</v>
      </c>
      <c r="JA7" s="9">
        <v>26</v>
      </c>
      <c r="JB7" s="393">
        <v>0.10699588477366255</v>
      </c>
      <c r="JC7" s="393">
        <v>7.4068882718747134E-2</v>
      </c>
      <c r="JD7" s="393">
        <v>0.15215510367106519</v>
      </c>
      <c r="JE7" s="9" t="str">
        <f t="shared" si="0"/>
        <v>No Sig diff</v>
      </c>
      <c r="JF7" s="9">
        <v>194</v>
      </c>
      <c r="JG7" s="109">
        <v>31</v>
      </c>
      <c r="JH7" s="258">
        <v>0.15979381443298968</v>
      </c>
      <c r="JI7" s="258">
        <v>0.11491617463307494</v>
      </c>
      <c r="JJ7" s="258">
        <v>0.21788292224563824</v>
      </c>
      <c r="JK7" s="662" t="str">
        <f t="shared" ref="JK7:JK60" si="3">IF(JI7&gt;$JD$78, "Sig worse than Eng.", IF(JJ7&lt;$JC$78,"Sig better than Eng.", "No Sig diff"))</f>
        <v>Sig worse than Eng.</v>
      </c>
      <c r="JL7" s="3">
        <v>133</v>
      </c>
      <c r="JM7" s="3">
        <v>30</v>
      </c>
      <c r="JN7" s="17">
        <v>0.22556390977443608</v>
      </c>
      <c r="JO7" s="17">
        <v>0.16281825028236413</v>
      </c>
      <c r="JP7" s="17">
        <v>0.30371769117048725</v>
      </c>
      <c r="JQ7" s="3" t="s">
        <v>707</v>
      </c>
      <c r="JR7" s="3">
        <v>167</v>
      </c>
      <c r="JS7" s="3">
        <v>39</v>
      </c>
      <c r="JT7" s="17">
        <v>0.23353293413173654</v>
      </c>
      <c r="JU7" s="17">
        <v>0.17580094582420591</v>
      </c>
      <c r="JV7" s="17">
        <v>0.30324822283567104</v>
      </c>
      <c r="JW7" s="3" t="s">
        <v>707</v>
      </c>
      <c r="JX7" s="3">
        <v>177</v>
      </c>
      <c r="JY7" s="3">
        <v>39</v>
      </c>
      <c r="JZ7" s="17">
        <v>0.22033898305084745</v>
      </c>
      <c r="KA7" s="17">
        <v>0.1655797355444994</v>
      </c>
      <c r="KB7" s="17">
        <v>0.28697942513911712</v>
      </c>
      <c r="KC7" s="3" t="s">
        <v>707</v>
      </c>
      <c r="KD7" s="3">
        <v>160</v>
      </c>
      <c r="KE7" s="3">
        <v>33</v>
      </c>
      <c r="KF7" s="17">
        <v>0.20624999999999999</v>
      </c>
      <c r="KG7" s="17">
        <v>0.15080086366994011</v>
      </c>
      <c r="KH7" s="17">
        <v>0.27547377599331924</v>
      </c>
      <c r="KI7" s="3" t="s">
        <v>707</v>
      </c>
      <c r="KJ7" s="3">
        <v>169</v>
      </c>
      <c r="KK7" s="3">
        <v>39</v>
      </c>
      <c r="KL7" s="17">
        <v>0.23076923076923078</v>
      </c>
      <c r="KM7" s="17">
        <v>0.17365677440824237</v>
      </c>
      <c r="KN7" s="17">
        <v>0.29984917363861208</v>
      </c>
      <c r="KO7" s="465" t="s">
        <v>707</v>
      </c>
      <c r="KP7" s="465">
        <v>162</v>
      </c>
      <c r="KQ7" s="465">
        <v>32</v>
      </c>
      <c r="KR7" s="393">
        <v>0.19753086419753085</v>
      </c>
      <c r="KS7" s="393">
        <v>0.14353889090331648</v>
      </c>
      <c r="KT7" s="393">
        <v>0.26553528935967513</v>
      </c>
      <c r="KU7" s="465" t="s">
        <v>772</v>
      </c>
      <c r="KV7" s="465">
        <v>161</v>
      </c>
      <c r="KW7" s="465">
        <v>42</v>
      </c>
      <c r="KX7" s="393">
        <v>0.2608695652173913</v>
      </c>
      <c r="KY7" s="393">
        <v>0.19917824874131412</v>
      </c>
      <c r="KZ7" s="393">
        <v>0.33370625403564474</v>
      </c>
      <c r="LA7" s="660" t="str">
        <f t="shared" ref="LA7:LA70" si="4">IF(KY7&gt;$KZ$78, "Sig worse than Eng.", IF(KZ7&lt;$KY$78,"Sig better than Eng.", "No Sig diff"))</f>
        <v>No Sig diff</v>
      </c>
      <c r="LB7" s="3">
        <v>212</v>
      </c>
      <c r="LC7" s="3">
        <v>105</v>
      </c>
      <c r="LD7" s="17">
        <v>0.49528301886792453</v>
      </c>
      <c r="LE7" s="17">
        <v>0.42866607213368668</v>
      </c>
      <c r="LF7" s="17">
        <v>0.56206786743970427</v>
      </c>
      <c r="LG7" s="3">
        <v>212</v>
      </c>
      <c r="LH7" s="3">
        <v>34</v>
      </c>
      <c r="LI7" s="3">
        <v>42</v>
      </c>
      <c r="LJ7" s="293">
        <v>21.976190476190471</v>
      </c>
      <c r="LK7" s="17">
        <v>0.35364145658263318</v>
      </c>
      <c r="LL7" s="3">
        <v>193</v>
      </c>
      <c r="LM7" s="3">
        <v>109</v>
      </c>
      <c r="LN7" s="17">
        <v>0.56476683937823835</v>
      </c>
      <c r="LO7" s="17">
        <v>0.4942308877461517</v>
      </c>
      <c r="LP7" s="17">
        <v>0.63277487694274381</v>
      </c>
      <c r="LQ7" s="3">
        <v>193</v>
      </c>
      <c r="LR7" s="3">
        <v>34</v>
      </c>
      <c r="LS7" s="3">
        <v>38</v>
      </c>
      <c r="LT7" s="293">
        <v>21.552631578947373</v>
      </c>
      <c r="LU7" s="18">
        <v>0.36609907120743018</v>
      </c>
      <c r="LV7" s="42">
        <v>254</v>
      </c>
      <c r="LW7" s="42">
        <v>153</v>
      </c>
      <c r="LX7" s="18">
        <v>0.60236220472440949</v>
      </c>
      <c r="LY7" s="18">
        <v>0.54108055816186873</v>
      </c>
      <c r="LZ7" s="18">
        <v>0.66059375844274437</v>
      </c>
      <c r="MA7" s="337">
        <v>34</v>
      </c>
      <c r="MB7" s="337">
        <v>50</v>
      </c>
      <c r="MC7" s="294">
        <v>23.1</v>
      </c>
      <c r="MD7" s="393">
        <v>0.32100000000000001</v>
      </c>
      <c r="ME7" s="337">
        <v>217</v>
      </c>
      <c r="MF7" s="337">
        <v>146</v>
      </c>
      <c r="MG7" s="393">
        <v>0.67281105990783407</v>
      </c>
      <c r="MH7" s="393">
        <v>0.60785162704638585</v>
      </c>
      <c r="MI7" s="393">
        <v>0.73175851862329155</v>
      </c>
      <c r="MJ7" s="337">
        <v>34</v>
      </c>
      <c r="MK7" s="337">
        <v>43</v>
      </c>
      <c r="ML7" s="294">
        <v>23.162790697674417</v>
      </c>
      <c r="MM7" s="93">
        <v>0.31874145006839949</v>
      </c>
      <c r="MN7" s="17">
        <v>0.83758648758648768</v>
      </c>
      <c r="MO7" s="17">
        <v>0.1624135124135124</v>
      </c>
      <c r="MP7" s="17">
        <v>0.11561771988481866</v>
      </c>
      <c r="MQ7" s="17">
        <v>0.25849709964566014</v>
      </c>
      <c r="MR7" s="17">
        <v>0.87920227920227922</v>
      </c>
      <c r="MS7" s="17">
        <v>0.12079772079772079</v>
      </c>
      <c r="MT7" s="17">
        <v>7.8811990941745763E-2</v>
      </c>
      <c r="MU7" s="17">
        <v>0.20589065995023004</v>
      </c>
      <c r="MV7" s="17">
        <v>0.80054945054945059</v>
      </c>
      <c r="MW7" s="17">
        <v>0.19945054945054946</v>
      </c>
      <c r="MX7" s="17">
        <v>0.14772120660505175</v>
      </c>
      <c r="MY7" s="17">
        <v>0.30194390108014951</v>
      </c>
      <c r="MZ7" s="17">
        <v>0.64439017772351104</v>
      </c>
      <c r="NA7" s="17">
        <v>0.35560982227648902</v>
      </c>
      <c r="NB7" s="17">
        <v>0.27361966173474211</v>
      </c>
      <c r="NC7" s="93">
        <v>0.45325977192245154</v>
      </c>
      <c r="ND7" s="337">
        <v>21</v>
      </c>
      <c r="NE7" s="337">
        <v>110</v>
      </c>
      <c r="NF7" s="393">
        <v>0.19090909090909092</v>
      </c>
      <c r="NG7" s="393">
        <v>0.12839407729736771</v>
      </c>
      <c r="NH7" s="393">
        <v>0.27428399179604285</v>
      </c>
      <c r="NI7" s="337">
        <v>14</v>
      </c>
      <c r="NJ7" s="337">
        <v>110</v>
      </c>
      <c r="NK7" s="393">
        <v>0.12727272727272726</v>
      </c>
      <c r="NL7" s="393">
        <v>7.7349813888469968E-2</v>
      </c>
      <c r="NM7" s="393">
        <v>0.20235021060652511</v>
      </c>
      <c r="NN7" s="337">
        <v>15</v>
      </c>
      <c r="NO7" s="337">
        <v>110</v>
      </c>
      <c r="NP7" s="393">
        <v>0.13636363636363635</v>
      </c>
      <c r="NQ7" s="393">
        <v>8.4411564449900736E-2</v>
      </c>
      <c r="NR7" s="393">
        <v>0.21285675213058225</v>
      </c>
      <c r="NS7" s="337">
        <v>28</v>
      </c>
      <c r="NT7" s="337">
        <v>109</v>
      </c>
      <c r="NU7" s="393">
        <v>0.25688073394495414</v>
      </c>
      <c r="NV7" s="393">
        <v>0.1841197969223172</v>
      </c>
      <c r="NW7" s="93">
        <v>0.34619467655309771</v>
      </c>
      <c r="NX7" s="3">
        <v>55</v>
      </c>
      <c r="NY7" s="3">
        <v>53</v>
      </c>
      <c r="NZ7" s="3">
        <v>53</v>
      </c>
      <c r="OA7" s="3">
        <v>55</v>
      </c>
      <c r="OB7" s="3">
        <v>54</v>
      </c>
      <c r="OC7" s="3">
        <v>50</v>
      </c>
      <c r="OD7" s="3">
        <v>50</v>
      </c>
      <c r="OE7" s="3">
        <v>49</v>
      </c>
      <c r="OF7" s="3">
        <v>48</v>
      </c>
      <c r="OG7" s="3">
        <v>49</v>
      </c>
      <c r="OH7" s="3">
        <v>48</v>
      </c>
      <c r="OI7" s="3">
        <v>49</v>
      </c>
      <c r="OJ7" s="3">
        <v>50</v>
      </c>
      <c r="OK7" s="3">
        <v>62</v>
      </c>
      <c r="OL7" s="3">
        <v>59</v>
      </c>
      <c r="OM7" s="3">
        <v>57</v>
      </c>
      <c r="ON7" s="3">
        <v>53</v>
      </c>
      <c r="OO7" s="3">
        <v>57</v>
      </c>
      <c r="OP7" s="3">
        <v>57</v>
      </c>
      <c r="OQ7" s="3">
        <v>57</v>
      </c>
      <c r="OR7" s="3">
        <v>59</v>
      </c>
      <c r="OS7" s="3">
        <v>55</v>
      </c>
      <c r="OT7" s="6">
        <v>57</v>
      </c>
      <c r="OU7" s="3">
        <v>222</v>
      </c>
      <c r="OV7" s="22">
        <v>0.95</v>
      </c>
      <c r="OW7" s="22">
        <v>0</v>
      </c>
      <c r="OX7" s="22">
        <v>0.94599999999999995</v>
      </c>
      <c r="OY7" s="3">
        <v>211</v>
      </c>
      <c r="OZ7" s="3">
        <v>0</v>
      </c>
      <c r="PA7" s="3">
        <v>210</v>
      </c>
      <c r="PB7" s="3">
        <v>202</v>
      </c>
      <c r="PC7" s="22">
        <v>0.99</v>
      </c>
      <c r="PD7" s="22">
        <v>0.95499999999999996</v>
      </c>
      <c r="PE7" s="22">
        <v>0.95499999999999996</v>
      </c>
      <c r="PF7" s="22">
        <v>0.96</v>
      </c>
      <c r="PG7" s="22">
        <v>0.96499999999999997</v>
      </c>
      <c r="PH7" s="3">
        <v>200</v>
      </c>
      <c r="PI7" s="3">
        <v>193</v>
      </c>
      <c r="PJ7" s="3">
        <v>193</v>
      </c>
      <c r="PK7" s="3">
        <v>194</v>
      </c>
      <c r="PL7" s="3">
        <v>195</v>
      </c>
      <c r="PM7" s="3">
        <v>229</v>
      </c>
      <c r="PN7" s="22">
        <v>0.996</v>
      </c>
      <c r="PO7" s="22">
        <v>0.95599999999999996</v>
      </c>
      <c r="PP7" s="22">
        <v>0.99099999999999999</v>
      </c>
      <c r="PQ7" s="22">
        <v>0.98699999999999999</v>
      </c>
      <c r="PR7" s="22">
        <v>0.96499999999999997</v>
      </c>
      <c r="PS7" s="22">
        <v>0.85199999999999998</v>
      </c>
      <c r="PT7" s="22">
        <v>0.96499999999999997</v>
      </c>
      <c r="PU7" s="22">
        <v>0.94299999999999995</v>
      </c>
      <c r="PV7" s="22">
        <v>0.97399999999999998</v>
      </c>
      <c r="PW7" s="22">
        <v>0.96499999999999997</v>
      </c>
      <c r="PX7" s="3">
        <v>228</v>
      </c>
      <c r="PY7" s="3">
        <v>219</v>
      </c>
      <c r="PZ7" s="3">
        <v>227</v>
      </c>
      <c r="QA7" s="3">
        <v>226</v>
      </c>
      <c r="QB7" s="3">
        <v>221</v>
      </c>
      <c r="QC7" s="3">
        <v>195</v>
      </c>
      <c r="QD7" s="3">
        <v>221</v>
      </c>
      <c r="QE7" s="3">
        <v>216</v>
      </c>
      <c r="QF7" s="3">
        <v>223</v>
      </c>
      <c r="QG7" s="6">
        <v>221</v>
      </c>
      <c r="QH7" s="37">
        <v>219</v>
      </c>
      <c r="QI7" s="17">
        <v>0.96803652968036524</v>
      </c>
      <c r="QJ7" s="17">
        <v>0.24200913242009131</v>
      </c>
      <c r="QK7" s="17">
        <v>0.96803652968036524</v>
      </c>
      <c r="QL7" s="37">
        <v>212</v>
      </c>
      <c r="QM7" s="37">
        <v>53</v>
      </c>
      <c r="QN7" s="37">
        <v>212</v>
      </c>
      <c r="QO7" s="37">
        <v>222</v>
      </c>
      <c r="QP7" s="17">
        <v>0.963963963963964</v>
      </c>
      <c r="QQ7" s="17">
        <v>0.94594594594594594</v>
      </c>
      <c r="QR7" s="17">
        <v>0.70270270270270274</v>
      </c>
      <c r="QS7" s="17">
        <v>0.94594594594594594</v>
      </c>
      <c r="QT7" s="17">
        <v>0.7432432432432432</v>
      </c>
      <c r="QU7" s="37">
        <v>214</v>
      </c>
      <c r="QV7" s="37">
        <v>210</v>
      </c>
      <c r="QW7" s="37">
        <v>156</v>
      </c>
      <c r="QX7" s="37">
        <v>210</v>
      </c>
      <c r="QY7" s="37">
        <v>165</v>
      </c>
      <c r="QZ7" s="3">
        <v>220</v>
      </c>
      <c r="RA7" s="17">
        <v>0.97727272727272729</v>
      </c>
      <c r="RB7" s="17">
        <v>0.91818181818181821</v>
      </c>
      <c r="RC7" s="17">
        <v>0.97727272727272729</v>
      </c>
      <c r="RD7" s="17">
        <v>0.97727272727272729</v>
      </c>
      <c r="RE7" s="17">
        <v>0.72272727272727277</v>
      </c>
      <c r="RF7" s="17">
        <v>0.95909090909090911</v>
      </c>
      <c r="RG7" s="17">
        <v>0.95454545454545459</v>
      </c>
      <c r="RH7" s="17">
        <v>0.9363636363636364</v>
      </c>
      <c r="RI7" s="17">
        <v>0.74090909090909096</v>
      </c>
      <c r="RJ7" s="17">
        <v>0.69090909090909092</v>
      </c>
      <c r="RK7" s="37">
        <v>215</v>
      </c>
      <c r="RL7" s="37">
        <v>202</v>
      </c>
      <c r="RM7" s="37">
        <v>215</v>
      </c>
      <c r="RN7" s="37">
        <v>215</v>
      </c>
      <c r="RO7" s="37">
        <v>159</v>
      </c>
      <c r="RP7" s="37">
        <v>211</v>
      </c>
      <c r="RQ7" s="37">
        <v>210</v>
      </c>
      <c r="RR7" s="37">
        <v>206</v>
      </c>
      <c r="RS7" s="37">
        <v>163</v>
      </c>
      <c r="RT7" s="38">
        <v>152</v>
      </c>
    </row>
    <row r="8" spans="1:488" s="3" customFormat="1" ht="12.75" x14ac:dyDescent="0.2">
      <c r="A8" s="9" t="s">
        <v>54</v>
      </c>
      <c r="B8" s="6">
        <v>23</v>
      </c>
      <c r="C8" s="9" t="s">
        <v>205</v>
      </c>
      <c r="D8" s="9" t="s">
        <v>207</v>
      </c>
      <c r="E8" s="9" t="s">
        <v>206</v>
      </c>
      <c r="F8" s="9" t="s">
        <v>860</v>
      </c>
      <c r="G8" s="9" t="s">
        <v>208</v>
      </c>
      <c r="H8" s="9" t="s">
        <v>267</v>
      </c>
      <c r="I8" s="9" t="s">
        <v>83</v>
      </c>
      <c r="J8" s="9" t="s">
        <v>268</v>
      </c>
      <c r="K8" s="9" t="s">
        <v>381</v>
      </c>
      <c r="L8" s="9" t="s">
        <v>396</v>
      </c>
      <c r="M8" s="9" t="s">
        <v>347</v>
      </c>
      <c r="N8" s="3" t="s">
        <v>83</v>
      </c>
      <c r="O8" s="9">
        <v>508521</v>
      </c>
      <c r="P8" s="9">
        <v>125290</v>
      </c>
      <c r="Q8" s="109" t="s">
        <v>286</v>
      </c>
      <c r="R8" s="109" t="s">
        <v>286</v>
      </c>
      <c r="S8" s="109" t="s">
        <v>286</v>
      </c>
      <c r="T8" s="36">
        <v>24350</v>
      </c>
      <c r="U8" s="37">
        <v>24640</v>
      </c>
      <c r="V8" s="37">
        <v>24855</v>
      </c>
      <c r="W8" s="37">
        <v>25020</v>
      </c>
      <c r="X8" s="37">
        <v>25175</v>
      </c>
      <c r="Y8" s="37">
        <v>25585</v>
      </c>
      <c r="Z8" s="37">
        <v>25835</v>
      </c>
      <c r="AA8" s="37">
        <v>25910</v>
      </c>
      <c r="AB8" s="37">
        <v>26075</v>
      </c>
      <c r="AC8" s="42">
        <v>26309</v>
      </c>
      <c r="AD8" s="42">
        <v>26499</v>
      </c>
      <c r="AE8" s="36">
        <v>1220</v>
      </c>
      <c r="AF8" s="37">
        <v>1195</v>
      </c>
      <c r="AG8" s="37">
        <v>1235</v>
      </c>
      <c r="AH8" s="37">
        <v>1235</v>
      </c>
      <c r="AI8" s="37">
        <v>1235</v>
      </c>
      <c r="AJ8" s="37">
        <v>1285</v>
      </c>
      <c r="AK8" s="37">
        <v>1290</v>
      </c>
      <c r="AL8" s="37">
        <v>1300</v>
      </c>
      <c r="AM8" s="37">
        <v>1295</v>
      </c>
      <c r="AN8" s="42">
        <v>1260</v>
      </c>
      <c r="AO8" s="42">
        <v>1264</v>
      </c>
      <c r="AP8" s="13">
        <v>1317</v>
      </c>
      <c r="AQ8" s="3">
        <v>1224</v>
      </c>
      <c r="AR8" s="3">
        <v>30</v>
      </c>
      <c r="AS8" s="3">
        <v>46</v>
      </c>
      <c r="AT8" s="3">
        <v>13</v>
      </c>
      <c r="AU8" s="3">
        <v>3</v>
      </c>
      <c r="AV8" s="3">
        <v>1</v>
      </c>
      <c r="AW8" s="9">
        <v>93</v>
      </c>
      <c r="AX8" s="16">
        <v>0.92938496583143504</v>
      </c>
      <c r="AY8" s="17">
        <v>2.2779043280182234E-2</v>
      </c>
      <c r="AZ8" s="17">
        <v>3.4927866362946092E-2</v>
      </c>
      <c r="BA8" s="17">
        <v>9.8709187547456334E-3</v>
      </c>
      <c r="BB8" s="17">
        <v>2.2779043280182231E-3</v>
      </c>
      <c r="BC8" s="17">
        <v>7.5930144267274111E-4</v>
      </c>
      <c r="BD8" s="18">
        <v>7.0615034168564961E-2</v>
      </c>
      <c r="BE8" s="13">
        <v>3741</v>
      </c>
      <c r="BF8" s="3">
        <v>3728</v>
      </c>
      <c r="BG8" s="3">
        <v>13</v>
      </c>
      <c r="BH8" s="3">
        <v>10</v>
      </c>
      <c r="BI8" s="3">
        <v>3</v>
      </c>
      <c r="BJ8" s="17">
        <v>0.76923076923076927</v>
      </c>
      <c r="BK8" s="18">
        <v>0.23076923076923078</v>
      </c>
      <c r="BL8" s="13">
        <v>2663</v>
      </c>
      <c r="BM8" s="17">
        <v>0.74652647390161475</v>
      </c>
      <c r="BN8" s="17">
        <v>0.13931656027037176</v>
      </c>
      <c r="BO8" s="18">
        <v>0.11415696582801352</v>
      </c>
      <c r="BP8" s="36">
        <v>8085</v>
      </c>
      <c r="BQ8" s="37">
        <v>372</v>
      </c>
      <c r="BR8" s="37">
        <v>445</v>
      </c>
      <c r="BS8" s="37">
        <v>205</v>
      </c>
      <c r="BT8" s="37">
        <v>5095</v>
      </c>
      <c r="BU8" s="37">
        <v>2831</v>
      </c>
      <c r="BV8" s="18">
        <v>0.15436241610738255</v>
      </c>
      <c r="BW8" s="36">
        <v>1979</v>
      </c>
      <c r="BX8" s="37">
        <v>1</v>
      </c>
      <c r="BY8" s="37">
        <v>300</v>
      </c>
      <c r="BZ8" s="37">
        <v>384</v>
      </c>
      <c r="CA8" s="37">
        <v>174</v>
      </c>
      <c r="CB8" s="38">
        <v>2838</v>
      </c>
      <c r="CC8" s="37">
        <v>1024</v>
      </c>
      <c r="CD8" s="37">
        <v>917</v>
      </c>
      <c r="CE8" s="37">
        <v>107</v>
      </c>
      <c r="CF8" s="37">
        <v>107</v>
      </c>
      <c r="CG8" s="17">
        <v>0.1044921875</v>
      </c>
      <c r="CH8" s="93">
        <v>0.1044921875</v>
      </c>
      <c r="CI8" s="37">
        <v>95</v>
      </c>
      <c r="CJ8" s="37">
        <v>65</v>
      </c>
      <c r="CK8" s="37">
        <v>55</v>
      </c>
      <c r="CL8" s="37">
        <v>45</v>
      </c>
      <c r="CM8" s="42">
        <v>40</v>
      </c>
      <c r="CN8" s="42">
        <v>45</v>
      </c>
      <c r="CO8" s="36">
        <v>383</v>
      </c>
      <c r="CP8" s="37">
        <v>109</v>
      </c>
      <c r="CQ8" s="17">
        <v>0.28459530026109658</v>
      </c>
      <c r="CR8" s="38">
        <v>46</v>
      </c>
      <c r="CS8" s="37">
        <v>208</v>
      </c>
      <c r="CT8" s="37">
        <v>215</v>
      </c>
      <c r="CU8" s="37">
        <v>226</v>
      </c>
      <c r="CV8" s="37">
        <v>196</v>
      </c>
      <c r="CW8" s="37">
        <v>185</v>
      </c>
      <c r="CX8" s="526" t="s">
        <v>471</v>
      </c>
      <c r="CY8" s="568">
        <v>203</v>
      </c>
      <c r="CZ8" s="37">
        <v>5</v>
      </c>
      <c r="DA8" s="37">
        <v>2</v>
      </c>
      <c r="DB8" s="37">
        <v>4</v>
      </c>
      <c r="DC8" s="37">
        <v>6</v>
      </c>
      <c r="DD8" s="37">
        <v>3</v>
      </c>
      <c r="DE8" s="528" t="s">
        <v>471</v>
      </c>
      <c r="DF8" s="716">
        <v>6</v>
      </c>
      <c r="DG8" s="13">
        <v>5</v>
      </c>
      <c r="DH8" s="13">
        <v>17</v>
      </c>
      <c r="DI8" s="17">
        <v>9.1891891891891897E-2</v>
      </c>
      <c r="DJ8" s="17">
        <v>5.8164744484854133E-2</v>
      </c>
      <c r="DK8" s="18">
        <v>0.14222270780984969</v>
      </c>
      <c r="DL8" s="425" t="s">
        <v>286</v>
      </c>
      <c r="DM8" s="258" t="s">
        <v>286</v>
      </c>
      <c r="DN8" s="258" t="s">
        <v>286</v>
      </c>
      <c r="DO8" s="258" t="s">
        <v>286</v>
      </c>
      <c r="DP8" s="337">
        <v>14</v>
      </c>
      <c r="DQ8" s="393">
        <v>6.8965517241379309E-2</v>
      </c>
      <c r="DR8" s="393">
        <v>4.1522455748972474E-2</v>
      </c>
      <c r="DS8" s="393">
        <v>0.11241892042502132</v>
      </c>
      <c r="DT8" s="13">
        <v>14</v>
      </c>
      <c r="DU8" s="18">
        <v>1.0630220197418374E-2</v>
      </c>
      <c r="DV8" s="328">
        <v>8</v>
      </c>
      <c r="DW8" s="333">
        <v>7</v>
      </c>
      <c r="DX8" s="337">
        <v>8</v>
      </c>
      <c r="DY8" s="393">
        <v>7.9180292598967292E-2</v>
      </c>
      <c r="DZ8" s="337">
        <v>8</v>
      </c>
      <c r="EA8" s="93">
        <v>8.2374527672816167E-2</v>
      </c>
      <c r="EB8" s="3">
        <v>209</v>
      </c>
      <c r="EC8" s="18">
        <v>1.9179590713040286E-2</v>
      </c>
      <c r="ED8" s="13">
        <v>140</v>
      </c>
      <c r="EE8" s="3">
        <v>140</v>
      </c>
      <c r="EF8" s="3">
        <v>110</v>
      </c>
      <c r="EG8" s="3">
        <v>120</v>
      </c>
      <c r="EH8" s="9">
        <v>80</v>
      </c>
      <c r="EI8" s="9">
        <v>85</v>
      </c>
      <c r="EJ8" s="13">
        <v>120</v>
      </c>
      <c r="EK8" s="17">
        <v>0.10084033613445378</v>
      </c>
      <c r="EL8" s="17">
        <v>8.4995619767658556E-2</v>
      </c>
      <c r="EM8" s="17">
        <v>0.11925382811260415</v>
      </c>
      <c r="EN8" s="3">
        <v>140</v>
      </c>
      <c r="EO8" s="17">
        <v>0.11618257261410789</v>
      </c>
      <c r="EP8" s="17">
        <v>9.9297085187395925E-2</v>
      </c>
      <c r="EQ8" s="17">
        <v>0.13550745162721708</v>
      </c>
      <c r="ER8" s="3">
        <v>140</v>
      </c>
      <c r="ES8" s="17">
        <v>0.11570247933884298</v>
      </c>
      <c r="ET8" s="17">
        <v>9.8883206415171607E-2</v>
      </c>
      <c r="EU8" s="17">
        <v>0.13495413433314976</v>
      </c>
      <c r="EV8" s="3">
        <v>115</v>
      </c>
      <c r="EW8" s="17">
        <v>9.5041322314049589E-2</v>
      </c>
      <c r="EX8" s="17">
        <v>7.9774954779541149E-2</v>
      </c>
      <c r="EY8" s="17">
        <v>0.11287084514879749</v>
      </c>
      <c r="EZ8" s="3">
        <v>110</v>
      </c>
      <c r="FA8" s="18">
        <v>9.3220338983050849E-2</v>
      </c>
      <c r="FB8" s="18">
        <v>7.7925985267321751E-2</v>
      </c>
      <c r="FC8" s="18">
        <v>0.11115461936336758</v>
      </c>
      <c r="FD8" s="337">
        <v>125</v>
      </c>
      <c r="FE8" s="18">
        <v>0.13157894736842105</v>
      </c>
      <c r="FF8" s="18">
        <v>0.11155942916869538</v>
      </c>
      <c r="FG8" s="393">
        <v>0.15456599080889441</v>
      </c>
      <c r="FH8" s="425" t="s">
        <v>286</v>
      </c>
      <c r="FI8" s="258" t="s">
        <v>286</v>
      </c>
      <c r="FJ8" s="258" t="s">
        <v>286</v>
      </c>
      <c r="FK8" s="258" t="s">
        <v>286</v>
      </c>
      <c r="FL8" s="36">
        <v>360</v>
      </c>
      <c r="FM8" s="18">
        <v>8.3236994219653179E-2</v>
      </c>
      <c r="FN8" s="42">
        <v>445</v>
      </c>
      <c r="FO8" s="18">
        <v>0.10113636363636364</v>
      </c>
      <c r="FP8" s="42">
        <v>410</v>
      </c>
      <c r="FQ8" s="18">
        <v>9.2760180995475117E-2</v>
      </c>
      <c r="FR8" s="42">
        <v>385</v>
      </c>
      <c r="FS8" s="18">
        <v>8.7005649717514122E-2</v>
      </c>
      <c r="FT8" s="42">
        <v>310</v>
      </c>
      <c r="FU8" s="18">
        <v>7.0857142857142855E-2</v>
      </c>
      <c r="FV8" s="42">
        <v>340</v>
      </c>
      <c r="FW8" s="393">
        <v>7.9812206572769953E-2</v>
      </c>
      <c r="FX8" s="114" t="s">
        <v>286</v>
      </c>
      <c r="FY8" s="259" t="s">
        <v>286</v>
      </c>
      <c r="FZ8" s="3">
        <v>188</v>
      </c>
      <c r="GA8" s="3">
        <v>6</v>
      </c>
      <c r="GB8" s="3">
        <v>182</v>
      </c>
      <c r="GC8" s="17">
        <v>0.96808510638297873</v>
      </c>
      <c r="GD8" s="3">
        <v>87</v>
      </c>
      <c r="GE8" s="3">
        <v>109</v>
      </c>
      <c r="GF8" s="17">
        <v>0.47802197802197804</v>
      </c>
      <c r="GG8" s="17">
        <v>0.59890109890109888</v>
      </c>
      <c r="GH8" s="17">
        <v>0.40665663560429499</v>
      </c>
      <c r="GI8" s="17">
        <v>0.55029595197566561</v>
      </c>
      <c r="GJ8" s="17">
        <v>0.52635968482548634</v>
      </c>
      <c r="GK8" s="93">
        <v>0.66735367106469112</v>
      </c>
      <c r="GL8" s="337">
        <v>187</v>
      </c>
      <c r="GM8" s="337">
        <v>82</v>
      </c>
      <c r="GN8" s="337">
        <v>23</v>
      </c>
      <c r="GO8" s="337">
        <v>105</v>
      </c>
      <c r="GP8" s="393">
        <v>0.43850267379679142</v>
      </c>
      <c r="GQ8" s="393">
        <v>0.56149732620320858</v>
      </c>
      <c r="GR8" s="393">
        <v>0.36932983073534964</v>
      </c>
      <c r="GS8" s="393">
        <v>0.51015128336779847</v>
      </c>
      <c r="GT8" s="393">
        <v>0.48984871663220159</v>
      </c>
      <c r="GU8" s="93">
        <v>0.63067016926465036</v>
      </c>
      <c r="GV8" s="42">
        <v>225</v>
      </c>
      <c r="GW8" s="42">
        <v>45</v>
      </c>
      <c r="GX8" s="42">
        <v>180</v>
      </c>
      <c r="GY8" s="393">
        <f t="shared" si="2"/>
        <v>0.8</v>
      </c>
      <c r="GZ8" s="42">
        <v>76</v>
      </c>
      <c r="HA8" s="42">
        <v>16</v>
      </c>
      <c r="HB8" s="42">
        <v>92</v>
      </c>
      <c r="HC8" s="393">
        <v>0.42222222222222222</v>
      </c>
      <c r="HD8" s="393">
        <v>0.51111111111111107</v>
      </c>
      <c r="HE8" s="393">
        <v>0.35243236681656176</v>
      </c>
      <c r="HF8" s="393">
        <v>0.49526248841568915</v>
      </c>
      <c r="HG8" s="393">
        <v>0.43862003846897868</v>
      </c>
      <c r="HH8" s="93">
        <v>0.58313783935498542</v>
      </c>
      <c r="HI8" s="696">
        <v>134</v>
      </c>
      <c r="HJ8" s="696">
        <v>15</v>
      </c>
      <c r="HK8" s="696">
        <v>119</v>
      </c>
      <c r="HL8" s="697">
        <v>0.88805970149253732</v>
      </c>
      <c r="HM8" s="696">
        <v>49</v>
      </c>
      <c r="HN8" s="696">
        <v>19</v>
      </c>
      <c r="HO8" s="696">
        <v>68</v>
      </c>
      <c r="HP8" s="697">
        <v>0.41176470588235292</v>
      </c>
      <c r="HQ8" s="697">
        <v>0.5714285714285714</v>
      </c>
      <c r="HR8" s="697">
        <v>0.32744889515530695</v>
      </c>
      <c r="HS8" s="697">
        <v>0.50159904841680003</v>
      </c>
      <c r="HT8" s="697">
        <v>0.48165426055967214</v>
      </c>
      <c r="HU8" s="698">
        <v>0.65673549940576514</v>
      </c>
      <c r="HV8" s="3">
        <v>208</v>
      </c>
      <c r="HW8" s="3">
        <v>14</v>
      </c>
      <c r="HX8" s="17">
        <v>6.7307692307692304E-2</v>
      </c>
      <c r="HY8" s="17">
        <v>4.0513731011622561E-2</v>
      </c>
      <c r="HZ8" s="17">
        <v>0.1097942351341602</v>
      </c>
      <c r="IA8" s="267" t="s">
        <v>707</v>
      </c>
      <c r="IB8" s="3">
        <v>258</v>
      </c>
      <c r="IC8" s="3">
        <v>21</v>
      </c>
      <c r="ID8" s="17">
        <v>8.1395348837209308E-2</v>
      </c>
      <c r="IE8" s="17">
        <v>5.3851900260729016E-2</v>
      </c>
      <c r="IF8" s="17">
        <v>0.12122144002372841</v>
      </c>
      <c r="IG8" s="3" t="s">
        <v>707</v>
      </c>
      <c r="IH8" s="3">
        <v>129</v>
      </c>
      <c r="II8" s="3">
        <v>7</v>
      </c>
      <c r="IJ8" s="17">
        <v>5.4263565891472867E-2</v>
      </c>
      <c r="IK8" s="17">
        <v>2.6530955330892243E-2</v>
      </c>
      <c r="IL8" s="17">
        <v>0.10777545005702245</v>
      </c>
      <c r="IM8" s="3" t="s">
        <v>707</v>
      </c>
      <c r="IN8" s="3">
        <v>197</v>
      </c>
      <c r="IO8" s="3">
        <v>15</v>
      </c>
      <c r="IP8" s="17">
        <v>7.6142131979695438E-2</v>
      </c>
      <c r="IQ8" s="17">
        <v>4.6683361087312907E-2</v>
      </c>
      <c r="IR8" s="17">
        <v>0.12181501080963128</v>
      </c>
      <c r="IS8" s="3" t="s">
        <v>707</v>
      </c>
      <c r="IT8" s="3">
        <v>187</v>
      </c>
      <c r="IU8" s="3">
        <v>13</v>
      </c>
      <c r="IV8" s="17">
        <v>6.9518716577540107E-2</v>
      </c>
      <c r="IW8" s="17">
        <v>4.1073915223378998E-2</v>
      </c>
      <c r="IX8" s="17">
        <v>0.11529388349865753</v>
      </c>
      <c r="IY8" s="9" t="s">
        <v>707</v>
      </c>
      <c r="IZ8" s="9">
        <v>197</v>
      </c>
      <c r="JA8" s="9">
        <v>9</v>
      </c>
      <c r="JB8" s="393">
        <v>4.5685279187817257E-2</v>
      </c>
      <c r="JC8" s="393">
        <v>2.4218569045282971E-2</v>
      </c>
      <c r="JD8" s="393">
        <v>8.4531182868208113E-2</v>
      </c>
      <c r="JE8" s="9" t="str">
        <f t="shared" si="0"/>
        <v>Sig better than Eng.</v>
      </c>
      <c r="JF8" s="9">
        <v>214</v>
      </c>
      <c r="JG8" s="109">
        <v>15</v>
      </c>
      <c r="JH8" s="258">
        <v>7.0093457943925228E-2</v>
      </c>
      <c r="JI8" s="258">
        <v>4.2934397357453094E-2</v>
      </c>
      <c r="JJ8" s="258">
        <v>0.11241463034323411</v>
      </c>
      <c r="JK8" s="662" t="str">
        <f t="shared" si="3"/>
        <v>No Sig diff</v>
      </c>
      <c r="JL8" s="3">
        <v>207</v>
      </c>
      <c r="JM8" s="3">
        <v>34</v>
      </c>
      <c r="JN8" s="17">
        <v>0.16400000000000001</v>
      </c>
      <c r="JO8" s="17">
        <v>0.12</v>
      </c>
      <c r="JP8" s="17">
        <v>0.221</v>
      </c>
      <c r="JQ8" s="3" t="s">
        <v>707</v>
      </c>
      <c r="JR8" s="3">
        <v>213</v>
      </c>
      <c r="JS8" s="3">
        <v>31</v>
      </c>
      <c r="JT8" s="17">
        <v>0.14599999999999999</v>
      </c>
      <c r="JU8" s="17">
        <v>0.104</v>
      </c>
      <c r="JV8" s="17">
        <v>0.19900000000000001</v>
      </c>
      <c r="JW8" s="3" t="s">
        <v>707</v>
      </c>
      <c r="JX8" s="3">
        <v>205</v>
      </c>
      <c r="JY8" s="3">
        <v>27</v>
      </c>
      <c r="JZ8" s="17">
        <v>0.13170731707317074</v>
      </c>
      <c r="KA8" s="17">
        <v>9.2119520186502241E-2</v>
      </c>
      <c r="KB8" s="17">
        <v>0.18484396755831045</v>
      </c>
      <c r="KC8" s="3" t="s">
        <v>708</v>
      </c>
      <c r="KD8" s="3">
        <v>193</v>
      </c>
      <c r="KE8" s="3">
        <v>19</v>
      </c>
      <c r="KF8" s="17">
        <v>9.8445595854922283E-2</v>
      </c>
      <c r="KG8" s="17">
        <v>6.3932503429260476E-2</v>
      </c>
      <c r="KH8" s="17">
        <v>0.14863175549958713</v>
      </c>
      <c r="KI8" s="3" t="s">
        <v>708</v>
      </c>
      <c r="KJ8" s="3">
        <v>223</v>
      </c>
      <c r="KK8" s="3">
        <v>33</v>
      </c>
      <c r="KL8" s="17">
        <v>0.14798206278026907</v>
      </c>
      <c r="KM8" s="17">
        <v>0.1073525330055613</v>
      </c>
      <c r="KN8" s="17">
        <v>0.200534125737451</v>
      </c>
      <c r="KO8" s="465" t="s">
        <v>707</v>
      </c>
      <c r="KP8" s="465">
        <v>240</v>
      </c>
      <c r="KQ8" s="465">
        <v>30</v>
      </c>
      <c r="KR8" s="393">
        <v>0.125</v>
      </c>
      <c r="KS8" s="393">
        <v>8.8979374566567848E-2</v>
      </c>
      <c r="KT8" s="393">
        <v>0.17283606538960125</v>
      </c>
      <c r="KU8" s="465" t="s">
        <v>708</v>
      </c>
      <c r="KV8" s="465">
        <v>216</v>
      </c>
      <c r="KW8" s="465">
        <v>24</v>
      </c>
      <c r="KX8" s="393">
        <v>0.1111111111111111</v>
      </c>
      <c r="KY8" s="393">
        <v>7.5811558968471193E-2</v>
      </c>
      <c r="KZ8" s="393">
        <v>0.16000137230841213</v>
      </c>
      <c r="LA8" s="660" t="str">
        <f t="shared" si="4"/>
        <v>Sig better than Eng.</v>
      </c>
      <c r="LB8" s="3">
        <v>243</v>
      </c>
      <c r="LC8" s="3">
        <v>152</v>
      </c>
      <c r="LD8" s="17">
        <v>0.62551440329218111</v>
      </c>
      <c r="LE8" s="17">
        <v>0.56315198511017772</v>
      </c>
      <c r="LF8" s="17">
        <v>0.68397019724700259</v>
      </c>
      <c r="LG8" s="3">
        <v>243</v>
      </c>
      <c r="LH8" s="3">
        <v>34</v>
      </c>
      <c r="LI8" s="3">
        <v>48</v>
      </c>
      <c r="LJ8" s="293">
        <v>26.041666666666671</v>
      </c>
      <c r="LK8" s="17">
        <v>0.23406862745098025</v>
      </c>
      <c r="LL8" s="3">
        <v>294</v>
      </c>
      <c r="LM8" s="3">
        <v>196</v>
      </c>
      <c r="LN8" s="17">
        <v>0.66666666666666663</v>
      </c>
      <c r="LO8" s="17">
        <v>0.61093750591623186</v>
      </c>
      <c r="LP8" s="17">
        <v>0.71809660635286543</v>
      </c>
      <c r="LQ8" s="3">
        <v>294</v>
      </c>
      <c r="LR8" s="3">
        <v>34</v>
      </c>
      <c r="LS8" s="3">
        <v>58</v>
      </c>
      <c r="LT8" s="293">
        <v>26.586206896551726</v>
      </c>
      <c r="LU8" s="18">
        <v>0.21805273833671393</v>
      </c>
      <c r="LV8" s="42">
        <v>259</v>
      </c>
      <c r="LW8" s="42">
        <v>185</v>
      </c>
      <c r="LX8" s="18">
        <v>0.7142857142857143</v>
      </c>
      <c r="LY8" s="18">
        <v>0.6564502902182715</v>
      </c>
      <c r="LZ8" s="18">
        <v>0.76585751654109624</v>
      </c>
      <c r="MA8" s="337">
        <v>34</v>
      </c>
      <c r="MB8" s="337">
        <v>51</v>
      </c>
      <c r="MC8" s="294">
        <v>26.8</v>
      </c>
      <c r="MD8" s="393">
        <v>0.21</v>
      </c>
      <c r="ME8" s="337">
        <v>284</v>
      </c>
      <c r="MF8" s="337">
        <v>217</v>
      </c>
      <c r="MG8" s="393">
        <v>0.7640845070422535</v>
      </c>
      <c r="MH8" s="393">
        <v>0.7113857481093715</v>
      </c>
      <c r="MI8" s="393">
        <v>0.80973445679286926</v>
      </c>
      <c r="MJ8" s="337">
        <v>34</v>
      </c>
      <c r="MK8" s="337">
        <v>56</v>
      </c>
      <c r="ML8" s="294">
        <v>27.892857142857142</v>
      </c>
      <c r="MM8" s="93">
        <v>0.17962184873949583</v>
      </c>
      <c r="MN8" s="17">
        <v>0.94310290404040398</v>
      </c>
      <c r="MO8" s="17">
        <v>5.6897095959595953E-2</v>
      </c>
      <c r="MP8" s="17">
        <v>5.4117934063799819E-2</v>
      </c>
      <c r="MQ8" s="17">
        <v>0.18113867504246287</v>
      </c>
      <c r="MR8" s="17">
        <v>0.96440972222222221</v>
      </c>
      <c r="MS8" s="17">
        <v>3.5590277777777776E-2</v>
      </c>
      <c r="MT8" s="17">
        <v>1.7614201033819141E-2</v>
      </c>
      <c r="MU8" s="17">
        <v>0.10993207132684676</v>
      </c>
      <c r="MV8" s="17">
        <v>0.9656723484848484</v>
      </c>
      <c r="MW8" s="17">
        <v>3.4327651515151512E-2</v>
      </c>
      <c r="MX8" s="17">
        <v>1.7614201033819141E-2</v>
      </c>
      <c r="MY8" s="17">
        <v>0.10993207132684676</v>
      </c>
      <c r="MZ8" s="17">
        <v>0.86806344696969695</v>
      </c>
      <c r="NA8" s="17">
        <v>0.13193655303030305</v>
      </c>
      <c r="NB8" s="17">
        <v>9.607722097921384E-2</v>
      </c>
      <c r="NC8" s="93">
        <v>0.24688972487264566</v>
      </c>
      <c r="ND8" s="337">
        <v>13</v>
      </c>
      <c r="NE8" s="337">
        <v>97</v>
      </c>
      <c r="NF8" s="393">
        <v>0.13402061855670103</v>
      </c>
      <c r="NG8" s="393">
        <v>8.002456680409932E-2</v>
      </c>
      <c r="NH8" s="393">
        <v>0.21589993854994483</v>
      </c>
      <c r="NI8" s="337">
        <v>10</v>
      </c>
      <c r="NJ8" s="337">
        <v>97</v>
      </c>
      <c r="NK8" s="393">
        <v>0.10309278350515463</v>
      </c>
      <c r="NL8" s="393">
        <v>5.696749338581044E-2</v>
      </c>
      <c r="NM8" s="393">
        <v>0.17945767439251914</v>
      </c>
      <c r="NN8" s="337">
        <v>12</v>
      </c>
      <c r="NO8" s="337">
        <v>96</v>
      </c>
      <c r="NP8" s="393">
        <v>0.125</v>
      </c>
      <c r="NQ8" s="393">
        <v>7.2972009599242701E-2</v>
      </c>
      <c r="NR8" s="393">
        <v>0.20588468129401402</v>
      </c>
      <c r="NS8" s="337">
        <v>21</v>
      </c>
      <c r="NT8" s="337">
        <v>95</v>
      </c>
      <c r="NU8" s="393">
        <v>0.22105263157894736</v>
      </c>
      <c r="NV8" s="393">
        <v>0.14937352947245269</v>
      </c>
      <c r="NW8" s="93">
        <v>0.31441423092325321</v>
      </c>
      <c r="NX8" s="3">
        <v>58</v>
      </c>
      <c r="NY8" s="3">
        <v>56</v>
      </c>
      <c r="NZ8" s="3">
        <v>56</v>
      </c>
      <c r="OA8" s="3">
        <v>56</v>
      </c>
      <c r="OB8" s="3">
        <v>56</v>
      </c>
      <c r="OC8" s="3">
        <v>62</v>
      </c>
      <c r="OD8" s="3">
        <v>58</v>
      </c>
      <c r="OE8" s="3">
        <v>57</v>
      </c>
      <c r="OF8" s="3">
        <v>58</v>
      </c>
      <c r="OG8" s="3">
        <v>58</v>
      </c>
      <c r="OH8" s="3">
        <v>57</v>
      </c>
      <c r="OI8" s="3">
        <v>59</v>
      </c>
      <c r="OJ8" s="3">
        <v>58</v>
      </c>
      <c r="OK8" s="3">
        <v>60</v>
      </c>
      <c r="OL8" s="3">
        <v>59</v>
      </c>
      <c r="OM8" s="3">
        <v>57</v>
      </c>
      <c r="ON8" s="3">
        <v>56</v>
      </c>
      <c r="OO8" s="3">
        <v>55</v>
      </c>
      <c r="OP8" s="3">
        <v>55</v>
      </c>
      <c r="OQ8" s="3">
        <v>55</v>
      </c>
      <c r="OR8" s="3">
        <v>58</v>
      </c>
      <c r="OS8" s="3">
        <v>54</v>
      </c>
      <c r="OT8" s="6">
        <v>59</v>
      </c>
      <c r="OU8" s="3">
        <v>124</v>
      </c>
      <c r="OV8" s="22">
        <v>0.90300000000000002</v>
      </c>
      <c r="OW8" s="22">
        <v>1.6E-2</v>
      </c>
      <c r="OX8" s="22">
        <v>0.90300000000000002</v>
      </c>
      <c r="OY8" s="3">
        <v>112</v>
      </c>
      <c r="OZ8" s="3">
        <v>2</v>
      </c>
      <c r="PA8" s="3">
        <v>112</v>
      </c>
      <c r="PB8" s="3">
        <v>134</v>
      </c>
      <c r="PC8" s="22">
        <v>0.97</v>
      </c>
      <c r="PD8" s="22">
        <v>0.94</v>
      </c>
      <c r="PE8" s="22">
        <v>0.95499999999999996</v>
      </c>
      <c r="PF8" s="22">
        <v>0.94</v>
      </c>
      <c r="PG8" s="22">
        <v>0.92500000000000004</v>
      </c>
      <c r="PH8" s="3">
        <v>130</v>
      </c>
      <c r="PI8" s="3">
        <v>126</v>
      </c>
      <c r="PJ8" s="3">
        <v>128</v>
      </c>
      <c r="PK8" s="3">
        <v>126</v>
      </c>
      <c r="PL8" s="3">
        <v>124</v>
      </c>
      <c r="PM8" s="3">
        <v>184</v>
      </c>
      <c r="PN8" s="22">
        <v>0.98399999999999999</v>
      </c>
      <c r="PO8" s="22">
        <v>0.875</v>
      </c>
      <c r="PP8" s="22">
        <v>0.98399999999999999</v>
      </c>
      <c r="PQ8" s="22">
        <v>0.98399999999999999</v>
      </c>
      <c r="PR8" s="22">
        <v>0.97799999999999998</v>
      </c>
      <c r="PS8" s="22">
        <v>0.92400000000000004</v>
      </c>
      <c r="PT8" s="22">
        <v>0.94599999999999995</v>
      </c>
      <c r="PU8" s="22">
        <v>0.84799999999999998</v>
      </c>
      <c r="PV8" s="22">
        <v>0.995</v>
      </c>
      <c r="PW8" s="22">
        <v>0.92900000000000005</v>
      </c>
      <c r="PX8" s="3">
        <v>181</v>
      </c>
      <c r="PY8" s="3">
        <v>161</v>
      </c>
      <c r="PZ8" s="3">
        <v>181</v>
      </c>
      <c r="QA8" s="3">
        <v>181</v>
      </c>
      <c r="QB8" s="3">
        <v>180</v>
      </c>
      <c r="QC8" s="3">
        <v>170</v>
      </c>
      <c r="QD8" s="3">
        <v>174</v>
      </c>
      <c r="QE8" s="3">
        <v>156</v>
      </c>
      <c r="QF8" s="3">
        <v>183</v>
      </c>
      <c r="QG8" s="6">
        <v>171</v>
      </c>
      <c r="QH8" s="37">
        <v>147</v>
      </c>
      <c r="QI8" s="17">
        <v>0.93197278911564629</v>
      </c>
      <c r="QJ8" s="17">
        <v>0.20408163265306123</v>
      </c>
      <c r="QK8" s="17">
        <v>0.92517006802721091</v>
      </c>
      <c r="QL8" s="37">
        <v>137</v>
      </c>
      <c r="QM8" s="37">
        <v>30</v>
      </c>
      <c r="QN8" s="37">
        <v>136</v>
      </c>
      <c r="QO8" s="37">
        <v>132</v>
      </c>
      <c r="QP8" s="17">
        <v>0.95454545454545459</v>
      </c>
      <c r="QQ8" s="17">
        <v>0.90909090909090906</v>
      </c>
      <c r="QR8" s="17">
        <v>0.65151515151515149</v>
      </c>
      <c r="QS8" s="17">
        <v>0.93181818181818177</v>
      </c>
      <c r="QT8" s="17">
        <v>0.62878787878787878</v>
      </c>
      <c r="QU8" s="37">
        <v>126</v>
      </c>
      <c r="QV8" s="37">
        <v>120</v>
      </c>
      <c r="QW8" s="37">
        <v>86</v>
      </c>
      <c r="QX8" s="37">
        <v>123</v>
      </c>
      <c r="QY8" s="37">
        <v>83</v>
      </c>
      <c r="QZ8" s="3">
        <v>177</v>
      </c>
      <c r="RA8" s="17">
        <v>0.97175141242937857</v>
      </c>
      <c r="RB8" s="17">
        <v>0.85310734463276838</v>
      </c>
      <c r="RC8" s="17">
        <v>0.97175141242937857</v>
      </c>
      <c r="RD8" s="17">
        <v>0.97175141242937857</v>
      </c>
      <c r="RE8" s="17">
        <v>0.69491525423728817</v>
      </c>
      <c r="RF8" s="17">
        <v>0.90960451977401124</v>
      </c>
      <c r="RG8" s="17">
        <v>0.94350282485875703</v>
      </c>
      <c r="RH8" s="17">
        <v>0.87005649717514122</v>
      </c>
      <c r="RI8" s="17">
        <v>0.69491525423728817</v>
      </c>
      <c r="RJ8" s="17">
        <v>0.67231638418079098</v>
      </c>
      <c r="RK8" s="37">
        <v>172</v>
      </c>
      <c r="RL8" s="37">
        <v>151</v>
      </c>
      <c r="RM8" s="37">
        <v>172</v>
      </c>
      <c r="RN8" s="37">
        <v>172</v>
      </c>
      <c r="RO8" s="37">
        <v>123</v>
      </c>
      <c r="RP8" s="37">
        <v>161</v>
      </c>
      <c r="RQ8" s="37">
        <v>167</v>
      </c>
      <c r="RR8" s="37">
        <v>154</v>
      </c>
      <c r="RS8" s="37">
        <v>123</v>
      </c>
      <c r="RT8" s="38">
        <v>119</v>
      </c>
    </row>
    <row r="9" spans="1:488" s="3" customFormat="1" ht="12.75" x14ac:dyDescent="0.2">
      <c r="A9" s="9" t="s">
        <v>42</v>
      </c>
      <c r="B9" s="6">
        <v>10</v>
      </c>
      <c r="C9" s="9" t="s">
        <v>166</v>
      </c>
      <c r="D9" s="9" t="s">
        <v>167</v>
      </c>
      <c r="E9" s="9" t="s">
        <v>286</v>
      </c>
      <c r="F9" s="9" t="s">
        <v>286</v>
      </c>
      <c r="G9" s="9" t="s">
        <v>168</v>
      </c>
      <c r="H9" s="9" t="s">
        <v>77</v>
      </c>
      <c r="I9" s="9" t="s">
        <v>82</v>
      </c>
      <c r="J9" s="9" t="s">
        <v>268</v>
      </c>
      <c r="K9" s="9" t="s">
        <v>372</v>
      </c>
      <c r="L9" s="9" t="s">
        <v>274</v>
      </c>
      <c r="M9" s="9" t="s">
        <v>867</v>
      </c>
      <c r="N9" s="3" t="s">
        <v>403</v>
      </c>
      <c r="O9" s="9">
        <v>493023</v>
      </c>
      <c r="P9" s="9">
        <v>99535</v>
      </c>
      <c r="Q9" s="109">
        <v>20357</v>
      </c>
      <c r="R9" s="109" t="s">
        <v>286</v>
      </c>
      <c r="S9" s="310" t="s">
        <v>797</v>
      </c>
      <c r="T9" s="36">
        <v>30680</v>
      </c>
      <c r="U9" s="37">
        <v>30925</v>
      </c>
      <c r="V9" s="37">
        <v>31290</v>
      </c>
      <c r="W9" s="37">
        <v>31455</v>
      </c>
      <c r="X9" s="37">
        <v>31615</v>
      </c>
      <c r="Y9" s="37">
        <v>31785</v>
      </c>
      <c r="Z9" s="37">
        <v>31830</v>
      </c>
      <c r="AA9" s="37">
        <v>32005</v>
      </c>
      <c r="AB9" s="37">
        <v>32230</v>
      </c>
      <c r="AC9" s="42">
        <v>32745</v>
      </c>
      <c r="AD9" s="42">
        <v>33082</v>
      </c>
      <c r="AE9" s="36">
        <v>1220</v>
      </c>
      <c r="AF9" s="37">
        <v>1250</v>
      </c>
      <c r="AG9" s="37">
        <v>1320</v>
      </c>
      <c r="AH9" s="37">
        <v>1370</v>
      </c>
      <c r="AI9" s="37">
        <v>1485</v>
      </c>
      <c r="AJ9" s="37">
        <v>1520</v>
      </c>
      <c r="AK9" s="37">
        <v>1605</v>
      </c>
      <c r="AL9" s="37">
        <v>1620</v>
      </c>
      <c r="AM9" s="37">
        <v>1640</v>
      </c>
      <c r="AN9" s="42">
        <v>1627</v>
      </c>
      <c r="AO9" s="42">
        <v>1656</v>
      </c>
      <c r="AP9" s="13">
        <v>1556</v>
      </c>
      <c r="AQ9" s="3">
        <v>1277</v>
      </c>
      <c r="AR9" s="3">
        <v>181</v>
      </c>
      <c r="AS9" s="3">
        <v>54</v>
      </c>
      <c r="AT9" s="3">
        <v>40</v>
      </c>
      <c r="AU9" s="3">
        <v>2</v>
      </c>
      <c r="AV9" s="3">
        <v>2</v>
      </c>
      <c r="AW9" s="9">
        <v>279</v>
      </c>
      <c r="AX9" s="16">
        <v>0.82069408740359895</v>
      </c>
      <c r="AY9" s="17">
        <v>0.11632390745501285</v>
      </c>
      <c r="AZ9" s="17">
        <v>3.4704370179948589E-2</v>
      </c>
      <c r="BA9" s="17">
        <v>2.570694087403599E-2</v>
      </c>
      <c r="BB9" s="17">
        <v>1.2853470437017994E-3</v>
      </c>
      <c r="BC9" s="17">
        <v>1.2853470437017994E-3</v>
      </c>
      <c r="BD9" s="18">
        <v>0.17930591259640105</v>
      </c>
      <c r="BE9" s="13">
        <v>3362</v>
      </c>
      <c r="BF9" s="3">
        <v>3150</v>
      </c>
      <c r="BG9" s="3">
        <v>212</v>
      </c>
      <c r="BH9" s="3">
        <v>153</v>
      </c>
      <c r="BI9" s="3">
        <v>59</v>
      </c>
      <c r="BJ9" s="17">
        <v>0.72169811320754718</v>
      </c>
      <c r="BK9" s="18">
        <v>0.27830188679245282</v>
      </c>
      <c r="BL9" s="13">
        <v>2782</v>
      </c>
      <c r="BM9" s="17">
        <v>0.54025880661394676</v>
      </c>
      <c r="BN9" s="17">
        <v>0.10639827462257369</v>
      </c>
      <c r="BO9" s="18">
        <v>0.35334291876347951</v>
      </c>
      <c r="BP9" s="36">
        <v>9247</v>
      </c>
      <c r="BQ9" s="37">
        <v>590</v>
      </c>
      <c r="BR9" s="37">
        <v>458</v>
      </c>
      <c r="BS9" s="37">
        <v>203</v>
      </c>
      <c r="BT9" s="37">
        <v>4972</v>
      </c>
      <c r="BU9" s="37">
        <v>2956</v>
      </c>
      <c r="BV9" s="18">
        <v>0.12990527740189445</v>
      </c>
      <c r="BW9" s="36">
        <v>1514</v>
      </c>
      <c r="BX9" s="37">
        <v>2</v>
      </c>
      <c r="BY9" s="37">
        <v>478</v>
      </c>
      <c r="BZ9" s="37">
        <v>708</v>
      </c>
      <c r="CA9" s="37">
        <v>277</v>
      </c>
      <c r="CB9" s="38">
        <v>2979</v>
      </c>
      <c r="CC9" s="37">
        <v>1263</v>
      </c>
      <c r="CD9" s="37">
        <v>1001</v>
      </c>
      <c r="CE9" s="37">
        <v>258</v>
      </c>
      <c r="CF9" s="37">
        <v>262</v>
      </c>
      <c r="CG9" s="17">
        <v>0.20427553444180521</v>
      </c>
      <c r="CH9" s="93">
        <v>0.20744259699129058</v>
      </c>
      <c r="CI9" s="37">
        <v>235</v>
      </c>
      <c r="CJ9" s="37">
        <v>210</v>
      </c>
      <c r="CK9" s="37">
        <v>190</v>
      </c>
      <c r="CL9" s="37">
        <v>185</v>
      </c>
      <c r="CM9" s="42">
        <v>145</v>
      </c>
      <c r="CN9" s="42">
        <v>150</v>
      </c>
      <c r="CO9" s="36">
        <v>702</v>
      </c>
      <c r="CP9" s="37">
        <v>263</v>
      </c>
      <c r="CQ9" s="17">
        <v>0.37464387464387466</v>
      </c>
      <c r="CR9" s="38">
        <v>63</v>
      </c>
      <c r="CS9" s="37">
        <v>317</v>
      </c>
      <c r="CT9" s="37">
        <v>327</v>
      </c>
      <c r="CU9" s="37">
        <v>342</v>
      </c>
      <c r="CV9" s="37">
        <v>357</v>
      </c>
      <c r="CW9" s="37">
        <v>338</v>
      </c>
      <c r="CX9" s="526" t="s">
        <v>471</v>
      </c>
      <c r="CY9" s="568">
        <v>301</v>
      </c>
      <c r="CZ9" s="37">
        <v>33</v>
      </c>
      <c r="DA9" s="37">
        <v>19</v>
      </c>
      <c r="DB9" s="37">
        <v>22</v>
      </c>
      <c r="DC9" s="37">
        <v>18</v>
      </c>
      <c r="DD9" s="37">
        <v>21</v>
      </c>
      <c r="DE9" s="528" t="s">
        <v>471</v>
      </c>
      <c r="DF9" s="716">
        <v>9</v>
      </c>
      <c r="DG9" s="13">
        <v>39</v>
      </c>
      <c r="DH9" s="13">
        <v>22</v>
      </c>
      <c r="DI9" s="17">
        <v>6.5088757396449703E-2</v>
      </c>
      <c r="DJ9" s="17">
        <v>4.3373169178803433E-2</v>
      </c>
      <c r="DK9" s="18">
        <v>9.6579015046423536E-2</v>
      </c>
      <c r="DL9" s="425" t="s">
        <v>286</v>
      </c>
      <c r="DM9" s="258" t="s">
        <v>286</v>
      </c>
      <c r="DN9" s="258" t="s">
        <v>286</v>
      </c>
      <c r="DO9" s="258" t="s">
        <v>286</v>
      </c>
      <c r="DP9" s="337">
        <v>14</v>
      </c>
      <c r="DQ9" s="393">
        <v>4.6511627906976744E-2</v>
      </c>
      <c r="DR9" s="393">
        <v>2.790524147630051E-2</v>
      </c>
      <c r="DS9" s="393">
        <v>7.6547279331976664E-2</v>
      </c>
      <c r="DT9" s="13">
        <v>33</v>
      </c>
      <c r="DU9" s="18">
        <v>2.1249195106245976E-2</v>
      </c>
      <c r="DV9" s="328">
        <v>2</v>
      </c>
      <c r="DW9" s="333">
        <v>3</v>
      </c>
      <c r="DX9" s="337">
        <v>3.0000000000000009</v>
      </c>
      <c r="DY9" s="393">
        <v>0.1793229286206105</v>
      </c>
      <c r="DZ9" s="337">
        <v>3.0000000000000009</v>
      </c>
      <c r="EA9" s="93">
        <v>0.16446294602012809</v>
      </c>
      <c r="EB9" s="3">
        <v>766</v>
      </c>
      <c r="EC9" s="18">
        <v>5.2176282269600166E-2</v>
      </c>
      <c r="ED9" s="13">
        <v>285</v>
      </c>
      <c r="EE9" s="3">
        <v>275</v>
      </c>
      <c r="EF9" s="3">
        <v>300</v>
      </c>
      <c r="EG9" s="3">
        <v>275</v>
      </c>
      <c r="EH9" s="9">
        <v>280</v>
      </c>
      <c r="EI9" s="9">
        <v>215</v>
      </c>
      <c r="EJ9" s="13">
        <v>275</v>
      </c>
      <c r="EK9" s="17">
        <v>0.20146520146520147</v>
      </c>
      <c r="EL9" s="17">
        <v>0.18103846676180083</v>
      </c>
      <c r="EM9" s="17">
        <v>0.22356752705274099</v>
      </c>
      <c r="EN9" s="3">
        <v>285</v>
      </c>
      <c r="EO9" s="17">
        <v>0.19453924914675769</v>
      </c>
      <c r="EP9" s="17">
        <v>0.17507882437604008</v>
      </c>
      <c r="EQ9" s="17">
        <v>0.2155974159864977</v>
      </c>
      <c r="ER9" s="3">
        <v>275</v>
      </c>
      <c r="ES9" s="17">
        <v>0.18394648829431437</v>
      </c>
      <c r="ET9" s="17">
        <v>0.16512538640137919</v>
      </c>
      <c r="EU9" s="17">
        <v>0.20438765019187269</v>
      </c>
      <c r="EV9" s="3">
        <v>325</v>
      </c>
      <c r="EW9" s="17">
        <v>0.20504731861198738</v>
      </c>
      <c r="EX9" s="17">
        <v>0.18589558677679272</v>
      </c>
      <c r="EY9" s="17">
        <v>0.22562530801783531</v>
      </c>
      <c r="EZ9" s="3">
        <v>285</v>
      </c>
      <c r="FA9" s="18">
        <v>0.17757009345794392</v>
      </c>
      <c r="FB9" s="18">
        <v>0.15965059730348807</v>
      </c>
      <c r="FC9" s="18">
        <v>0.19702933263897432</v>
      </c>
      <c r="FD9" s="337">
        <v>275</v>
      </c>
      <c r="FE9" s="18">
        <v>0.17405063291139242</v>
      </c>
      <c r="FF9" s="18">
        <v>0.15615178049885065</v>
      </c>
      <c r="FG9" s="393">
        <v>0.19353060452539078</v>
      </c>
      <c r="FH9" s="425" t="s">
        <v>286</v>
      </c>
      <c r="FI9" s="258" t="s">
        <v>286</v>
      </c>
      <c r="FJ9" s="258" t="s">
        <v>286</v>
      </c>
      <c r="FK9" s="258" t="s">
        <v>286</v>
      </c>
      <c r="FL9" s="36">
        <v>740</v>
      </c>
      <c r="FM9" s="18">
        <v>0.17350527549824149</v>
      </c>
      <c r="FN9" s="42">
        <v>795</v>
      </c>
      <c r="FO9" s="18">
        <v>0.18027210884353742</v>
      </c>
      <c r="FP9" s="42">
        <v>785</v>
      </c>
      <c r="FQ9" s="18">
        <v>0.17720090293453725</v>
      </c>
      <c r="FR9" s="42">
        <v>780</v>
      </c>
      <c r="FS9" s="18">
        <v>0.17488789237668162</v>
      </c>
      <c r="FT9" s="42">
        <v>650</v>
      </c>
      <c r="FU9" s="18">
        <v>0.14541387024608501</v>
      </c>
      <c r="FV9" s="42">
        <v>645</v>
      </c>
      <c r="FW9" s="393">
        <v>0.14285714285714285</v>
      </c>
      <c r="FX9" s="114" t="s">
        <v>286</v>
      </c>
      <c r="FY9" s="259" t="s">
        <v>286</v>
      </c>
      <c r="FZ9" s="3">
        <v>340</v>
      </c>
      <c r="GA9" s="3">
        <v>7</v>
      </c>
      <c r="GB9" s="3">
        <v>333</v>
      </c>
      <c r="GC9" s="17">
        <v>0.97941176470588232</v>
      </c>
      <c r="GD9" s="3">
        <v>123</v>
      </c>
      <c r="GE9" s="3">
        <v>149</v>
      </c>
      <c r="GF9" s="17">
        <v>0.36936936936936937</v>
      </c>
      <c r="GG9" s="17">
        <v>0.44744744744744747</v>
      </c>
      <c r="GH9" s="17">
        <v>0.31929566467294879</v>
      </c>
      <c r="GI9" s="17">
        <v>0.42242269790459519</v>
      </c>
      <c r="GJ9" s="17">
        <v>0.39494261979372203</v>
      </c>
      <c r="GK9" s="93">
        <v>0.50115097434666911</v>
      </c>
      <c r="GL9" s="337">
        <v>271</v>
      </c>
      <c r="GM9" s="337">
        <v>101</v>
      </c>
      <c r="GN9" s="337">
        <v>33</v>
      </c>
      <c r="GO9" s="337">
        <v>134</v>
      </c>
      <c r="GP9" s="393">
        <v>0.37269372693726938</v>
      </c>
      <c r="GQ9" s="393">
        <v>0.49446494464944651</v>
      </c>
      <c r="GR9" s="393">
        <v>0.31728137175515225</v>
      </c>
      <c r="GS9" s="393">
        <v>0.43166480144568414</v>
      </c>
      <c r="GT9" s="393">
        <v>0.43543370004843801</v>
      </c>
      <c r="GU9" s="93">
        <v>0.55365091617768536</v>
      </c>
      <c r="GV9" s="42">
        <v>309</v>
      </c>
      <c r="GW9" s="42">
        <v>57</v>
      </c>
      <c r="GX9" s="42">
        <v>252</v>
      </c>
      <c r="GY9" s="393">
        <f t="shared" si="2"/>
        <v>0.81553398058252424</v>
      </c>
      <c r="GZ9" s="42">
        <v>83</v>
      </c>
      <c r="HA9" s="42">
        <v>30</v>
      </c>
      <c r="HB9" s="42">
        <v>113</v>
      </c>
      <c r="HC9" s="393">
        <v>0.32936507936507936</v>
      </c>
      <c r="HD9" s="393">
        <v>0.44841269841269843</v>
      </c>
      <c r="HE9" s="393">
        <v>0.27428054228681298</v>
      </c>
      <c r="HF9" s="393">
        <v>0.38957378219828581</v>
      </c>
      <c r="HG9" s="393">
        <v>0.38824148065094732</v>
      </c>
      <c r="HH9" s="93">
        <v>0.51013308256547796</v>
      </c>
      <c r="HI9" s="696">
        <v>403</v>
      </c>
      <c r="HJ9" s="696">
        <v>30</v>
      </c>
      <c r="HK9" s="696">
        <v>373</v>
      </c>
      <c r="HL9" s="697">
        <v>0.92555831265508681</v>
      </c>
      <c r="HM9" s="696">
        <v>128</v>
      </c>
      <c r="HN9" s="696">
        <v>50</v>
      </c>
      <c r="HO9" s="696">
        <v>178</v>
      </c>
      <c r="HP9" s="697">
        <v>0.34316353887399464</v>
      </c>
      <c r="HQ9" s="697">
        <v>0.47721179624664878</v>
      </c>
      <c r="HR9" s="697">
        <v>0.29680117703447695</v>
      </c>
      <c r="HS9" s="697">
        <v>0.39272343003464577</v>
      </c>
      <c r="HT9" s="697">
        <v>0.42701376243941813</v>
      </c>
      <c r="HU9" s="698">
        <v>0.52787442833130915</v>
      </c>
      <c r="HV9" s="3">
        <v>269</v>
      </c>
      <c r="HW9" s="3">
        <v>33</v>
      </c>
      <c r="HX9" s="17">
        <v>0.12267657992565056</v>
      </c>
      <c r="HY9" s="17">
        <v>8.8701014841697901E-2</v>
      </c>
      <c r="HZ9" s="17">
        <v>0.1672771606253689</v>
      </c>
      <c r="IA9" s="267" t="s">
        <v>707</v>
      </c>
      <c r="IB9" s="3">
        <v>228</v>
      </c>
      <c r="IC9" s="3">
        <v>23</v>
      </c>
      <c r="ID9" s="17">
        <v>0.10087719298245613</v>
      </c>
      <c r="IE9" s="17">
        <v>6.8163691398398854E-2</v>
      </c>
      <c r="IF9" s="17">
        <v>0.14681709363557319</v>
      </c>
      <c r="IG9" s="3" t="s">
        <v>707</v>
      </c>
      <c r="IH9" s="3">
        <v>261</v>
      </c>
      <c r="II9" s="3">
        <v>37</v>
      </c>
      <c r="IJ9" s="17">
        <v>0.1417624521072797</v>
      </c>
      <c r="IK9" s="17">
        <v>0.10462973464394934</v>
      </c>
      <c r="IL9" s="17">
        <v>0.18928746082579473</v>
      </c>
      <c r="IM9" s="3" t="s">
        <v>709</v>
      </c>
      <c r="IN9" s="3">
        <v>297</v>
      </c>
      <c r="IO9" s="3">
        <v>28</v>
      </c>
      <c r="IP9" s="17">
        <v>9.4276094276094277E-2</v>
      </c>
      <c r="IQ9" s="17">
        <v>6.6032790014041221E-2</v>
      </c>
      <c r="IR9" s="17">
        <v>0.13288081403266863</v>
      </c>
      <c r="IS9" s="3" t="s">
        <v>707</v>
      </c>
      <c r="IT9" s="3">
        <v>242</v>
      </c>
      <c r="IU9" s="3">
        <v>23</v>
      </c>
      <c r="IV9" s="17">
        <v>9.5041322314049589E-2</v>
      </c>
      <c r="IW9" s="17">
        <v>6.4167115009072531E-2</v>
      </c>
      <c r="IX9" s="17">
        <v>0.13857110115586763</v>
      </c>
      <c r="IY9" s="9" t="s">
        <v>707</v>
      </c>
      <c r="IZ9" s="9">
        <v>257</v>
      </c>
      <c r="JA9" s="9">
        <v>27</v>
      </c>
      <c r="JB9" s="393">
        <v>0.10505836575875487</v>
      </c>
      <c r="JC9" s="393">
        <v>7.32118175113744E-2</v>
      </c>
      <c r="JD9" s="393">
        <v>0.14853766618728528</v>
      </c>
      <c r="JE9" s="9" t="str">
        <f t="shared" si="0"/>
        <v>No Sig diff</v>
      </c>
      <c r="JF9" s="9">
        <v>279</v>
      </c>
      <c r="JG9" s="109">
        <v>22</v>
      </c>
      <c r="JH9" s="258">
        <v>7.8853046594982074E-2</v>
      </c>
      <c r="JI9" s="258">
        <v>5.2647624773561753E-2</v>
      </c>
      <c r="JJ9" s="258">
        <v>0.11649822470751792</v>
      </c>
      <c r="JK9" s="662" t="str">
        <f t="shared" si="3"/>
        <v>No Sig diff</v>
      </c>
      <c r="JL9" s="3">
        <v>205</v>
      </c>
      <c r="JM9" s="3">
        <v>42</v>
      </c>
      <c r="JN9" s="17">
        <v>0.20487804878048779</v>
      </c>
      <c r="JO9" s="17">
        <v>0.15529811076434766</v>
      </c>
      <c r="JP9" s="17">
        <v>0.2653150151768599</v>
      </c>
      <c r="JQ9" s="3" t="s">
        <v>707</v>
      </c>
      <c r="JR9" s="3">
        <v>218</v>
      </c>
      <c r="JS9" s="3">
        <v>44</v>
      </c>
      <c r="JT9" s="17">
        <v>0.20183486238532111</v>
      </c>
      <c r="JU9" s="17">
        <v>0.15392950781363002</v>
      </c>
      <c r="JV9" s="17">
        <v>0.26006641210558595</v>
      </c>
      <c r="JW9" s="3" t="s">
        <v>707</v>
      </c>
      <c r="JX9" s="3">
        <v>200</v>
      </c>
      <c r="JY9" s="3">
        <v>37</v>
      </c>
      <c r="JZ9" s="17">
        <v>0.185</v>
      </c>
      <c r="KA9" s="17">
        <v>0.13730192800616048</v>
      </c>
      <c r="KB9" s="17">
        <v>0.24457062761151749</v>
      </c>
      <c r="KC9" s="3" t="s">
        <v>707</v>
      </c>
      <c r="KD9" s="3">
        <v>189</v>
      </c>
      <c r="KE9" s="3">
        <v>36</v>
      </c>
      <c r="KF9" s="17">
        <v>0.19047619047619047</v>
      </c>
      <c r="KG9" s="17">
        <v>0.14087796358983723</v>
      </c>
      <c r="KH9" s="17">
        <v>0.25240602878657525</v>
      </c>
      <c r="KI9" s="3" t="s">
        <v>707</v>
      </c>
      <c r="KJ9" s="3">
        <v>221</v>
      </c>
      <c r="KK9" s="3">
        <v>38</v>
      </c>
      <c r="KL9" s="17">
        <v>0.17194570135746606</v>
      </c>
      <c r="KM9" s="17">
        <v>0.12791177353920713</v>
      </c>
      <c r="KN9" s="17">
        <v>0.22718936856984601</v>
      </c>
      <c r="KO9" s="465" t="s">
        <v>707</v>
      </c>
      <c r="KP9" s="465">
        <v>222</v>
      </c>
      <c r="KQ9" s="465">
        <v>34</v>
      </c>
      <c r="KR9" s="393">
        <v>0.15315315315315314</v>
      </c>
      <c r="KS9" s="393">
        <v>0.11171474369469199</v>
      </c>
      <c r="KT9" s="393">
        <v>0.2063909716856375</v>
      </c>
      <c r="KU9" s="465" t="s">
        <v>772</v>
      </c>
      <c r="KV9" s="465">
        <v>254</v>
      </c>
      <c r="KW9" s="465">
        <v>50</v>
      </c>
      <c r="KX9" s="393">
        <v>0.19685039370078741</v>
      </c>
      <c r="KY9" s="393">
        <v>0.15262407277380141</v>
      </c>
      <c r="KZ9" s="393">
        <v>0.25010968189715188</v>
      </c>
      <c r="LA9" s="660" t="str">
        <f t="shared" si="4"/>
        <v>No Sig diff</v>
      </c>
      <c r="LB9" s="3">
        <v>314</v>
      </c>
      <c r="LC9" s="3">
        <v>104</v>
      </c>
      <c r="LD9" s="17">
        <v>0.33121019108280253</v>
      </c>
      <c r="LE9" s="17">
        <v>0.28146844278901645</v>
      </c>
      <c r="LF9" s="17">
        <v>0.38503195526069667</v>
      </c>
      <c r="LG9" s="3">
        <v>314</v>
      </c>
      <c r="LH9" s="3">
        <v>31.5</v>
      </c>
      <c r="LI9" s="3">
        <v>62</v>
      </c>
      <c r="LJ9" s="293">
        <v>20.790322580645157</v>
      </c>
      <c r="LK9" s="17">
        <v>0.33998975934459819</v>
      </c>
      <c r="LL9" s="3">
        <v>308</v>
      </c>
      <c r="LM9" s="3">
        <v>163</v>
      </c>
      <c r="LN9" s="17">
        <v>0.52922077922077926</v>
      </c>
      <c r="LO9" s="17">
        <v>0.47345984299613758</v>
      </c>
      <c r="LP9" s="17">
        <v>0.58426179564700975</v>
      </c>
      <c r="LQ9" s="3">
        <v>308</v>
      </c>
      <c r="LR9" s="3">
        <v>34</v>
      </c>
      <c r="LS9" s="3">
        <v>61</v>
      </c>
      <c r="LT9" s="293">
        <v>23.983606557377048</v>
      </c>
      <c r="LU9" s="18">
        <v>0.29459980713596917</v>
      </c>
      <c r="LV9" s="42">
        <v>286</v>
      </c>
      <c r="LW9" s="42">
        <v>152</v>
      </c>
      <c r="LX9" s="18">
        <v>0.53146853146853146</v>
      </c>
      <c r="LY9" s="18">
        <v>0.47360180106867872</v>
      </c>
      <c r="LZ9" s="18">
        <v>0.5885011157232749</v>
      </c>
      <c r="MA9" s="337">
        <v>34</v>
      </c>
      <c r="MB9" s="337">
        <v>57</v>
      </c>
      <c r="MC9" s="294">
        <v>22</v>
      </c>
      <c r="MD9" s="393">
        <v>0.35299999999999998</v>
      </c>
      <c r="ME9" s="337">
        <v>321</v>
      </c>
      <c r="MF9" s="337">
        <v>203</v>
      </c>
      <c r="MG9" s="393">
        <v>0.63239875389408096</v>
      </c>
      <c r="MH9" s="393">
        <v>0.57837769003372075</v>
      </c>
      <c r="MI9" s="393">
        <v>0.68328841720697564</v>
      </c>
      <c r="MJ9" s="337">
        <v>34</v>
      </c>
      <c r="MK9" s="337">
        <v>64</v>
      </c>
      <c r="ML9" s="294">
        <v>19.859375</v>
      </c>
      <c r="MM9" s="93">
        <v>0.41590073529411764</v>
      </c>
      <c r="MN9" s="17">
        <v>0.86148268398268379</v>
      </c>
      <c r="MO9" s="17">
        <v>0.13851731601731601</v>
      </c>
      <c r="MP9" s="17">
        <v>0.10424930622012753</v>
      </c>
      <c r="MQ9" s="17">
        <v>0.21607377511371989</v>
      </c>
      <c r="MR9" s="17">
        <v>0.86108405483405481</v>
      </c>
      <c r="MS9" s="17">
        <v>0.13891594516594516</v>
      </c>
      <c r="MT9" s="17">
        <v>0.13636267428550469</v>
      </c>
      <c r="MU9" s="17">
        <v>0.25810697999374121</v>
      </c>
      <c r="MV9" s="17">
        <v>0.89908189033189034</v>
      </c>
      <c r="MW9" s="17">
        <v>0.10091810966810966</v>
      </c>
      <c r="MX9" s="17">
        <v>8.3456724788453618E-2</v>
      </c>
      <c r="MY9" s="17">
        <v>0.18743530791512816</v>
      </c>
      <c r="MZ9" s="17">
        <v>0.78010010822510822</v>
      </c>
      <c r="NA9" s="17">
        <v>0.21989989177489172</v>
      </c>
      <c r="NB9" s="17">
        <v>0.20309234864592962</v>
      </c>
      <c r="NC9" s="93">
        <v>0.33967045152411318</v>
      </c>
      <c r="ND9" s="337">
        <v>22</v>
      </c>
      <c r="NE9" s="337">
        <v>157</v>
      </c>
      <c r="NF9" s="393">
        <v>0.14012738853503184</v>
      </c>
      <c r="NG9" s="393">
        <v>9.4393418131730189E-2</v>
      </c>
      <c r="NH9" s="393">
        <v>0.20305140219925003</v>
      </c>
      <c r="NI9" s="337">
        <v>19</v>
      </c>
      <c r="NJ9" s="337">
        <v>157</v>
      </c>
      <c r="NK9" s="393">
        <v>0.12101910828025478</v>
      </c>
      <c r="NL9" s="393">
        <v>7.8860151676654597E-2</v>
      </c>
      <c r="NM9" s="393">
        <v>0.18128085380464318</v>
      </c>
      <c r="NN9" s="337">
        <v>19</v>
      </c>
      <c r="NO9" s="337">
        <v>154</v>
      </c>
      <c r="NP9" s="393">
        <v>0.12337662337662338</v>
      </c>
      <c r="NQ9" s="393">
        <v>8.0425217853813444E-2</v>
      </c>
      <c r="NR9" s="393">
        <v>0.1846601350902789</v>
      </c>
      <c r="NS9" s="337">
        <v>36</v>
      </c>
      <c r="NT9" s="337">
        <v>154</v>
      </c>
      <c r="NU9" s="393">
        <v>0.23376623376623376</v>
      </c>
      <c r="NV9" s="393">
        <v>0.17390341055789038</v>
      </c>
      <c r="NW9" s="93">
        <v>0.30658795962672664</v>
      </c>
      <c r="NX9" s="3">
        <v>71</v>
      </c>
      <c r="NY9" s="3">
        <v>70</v>
      </c>
      <c r="NZ9" s="3">
        <v>70</v>
      </c>
      <c r="OA9" s="3">
        <v>70</v>
      </c>
      <c r="OB9" s="3">
        <v>70</v>
      </c>
      <c r="OC9" s="3">
        <v>83</v>
      </c>
      <c r="OD9" s="3">
        <v>78</v>
      </c>
      <c r="OE9" s="3">
        <v>81</v>
      </c>
      <c r="OF9" s="3">
        <v>78</v>
      </c>
      <c r="OG9" s="3">
        <v>80</v>
      </c>
      <c r="OH9" s="3">
        <v>82</v>
      </c>
      <c r="OI9" s="3">
        <v>78</v>
      </c>
      <c r="OJ9" s="3">
        <v>81</v>
      </c>
      <c r="OK9" s="3">
        <v>94</v>
      </c>
      <c r="OL9" s="3">
        <v>89</v>
      </c>
      <c r="OM9" s="3">
        <v>84</v>
      </c>
      <c r="ON9" s="3">
        <v>85</v>
      </c>
      <c r="OO9" s="3">
        <v>85</v>
      </c>
      <c r="OP9" s="3">
        <v>85</v>
      </c>
      <c r="OQ9" s="3">
        <v>85</v>
      </c>
      <c r="OR9" s="3">
        <v>91</v>
      </c>
      <c r="OS9" s="3">
        <v>83</v>
      </c>
      <c r="OT9" s="6">
        <v>87</v>
      </c>
      <c r="OU9" s="3">
        <v>413</v>
      </c>
      <c r="OV9" s="22">
        <v>0.97299999999999998</v>
      </c>
      <c r="OW9" s="22">
        <v>2E-3</v>
      </c>
      <c r="OX9" s="22">
        <v>0.97299999999999998</v>
      </c>
      <c r="OY9" s="3">
        <v>402</v>
      </c>
      <c r="OZ9" s="3">
        <v>1</v>
      </c>
      <c r="PA9" s="3">
        <v>402</v>
      </c>
      <c r="PB9" s="3">
        <v>445</v>
      </c>
      <c r="PC9" s="22">
        <v>0.97499999999999998</v>
      </c>
      <c r="PD9" s="22">
        <v>0.93700000000000006</v>
      </c>
      <c r="PE9" s="22">
        <v>0.97499999999999998</v>
      </c>
      <c r="PF9" s="22">
        <v>0.93700000000000006</v>
      </c>
      <c r="PG9" s="22">
        <v>0.93300000000000005</v>
      </c>
      <c r="PH9" s="3">
        <v>434</v>
      </c>
      <c r="PI9" s="3">
        <v>417</v>
      </c>
      <c r="PJ9" s="3">
        <v>434</v>
      </c>
      <c r="PK9" s="3">
        <v>417</v>
      </c>
      <c r="PL9" s="3">
        <v>415</v>
      </c>
      <c r="PM9" s="3">
        <v>419</v>
      </c>
      <c r="PN9" s="22">
        <v>0.94699999999999995</v>
      </c>
      <c r="PO9" s="22">
        <v>0.90500000000000003</v>
      </c>
      <c r="PP9" s="22">
        <v>0.94699999999999995</v>
      </c>
      <c r="PQ9" s="22">
        <v>0.94699999999999995</v>
      </c>
      <c r="PR9" s="22">
        <v>0.92600000000000005</v>
      </c>
      <c r="PS9" s="22">
        <v>0.83299999999999996</v>
      </c>
      <c r="PT9" s="22">
        <v>0.92600000000000005</v>
      </c>
      <c r="PU9" s="22">
        <v>0.89500000000000002</v>
      </c>
      <c r="PV9" s="22">
        <v>0.92400000000000004</v>
      </c>
      <c r="PW9" s="22">
        <v>0.86599999999999999</v>
      </c>
      <c r="PX9" s="3">
        <v>397</v>
      </c>
      <c r="PY9" s="3">
        <v>379</v>
      </c>
      <c r="PZ9" s="3">
        <v>397</v>
      </c>
      <c r="QA9" s="3">
        <v>397</v>
      </c>
      <c r="QB9" s="3">
        <v>388</v>
      </c>
      <c r="QC9" s="3">
        <v>349</v>
      </c>
      <c r="QD9" s="3">
        <v>388</v>
      </c>
      <c r="QE9" s="3">
        <v>375</v>
      </c>
      <c r="QF9" s="3">
        <v>387</v>
      </c>
      <c r="QG9" s="6">
        <v>363</v>
      </c>
      <c r="QH9" s="37">
        <v>410</v>
      </c>
      <c r="QI9" s="17">
        <v>0.948780487804878</v>
      </c>
      <c r="QJ9" s="17">
        <v>0.19756097560975611</v>
      </c>
      <c r="QK9" s="17">
        <v>0.95121951219512191</v>
      </c>
      <c r="QL9" s="37">
        <v>389</v>
      </c>
      <c r="QM9" s="37">
        <v>81</v>
      </c>
      <c r="QN9" s="37">
        <v>390</v>
      </c>
      <c r="QO9" s="37">
        <v>408</v>
      </c>
      <c r="QP9" s="17">
        <v>0.96813725490196079</v>
      </c>
      <c r="QQ9" s="17">
        <v>0.94607843137254899</v>
      </c>
      <c r="QR9" s="17">
        <v>0.78431372549019607</v>
      </c>
      <c r="QS9" s="17">
        <v>0.94852941176470584</v>
      </c>
      <c r="QT9" s="17">
        <v>0.7720588235294118</v>
      </c>
      <c r="QU9" s="37">
        <v>395</v>
      </c>
      <c r="QV9" s="37">
        <v>386</v>
      </c>
      <c r="QW9" s="37">
        <v>320</v>
      </c>
      <c r="QX9" s="37">
        <v>387</v>
      </c>
      <c r="QY9" s="37">
        <v>315</v>
      </c>
      <c r="QZ9" s="3">
        <v>415</v>
      </c>
      <c r="RA9" s="17">
        <v>0.96867469879518076</v>
      </c>
      <c r="RB9" s="17">
        <v>0.81445783132530125</v>
      </c>
      <c r="RC9" s="17">
        <v>0.96867469879518076</v>
      </c>
      <c r="RD9" s="17">
        <v>0.96867469879518076</v>
      </c>
      <c r="RE9" s="17">
        <v>0.72289156626506024</v>
      </c>
      <c r="RF9" s="17">
        <v>0.91566265060240959</v>
      </c>
      <c r="RG9" s="17">
        <v>0.95421686746987955</v>
      </c>
      <c r="RH9" s="17">
        <v>0.91566265060240959</v>
      </c>
      <c r="RI9" s="17">
        <v>0.7132530120481928</v>
      </c>
      <c r="RJ9" s="17">
        <v>0.68433734939759039</v>
      </c>
      <c r="RK9" s="37">
        <v>402</v>
      </c>
      <c r="RL9" s="37">
        <v>338</v>
      </c>
      <c r="RM9" s="37">
        <v>402</v>
      </c>
      <c r="RN9" s="37">
        <v>402</v>
      </c>
      <c r="RO9" s="37">
        <v>300</v>
      </c>
      <c r="RP9" s="37">
        <v>380</v>
      </c>
      <c r="RQ9" s="37">
        <v>396</v>
      </c>
      <c r="RR9" s="37">
        <v>380</v>
      </c>
      <c r="RS9" s="37">
        <v>296</v>
      </c>
      <c r="RT9" s="38">
        <v>284</v>
      </c>
    </row>
    <row r="10" spans="1:488" s="3" customFormat="1" ht="12.75" x14ac:dyDescent="0.2">
      <c r="A10" s="9" t="s">
        <v>35</v>
      </c>
      <c r="B10" s="6">
        <v>3</v>
      </c>
      <c r="C10" s="9" t="s">
        <v>145</v>
      </c>
      <c r="D10" s="9" t="s">
        <v>146</v>
      </c>
      <c r="E10" s="9" t="s">
        <v>286</v>
      </c>
      <c r="F10" s="9" t="s">
        <v>286</v>
      </c>
      <c r="G10" s="9" t="s">
        <v>147</v>
      </c>
      <c r="H10" s="9" t="s">
        <v>74</v>
      </c>
      <c r="I10" s="9" t="s">
        <v>398</v>
      </c>
      <c r="J10" s="9" t="s">
        <v>268</v>
      </c>
      <c r="K10" s="9" t="s">
        <v>36</v>
      </c>
      <c r="L10" s="9" t="s">
        <v>271</v>
      </c>
      <c r="M10" s="9" t="s">
        <v>332</v>
      </c>
      <c r="N10" s="3" t="s">
        <v>400</v>
      </c>
      <c r="O10" s="9">
        <v>517682</v>
      </c>
      <c r="P10" s="9">
        <v>105206</v>
      </c>
      <c r="Q10" s="109" t="s">
        <v>286</v>
      </c>
      <c r="R10" s="109" t="s">
        <v>286</v>
      </c>
      <c r="S10" s="109" t="s">
        <v>286</v>
      </c>
      <c r="T10" s="36">
        <v>15800</v>
      </c>
      <c r="U10" s="37">
        <v>15880</v>
      </c>
      <c r="V10" s="37">
        <v>15870</v>
      </c>
      <c r="W10" s="37">
        <v>15825</v>
      </c>
      <c r="X10" s="37">
        <v>15785</v>
      </c>
      <c r="Y10" s="37">
        <v>15830</v>
      </c>
      <c r="Z10" s="37">
        <v>15875</v>
      </c>
      <c r="AA10" s="37">
        <v>16025</v>
      </c>
      <c r="AB10" s="37">
        <v>16035</v>
      </c>
      <c r="AC10" s="42">
        <v>16238</v>
      </c>
      <c r="AD10" s="42">
        <v>16399</v>
      </c>
      <c r="AE10" s="36">
        <v>785</v>
      </c>
      <c r="AF10" s="37">
        <v>780</v>
      </c>
      <c r="AG10" s="37">
        <v>805</v>
      </c>
      <c r="AH10" s="37">
        <v>795</v>
      </c>
      <c r="AI10" s="37">
        <v>830</v>
      </c>
      <c r="AJ10" s="37">
        <v>875</v>
      </c>
      <c r="AK10" s="37">
        <v>875</v>
      </c>
      <c r="AL10" s="37">
        <v>900</v>
      </c>
      <c r="AM10" s="37">
        <v>890</v>
      </c>
      <c r="AN10" s="42">
        <v>972</v>
      </c>
      <c r="AO10" s="42">
        <v>938</v>
      </c>
      <c r="AP10" s="13">
        <v>871</v>
      </c>
      <c r="AQ10" s="3">
        <v>790</v>
      </c>
      <c r="AR10" s="3">
        <v>27</v>
      </c>
      <c r="AS10" s="3">
        <v>34</v>
      </c>
      <c r="AT10" s="3">
        <v>14</v>
      </c>
      <c r="AU10" s="3">
        <v>2</v>
      </c>
      <c r="AV10" s="3">
        <v>4</v>
      </c>
      <c r="AW10" s="9">
        <v>81</v>
      </c>
      <c r="AX10" s="16">
        <v>0.90700344431687718</v>
      </c>
      <c r="AY10" s="17">
        <v>3.0998851894374284E-2</v>
      </c>
      <c r="AZ10" s="17">
        <v>3.9035591274397242E-2</v>
      </c>
      <c r="BA10" s="17">
        <v>1.6073478760045924E-2</v>
      </c>
      <c r="BB10" s="17">
        <v>2.2962112514351321E-3</v>
      </c>
      <c r="BC10" s="17">
        <v>4.5924225028702642E-3</v>
      </c>
      <c r="BD10" s="18">
        <v>9.2996555683122817E-2</v>
      </c>
      <c r="BE10" s="13">
        <v>2109</v>
      </c>
      <c r="BF10" s="3">
        <v>2086</v>
      </c>
      <c r="BG10" s="3">
        <v>23</v>
      </c>
      <c r="BH10" s="3">
        <v>19</v>
      </c>
      <c r="BI10" s="3">
        <v>4</v>
      </c>
      <c r="BJ10" s="17">
        <v>0.82608695652173914</v>
      </c>
      <c r="BK10" s="18">
        <v>0.17391304347826086</v>
      </c>
      <c r="BL10" s="13">
        <v>1630</v>
      </c>
      <c r="BM10" s="17">
        <v>0.62208588957055211</v>
      </c>
      <c r="BN10" s="17">
        <v>0.2</v>
      </c>
      <c r="BO10" s="18">
        <v>0.17791411042944785</v>
      </c>
      <c r="BP10" s="36">
        <v>4772</v>
      </c>
      <c r="BQ10" s="37">
        <v>273</v>
      </c>
      <c r="BR10" s="37">
        <v>263</v>
      </c>
      <c r="BS10" s="37">
        <v>144</v>
      </c>
      <c r="BT10" s="37">
        <v>2988</v>
      </c>
      <c r="BU10" s="37">
        <v>1701</v>
      </c>
      <c r="BV10" s="18">
        <v>0.14285714285714285</v>
      </c>
      <c r="BW10" s="36">
        <v>881</v>
      </c>
      <c r="BX10" s="37">
        <v>2</v>
      </c>
      <c r="BY10" s="37">
        <v>268</v>
      </c>
      <c r="BZ10" s="37">
        <v>414</v>
      </c>
      <c r="CA10" s="37">
        <v>150</v>
      </c>
      <c r="CB10" s="38">
        <v>1715</v>
      </c>
      <c r="CC10" s="37">
        <v>684</v>
      </c>
      <c r="CD10" s="37">
        <v>550</v>
      </c>
      <c r="CE10" s="37">
        <v>132</v>
      </c>
      <c r="CF10" s="37">
        <v>134</v>
      </c>
      <c r="CG10" s="17">
        <v>0.19298245614035087</v>
      </c>
      <c r="CH10" s="93">
        <v>0.195906432748538</v>
      </c>
      <c r="CI10" s="37">
        <v>145</v>
      </c>
      <c r="CJ10" s="37">
        <v>135</v>
      </c>
      <c r="CK10" s="37">
        <v>120</v>
      </c>
      <c r="CL10" s="37">
        <v>85</v>
      </c>
      <c r="CM10" s="42">
        <v>95</v>
      </c>
      <c r="CN10" s="42">
        <v>70</v>
      </c>
      <c r="CO10" s="36">
        <v>414</v>
      </c>
      <c r="CP10" s="37">
        <v>173</v>
      </c>
      <c r="CQ10" s="17">
        <v>0.41787439613526572</v>
      </c>
      <c r="CR10" s="38">
        <v>48</v>
      </c>
      <c r="CS10" s="37">
        <v>171</v>
      </c>
      <c r="CT10" s="37">
        <v>177</v>
      </c>
      <c r="CU10" s="37">
        <v>160</v>
      </c>
      <c r="CV10" s="37">
        <v>182</v>
      </c>
      <c r="CW10" s="37">
        <v>172</v>
      </c>
      <c r="CX10" s="526" t="s">
        <v>471</v>
      </c>
      <c r="CY10" s="568">
        <v>143</v>
      </c>
      <c r="CZ10" s="37">
        <v>11</v>
      </c>
      <c r="DA10" s="37">
        <v>15</v>
      </c>
      <c r="DB10" s="37">
        <v>8</v>
      </c>
      <c r="DC10" s="37">
        <v>8</v>
      </c>
      <c r="DD10" s="37">
        <v>3</v>
      </c>
      <c r="DE10" s="528" t="s">
        <v>471</v>
      </c>
      <c r="DF10" s="716">
        <v>1</v>
      </c>
      <c r="DG10" s="13">
        <v>13</v>
      </c>
      <c r="DH10" s="13">
        <v>13</v>
      </c>
      <c r="DI10" s="17">
        <v>7.5581395348837205E-2</v>
      </c>
      <c r="DJ10" s="17">
        <v>4.4699432822978308E-2</v>
      </c>
      <c r="DK10" s="18">
        <v>0.12500718256130097</v>
      </c>
      <c r="DL10" s="425" t="s">
        <v>286</v>
      </c>
      <c r="DM10" s="258" t="s">
        <v>286</v>
      </c>
      <c r="DN10" s="258" t="s">
        <v>286</v>
      </c>
      <c r="DO10" s="258" t="s">
        <v>286</v>
      </c>
      <c r="DP10" s="337">
        <v>8</v>
      </c>
      <c r="DQ10" s="393">
        <v>5.5944055944055944E-2</v>
      </c>
      <c r="DR10" s="393">
        <v>2.8617235305217856E-2</v>
      </c>
      <c r="DS10" s="393">
        <v>0.10650440527261258</v>
      </c>
      <c r="DT10" s="13">
        <v>19</v>
      </c>
      <c r="DU10" s="18">
        <v>2.1814006888633754E-2</v>
      </c>
      <c r="DV10" s="328">
        <v>2</v>
      </c>
      <c r="DW10" s="333">
        <v>3</v>
      </c>
      <c r="DX10" s="337">
        <v>3.0000000000000009</v>
      </c>
      <c r="DY10" s="393">
        <v>0.1788868810986628</v>
      </c>
      <c r="DZ10" s="337">
        <v>4</v>
      </c>
      <c r="EA10" s="93">
        <v>0.16207327102803737</v>
      </c>
      <c r="EB10" s="3">
        <v>348</v>
      </c>
      <c r="EC10" s="18">
        <v>4.912478825522304E-2</v>
      </c>
      <c r="ED10" s="13">
        <v>190</v>
      </c>
      <c r="EE10" s="3">
        <v>160</v>
      </c>
      <c r="EF10" s="3">
        <v>155</v>
      </c>
      <c r="EG10" s="3">
        <v>160</v>
      </c>
      <c r="EH10" s="9">
        <v>140</v>
      </c>
      <c r="EI10" s="9">
        <v>125</v>
      </c>
      <c r="EJ10" s="13">
        <v>175</v>
      </c>
      <c r="EK10" s="17">
        <v>0.22151898734177214</v>
      </c>
      <c r="EL10" s="17">
        <v>0.19394761394872334</v>
      </c>
      <c r="EM10" s="17">
        <v>0.2517855420725682</v>
      </c>
      <c r="EN10" s="3">
        <v>160</v>
      </c>
      <c r="EO10" s="17">
        <v>0.19631901840490798</v>
      </c>
      <c r="EP10" s="17">
        <v>0.1705000030064921</v>
      </c>
      <c r="EQ10" s="17">
        <v>0.2249873716644176</v>
      </c>
      <c r="ER10" s="3">
        <v>165</v>
      </c>
      <c r="ES10" s="17">
        <v>0.19298245614035087</v>
      </c>
      <c r="ET10" s="17">
        <v>0.16792679855171319</v>
      </c>
      <c r="EU10" s="17">
        <v>0.22078459327967762</v>
      </c>
      <c r="EV10" s="3">
        <v>165</v>
      </c>
      <c r="EW10" s="17">
        <v>0.19298245614035087</v>
      </c>
      <c r="EX10" s="17">
        <v>0.16792679855171319</v>
      </c>
      <c r="EY10" s="17">
        <v>0.22078459327967762</v>
      </c>
      <c r="EZ10" s="3">
        <v>135</v>
      </c>
      <c r="FA10" s="18">
        <v>0.14835164835164835</v>
      </c>
      <c r="FB10" s="18">
        <v>0.1267368394230711</v>
      </c>
      <c r="FC10" s="18">
        <v>0.17292286213400707</v>
      </c>
      <c r="FD10" s="337">
        <v>135</v>
      </c>
      <c r="FE10" s="18">
        <v>0.15517241379310345</v>
      </c>
      <c r="FF10" s="18">
        <v>0.13263430269892901</v>
      </c>
      <c r="FG10" s="393">
        <v>0.18074228988144703</v>
      </c>
      <c r="FH10" s="425" t="s">
        <v>286</v>
      </c>
      <c r="FI10" s="258" t="s">
        <v>286</v>
      </c>
      <c r="FJ10" s="258" t="s">
        <v>286</v>
      </c>
      <c r="FK10" s="258" t="s">
        <v>286</v>
      </c>
      <c r="FL10" s="36">
        <v>510</v>
      </c>
      <c r="FM10" s="18">
        <v>0.19691119691119691</v>
      </c>
      <c r="FN10" s="42">
        <v>525</v>
      </c>
      <c r="FO10" s="18">
        <v>0.19961977186311788</v>
      </c>
      <c r="FP10" s="42">
        <v>480</v>
      </c>
      <c r="FQ10" s="18">
        <v>0.1797752808988764</v>
      </c>
      <c r="FR10" s="42">
        <v>465</v>
      </c>
      <c r="FS10" s="18">
        <v>0.17816091954022989</v>
      </c>
      <c r="FT10" s="42">
        <v>380</v>
      </c>
      <c r="FU10" s="18">
        <v>0.14258911819887429</v>
      </c>
      <c r="FV10" s="42">
        <v>375</v>
      </c>
      <c r="FW10" s="393">
        <v>0.14423076923076922</v>
      </c>
      <c r="FX10" s="114" t="s">
        <v>286</v>
      </c>
      <c r="FY10" s="259" t="s">
        <v>286</v>
      </c>
      <c r="FZ10" s="3">
        <v>191</v>
      </c>
      <c r="GA10" s="3">
        <v>12</v>
      </c>
      <c r="GB10" s="3">
        <v>179</v>
      </c>
      <c r="GC10" s="17">
        <v>0.93717277486910999</v>
      </c>
      <c r="GD10" s="3">
        <v>63</v>
      </c>
      <c r="GE10" s="3">
        <v>77</v>
      </c>
      <c r="GF10" s="17">
        <v>0.35195530726256985</v>
      </c>
      <c r="GG10" s="17">
        <v>0.43016759776536312</v>
      </c>
      <c r="GH10" s="17">
        <v>0.28577066576321652</v>
      </c>
      <c r="GI10" s="17">
        <v>0.42436094542373431</v>
      </c>
      <c r="GJ10" s="17">
        <v>0.35985509909603769</v>
      </c>
      <c r="GK10" s="93">
        <v>0.50341452882233539</v>
      </c>
      <c r="GL10" s="337">
        <v>125</v>
      </c>
      <c r="GM10" s="337">
        <v>32</v>
      </c>
      <c r="GN10" s="337">
        <v>17</v>
      </c>
      <c r="GO10" s="337">
        <v>49</v>
      </c>
      <c r="GP10" s="393">
        <v>0.25600000000000001</v>
      </c>
      <c r="GQ10" s="393">
        <v>0.39200000000000002</v>
      </c>
      <c r="GR10" s="393">
        <v>0.18756706920350183</v>
      </c>
      <c r="GS10" s="393">
        <v>0.33898284292616149</v>
      </c>
      <c r="GT10" s="393">
        <v>0.31086100564156294</v>
      </c>
      <c r="GU10" s="93">
        <v>0.47957911939943554</v>
      </c>
      <c r="GV10" s="42">
        <v>147</v>
      </c>
      <c r="GW10" s="42">
        <v>85</v>
      </c>
      <c r="GX10" s="42">
        <v>62</v>
      </c>
      <c r="GY10" s="393">
        <f t="shared" si="2"/>
        <v>0.42176870748299322</v>
      </c>
      <c r="GZ10" s="42">
        <v>20</v>
      </c>
      <c r="HA10" s="42">
        <v>10</v>
      </c>
      <c r="HB10" s="42">
        <v>30</v>
      </c>
      <c r="HC10" s="393">
        <v>0.32258064516129031</v>
      </c>
      <c r="HD10" s="393">
        <v>0.4838709677419355</v>
      </c>
      <c r="HE10" s="393">
        <v>0.21954490651283889</v>
      </c>
      <c r="HF10" s="393">
        <v>0.446319119071519</v>
      </c>
      <c r="HG10" s="393">
        <v>0.36409859838245739</v>
      </c>
      <c r="HH10" s="93">
        <v>0.60552540394339316</v>
      </c>
      <c r="HI10" s="696">
        <v>163</v>
      </c>
      <c r="HJ10" s="696">
        <v>44</v>
      </c>
      <c r="HK10" s="696">
        <v>119</v>
      </c>
      <c r="HL10" s="697">
        <v>0.73006134969325154</v>
      </c>
      <c r="HM10" s="696">
        <v>29</v>
      </c>
      <c r="HN10" s="696">
        <v>14</v>
      </c>
      <c r="HO10" s="696">
        <v>43</v>
      </c>
      <c r="HP10" s="697">
        <v>0.24369747899159663</v>
      </c>
      <c r="HQ10" s="697">
        <v>0.36134453781512604</v>
      </c>
      <c r="HR10" s="697">
        <v>0.17537185114121032</v>
      </c>
      <c r="HS10" s="697">
        <v>0.32805312780633844</v>
      </c>
      <c r="HT10" s="697">
        <v>0.28061871270875605</v>
      </c>
      <c r="HU10" s="698">
        <v>0.45074234147598352</v>
      </c>
      <c r="HV10" s="3">
        <v>134</v>
      </c>
      <c r="HW10" s="3">
        <v>10</v>
      </c>
      <c r="HX10" s="17">
        <v>7.4626865671641784E-2</v>
      </c>
      <c r="HY10" s="17">
        <v>4.10383252681309E-2</v>
      </c>
      <c r="HZ10" s="17">
        <v>0.13192457736414165</v>
      </c>
      <c r="IA10" s="267" t="s">
        <v>707</v>
      </c>
      <c r="IB10" s="3">
        <v>133</v>
      </c>
      <c r="IC10" s="3">
        <v>16</v>
      </c>
      <c r="ID10" s="17">
        <v>0.12030075187969924</v>
      </c>
      <c r="IE10" s="17">
        <v>7.5421813311987967E-2</v>
      </c>
      <c r="IF10" s="17">
        <v>0.18649777691729955</v>
      </c>
      <c r="IG10" s="3" t="s">
        <v>707</v>
      </c>
      <c r="IH10" s="3">
        <v>145</v>
      </c>
      <c r="II10" s="3">
        <v>17</v>
      </c>
      <c r="IJ10" s="17">
        <v>0.11724137931034483</v>
      </c>
      <c r="IK10" s="17">
        <v>7.4501409163335197E-2</v>
      </c>
      <c r="IL10" s="17">
        <v>0.17973863336594997</v>
      </c>
      <c r="IM10" s="3" t="s">
        <v>707</v>
      </c>
      <c r="IN10" s="3">
        <v>157</v>
      </c>
      <c r="IO10" s="3">
        <v>12</v>
      </c>
      <c r="IP10" s="17">
        <v>7.6433121019108277E-2</v>
      </c>
      <c r="IQ10" s="17">
        <v>4.42610640242889E-2</v>
      </c>
      <c r="IR10" s="17">
        <v>0.12883770680774978</v>
      </c>
      <c r="IS10" s="3" t="s">
        <v>707</v>
      </c>
      <c r="IT10" s="3">
        <v>89</v>
      </c>
      <c r="IU10" s="3">
        <v>12</v>
      </c>
      <c r="IV10" s="17">
        <v>0.1348314606741573</v>
      </c>
      <c r="IW10" s="17">
        <v>7.8842712007378024E-2</v>
      </c>
      <c r="IX10" s="17">
        <v>0.22103903451348048</v>
      </c>
      <c r="IY10" s="9" t="s">
        <v>707</v>
      </c>
      <c r="IZ10" s="9">
        <v>181</v>
      </c>
      <c r="JA10" s="9">
        <v>22</v>
      </c>
      <c r="JB10" s="393">
        <v>0.12154696132596685</v>
      </c>
      <c r="JC10" s="393">
        <v>8.1653667211610298E-2</v>
      </c>
      <c r="JD10" s="393">
        <v>0.17717061996902073</v>
      </c>
      <c r="JE10" s="9" t="str">
        <f t="shared" si="0"/>
        <v>No Sig diff</v>
      </c>
      <c r="JF10" s="9">
        <v>168</v>
      </c>
      <c r="JG10" s="109">
        <v>16</v>
      </c>
      <c r="JH10" s="258">
        <v>9.5238095238095233E-2</v>
      </c>
      <c r="JI10" s="258">
        <v>5.9474309403575225E-2</v>
      </c>
      <c r="JJ10" s="258">
        <v>0.14909851735584173</v>
      </c>
      <c r="JK10" s="662" t="str">
        <f t="shared" si="3"/>
        <v>No Sig diff</v>
      </c>
      <c r="JL10" s="3">
        <v>134</v>
      </c>
      <c r="JM10" s="3">
        <v>21</v>
      </c>
      <c r="JN10" s="17">
        <v>0.15671641791044777</v>
      </c>
      <c r="JO10" s="17">
        <v>0.10484592586579597</v>
      </c>
      <c r="JP10" s="17">
        <v>0.22772062713568716</v>
      </c>
      <c r="JQ10" s="3" t="s">
        <v>707</v>
      </c>
      <c r="JR10" s="3">
        <v>141</v>
      </c>
      <c r="JS10" s="3">
        <v>16</v>
      </c>
      <c r="JT10" s="17">
        <v>0.11347517730496454</v>
      </c>
      <c r="JU10" s="17">
        <v>7.1065842891182035E-2</v>
      </c>
      <c r="JV10" s="17">
        <v>0.17638719377744136</v>
      </c>
      <c r="JW10" s="3" t="s">
        <v>708</v>
      </c>
      <c r="JX10" s="3">
        <v>124</v>
      </c>
      <c r="JY10" s="3">
        <v>23</v>
      </c>
      <c r="JZ10" s="17">
        <v>0.18548387096774194</v>
      </c>
      <c r="KA10" s="17">
        <v>0.12689752251284481</v>
      </c>
      <c r="KB10" s="17">
        <v>0.26297176778209758</v>
      </c>
      <c r="KC10" s="3" t="s">
        <v>707</v>
      </c>
      <c r="KD10" s="3">
        <v>120</v>
      </c>
      <c r="KE10" s="3">
        <v>21</v>
      </c>
      <c r="KF10" s="17">
        <v>0.17499999999999999</v>
      </c>
      <c r="KG10" s="17">
        <v>0.1174053594456646</v>
      </c>
      <c r="KH10" s="17">
        <v>0.2527570987264926</v>
      </c>
      <c r="KI10" s="3" t="s">
        <v>707</v>
      </c>
      <c r="KJ10" s="3">
        <v>130</v>
      </c>
      <c r="KK10" s="3">
        <v>29</v>
      </c>
      <c r="KL10" s="17">
        <v>0.22307692307692309</v>
      </c>
      <c r="KM10" s="17">
        <v>0.1600493909503575</v>
      </c>
      <c r="KN10" s="17">
        <v>0.30200070448040445</v>
      </c>
      <c r="KO10" s="465" t="s">
        <v>707</v>
      </c>
      <c r="KP10" s="465">
        <v>138</v>
      </c>
      <c r="KQ10" s="465">
        <v>23</v>
      </c>
      <c r="KR10" s="393">
        <v>0.16666666666666666</v>
      </c>
      <c r="KS10" s="393">
        <v>0.11370238105954379</v>
      </c>
      <c r="KT10" s="393">
        <v>0.23768612858417149</v>
      </c>
      <c r="KU10" s="465" t="s">
        <v>772</v>
      </c>
      <c r="KV10" s="465">
        <v>127</v>
      </c>
      <c r="KW10" s="465">
        <v>27</v>
      </c>
      <c r="KX10" s="393">
        <v>0.2125984251968504</v>
      </c>
      <c r="KY10" s="393">
        <v>0.15042471749493563</v>
      </c>
      <c r="KZ10" s="393">
        <v>0.29164814948494405</v>
      </c>
      <c r="LA10" s="660" t="str">
        <f t="shared" si="4"/>
        <v>No Sig diff</v>
      </c>
      <c r="LB10" s="3">
        <v>176</v>
      </c>
      <c r="LC10" s="3">
        <v>88</v>
      </c>
      <c r="LD10" s="17">
        <v>0.5</v>
      </c>
      <c r="LE10" s="17">
        <v>0.42692426588174481</v>
      </c>
      <c r="LF10" s="17">
        <v>0.57307573411825519</v>
      </c>
      <c r="LG10" s="3">
        <v>176</v>
      </c>
      <c r="LH10" s="3">
        <v>34</v>
      </c>
      <c r="LI10" s="3">
        <v>35</v>
      </c>
      <c r="LJ10" s="293">
        <v>20.428571428571427</v>
      </c>
      <c r="LK10" s="17">
        <v>0.39915966386554624</v>
      </c>
      <c r="LL10" s="3">
        <v>166</v>
      </c>
      <c r="LM10" s="3">
        <v>94</v>
      </c>
      <c r="LN10" s="17">
        <v>0.5662650602409639</v>
      </c>
      <c r="LO10" s="17">
        <v>0.49021826324741552</v>
      </c>
      <c r="LP10" s="17">
        <v>0.63931430290432689</v>
      </c>
      <c r="LQ10" s="3">
        <v>166</v>
      </c>
      <c r="LR10" s="3">
        <v>34</v>
      </c>
      <c r="LS10" s="3">
        <v>33</v>
      </c>
      <c r="LT10" s="293">
        <v>21.151515151515156</v>
      </c>
      <c r="LU10" s="18">
        <v>0.3778966131907307</v>
      </c>
      <c r="LV10" s="42">
        <v>199</v>
      </c>
      <c r="LW10" s="42">
        <v>126</v>
      </c>
      <c r="LX10" s="18">
        <v>0.63316582914572861</v>
      </c>
      <c r="LY10" s="18">
        <v>0.56427309626650612</v>
      </c>
      <c r="LZ10" s="18">
        <v>0.69701471100986756</v>
      </c>
      <c r="MA10" s="337">
        <v>34</v>
      </c>
      <c r="MB10" s="337">
        <v>39</v>
      </c>
      <c r="MC10" s="294">
        <v>24.7</v>
      </c>
      <c r="MD10" s="393">
        <v>0.27400000000000002</v>
      </c>
      <c r="ME10" s="337">
        <v>185</v>
      </c>
      <c r="MF10" s="337">
        <v>118</v>
      </c>
      <c r="MG10" s="393">
        <v>0.63783783783783787</v>
      </c>
      <c r="MH10" s="393">
        <v>0.56642680107721521</v>
      </c>
      <c r="MI10" s="393">
        <v>0.70364101304841464</v>
      </c>
      <c r="MJ10" s="337">
        <v>34</v>
      </c>
      <c r="MK10" s="337">
        <v>37</v>
      </c>
      <c r="ML10" s="294">
        <v>23.297297297297298</v>
      </c>
      <c r="MM10" s="93">
        <v>0.31478537360890302</v>
      </c>
      <c r="MN10" s="17">
        <v>0.83149350649350662</v>
      </c>
      <c r="MO10" s="17">
        <v>0.16850649350649349</v>
      </c>
      <c r="MP10" s="17">
        <v>0.10610728809302103</v>
      </c>
      <c r="MQ10" s="17">
        <v>0.26237061298884162</v>
      </c>
      <c r="MR10" s="17">
        <v>0.86493506493506489</v>
      </c>
      <c r="MS10" s="17">
        <v>0.13506493506493505</v>
      </c>
      <c r="MT10" s="17">
        <v>7.9758668273817196E-2</v>
      </c>
      <c r="MU10" s="17">
        <v>0.2233893605061692</v>
      </c>
      <c r="MV10" s="17">
        <v>0.87402597402597404</v>
      </c>
      <c r="MW10" s="17">
        <v>0.12597402597402596</v>
      </c>
      <c r="MX10" s="17">
        <v>7.1252008979545867E-2</v>
      </c>
      <c r="MY10" s="17">
        <v>0.21011939569981511</v>
      </c>
      <c r="MZ10" s="17">
        <v>0.7033549783549784</v>
      </c>
      <c r="NA10" s="17">
        <v>0.29664502164502166</v>
      </c>
      <c r="NB10" s="17">
        <v>0.24027691667974599</v>
      </c>
      <c r="NC10" s="93">
        <v>0.43307372181087261</v>
      </c>
      <c r="ND10" s="337">
        <v>11</v>
      </c>
      <c r="NE10" s="337">
        <v>36</v>
      </c>
      <c r="NF10" s="393">
        <v>0.30555555555555558</v>
      </c>
      <c r="NG10" s="393">
        <v>0.18004451594829921</v>
      </c>
      <c r="NH10" s="393">
        <v>0.46856272850510333</v>
      </c>
      <c r="NI10" s="337">
        <v>7</v>
      </c>
      <c r="NJ10" s="337">
        <v>36</v>
      </c>
      <c r="NK10" s="393">
        <v>0.19444444444444445</v>
      </c>
      <c r="NL10" s="393">
        <v>9.7530954189287283E-2</v>
      </c>
      <c r="NM10" s="393">
        <v>0.35028042995177378</v>
      </c>
      <c r="NN10" s="337">
        <v>8</v>
      </c>
      <c r="NO10" s="337">
        <v>36</v>
      </c>
      <c r="NP10" s="393">
        <v>0.22222222222222221</v>
      </c>
      <c r="NQ10" s="393">
        <v>0.11716331975796461</v>
      </c>
      <c r="NR10" s="393">
        <v>0.38084702946118182</v>
      </c>
      <c r="NS10" s="337">
        <v>8</v>
      </c>
      <c r="NT10" s="337">
        <v>36</v>
      </c>
      <c r="NU10" s="393">
        <v>0.22222222222222221</v>
      </c>
      <c r="NV10" s="393">
        <v>0.11716331975796461</v>
      </c>
      <c r="NW10" s="93">
        <v>0.38084702946118182</v>
      </c>
      <c r="NX10" s="3">
        <v>43</v>
      </c>
      <c r="NY10" s="3">
        <v>43</v>
      </c>
      <c r="NZ10" s="3">
        <v>43</v>
      </c>
      <c r="OA10" s="3">
        <v>43</v>
      </c>
      <c r="OB10" s="3">
        <v>43</v>
      </c>
      <c r="OC10" s="3">
        <v>48</v>
      </c>
      <c r="OD10" s="3">
        <v>47</v>
      </c>
      <c r="OE10" s="3">
        <v>48</v>
      </c>
      <c r="OF10" s="3">
        <v>48</v>
      </c>
      <c r="OG10" s="3">
        <v>48</v>
      </c>
      <c r="OH10" s="3">
        <v>48</v>
      </c>
      <c r="OI10" s="3">
        <v>47</v>
      </c>
      <c r="OJ10" s="3">
        <v>48</v>
      </c>
      <c r="OK10" s="3">
        <v>51</v>
      </c>
      <c r="OL10" s="3">
        <v>50</v>
      </c>
      <c r="OM10" s="3">
        <v>49</v>
      </c>
      <c r="ON10" s="3">
        <v>47</v>
      </c>
      <c r="OO10" s="3">
        <v>49</v>
      </c>
      <c r="OP10" s="3">
        <v>50</v>
      </c>
      <c r="OQ10" s="3">
        <v>49</v>
      </c>
      <c r="OR10" s="3">
        <v>49</v>
      </c>
      <c r="OS10" s="3">
        <v>49</v>
      </c>
      <c r="OT10" s="6">
        <v>49</v>
      </c>
      <c r="OU10" s="3">
        <v>190</v>
      </c>
      <c r="OV10" s="22">
        <v>0.95299999999999996</v>
      </c>
      <c r="OW10" s="22">
        <v>0</v>
      </c>
      <c r="OX10" s="22">
        <v>0.95299999999999996</v>
      </c>
      <c r="OY10" s="3">
        <v>181</v>
      </c>
      <c r="OZ10" s="3">
        <v>0</v>
      </c>
      <c r="PA10" s="3">
        <v>181</v>
      </c>
      <c r="PB10" s="3">
        <v>138</v>
      </c>
      <c r="PC10" s="22">
        <v>0.97799999999999998</v>
      </c>
      <c r="PD10" s="22">
        <v>0.92800000000000005</v>
      </c>
      <c r="PE10" s="22">
        <v>0.95699999999999996</v>
      </c>
      <c r="PF10" s="22">
        <v>0.91300000000000003</v>
      </c>
      <c r="PG10" s="22">
        <v>0.92</v>
      </c>
      <c r="PH10" s="3">
        <v>135</v>
      </c>
      <c r="PI10" s="3">
        <v>128</v>
      </c>
      <c r="PJ10" s="3">
        <v>132</v>
      </c>
      <c r="PK10" s="3">
        <v>126</v>
      </c>
      <c r="PL10" s="3">
        <v>127</v>
      </c>
      <c r="PM10" s="3">
        <v>185</v>
      </c>
      <c r="PN10" s="22">
        <v>0.97299999999999998</v>
      </c>
      <c r="PO10" s="22">
        <v>0.94599999999999995</v>
      </c>
      <c r="PP10" s="22">
        <v>0.97299999999999998</v>
      </c>
      <c r="PQ10" s="22">
        <v>0.97299999999999998</v>
      </c>
      <c r="PR10" s="22">
        <v>0.96799999999999997</v>
      </c>
      <c r="PS10" s="22">
        <v>0.91400000000000003</v>
      </c>
      <c r="PT10" s="22">
        <v>0.94599999999999995</v>
      </c>
      <c r="PU10" s="22">
        <v>0.95099999999999996</v>
      </c>
      <c r="PV10" s="22">
        <v>0.97299999999999998</v>
      </c>
      <c r="PW10" s="22">
        <v>0.89700000000000002</v>
      </c>
      <c r="PX10" s="3">
        <v>180</v>
      </c>
      <c r="PY10" s="3">
        <v>175</v>
      </c>
      <c r="PZ10" s="3">
        <v>180</v>
      </c>
      <c r="QA10" s="3">
        <v>180</v>
      </c>
      <c r="QB10" s="3">
        <v>179</v>
      </c>
      <c r="QC10" s="3">
        <v>169</v>
      </c>
      <c r="QD10" s="3">
        <v>175</v>
      </c>
      <c r="QE10" s="3">
        <v>176</v>
      </c>
      <c r="QF10" s="3">
        <v>180</v>
      </c>
      <c r="QG10" s="6">
        <v>166</v>
      </c>
      <c r="QH10" s="37">
        <v>165</v>
      </c>
      <c r="QI10" s="17">
        <v>0.95757575757575752</v>
      </c>
      <c r="QJ10" s="17">
        <v>0.21212121212121213</v>
      </c>
      <c r="QK10" s="17">
        <v>0.97575757575757571</v>
      </c>
      <c r="QL10" s="37">
        <v>158</v>
      </c>
      <c r="QM10" s="37">
        <v>35</v>
      </c>
      <c r="QN10" s="37">
        <v>161</v>
      </c>
      <c r="QO10" s="37">
        <v>184</v>
      </c>
      <c r="QP10" s="17">
        <v>0.96195652173913049</v>
      </c>
      <c r="QQ10" s="17">
        <v>0.92934782608695654</v>
      </c>
      <c r="QR10" s="17">
        <v>0.71195652173913049</v>
      </c>
      <c r="QS10" s="17">
        <v>0.93478260869565222</v>
      </c>
      <c r="QT10" s="17">
        <v>0.68478260869565222</v>
      </c>
      <c r="QU10" s="37">
        <v>177</v>
      </c>
      <c r="QV10" s="37">
        <v>171</v>
      </c>
      <c r="QW10" s="37">
        <v>131</v>
      </c>
      <c r="QX10" s="37">
        <v>172</v>
      </c>
      <c r="QY10" s="37">
        <v>126</v>
      </c>
      <c r="QZ10" s="3">
        <v>152</v>
      </c>
      <c r="RA10" s="17">
        <v>0.96710526315789469</v>
      </c>
      <c r="RB10" s="17">
        <v>0.91447368421052633</v>
      </c>
      <c r="RC10" s="17">
        <v>0.96710526315789469</v>
      </c>
      <c r="RD10" s="17">
        <v>0.96710526315789469</v>
      </c>
      <c r="RE10" s="17">
        <v>0.75</v>
      </c>
      <c r="RF10" s="17">
        <v>0.94736842105263153</v>
      </c>
      <c r="RG10" s="17">
        <v>0.95394736842105265</v>
      </c>
      <c r="RH10" s="17">
        <v>0.92763157894736847</v>
      </c>
      <c r="RI10" s="17">
        <v>0.74342105263157898</v>
      </c>
      <c r="RJ10" s="17">
        <v>0.69078947368421051</v>
      </c>
      <c r="RK10" s="37">
        <v>147</v>
      </c>
      <c r="RL10" s="37">
        <v>139</v>
      </c>
      <c r="RM10" s="37">
        <v>147</v>
      </c>
      <c r="RN10" s="37">
        <v>147</v>
      </c>
      <c r="RO10" s="37">
        <v>114</v>
      </c>
      <c r="RP10" s="37">
        <v>144</v>
      </c>
      <c r="RQ10" s="37">
        <v>145</v>
      </c>
      <c r="RR10" s="37">
        <v>141</v>
      </c>
      <c r="RS10" s="37">
        <v>113</v>
      </c>
      <c r="RT10" s="38">
        <v>105</v>
      </c>
    </row>
    <row r="11" spans="1:488" s="3" customFormat="1" ht="13.5" customHeight="1" x14ac:dyDescent="0.2">
      <c r="A11" s="9" t="s">
        <v>49</v>
      </c>
      <c r="B11" s="6">
        <v>18</v>
      </c>
      <c r="C11" s="9" t="s">
        <v>190</v>
      </c>
      <c r="D11" s="9" t="s">
        <v>191</v>
      </c>
      <c r="E11" s="9" t="s">
        <v>286</v>
      </c>
      <c r="F11" s="9" t="s">
        <v>286</v>
      </c>
      <c r="G11" s="9" t="s">
        <v>192</v>
      </c>
      <c r="H11" s="9" t="s">
        <v>79</v>
      </c>
      <c r="I11" s="9" t="s">
        <v>79</v>
      </c>
      <c r="J11" s="9" t="s">
        <v>269</v>
      </c>
      <c r="K11" s="9" t="s">
        <v>377</v>
      </c>
      <c r="L11" s="9" t="s">
        <v>272</v>
      </c>
      <c r="M11" s="9" t="s">
        <v>342</v>
      </c>
      <c r="N11" s="3" t="s">
        <v>79</v>
      </c>
      <c r="O11" s="9">
        <v>525457</v>
      </c>
      <c r="P11" s="9">
        <v>134431</v>
      </c>
      <c r="Q11" s="109">
        <v>20445</v>
      </c>
      <c r="R11" s="109">
        <v>80266</v>
      </c>
      <c r="S11" s="310" t="s">
        <v>797</v>
      </c>
      <c r="T11" s="36">
        <v>12395</v>
      </c>
      <c r="U11" s="37">
        <v>12545</v>
      </c>
      <c r="V11" s="37">
        <v>12795</v>
      </c>
      <c r="W11" s="37">
        <v>12885</v>
      </c>
      <c r="X11" s="37">
        <v>12975</v>
      </c>
      <c r="Y11" s="37">
        <v>13115</v>
      </c>
      <c r="Z11" s="37">
        <v>13335</v>
      </c>
      <c r="AA11" s="37">
        <v>13525</v>
      </c>
      <c r="AB11" s="37">
        <v>13620</v>
      </c>
      <c r="AC11" s="42">
        <v>13828</v>
      </c>
      <c r="AD11" s="42">
        <v>13961</v>
      </c>
      <c r="AE11" s="36">
        <v>960</v>
      </c>
      <c r="AF11" s="37">
        <v>985</v>
      </c>
      <c r="AG11" s="37">
        <v>1050</v>
      </c>
      <c r="AH11" s="37">
        <v>1105</v>
      </c>
      <c r="AI11" s="37">
        <v>1125</v>
      </c>
      <c r="AJ11" s="37">
        <v>1140</v>
      </c>
      <c r="AK11" s="37">
        <v>1215</v>
      </c>
      <c r="AL11" s="37">
        <v>1225</v>
      </c>
      <c r="AM11" s="37">
        <v>1240</v>
      </c>
      <c r="AN11" s="42">
        <v>1221</v>
      </c>
      <c r="AO11" s="42">
        <v>1193</v>
      </c>
      <c r="AP11" s="13">
        <v>1185</v>
      </c>
      <c r="AQ11" s="3">
        <v>705</v>
      </c>
      <c r="AR11" s="3">
        <v>88</v>
      </c>
      <c r="AS11" s="3">
        <v>103</v>
      </c>
      <c r="AT11" s="3">
        <v>181</v>
      </c>
      <c r="AU11" s="3">
        <v>96</v>
      </c>
      <c r="AV11" s="3">
        <v>12</v>
      </c>
      <c r="AW11" s="9">
        <v>480</v>
      </c>
      <c r="AX11" s="16">
        <v>0.59493670886075944</v>
      </c>
      <c r="AY11" s="17">
        <v>7.4261603375527424E-2</v>
      </c>
      <c r="AZ11" s="17">
        <v>8.6919831223628688E-2</v>
      </c>
      <c r="BA11" s="17">
        <v>0.15274261603375527</v>
      </c>
      <c r="BB11" s="17">
        <v>8.1012658227848103E-2</v>
      </c>
      <c r="BC11" s="17">
        <v>1.0126582278481013E-2</v>
      </c>
      <c r="BD11" s="18">
        <v>0.40506329113924056</v>
      </c>
      <c r="BE11" s="13">
        <v>2461</v>
      </c>
      <c r="BF11" s="3">
        <v>2196</v>
      </c>
      <c r="BG11" s="3">
        <v>265</v>
      </c>
      <c r="BH11" s="3">
        <v>217</v>
      </c>
      <c r="BI11" s="3">
        <v>48</v>
      </c>
      <c r="BJ11" s="17">
        <v>0.81886792452830193</v>
      </c>
      <c r="BK11" s="18">
        <v>0.1811320754716981</v>
      </c>
      <c r="BL11" s="13">
        <v>2081</v>
      </c>
      <c r="BM11" s="17">
        <v>0.36184526669870254</v>
      </c>
      <c r="BN11" s="17">
        <v>0.45218644882268139</v>
      </c>
      <c r="BO11" s="18">
        <v>0.18596828447861605</v>
      </c>
      <c r="BP11" s="36">
        <v>3613</v>
      </c>
      <c r="BQ11" s="37">
        <v>371</v>
      </c>
      <c r="BR11" s="37">
        <v>307</v>
      </c>
      <c r="BS11" s="37">
        <v>237</v>
      </c>
      <c r="BT11" s="37">
        <v>3554</v>
      </c>
      <c r="BU11" s="37">
        <v>1922</v>
      </c>
      <c r="BV11" s="18">
        <v>0.2023933402705515</v>
      </c>
      <c r="BW11" s="36">
        <v>855</v>
      </c>
      <c r="BX11" s="37">
        <v>0</v>
      </c>
      <c r="BY11" s="37">
        <v>297</v>
      </c>
      <c r="BZ11" s="37">
        <v>555</v>
      </c>
      <c r="CA11" s="37">
        <v>214</v>
      </c>
      <c r="CB11" s="38">
        <v>1921</v>
      </c>
      <c r="CC11" s="37">
        <v>924</v>
      </c>
      <c r="CD11" s="37">
        <v>677</v>
      </c>
      <c r="CE11" s="37">
        <v>241</v>
      </c>
      <c r="CF11" s="37">
        <v>247</v>
      </c>
      <c r="CG11" s="17">
        <v>0.26082251082251084</v>
      </c>
      <c r="CH11" s="93">
        <v>0.26731601731601734</v>
      </c>
      <c r="CI11" s="37">
        <v>220</v>
      </c>
      <c r="CJ11" s="37">
        <v>210</v>
      </c>
      <c r="CK11" s="37">
        <v>185</v>
      </c>
      <c r="CL11" s="37">
        <v>190</v>
      </c>
      <c r="CM11" s="42">
        <v>185</v>
      </c>
      <c r="CN11" s="42">
        <v>160</v>
      </c>
      <c r="CO11" s="36">
        <v>554</v>
      </c>
      <c r="CP11" s="37">
        <v>274</v>
      </c>
      <c r="CQ11" s="17">
        <v>0.49458483754512633</v>
      </c>
      <c r="CR11" s="38">
        <v>38</v>
      </c>
      <c r="CS11" s="37">
        <v>263</v>
      </c>
      <c r="CT11" s="37">
        <v>216</v>
      </c>
      <c r="CU11" s="37">
        <v>257</v>
      </c>
      <c r="CV11" s="37">
        <v>242</v>
      </c>
      <c r="CW11" s="37">
        <v>230</v>
      </c>
      <c r="CX11" s="526" t="s">
        <v>471</v>
      </c>
      <c r="CY11" s="568">
        <v>158</v>
      </c>
      <c r="CZ11" s="37">
        <v>15</v>
      </c>
      <c r="DA11" s="37">
        <v>13</v>
      </c>
      <c r="DB11" s="37">
        <v>15</v>
      </c>
      <c r="DC11" s="37">
        <v>17</v>
      </c>
      <c r="DD11" s="37">
        <v>13</v>
      </c>
      <c r="DE11" s="528" t="s">
        <v>471</v>
      </c>
      <c r="DF11" s="716">
        <v>8</v>
      </c>
      <c r="DG11" s="13">
        <v>33</v>
      </c>
      <c r="DH11" s="13">
        <v>23</v>
      </c>
      <c r="DI11" s="17">
        <v>0.1</v>
      </c>
      <c r="DJ11" s="17">
        <v>6.7562529376324273E-2</v>
      </c>
      <c r="DK11" s="18">
        <v>0.14557956729059632</v>
      </c>
      <c r="DL11" s="425" t="s">
        <v>286</v>
      </c>
      <c r="DM11" s="258" t="s">
        <v>286</v>
      </c>
      <c r="DN11" s="258" t="s">
        <v>286</v>
      </c>
      <c r="DO11" s="258" t="s">
        <v>286</v>
      </c>
      <c r="DP11" s="337">
        <v>20</v>
      </c>
      <c r="DQ11" s="393">
        <v>0.12658227848101267</v>
      </c>
      <c r="DR11" s="393">
        <v>8.3457366525353502E-2</v>
      </c>
      <c r="DS11" s="393">
        <v>0.18743403015481694</v>
      </c>
      <c r="DT11" s="13">
        <v>23</v>
      </c>
      <c r="DU11" s="18">
        <v>1.9409282700421943E-2</v>
      </c>
      <c r="DV11" s="328">
        <v>1</v>
      </c>
      <c r="DW11" s="333">
        <v>1</v>
      </c>
      <c r="DX11" s="337">
        <v>1</v>
      </c>
      <c r="DY11" s="393">
        <v>0.30277410832232493</v>
      </c>
      <c r="DZ11" s="337">
        <v>1</v>
      </c>
      <c r="EA11" s="93">
        <v>0.26136811682385153</v>
      </c>
      <c r="EB11" s="3">
        <v>354</v>
      </c>
      <c r="EC11" s="18">
        <v>6.9019302008188732E-2</v>
      </c>
      <c r="ED11" s="13">
        <v>300</v>
      </c>
      <c r="EE11" s="3">
        <v>305</v>
      </c>
      <c r="EF11" s="3">
        <v>310</v>
      </c>
      <c r="EG11" s="3">
        <v>285</v>
      </c>
      <c r="EH11" s="9">
        <v>280</v>
      </c>
      <c r="EI11" s="9">
        <v>235</v>
      </c>
      <c r="EJ11" s="13">
        <v>305</v>
      </c>
      <c r="EK11" s="17">
        <v>0.28638497652582162</v>
      </c>
      <c r="EL11" s="17">
        <v>0.26004001927954451</v>
      </c>
      <c r="EM11" s="17">
        <v>0.31426541559568572</v>
      </c>
      <c r="EN11" s="3">
        <v>335</v>
      </c>
      <c r="EO11" s="17">
        <v>0.30454545454545456</v>
      </c>
      <c r="EP11" s="17">
        <v>0.27806804915169442</v>
      </c>
      <c r="EQ11" s="17">
        <v>0.33238325564039323</v>
      </c>
      <c r="ER11" s="3">
        <v>285</v>
      </c>
      <c r="ES11" s="17">
        <v>0.27014218009478674</v>
      </c>
      <c r="ET11" s="17">
        <v>0.24421777304016667</v>
      </c>
      <c r="EU11" s="17">
        <v>0.29773442767911912</v>
      </c>
      <c r="EV11" s="3">
        <v>305</v>
      </c>
      <c r="EW11" s="17">
        <v>0.27111111111111114</v>
      </c>
      <c r="EX11" s="17">
        <v>0.24594633140851094</v>
      </c>
      <c r="EY11" s="17">
        <v>0.29783371318869689</v>
      </c>
      <c r="EZ11" s="3">
        <v>290</v>
      </c>
      <c r="FA11" s="18">
        <v>0.25108225108225107</v>
      </c>
      <c r="FB11" s="18">
        <v>0.22692705995967172</v>
      </c>
      <c r="FC11" s="18">
        <v>0.27688772365606629</v>
      </c>
      <c r="FD11" s="337">
        <v>275</v>
      </c>
      <c r="FE11" s="18">
        <v>0.24229074889867841</v>
      </c>
      <c r="FF11" s="18">
        <v>0.21825994159127288</v>
      </c>
      <c r="FG11" s="393">
        <v>0.26806012915344196</v>
      </c>
      <c r="FH11" s="425" t="s">
        <v>286</v>
      </c>
      <c r="FI11" s="258" t="s">
        <v>286</v>
      </c>
      <c r="FJ11" s="258" t="s">
        <v>286</v>
      </c>
      <c r="FK11" s="258" t="s">
        <v>286</v>
      </c>
      <c r="FL11" s="36">
        <v>900</v>
      </c>
      <c r="FM11" s="18">
        <v>0.29079159935379645</v>
      </c>
      <c r="FN11" s="42">
        <v>920</v>
      </c>
      <c r="FO11" s="18">
        <v>0.28885400313971743</v>
      </c>
      <c r="FP11" s="42">
        <v>835</v>
      </c>
      <c r="FQ11" s="18">
        <v>0.26935483870967741</v>
      </c>
      <c r="FR11" s="42">
        <v>865</v>
      </c>
      <c r="FS11" s="18">
        <v>0.27416798732171155</v>
      </c>
      <c r="FT11" s="42">
        <v>835</v>
      </c>
      <c r="FU11" s="18">
        <v>0.25692307692307692</v>
      </c>
      <c r="FV11" s="42">
        <v>785</v>
      </c>
      <c r="FW11" s="393">
        <v>0.24265842349304481</v>
      </c>
      <c r="FX11" s="114" t="s">
        <v>286</v>
      </c>
      <c r="FY11" s="259" t="s">
        <v>286</v>
      </c>
      <c r="FZ11" s="3">
        <v>225</v>
      </c>
      <c r="GA11" s="3">
        <v>5</v>
      </c>
      <c r="GB11" s="3">
        <v>220</v>
      </c>
      <c r="GC11" s="17">
        <v>0.97777777777777775</v>
      </c>
      <c r="GD11" s="3">
        <v>62</v>
      </c>
      <c r="GE11" s="3">
        <v>96</v>
      </c>
      <c r="GF11" s="17">
        <v>0.2818181818181818</v>
      </c>
      <c r="GG11" s="17">
        <v>0.43636363636363634</v>
      </c>
      <c r="GH11" s="17">
        <v>0.22650690611361948</v>
      </c>
      <c r="GI11" s="17">
        <v>0.34461838963122865</v>
      </c>
      <c r="GJ11" s="17">
        <v>0.37247710485794949</v>
      </c>
      <c r="GK11" s="93">
        <v>0.50243443973429791</v>
      </c>
      <c r="GL11" s="337">
        <v>185</v>
      </c>
      <c r="GM11" s="337">
        <v>64</v>
      </c>
      <c r="GN11" s="337">
        <v>32</v>
      </c>
      <c r="GO11" s="337">
        <v>96</v>
      </c>
      <c r="GP11" s="393">
        <v>0.34594594594594597</v>
      </c>
      <c r="GQ11" s="393">
        <v>0.51891891891891895</v>
      </c>
      <c r="GR11" s="393">
        <v>0.28116358134769659</v>
      </c>
      <c r="GS11" s="393">
        <v>0.4169959205118936</v>
      </c>
      <c r="GT11" s="393">
        <v>0.44727097688374406</v>
      </c>
      <c r="GU11" s="93">
        <v>0.58979715446683256</v>
      </c>
      <c r="GV11" s="42">
        <v>193</v>
      </c>
      <c r="GW11" s="42">
        <v>26</v>
      </c>
      <c r="GX11" s="42">
        <v>167</v>
      </c>
      <c r="GY11" s="393">
        <f t="shared" si="2"/>
        <v>0.86528497409326421</v>
      </c>
      <c r="GZ11" s="42">
        <v>46</v>
      </c>
      <c r="HA11" s="42">
        <v>38</v>
      </c>
      <c r="HB11" s="42">
        <v>84</v>
      </c>
      <c r="HC11" s="393">
        <v>0.27544910179640719</v>
      </c>
      <c r="HD11" s="393">
        <v>0.50299401197604787</v>
      </c>
      <c r="HE11" s="393">
        <v>0.21331875550719528</v>
      </c>
      <c r="HF11" s="393">
        <v>0.34767773493652127</v>
      </c>
      <c r="HG11" s="393">
        <v>0.42795214338309417</v>
      </c>
      <c r="HH11" s="93">
        <v>0.57790123674432292</v>
      </c>
      <c r="HI11" s="696">
        <v>149</v>
      </c>
      <c r="HJ11" s="696">
        <v>12</v>
      </c>
      <c r="HK11" s="696">
        <v>137</v>
      </c>
      <c r="HL11" s="697">
        <v>0.91946308724832215</v>
      </c>
      <c r="HM11" s="696">
        <v>44</v>
      </c>
      <c r="HN11" s="696">
        <v>23</v>
      </c>
      <c r="HO11" s="696">
        <v>67</v>
      </c>
      <c r="HP11" s="697">
        <v>0.32116788321167883</v>
      </c>
      <c r="HQ11" s="697">
        <v>0.48905109489051096</v>
      </c>
      <c r="HR11" s="697">
        <v>0.24877798989522748</v>
      </c>
      <c r="HS11" s="697">
        <v>0.40331308889441986</v>
      </c>
      <c r="HT11" s="697">
        <v>0.40679317813935312</v>
      </c>
      <c r="HU11" s="698">
        <v>0.57190627566409469</v>
      </c>
      <c r="HV11" s="3">
        <v>157</v>
      </c>
      <c r="HW11" s="3">
        <v>13</v>
      </c>
      <c r="HX11" s="17">
        <v>8.2802547770700632E-2</v>
      </c>
      <c r="HY11" s="17">
        <v>4.9027139712768814E-2</v>
      </c>
      <c r="HZ11" s="17">
        <v>0.13650623606916407</v>
      </c>
      <c r="IA11" s="267" t="s">
        <v>707</v>
      </c>
      <c r="IB11" s="3">
        <v>168</v>
      </c>
      <c r="IC11" s="3">
        <v>14</v>
      </c>
      <c r="ID11" s="17">
        <v>8.3333333333333329E-2</v>
      </c>
      <c r="IE11" s="17">
        <v>5.0287335078460824E-2</v>
      </c>
      <c r="IF11" s="17">
        <v>0.13500822187976255</v>
      </c>
      <c r="IG11" s="3" t="s">
        <v>707</v>
      </c>
      <c r="IH11" s="3">
        <v>143</v>
      </c>
      <c r="II11" s="3">
        <v>15</v>
      </c>
      <c r="IJ11" s="17">
        <v>0.1048951048951049</v>
      </c>
      <c r="IK11" s="17">
        <v>6.4604118377760339E-2</v>
      </c>
      <c r="IL11" s="17">
        <v>0.16585844371117539</v>
      </c>
      <c r="IM11" s="3" t="s">
        <v>707</v>
      </c>
      <c r="IN11" s="3">
        <v>163</v>
      </c>
      <c r="IO11" s="3">
        <v>20</v>
      </c>
      <c r="IP11" s="17">
        <v>0.12269938650306748</v>
      </c>
      <c r="IQ11" s="17">
        <v>8.0850124663024187E-2</v>
      </c>
      <c r="IR11" s="17">
        <v>0.18192304413197474</v>
      </c>
      <c r="IS11" s="3" t="s">
        <v>707</v>
      </c>
      <c r="IT11" s="3">
        <v>118</v>
      </c>
      <c r="IU11" s="3">
        <v>14</v>
      </c>
      <c r="IV11" s="17">
        <v>0.11864406779661017</v>
      </c>
      <c r="IW11" s="17">
        <v>7.2004059696760631E-2</v>
      </c>
      <c r="IX11" s="17">
        <v>0.18933111413395534</v>
      </c>
      <c r="IY11" s="9" t="s">
        <v>707</v>
      </c>
      <c r="IZ11" s="9">
        <v>209</v>
      </c>
      <c r="JA11" s="9">
        <v>19</v>
      </c>
      <c r="JB11" s="393">
        <v>9.0909090909090912E-2</v>
      </c>
      <c r="JC11" s="393">
        <v>5.8971777426872429E-2</v>
      </c>
      <c r="JD11" s="393">
        <v>0.13761331953932993</v>
      </c>
      <c r="JE11" s="9" t="str">
        <f t="shared" si="0"/>
        <v>No Sig diff</v>
      </c>
      <c r="JF11" s="9">
        <v>221</v>
      </c>
      <c r="JG11" s="109">
        <v>20</v>
      </c>
      <c r="JH11" s="258">
        <v>9.0497737556561084E-2</v>
      </c>
      <c r="JI11" s="258">
        <v>5.9347130812037047E-2</v>
      </c>
      <c r="JJ11" s="258">
        <v>0.13564119140684996</v>
      </c>
      <c r="JK11" s="662" t="str">
        <f t="shared" si="3"/>
        <v>No Sig diff</v>
      </c>
      <c r="JL11" s="3">
        <v>177</v>
      </c>
      <c r="JM11" s="3">
        <v>36</v>
      </c>
      <c r="JN11" s="17">
        <v>0.20338983050847459</v>
      </c>
      <c r="JO11" s="17">
        <v>0.15068707463179581</v>
      </c>
      <c r="JP11" s="17">
        <v>0.26869385336597923</v>
      </c>
      <c r="JQ11" s="3" t="s">
        <v>707</v>
      </c>
      <c r="JR11" s="3">
        <v>181</v>
      </c>
      <c r="JS11" s="3">
        <v>38</v>
      </c>
      <c r="JT11" s="17">
        <v>0.20994475138121546</v>
      </c>
      <c r="JU11" s="17">
        <v>0.15695179474513435</v>
      </c>
      <c r="JV11" s="17">
        <v>0.27499382681666318</v>
      </c>
      <c r="JW11" s="3" t="s">
        <v>707</v>
      </c>
      <c r="JX11" s="3">
        <v>153</v>
      </c>
      <c r="JY11" s="3">
        <v>39</v>
      </c>
      <c r="JZ11" s="17">
        <v>0.25490196078431371</v>
      </c>
      <c r="KA11" s="17">
        <v>0.1924372049079571</v>
      </c>
      <c r="KB11" s="17">
        <v>0.32937290471527553</v>
      </c>
      <c r="KC11" s="3" t="s">
        <v>707</v>
      </c>
      <c r="KD11" s="3">
        <v>158</v>
      </c>
      <c r="KE11" s="3">
        <v>30</v>
      </c>
      <c r="KF11" s="17">
        <v>0.189873417721519</v>
      </c>
      <c r="KG11" s="17">
        <v>0.13636351813386116</v>
      </c>
      <c r="KH11" s="17">
        <v>0.25810560792255161</v>
      </c>
      <c r="KI11" s="3" t="s">
        <v>707</v>
      </c>
      <c r="KJ11" s="3">
        <v>135</v>
      </c>
      <c r="KK11" s="3">
        <v>34</v>
      </c>
      <c r="KL11" s="17">
        <v>0.25185185185185183</v>
      </c>
      <c r="KM11" s="17">
        <v>0.18618896627599818</v>
      </c>
      <c r="KN11" s="17">
        <v>0.33124623954010679</v>
      </c>
      <c r="KO11" s="465" t="s">
        <v>707</v>
      </c>
      <c r="KP11" s="465">
        <v>166</v>
      </c>
      <c r="KQ11" s="465">
        <v>43</v>
      </c>
      <c r="KR11" s="393">
        <v>0.25903614457831325</v>
      </c>
      <c r="KS11" s="393">
        <v>0.19837342880652581</v>
      </c>
      <c r="KT11" s="393">
        <v>0.3305990579144108</v>
      </c>
      <c r="KU11" s="465" t="s">
        <v>709</v>
      </c>
      <c r="KV11" s="465">
        <v>158</v>
      </c>
      <c r="KW11" s="465">
        <v>40</v>
      </c>
      <c r="KX11" s="393">
        <v>0.25316455696202533</v>
      </c>
      <c r="KY11" s="393">
        <v>0.19177661448256408</v>
      </c>
      <c r="KZ11" s="393">
        <v>0.326270240950091</v>
      </c>
      <c r="LA11" s="660" t="str">
        <f t="shared" si="4"/>
        <v>No Sig diff</v>
      </c>
      <c r="LB11" s="3">
        <v>207</v>
      </c>
      <c r="LC11" s="3">
        <v>69</v>
      </c>
      <c r="LD11" s="17">
        <v>0.33333333333333331</v>
      </c>
      <c r="LE11" s="17">
        <v>0.27266724717919089</v>
      </c>
      <c r="LF11" s="17">
        <v>0.40007263810741361</v>
      </c>
      <c r="LG11" s="3">
        <v>207</v>
      </c>
      <c r="LH11" s="3">
        <v>32</v>
      </c>
      <c r="LI11" s="3">
        <v>41</v>
      </c>
      <c r="LJ11" s="293">
        <v>21.829268292682929</v>
      </c>
      <c r="LK11" s="17">
        <v>0.31783536585365846</v>
      </c>
      <c r="LL11" s="3">
        <v>215</v>
      </c>
      <c r="LM11" s="3">
        <v>109</v>
      </c>
      <c r="LN11" s="17">
        <v>0.50697674418604655</v>
      </c>
      <c r="LO11" s="17">
        <v>0.44061558411635232</v>
      </c>
      <c r="LP11" s="17">
        <v>0.57309297008615845</v>
      </c>
      <c r="LQ11" s="3">
        <v>215</v>
      </c>
      <c r="LR11" s="3">
        <v>33</v>
      </c>
      <c r="LS11" s="3">
        <v>43</v>
      </c>
      <c r="LT11" s="293">
        <v>23.720930232558143</v>
      </c>
      <c r="LU11" s="18">
        <v>0.28118393234672295</v>
      </c>
      <c r="LV11" s="42">
        <v>218</v>
      </c>
      <c r="LW11" s="42">
        <v>113</v>
      </c>
      <c r="LX11" s="18">
        <v>0.51834862385321101</v>
      </c>
      <c r="LY11" s="18">
        <v>0.45227886213599283</v>
      </c>
      <c r="LZ11" s="18">
        <v>0.58378292740743998</v>
      </c>
      <c r="MA11" s="337">
        <v>34</v>
      </c>
      <c r="MB11" s="337">
        <v>43</v>
      </c>
      <c r="MC11" s="294">
        <v>21.4</v>
      </c>
      <c r="MD11" s="393">
        <v>0.37</v>
      </c>
      <c r="ME11" s="337">
        <v>226</v>
      </c>
      <c r="MF11" s="337">
        <v>139</v>
      </c>
      <c r="MG11" s="393">
        <v>0.61504424778761058</v>
      </c>
      <c r="MH11" s="393">
        <v>0.55018601337990225</v>
      </c>
      <c r="MI11" s="393">
        <v>0.67605689452196016</v>
      </c>
      <c r="MJ11" s="337">
        <v>34</v>
      </c>
      <c r="MK11" s="337">
        <v>45</v>
      </c>
      <c r="ML11" s="294">
        <v>21.888888888888889</v>
      </c>
      <c r="MM11" s="93">
        <v>0.3562091503267974</v>
      </c>
      <c r="MN11" s="17">
        <v>0.84342567155067161</v>
      </c>
      <c r="MO11" s="17">
        <v>0.15657432844932845</v>
      </c>
      <c r="MP11" s="17">
        <v>8.7488565256567077E-2</v>
      </c>
      <c r="MQ11" s="17">
        <v>0.21410279669076451</v>
      </c>
      <c r="MR11" s="17">
        <v>0.87394621310062481</v>
      </c>
      <c r="MS11" s="17">
        <v>0.12605378689937513</v>
      </c>
      <c r="MT11" s="17">
        <v>6.8476557040876879E-2</v>
      </c>
      <c r="MU11" s="17">
        <v>0.18692562848208755</v>
      </c>
      <c r="MV11" s="17">
        <v>0.83940781440781431</v>
      </c>
      <c r="MW11" s="17">
        <v>0.16059218559218558</v>
      </c>
      <c r="MX11" s="17">
        <v>8.9885841771810929E-2</v>
      </c>
      <c r="MY11" s="17">
        <v>0.21951596207067745</v>
      </c>
      <c r="MZ11" s="17">
        <v>0.64253541597291597</v>
      </c>
      <c r="NA11" s="17">
        <v>0.35746458402708403</v>
      </c>
      <c r="NB11" s="17">
        <v>0.26697228641216703</v>
      </c>
      <c r="NC11" s="93">
        <v>0.43851804693911739</v>
      </c>
      <c r="ND11" s="337">
        <v>22</v>
      </c>
      <c r="NE11" s="337">
        <v>109</v>
      </c>
      <c r="NF11" s="393">
        <v>0.20183486238532111</v>
      </c>
      <c r="NG11" s="393">
        <v>0.13723724101363849</v>
      </c>
      <c r="NH11" s="393">
        <v>0.28673333966375725</v>
      </c>
      <c r="NI11" s="337">
        <v>18</v>
      </c>
      <c r="NJ11" s="337">
        <v>109</v>
      </c>
      <c r="NK11" s="393">
        <v>0.16513761467889909</v>
      </c>
      <c r="NL11" s="393">
        <v>0.10708689548802479</v>
      </c>
      <c r="NM11" s="393">
        <v>0.24598775665735806</v>
      </c>
      <c r="NN11" s="337">
        <v>21</v>
      </c>
      <c r="NO11" s="337">
        <v>107</v>
      </c>
      <c r="NP11" s="393">
        <v>0.19626168224299065</v>
      </c>
      <c r="NQ11" s="393">
        <v>0.13210407800680704</v>
      </c>
      <c r="NR11" s="393">
        <v>0.28147274882701223</v>
      </c>
      <c r="NS11" s="337">
        <v>38</v>
      </c>
      <c r="NT11" s="337">
        <v>106</v>
      </c>
      <c r="NU11" s="393">
        <v>0.35849056603773582</v>
      </c>
      <c r="NV11" s="393">
        <v>0.27362108379207378</v>
      </c>
      <c r="NW11" s="93">
        <v>0.45325799882305984</v>
      </c>
      <c r="NX11" s="3">
        <v>64</v>
      </c>
      <c r="NY11" s="3">
        <v>61</v>
      </c>
      <c r="NZ11" s="3">
        <v>62</v>
      </c>
      <c r="OA11" s="3">
        <v>63</v>
      </c>
      <c r="OB11" s="3">
        <v>62</v>
      </c>
      <c r="OC11" s="3">
        <v>68</v>
      </c>
      <c r="OD11" s="3">
        <v>66</v>
      </c>
      <c r="OE11" s="3">
        <v>64</v>
      </c>
      <c r="OF11" s="3">
        <v>66</v>
      </c>
      <c r="OG11" s="3">
        <v>66</v>
      </c>
      <c r="OH11" s="3">
        <v>67</v>
      </c>
      <c r="OI11" s="3">
        <v>66</v>
      </c>
      <c r="OJ11" s="3">
        <v>67</v>
      </c>
      <c r="OK11" s="3">
        <v>55</v>
      </c>
      <c r="OL11" s="3">
        <v>49</v>
      </c>
      <c r="OM11" s="3">
        <v>50</v>
      </c>
      <c r="ON11" s="3">
        <v>46</v>
      </c>
      <c r="OO11" s="3">
        <v>51</v>
      </c>
      <c r="OP11" s="3">
        <v>51</v>
      </c>
      <c r="OQ11" s="3">
        <v>47</v>
      </c>
      <c r="OR11" s="3">
        <v>53</v>
      </c>
      <c r="OS11" s="3">
        <v>46</v>
      </c>
      <c r="OT11" s="6">
        <v>53</v>
      </c>
      <c r="OU11" s="3">
        <v>159</v>
      </c>
      <c r="OV11" s="22">
        <v>0.98099999999999998</v>
      </c>
      <c r="OW11" s="22">
        <v>6.0000000000000001E-3</v>
      </c>
      <c r="OX11" s="22">
        <v>0.98099999999999998</v>
      </c>
      <c r="OY11" s="3">
        <v>156</v>
      </c>
      <c r="OZ11" s="3">
        <v>1</v>
      </c>
      <c r="PA11" s="3">
        <v>156</v>
      </c>
      <c r="PB11" s="3">
        <v>190</v>
      </c>
      <c r="PC11" s="22">
        <v>0.96799999999999997</v>
      </c>
      <c r="PD11" s="22">
        <v>0.95799999999999996</v>
      </c>
      <c r="PE11" s="22">
        <v>0.95299999999999996</v>
      </c>
      <c r="PF11" s="22">
        <v>0.94699999999999995</v>
      </c>
      <c r="PG11" s="22">
        <v>0.95799999999999996</v>
      </c>
      <c r="PH11" s="3">
        <v>184</v>
      </c>
      <c r="PI11" s="3">
        <v>182</v>
      </c>
      <c r="PJ11" s="3">
        <v>181</v>
      </c>
      <c r="PK11" s="3">
        <v>180</v>
      </c>
      <c r="PL11" s="3">
        <v>182</v>
      </c>
      <c r="PM11" s="3">
        <v>171</v>
      </c>
      <c r="PN11" s="22">
        <v>0.96499999999999997</v>
      </c>
      <c r="PO11" s="22">
        <v>0.91800000000000004</v>
      </c>
      <c r="PP11" s="22">
        <v>0.96499999999999997</v>
      </c>
      <c r="PQ11" s="22">
        <v>0.96499999999999997</v>
      </c>
      <c r="PR11" s="22">
        <v>0.95299999999999996</v>
      </c>
      <c r="PS11" s="22">
        <v>0.92400000000000004</v>
      </c>
      <c r="PT11" s="22">
        <v>0.96499999999999997</v>
      </c>
      <c r="PU11" s="22">
        <v>0.93</v>
      </c>
      <c r="PV11" s="22">
        <v>0.94699999999999995</v>
      </c>
      <c r="PW11" s="22">
        <v>0.92400000000000004</v>
      </c>
      <c r="PX11" s="3">
        <v>165</v>
      </c>
      <c r="PY11" s="3">
        <v>157</v>
      </c>
      <c r="PZ11" s="3">
        <v>165</v>
      </c>
      <c r="QA11" s="3">
        <v>165</v>
      </c>
      <c r="QB11" s="3">
        <v>163</v>
      </c>
      <c r="QC11" s="3">
        <v>158</v>
      </c>
      <c r="QD11" s="3">
        <v>165</v>
      </c>
      <c r="QE11" s="3">
        <v>159</v>
      </c>
      <c r="QF11" s="3">
        <v>162</v>
      </c>
      <c r="QG11" s="6">
        <v>158</v>
      </c>
      <c r="QH11" s="37">
        <v>134</v>
      </c>
      <c r="QI11" s="17">
        <v>0.95522388059701491</v>
      </c>
      <c r="QJ11" s="17">
        <v>0.23134328358208955</v>
      </c>
      <c r="QK11" s="17">
        <v>0.95522388059701491</v>
      </c>
      <c r="QL11" s="37">
        <v>128</v>
      </c>
      <c r="QM11" s="37">
        <v>31</v>
      </c>
      <c r="QN11" s="37">
        <v>128</v>
      </c>
      <c r="QO11" s="37">
        <v>158</v>
      </c>
      <c r="QP11" s="17">
        <v>0.98101265822784811</v>
      </c>
      <c r="QQ11" s="17">
        <v>0.94303797468354433</v>
      </c>
      <c r="QR11" s="17">
        <v>0.72151898734177211</v>
      </c>
      <c r="QS11" s="17">
        <v>0.94303797468354433</v>
      </c>
      <c r="QT11" s="17">
        <v>0.71518987341772156</v>
      </c>
      <c r="QU11" s="37">
        <v>155</v>
      </c>
      <c r="QV11" s="37">
        <v>149</v>
      </c>
      <c r="QW11" s="37">
        <v>114</v>
      </c>
      <c r="QX11" s="37">
        <v>149</v>
      </c>
      <c r="QY11" s="37">
        <v>113</v>
      </c>
      <c r="QZ11" s="3">
        <v>165</v>
      </c>
      <c r="RA11" s="17">
        <v>0.96363636363636362</v>
      </c>
      <c r="RB11" s="17">
        <v>0.87272727272727268</v>
      </c>
      <c r="RC11" s="17">
        <v>0.96363636363636362</v>
      </c>
      <c r="RD11" s="17">
        <v>0.95757575757575752</v>
      </c>
      <c r="RE11" s="17">
        <v>0.63636363636363635</v>
      </c>
      <c r="RF11" s="17">
        <v>0.87272727272727268</v>
      </c>
      <c r="RG11" s="17">
        <v>0.90909090909090906</v>
      </c>
      <c r="RH11" s="17">
        <v>0.88484848484848488</v>
      </c>
      <c r="RI11" s="17">
        <v>0.61818181818181817</v>
      </c>
      <c r="RJ11" s="17">
        <v>0.58181818181818179</v>
      </c>
      <c r="RK11" s="37">
        <v>159</v>
      </c>
      <c r="RL11" s="37">
        <v>144</v>
      </c>
      <c r="RM11" s="37">
        <v>159</v>
      </c>
      <c r="RN11" s="37">
        <v>158</v>
      </c>
      <c r="RO11" s="37">
        <v>105</v>
      </c>
      <c r="RP11" s="37">
        <v>144</v>
      </c>
      <c r="RQ11" s="37">
        <v>150</v>
      </c>
      <c r="RR11" s="37">
        <v>146</v>
      </c>
      <c r="RS11" s="37">
        <v>102</v>
      </c>
      <c r="RT11" s="38">
        <v>96</v>
      </c>
    </row>
    <row r="12" spans="1:488" s="3" customFormat="1" ht="12.75" x14ac:dyDescent="0.2">
      <c r="A12" s="9" t="s">
        <v>44</v>
      </c>
      <c r="B12" s="6">
        <v>12</v>
      </c>
      <c r="C12" s="9" t="s">
        <v>172</v>
      </c>
      <c r="D12" s="9" t="s">
        <v>173</v>
      </c>
      <c r="E12" s="9" t="s">
        <v>853</v>
      </c>
      <c r="F12" s="9" t="s">
        <v>857</v>
      </c>
      <c r="G12" s="9" t="s">
        <v>174</v>
      </c>
      <c r="H12" s="9" t="s">
        <v>78</v>
      </c>
      <c r="I12" s="9" t="s">
        <v>44</v>
      </c>
      <c r="J12" s="9" t="s">
        <v>268</v>
      </c>
      <c r="K12" s="9" t="s">
        <v>373</v>
      </c>
      <c r="L12" s="9" t="s">
        <v>274</v>
      </c>
      <c r="M12" s="9" t="s">
        <v>336</v>
      </c>
      <c r="N12" s="3" t="s">
        <v>44</v>
      </c>
      <c r="O12" s="9">
        <v>487124</v>
      </c>
      <c r="P12" s="9">
        <v>105019</v>
      </c>
      <c r="Q12" s="109">
        <v>20690</v>
      </c>
      <c r="R12" s="109" t="s">
        <v>286</v>
      </c>
      <c r="S12" s="310" t="s">
        <v>797</v>
      </c>
      <c r="T12" s="36">
        <v>41665</v>
      </c>
      <c r="U12" s="37">
        <v>42175</v>
      </c>
      <c r="V12" s="37">
        <v>42615</v>
      </c>
      <c r="W12" s="37">
        <v>43230</v>
      </c>
      <c r="X12" s="37">
        <v>43680</v>
      </c>
      <c r="Y12" s="37">
        <v>44220</v>
      </c>
      <c r="Z12" s="37">
        <v>44815</v>
      </c>
      <c r="AA12" s="37">
        <v>45235</v>
      </c>
      <c r="AB12" s="37">
        <v>45765</v>
      </c>
      <c r="AC12" s="42">
        <v>46241</v>
      </c>
      <c r="AD12" s="42">
        <v>46913</v>
      </c>
      <c r="AE12" s="36">
        <v>1985</v>
      </c>
      <c r="AF12" s="37">
        <v>2015</v>
      </c>
      <c r="AG12" s="37">
        <v>2075</v>
      </c>
      <c r="AH12" s="37">
        <v>2120</v>
      </c>
      <c r="AI12" s="37">
        <v>2235</v>
      </c>
      <c r="AJ12" s="37">
        <v>2285</v>
      </c>
      <c r="AK12" s="37">
        <v>2295</v>
      </c>
      <c r="AL12" s="37">
        <v>2425</v>
      </c>
      <c r="AM12" s="37">
        <v>2420</v>
      </c>
      <c r="AN12" s="42">
        <v>2475</v>
      </c>
      <c r="AO12" s="42">
        <v>2502</v>
      </c>
      <c r="AP12" s="13">
        <v>2279</v>
      </c>
      <c r="AQ12" s="3">
        <v>1983</v>
      </c>
      <c r="AR12" s="3">
        <v>101</v>
      </c>
      <c r="AS12" s="3">
        <v>71</v>
      </c>
      <c r="AT12" s="3">
        <v>94</v>
      </c>
      <c r="AU12" s="3">
        <v>17</v>
      </c>
      <c r="AV12" s="3">
        <v>13</v>
      </c>
      <c r="AW12" s="9">
        <v>296</v>
      </c>
      <c r="AX12" s="16">
        <v>0.87011847301448009</v>
      </c>
      <c r="AY12" s="17">
        <v>4.4317683194383499E-2</v>
      </c>
      <c r="AZ12" s="17">
        <v>3.1154014918824045E-2</v>
      </c>
      <c r="BA12" s="17">
        <v>4.1246160596752963E-2</v>
      </c>
      <c r="BB12" s="17">
        <v>7.4594120228170246E-3</v>
      </c>
      <c r="BC12" s="17">
        <v>5.7042562527424307E-3</v>
      </c>
      <c r="BD12" s="18">
        <v>0.12988152698551991</v>
      </c>
      <c r="BE12" s="13">
        <v>5759</v>
      </c>
      <c r="BF12" s="3">
        <v>5641</v>
      </c>
      <c r="BG12" s="3">
        <v>118</v>
      </c>
      <c r="BH12" s="3">
        <v>98</v>
      </c>
      <c r="BI12" s="3">
        <v>20</v>
      </c>
      <c r="BJ12" s="17">
        <v>0.83050847457627119</v>
      </c>
      <c r="BK12" s="18">
        <v>0.16949152542372881</v>
      </c>
      <c r="BL12" s="13">
        <v>4345</v>
      </c>
      <c r="BM12" s="17">
        <v>0.48745684695051783</v>
      </c>
      <c r="BN12" s="17">
        <v>0.2948216340621404</v>
      </c>
      <c r="BO12" s="18">
        <v>0.21772151898734177</v>
      </c>
      <c r="BP12" s="36">
        <v>12293</v>
      </c>
      <c r="BQ12" s="37">
        <v>731</v>
      </c>
      <c r="BR12" s="37">
        <v>698</v>
      </c>
      <c r="BS12" s="37">
        <v>351</v>
      </c>
      <c r="BT12" s="37">
        <v>8125</v>
      </c>
      <c r="BU12" s="37">
        <v>4595</v>
      </c>
      <c r="BV12" s="18">
        <v>0.14907508161044614</v>
      </c>
      <c r="BW12" s="36">
        <v>2595</v>
      </c>
      <c r="BX12" s="37">
        <v>1</v>
      </c>
      <c r="BY12" s="37">
        <v>630</v>
      </c>
      <c r="BZ12" s="37">
        <v>1053</v>
      </c>
      <c r="CA12" s="37">
        <v>346</v>
      </c>
      <c r="CB12" s="38">
        <v>4625</v>
      </c>
      <c r="CC12" s="37">
        <v>1794</v>
      </c>
      <c r="CD12" s="37">
        <v>1462</v>
      </c>
      <c r="CE12" s="37">
        <v>328</v>
      </c>
      <c r="CF12" s="37">
        <v>332</v>
      </c>
      <c r="CG12" s="17">
        <v>0.18283166109253066</v>
      </c>
      <c r="CH12" s="93">
        <v>0.18506131549609811</v>
      </c>
      <c r="CI12" s="37">
        <v>320</v>
      </c>
      <c r="CJ12" s="37">
        <v>325</v>
      </c>
      <c r="CK12" s="37">
        <v>260</v>
      </c>
      <c r="CL12" s="37">
        <v>260</v>
      </c>
      <c r="CM12" s="42">
        <v>265</v>
      </c>
      <c r="CN12" s="42">
        <v>230</v>
      </c>
      <c r="CO12" s="36">
        <v>1052</v>
      </c>
      <c r="CP12" s="37">
        <v>358</v>
      </c>
      <c r="CQ12" s="17">
        <v>0.34030418250950573</v>
      </c>
      <c r="CR12" s="38">
        <v>70</v>
      </c>
      <c r="CS12" s="37">
        <v>505</v>
      </c>
      <c r="CT12" s="37">
        <v>459</v>
      </c>
      <c r="CU12" s="37">
        <v>510</v>
      </c>
      <c r="CV12" s="37">
        <v>480</v>
      </c>
      <c r="CW12" s="37">
        <v>430</v>
      </c>
      <c r="CX12" s="526" t="s">
        <v>471</v>
      </c>
      <c r="CY12" s="568">
        <v>427</v>
      </c>
      <c r="CZ12" s="37">
        <v>35</v>
      </c>
      <c r="DA12" s="37">
        <v>26</v>
      </c>
      <c r="DB12" s="37">
        <v>29</v>
      </c>
      <c r="DC12" s="37">
        <v>23</v>
      </c>
      <c r="DD12" s="37">
        <v>23</v>
      </c>
      <c r="DE12" s="528" t="s">
        <v>471</v>
      </c>
      <c r="DF12" s="716">
        <v>6</v>
      </c>
      <c r="DG12" s="13">
        <v>50</v>
      </c>
      <c r="DH12" s="13">
        <v>24</v>
      </c>
      <c r="DI12" s="17">
        <v>5.5813953488372092E-2</v>
      </c>
      <c r="DJ12" s="17">
        <v>3.779043272891823E-2</v>
      </c>
      <c r="DK12" s="18">
        <v>8.1703584651564756E-2</v>
      </c>
      <c r="DL12" s="425" t="s">
        <v>286</v>
      </c>
      <c r="DM12" s="258" t="s">
        <v>286</v>
      </c>
      <c r="DN12" s="258" t="s">
        <v>286</v>
      </c>
      <c r="DO12" s="258" t="s">
        <v>286</v>
      </c>
      <c r="DP12" s="337">
        <v>17</v>
      </c>
      <c r="DQ12" s="393">
        <v>3.9812646370023422E-2</v>
      </c>
      <c r="DR12" s="393">
        <v>2.5003339655965302E-2</v>
      </c>
      <c r="DS12" s="393">
        <v>6.2828177125809473E-2</v>
      </c>
      <c r="DT12" s="13">
        <v>44</v>
      </c>
      <c r="DU12" s="18">
        <v>1.9332161687170474E-2</v>
      </c>
      <c r="DV12" s="328">
        <v>4</v>
      </c>
      <c r="DW12" s="333">
        <v>4</v>
      </c>
      <c r="DX12" s="337">
        <v>4</v>
      </c>
      <c r="DY12" s="393">
        <v>0.15904351395730706</v>
      </c>
      <c r="DZ12" s="337">
        <v>4</v>
      </c>
      <c r="EA12" s="93">
        <v>0.15307008453776927</v>
      </c>
      <c r="EB12" s="3">
        <v>715</v>
      </c>
      <c r="EC12" s="18">
        <v>3.5893574297188757E-2</v>
      </c>
      <c r="ED12" s="13">
        <v>435</v>
      </c>
      <c r="EE12" s="3">
        <v>435</v>
      </c>
      <c r="EF12" s="3">
        <v>465</v>
      </c>
      <c r="EG12" s="3">
        <v>395</v>
      </c>
      <c r="EH12" s="9">
        <v>385</v>
      </c>
      <c r="EI12" s="9">
        <v>340</v>
      </c>
      <c r="EJ12" s="13">
        <v>375</v>
      </c>
      <c r="EK12" s="17">
        <v>0.18518518518518517</v>
      </c>
      <c r="EL12" s="17">
        <v>0.16886803557841171</v>
      </c>
      <c r="EM12" s="17">
        <v>0.20269449117460528</v>
      </c>
      <c r="EN12" s="3">
        <v>435</v>
      </c>
      <c r="EO12" s="17">
        <v>0.20046082949308755</v>
      </c>
      <c r="EP12" s="17">
        <v>0.18415242557767594</v>
      </c>
      <c r="EQ12" s="17">
        <v>0.21782788226627869</v>
      </c>
      <c r="ER12" s="3">
        <v>410</v>
      </c>
      <c r="ES12" s="17">
        <v>0.18385650224215247</v>
      </c>
      <c r="ET12" s="17">
        <v>0.16832729947897285</v>
      </c>
      <c r="EU12" s="17">
        <v>0.20047302677856851</v>
      </c>
      <c r="EV12" s="3">
        <v>415</v>
      </c>
      <c r="EW12" s="17">
        <v>0.18082788671023964</v>
      </c>
      <c r="EX12" s="17">
        <v>0.16561911473038332</v>
      </c>
      <c r="EY12" s="17">
        <v>0.19710335820102745</v>
      </c>
      <c r="EZ12" s="3">
        <v>415</v>
      </c>
      <c r="FA12" s="18">
        <v>0.17584745762711865</v>
      </c>
      <c r="FB12" s="18">
        <v>0.16101864662953547</v>
      </c>
      <c r="FC12" s="18">
        <v>0.19172982375083109</v>
      </c>
      <c r="FD12" s="337">
        <v>395</v>
      </c>
      <c r="FE12" s="18">
        <v>0.18287037037037038</v>
      </c>
      <c r="FF12" s="18">
        <v>0.16713621319806085</v>
      </c>
      <c r="FG12" s="393">
        <v>0.1997305253906998</v>
      </c>
      <c r="FH12" s="425" t="s">
        <v>286</v>
      </c>
      <c r="FI12" s="258" t="s">
        <v>286</v>
      </c>
      <c r="FJ12" s="258" t="s">
        <v>286</v>
      </c>
      <c r="FK12" s="258" t="s">
        <v>286</v>
      </c>
      <c r="FL12" s="36">
        <v>1140</v>
      </c>
      <c r="FM12" s="18">
        <v>0.16593886462882096</v>
      </c>
      <c r="FN12" s="42">
        <v>1175</v>
      </c>
      <c r="FO12" s="18">
        <v>0.16690340909090909</v>
      </c>
      <c r="FP12" s="42">
        <v>1105</v>
      </c>
      <c r="FQ12" s="18">
        <v>0.15541490857946555</v>
      </c>
      <c r="FR12" s="42">
        <v>1085</v>
      </c>
      <c r="FS12" s="18">
        <v>0.1523876404494382</v>
      </c>
      <c r="FT12" s="42">
        <v>1050</v>
      </c>
      <c r="FU12" s="18">
        <v>0.14553014553014554</v>
      </c>
      <c r="FV12" s="42">
        <v>1015</v>
      </c>
      <c r="FW12" s="393">
        <v>0.14285714285714285</v>
      </c>
      <c r="FX12" s="114" t="s">
        <v>286</v>
      </c>
      <c r="FY12" s="259" t="s">
        <v>286</v>
      </c>
      <c r="FZ12" s="3">
        <v>452</v>
      </c>
      <c r="GA12" s="3">
        <v>40</v>
      </c>
      <c r="GB12" s="3">
        <v>412</v>
      </c>
      <c r="GC12" s="17">
        <v>0.91150442477876104</v>
      </c>
      <c r="GD12" s="3">
        <v>190</v>
      </c>
      <c r="GE12" s="3">
        <v>243</v>
      </c>
      <c r="GF12" s="17">
        <v>0.46116504854368934</v>
      </c>
      <c r="GG12" s="17">
        <v>0.58980582524271841</v>
      </c>
      <c r="GH12" s="17">
        <v>0.41361089945461155</v>
      </c>
      <c r="GI12" s="17">
        <v>0.50943669639898514</v>
      </c>
      <c r="GJ12" s="17">
        <v>0.54169372818176698</v>
      </c>
      <c r="GK12" s="93">
        <v>0.63625870640679072</v>
      </c>
      <c r="GL12" s="337">
        <v>405</v>
      </c>
      <c r="GM12" s="337">
        <v>172</v>
      </c>
      <c r="GN12" s="337">
        <v>52</v>
      </c>
      <c r="GO12" s="337">
        <v>224</v>
      </c>
      <c r="GP12" s="393">
        <v>0.42469135802469138</v>
      </c>
      <c r="GQ12" s="393">
        <v>0.55308641975308637</v>
      </c>
      <c r="GR12" s="393">
        <v>0.3774802425370406</v>
      </c>
      <c r="GS12" s="393">
        <v>0.47331766779241841</v>
      </c>
      <c r="GT12" s="393">
        <v>0.50439260225315674</v>
      </c>
      <c r="GU12" s="93">
        <v>0.6007826412850934</v>
      </c>
      <c r="GV12" s="42">
        <v>419</v>
      </c>
      <c r="GW12" s="42">
        <v>111</v>
      </c>
      <c r="GX12" s="42">
        <v>308</v>
      </c>
      <c r="GY12" s="393">
        <f t="shared" si="2"/>
        <v>0.73508353221957046</v>
      </c>
      <c r="GZ12" s="42">
        <v>145</v>
      </c>
      <c r="HA12" s="42">
        <v>39</v>
      </c>
      <c r="HB12" s="42">
        <v>184</v>
      </c>
      <c r="HC12" s="393">
        <v>0.4707792207792208</v>
      </c>
      <c r="HD12" s="393">
        <v>0.59740259740259738</v>
      </c>
      <c r="HE12" s="393">
        <v>0.4157382043529903</v>
      </c>
      <c r="HF12" s="393">
        <v>0.52654015700386247</v>
      </c>
      <c r="HG12" s="393">
        <v>0.54175802060806311</v>
      </c>
      <c r="HH12" s="93">
        <v>0.65064744153576115</v>
      </c>
      <c r="HI12" s="696">
        <v>483</v>
      </c>
      <c r="HJ12" s="696">
        <v>47</v>
      </c>
      <c r="HK12" s="696">
        <v>436</v>
      </c>
      <c r="HL12" s="697">
        <v>0.90269151138716353</v>
      </c>
      <c r="HM12" s="696">
        <v>188</v>
      </c>
      <c r="HN12" s="696">
        <v>60</v>
      </c>
      <c r="HO12" s="696">
        <v>248</v>
      </c>
      <c r="HP12" s="697">
        <v>0.43119266055045874</v>
      </c>
      <c r="HQ12" s="697">
        <v>0.56880733944954132</v>
      </c>
      <c r="HR12" s="697">
        <v>0.38550704714213102</v>
      </c>
      <c r="HS12" s="697">
        <v>0.47808016412059895</v>
      </c>
      <c r="HT12" s="697">
        <v>0.52191983587940105</v>
      </c>
      <c r="HU12" s="698">
        <v>0.61449295285786898</v>
      </c>
      <c r="HV12" s="3">
        <v>349</v>
      </c>
      <c r="HW12" s="3">
        <v>35</v>
      </c>
      <c r="HX12" s="17">
        <v>0.10028653295128939</v>
      </c>
      <c r="HY12" s="17">
        <v>7.2995265798449754E-2</v>
      </c>
      <c r="HZ12" s="17">
        <v>0.13628132847563371</v>
      </c>
      <c r="IA12" s="292" t="s">
        <v>707</v>
      </c>
      <c r="IB12" s="3">
        <v>373</v>
      </c>
      <c r="IC12" s="3">
        <v>29</v>
      </c>
      <c r="ID12" s="17">
        <v>7.7747989276139406E-2</v>
      </c>
      <c r="IE12" s="17">
        <v>5.4676117732342343E-2</v>
      </c>
      <c r="IF12" s="17">
        <v>0.10942859360760356</v>
      </c>
      <c r="IG12" s="3" t="s">
        <v>707</v>
      </c>
      <c r="IH12" s="3">
        <v>388</v>
      </c>
      <c r="II12" s="3">
        <v>26</v>
      </c>
      <c r="IJ12" s="17">
        <v>6.7010309278350513E-2</v>
      </c>
      <c r="IK12" s="17">
        <v>4.6136659976996015E-2</v>
      </c>
      <c r="IL12" s="17">
        <v>9.637367823161877E-2</v>
      </c>
      <c r="IM12" s="3" t="s">
        <v>707</v>
      </c>
      <c r="IN12" s="3">
        <v>383</v>
      </c>
      <c r="IO12" s="3">
        <v>29</v>
      </c>
      <c r="IP12" s="17">
        <v>7.5718015665796348E-2</v>
      </c>
      <c r="IQ12" s="17">
        <v>5.3234401388678944E-2</v>
      </c>
      <c r="IR12" s="17">
        <v>0.10662814025621341</v>
      </c>
      <c r="IS12" s="3" t="s">
        <v>707</v>
      </c>
      <c r="IT12" s="3">
        <v>260</v>
      </c>
      <c r="IU12" s="3">
        <v>26</v>
      </c>
      <c r="IV12" s="17">
        <v>0.1</v>
      </c>
      <c r="IW12" s="17">
        <v>6.9159290185869832E-2</v>
      </c>
      <c r="IX12" s="17">
        <v>0.1424884890156688</v>
      </c>
      <c r="IY12" s="9" t="s">
        <v>707</v>
      </c>
      <c r="IZ12" s="9">
        <v>326</v>
      </c>
      <c r="JA12" s="9">
        <v>22</v>
      </c>
      <c r="JB12" s="393">
        <v>6.7484662576687116E-2</v>
      </c>
      <c r="JC12" s="393">
        <v>4.4984906086232485E-2</v>
      </c>
      <c r="JD12" s="393">
        <v>0.1000588946286477</v>
      </c>
      <c r="JE12" s="9" t="str">
        <f t="shared" si="0"/>
        <v>No Sig diff</v>
      </c>
      <c r="JF12" s="9">
        <v>343</v>
      </c>
      <c r="JG12" s="109">
        <v>29</v>
      </c>
      <c r="JH12" s="258">
        <v>8.4548104956268216E-2</v>
      </c>
      <c r="JI12" s="258">
        <v>5.951136576064639E-2</v>
      </c>
      <c r="JJ12" s="258">
        <v>0.11878755799248016</v>
      </c>
      <c r="JK12" s="662" t="str">
        <f t="shared" si="3"/>
        <v>No Sig diff</v>
      </c>
      <c r="JL12" s="3">
        <v>333</v>
      </c>
      <c r="JM12" s="3">
        <v>54</v>
      </c>
      <c r="JN12" s="17">
        <v>0.16216216216216217</v>
      </c>
      <c r="JO12" s="17">
        <v>0.12646370828997461</v>
      </c>
      <c r="JP12" s="17">
        <v>0.20556625979132698</v>
      </c>
      <c r="JQ12" s="3" t="s">
        <v>707</v>
      </c>
      <c r="JR12" s="3">
        <v>324</v>
      </c>
      <c r="JS12" s="3">
        <v>51</v>
      </c>
      <c r="JT12" s="17">
        <v>0.15740740740740741</v>
      </c>
      <c r="JU12" s="17">
        <v>0.12179595147916422</v>
      </c>
      <c r="JV12" s="17">
        <v>0.20104747168465792</v>
      </c>
      <c r="JW12" s="3" t="s">
        <v>707</v>
      </c>
      <c r="JX12" s="3">
        <v>333</v>
      </c>
      <c r="JY12" s="3">
        <v>57</v>
      </c>
      <c r="JZ12" s="17">
        <v>0.17117117117117117</v>
      </c>
      <c r="KA12" s="17">
        <v>0.13452302236020316</v>
      </c>
      <c r="KB12" s="17">
        <v>0.21531947990559702</v>
      </c>
      <c r="KC12" s="3" t="s">
        <v>707</v>
      </c>
      <c r="KD12" s="3">
        <v>320</v>
      </c>
      <c r="KE12" s="3">
        <v>39</v>
      </c>
      <c r="KF12" s="17">
        <v>0.121875</v>
      </c>
      <c r="KG12" s="17">
        <v>9.0449037019305387E-2</v>
      </c>
      <c r="KH12" s="17">
        <v>0.16227172059687262</v>
      </c>
      <c r="KI12" s="3" t="s">
        <v>708</v>
      </c>
      <c r="KJ12" s="3">
        <v>330</v>
      </c>
      <c r="KK12" s="3">
        <v>53</v>
      </c>
      <c r="KL12" s="17">
        <v>0.16060606060606061</v>
      </c>
      <c r="KM12" s="17">
        <v>0.12493226911303648</v>
      </c>
      <c r="KN12" s="17">
        <v>0.20409055270398013</v>
      </c>
      <c r="KO12" s="465" t="s">
        <v>707</v>
      </c>
      <c r="KP12" s="465">
        <v>345</v>
      </c>
      <c r="KQ12" s="465">
        <v>46</v>
      </c>
      <c r="KR12" s="393">
        <v>0.13333333333333333</v>
      </c>
      <c r="KS12" s="393">
        <v>0.10147112968434463</v>
      </c>
      <c r="KT12" s="393">
        <v>0.17327103870555713</v>
      </c>
      <c r="KU12" s="465" t="s">
        <v>708</v>
      </c>
      <c r="KV12" s="465">
        <v>330</v>
      </c>
      <c r="KW12" s="465">
        <v>54</v>
      </c>
      <c r="KX12" s="393">
        <v>0.16363636363636364</v>
      </c>
      <c r="KY12" s="393">
        <v>0.12763454290338996</v>
      </c>
      <c r="KZ12" s="393">
        <v>0.2073791465759747</v>
      </c>
      <c r="LA12" s="660" t="str">
        <f t="shared" si="4"/>
        <v>No Sig diff</v>
      </c>
      <c r="LB12" s="3">
        <v>457</v>
      </c>
      <c r="LC12" s="3">
        <v>224</v>
      </c>
      <c r="LD12" s="17">
        <v>0.49015317286652077</v>
      </c>
      <c r="LE12" s="17">
        <v>0.44459387098320663</v>
      </c>
      <c r="LF12" s="17">
        <v>0.53587663611259317</v>
      </c>
      <c r="LG12" s="3">
        <v>457</v>
      </c>
      <c r="LH12" s="3">
        <v>34</v>
      </c>
      <c r="LI12" s="3">
        <v>91</v>
      </c>
      <c r="LJ12" s="293">
        <v>20.461538461538463</v>
      </c>
      <c r="LK12" s="17">
        <v>0.3981900452488687</v>
      </c>
      <c r="LL12" s="3">
        <v>460</v>
      </c>
      <c r="LM12" s="3">
        <v>240</v>
      </c>
      <c r="LN12" s="17">
        <v>0.52173913043478259</v>
      </c>
      <c r="LO12" s="17">
        <v>0.47609946596788244</v>
      </c>
      <c r="LP12" s="17">
        <v>0.5670187150822753</v>
      </c>
      <c r="LQ12" s="3">
        <v>460</v>
      </c>
      <c r="LR12" s="3">
        <v>34</v>
      </c>
      <c r="LS12" s="3">
        <v>91</v>
      </c>
      <c r="LT12" s="293">
        <v>21.736263736263741</v>
      </c>
      <c r="LU12" s="18">
        <v>0.36069812540400764</v>
      </c>
      <c r="LV12" s="42">
        <v>448</v>
      </c>
      <c r="LW12" s="42">
        <v>272</v>
      </c>
      <c r="LX12" s="18">
        <v>0.6071428571428571</v>
      </c>
      <c r="LY12" s="18">
        <v>0.56119109334165673</v>
      </c>
      <c r="LZ12" s="18">
        <v>0.65127280992777759</v>
      </c>
      <c r="MA12" s="337">
        <v>34</v>
      </c>
      <c r="MB12" s="337">
        <v>89</v>
      </c>
      <c r="MC12" s="294">
        <v>24.8</v>
      </c>
      <c r="MD12" s="393">
        <v>0.27100000000000002</v>
      </c>
      <c r="ME12" s="337">
        <v>494</v>
      </c>
      <c r="MF12" s="337">
        <v>345</v>
      </c>
      <c r="MG12" s="393">
        <v>0.69838056680161942</v>
      </c>
      <c r="MH12" s="393">
        <v>0.65650468747238255</v>
      </c>
      <c r="MI12" s="393">
        <v>0.73719494627104309</v>
      </c>
      <c r="MJ12" s="337">
        <v>34</v>
      </c>
      <c r="MK12" s="337">
        <v>98</v>
      </c>
      <c r="ML12" s="294">
        <v>23.551020408163264</v>
      </c>
      <c r="MM12" s="93">
        <v>0.3073229291716687</v>
      </c>
      <c r="MN12" s="17"/>
      <c r="MO12" s="17"/>
      <c r="MP12" s="17"/>
      <c r="MQ12" s="17"/>
      <c r="MR12" s="17"/>
      <c r="MS12" s="17"/>
      <c r="MT12" s="17"/>
      <c r="MU12" s="17"/>
      <c r="MV12" s="17"/>
      <c r="MW12" s="17"/>
      <c r="MX12" s="17"/>
      <c r="MY12" s="17"/>
      <c r="MZ12" s="17"/>
      <c r="NA12" s="17"/>
      <c r="NB12" s="17"/>
      <c r="NC12" s="93"/>
      <c r="ND12" s="337">
        <v>19</v>
      </c>
      <c r="NE12" s="337">
        <v>208</v>
      </c>
      <c r="NF12" s="393">
        <v>9.1346153846153841E-2</v>
      </c>
      <c r="NG12" s="393">
        <v>5.9259151913276166E-2</v>
      </c>
      <c r="NH12" s="393">
        <v>0.13825392722440752</v>
      </c>
      <c r="NI12" s="337">
        <v>17</v>
      </c>
      <c r="NJ12" s="337">
        <v>208</v>
      </c>
      <c r="NK12" s="393">
        <v>8.1730769230769232E-2</v>
      </c>
      <c r="NL12" s="393">
        <v>5.165287981199955E-2</v>
      </c>
      <c r="NM12" s="393">
        <v>0.12697815412892377</v>
      </c>
      <c r="NN12" s="337">
        <v>17</v>
      </c>
      <c r="NO12" s="337">
        <v>208</v>
      </c>
      <c r="NP12" s="393">
        <v>8.1730769230769232E-2</v>
      </c>
      <c r="NQ12" s="393">
        <v>5.165287981199955E-2</v>
      </c>
      <c r="NR12" s="393">
        <v>0.12697815412892377</v>
      </c>
      <c r="NS12" s="337">
        <v>34</v>
      </c>
      <c r="NT12" s="337">
        <v>202</v>
      </c>
      <c r="NU12" s="393">
        <v>0.16831683168316833</v>
      </c>
      <c r="NV12" s="393">
        <v>0.12302114483529501</v>
      </c>
      <c r="NW12" s="93">
        <v>0.22599240779053587</v>
      </c>
      <c r="NX12" s="3">
        <v>117</v>
      </c>
      <c r="NY12" s="3">
        <v>111</v>
      </c>
      <c r="NZ12" s="3">
        <v>111</v>
      </c>
      <c r="OA12" s="3">
        <v>116</v>
      </c>
      <c r="OB12" s="3">
        <v>110</v>
      </c>
      <c r="OC12" s="3">
        <v>108</v>
      </c>
      <c r="OD12" s="3">
        <v>104</v>
      </c>
      <c r="OE12" s="3">
        <v>105</v>
      </c>
      <c r="OF12" s="3">
        <v>103</v>
      </c>
      <c r="OG12" s="3">
        <v>105</v>
      </c>
      <c r="OH12" s="3">
        <v>107</v>
      </c>
      <c r="OI12" s="3">
        <v>103</v>
      </c>
      <c r="OJ12" s="3">
        <v>106</v>
      </c>
      <c r="OK12" s="3">
        <v>134</v>
      </c>
      <c r="OL12" s="3">
        <v>125</v>
      </c>
      <c r="OM12" s="3">
        <v>123</v>
      </c>
      <c r="ON12" s="3">
        <v>120</v>
      </c>
      <c r="OO12" s="3">
        <v>122</v>
      </c>
      <c r="OP12" s="3">
        <v>125</v>
      </c>
      <c r="OQ12" s="3">
        <v>118</v>
      </c>
      <c r="OR12" s="3">
        <v>124</v>
      </c>
      <c r="OS12" s="3">
        <v>120</v>
      </c>
      <c r="OT12" s="6">
        <v>126</v>
      </c>
      <c r="OU12" s="3">
        <v>476</v>
      </c>
      <c r="OV12" s="22">
        <v>0.96599999999999997</v>
      </c>
      <c r="OW12" s="22">
        <v>4.0000000000000001E-3</v>
      </c>
      <c r="OX12" s="22">
        <v>0.96199999999999997</v>
      </c>
      <c r="OY12" s="3">
        <v>460</v>
      </c>
      <c r="OZ12" s="3">
        <v>2</v>
      </c>
      <c r="PA12" s="3">
        <v>458</v>
      </c>
      <c r="PB12" s="3">
        <v>514</v>
      </c>
      <c r="PC12" s="22">
        <v>0.95299999999999996</v>
      </c>
      <c r="PD12" s="22">
        <v>0.93200000000000005</v>
      </c>
      <c r="PE12" s="22">
        <v>0.94699999999999995</v>
      </c>
      <c r="PF12" s="22">
        <v>0.93799999999999994</v>
      </c>
      <c r="PG12" s="22">
        <v>0.93799999999999994</v>
      </c>
      <c r="PH12" s="3">
        <v>490</v>
      </c>
      <c r="PI12" s="3">
        <v>479</v>
      </c>
      <c r="PJ12" s="3">
        <v>487</v>
      </c>
      <c r="PK12" s="3">
        <v>482</v>
      </c>
      <c r="PL12" s="3">
        <v>482</v>
      </c>
      <c r="PM12" s="3">
        <v>529</v>
      </c>
      <c r="PN12" s="22">
        <v>0.94299999999999995</v>
      </c>
      <c r="PO12" s="22">
        <v>0.89800000000000002</v>
      </c>
      <c r="PP12" s="22">
        <v>0.94299999999999995</v>
      </c>
      <c r="PQ12" s="22">
        <v>0.93799999999999994</v>
      </c>
      <c r="PR12" s="22">
        <v>0.94099999999999995</v>
      </c>
      <c r="PS12" s="22">
        <v>0.90200000000000002</v>
      </c>
      <c r="PT12" s="22">
        <v>0.94</v>
      </c>
      <c r="PU12" s="22">
        <v>0.89400000000000002</v>
      </c>
      <c r="PV12" s="22">
        <v>0.94899999999999995</v>
      </c>
      <c r="PW12" s="22">
        <v>0.88300000000000001</v>
      </c>
      <c r="PX12" s="3">
        <v>499</v>
      </c>
      <c r="PY12" s="3">
        <v>475</v>
      </c>
      <c r="PZ12" s="3">
        <v>499</v>
      </c>
      <c r="QA12" s="3">
        <v>496</v>
      </c>
      <c r="QB12" s="3">
        <v>498</v>
      </c>
      <c r="QC12" s="3">
        <v>477</v>
      </c>
      <c r="QD12" s="3">
        <v>497</v>
      </c>
      <c r="QE12" s="3">
        <v>473</v>
      </c>
      <c r="QF12" s="3">
        <v>502</v>
      </c>
      <c r="QG12" s="6">
        <v>467</v>
      </c>
      <c r="QH12" s="37">
        <v>499</v>
      </c>
      <c r="QI12" s="17">
        <v>0.95390781563126248</v>
      </c>
      <c r="QJ12" s="17">
        <v>0.23046092184368738</v>
      </c>
      <c r="QK12" s="17">
        <v>0.95991983967935868</v>
      </c>
      <c r="QL12" s="37">
        <v>476</v>
      </c>
      <c r="QM12" s="37">
        <v>115</v>
      </c>
      <c r="QN12" s="37">
        <v>479</v>
      </c>
      <c r="QO12" s="37">
        <v>492</v>
      </c>
      <c r="QP12" s="17">
        <v>0.97357723577235777</v>
      </c>
      <c r="QQ12" s="17">
        <v>0.94308943089430897</v>
      </c>
      <c r="QR12" s="17">
        <v>0.69715447154471544</v>
      </c>
      <c r="QS12" s="17">
        <v>0.9532520325203252</v>
      </c>
      <c r="QT12" s="17">
        <v>0.69308943089430897</v>
      </c>
      <c r="QU12" s="37">
        <v>479</v>
      </c>
      <c r="QV12" s="37">
        <v>464</v>
      </c>
      <c r="QW12" s="37">
        <v>343</v>
      </c>
      <c r="QX12" s="37">
        <v>469</v>
      </c>
      <c r="QY12" s="37">
        <v>341</v>
      </c>
      <c r="QZ12" s="3">
        <v>552</v>
      </c>
      <c r="RA12" s="17">
        <v>0.96557971014492749</v>
      </c>
      <c r="RB12" s="17">
        <v>0.90398550724637683</v>
      </c>
      <c r="RC12" s="17">
        <v>0.96557971014492749</v>
      </c>
      <c r="RD12" s="17">
        <v>0.96376811594202894</v>
      </c>
      <c r="RE12" s="17">
        <v>0.71920289855072461</v>
      </c>
      <c r="RF12" s="17">
        <v>0.92210144927536231</v>
      </c>
      <c r="RG12" s="17">
        <v>0.94202898550724634</v>
      </c>
      <c r="RH12" s="17">
        <v>0.91666666666666663</v>
      </c>
      <c r="RI12" s="17">
        <v>0.72101449275362317</v>
      </c>
      <c r="RJ12" s="17">
        <v>0.67572463768115942</v>
      </c>
      <c r="RK12" s="37">
        <v>533</v>
      </c>
      <c r="RL12" s="37">
        <v>499</v>
      </c>
      <c r="RM12" s="37">
        <v>533</v>
      </c>
      <c r="RN12" s="37">
        <v>532</v>
      </c>
      <c r="RO12" s="37">
        <v>397</v>
      </c>
      <c r="RP12" s="37">
        <v>509</v>
      </c>
      <c r="RQ12" s="37">
        <v>520</v>
      </c>
      <c r="RR12" s="37">
        <v>506</v>
      </c>
      <c r="RS12" s="37">
        <v>398</v>
      </c>
      <c r="RT12" s="38">
        <v>373</v>
      </c>
    </row>
    <row r="13" spans="1:488" s="3" customFormat="1" ht="12.75" x14ac:dyDescent="0.2">
      <c r="A13" s="9" t="s">
        <v>69</v>
      </c>
      <c r="B13" s="6">
        <v>39</v>
      </c>
      <c r="C13" s="9" t="s">
        <v>249</v>
      </c>
      <c r="D13" s="9" t="s">
        <v>250</v>
      </c>
      <c r="E13" s="9" t="s">
        <v>286</v>
      </c>
      <c r="F13" s="9" t="s">
        <v>286</v>
      </c>
      <c r="G13" s="9" t="s">
        <v>251</v>
      </c>
      <c r="H13" s="9" t="s">
        <v>81</v>
      </c>
      <c r="I13" s="9" t="s">
        <v>81</v>
      </c>
      <c r="J13" s="9" t="s">
        <v>268</v>
      </c>
      <c r="K13" s="9" t="s">
        <v>392</v>
      </c>
      <c r="L13" s="9" t="s">
        <v>271</v>
      </c>
      <c r="M13" s="9" t="s">
        <v>362</v>
      </c>
      <c r="N13" s="3" t="s">
        <v>402</v>
      </c>
      <c r="O13" s="9">
        <v>512379</v>
      </c>
      <c r="P13" s="9">
        <v>105164</v>
      </c>
      <c r="Q13" s="109">
        <v>20999</v>
      </c>
      <c r="R13" s="109" t="s">
        <v>286</v>
      </c>
      <c r="S13" s="310" t="s">
        <v>797</v>
      </c>
      <c r="T13" s="36">
        <v>13385</v>
      </c>
      <c r="U13" s="37">
        <v>13345</v>
      </c>
      <c r="V13" s="37">
        <v>13375</v>
      </c>
      <c r="W13" s="37">
        <v>13325</v>
      </c>
      <c r="X13" s="37">
        <v>13320</v>
      </c>
      <c r="Y13" s="37">
        <v>13355</v>
      </c>
      <c r="Z13" s="37">
        <v>13510</v>
      </c>
      <c r="AA13" s="37">
        <v>13590</v>
      </c>
      <c r="AB13" s="37">
        <v>13685</v>
      </c>
      <c r="AC13" s="42">
        <v>13633</v>
      </c>
      <c r="AD13" s="42">
        <v>13847</v>
      </c>
      <c r="AE13" s="36">
        <v>790</v>
      </c>
      <c r="AF13" s="37">
        <v>805</v>
      </c>
      <c r="AG13" s="37">
        <v>830</v>
      </c>
      <c r="AH13" s="37">
        <v>855</v>
      </c>
      <c r="AI13" s="37">
        <v>845</v>
      </c>
      <c r="AJ13" s="37">
        <v>865</v>
      </c>
      <c r="AK13" s="37">
        <v>915</v>
      </c>
      <c r="AL13" s="37">
        <v>905</v>
      </c>
      <c r="AM13" s="37">
        <v>885</v>
      </c>
      <c r="AN13" s="42">
        <v>867</v>
      </c>
      <c r="AO13" s="42">
        <v>885</v>
      </c>
      <c r="AP13" s="13">
        <v>914</v>
      </c>
      <c r="AQ13" s="3">
        <v>808</v>
      </c>
      <c r="AR13" s="3">
        <v>29</v>
      </c>
      <c r="AS13" s="3">
        <v>44</v>
      </c>
      <c r="AT13" s="3">
        <v>24</v>
      </c>
      <c r="AU13" s="3">
        <v>5</v>
      </c>
      <c r="AV13" s="3">
        <v>4</v>
      </c>
      <c r="AW13" s="9">
        <v>106</v>
      </c>
      <c r="AX13" s="16">
        <v>0.88402625820568925</v>
      </c>
      <c r="AY13" s="17">
        <v>3.1728665207877461E-2</v>
      </c>
      <c r="AZ13" s="17">
        <v>4.8140043763676151E-2</v>
      </c>
      <c r="BA13" s="17">
        <v>2.6258205689277898E-2</v>
      </c>
      <c r="BB13" s="17">
        <v>5.4704595185995622E-3</v>
      </c>
      <c r="BC13" s="17">
        <v>4.3763676148796497E-3</v>
      </c>
      <c r="BD13" s="18">
        <v>0.11597374179431075</v>
      </c>
      <c r="BE13" s="13">
        <v>2189</v>
      </c>
      <c r="BF13" s="3">
        <v>2150</v>
      </c>
      <c r="BG13" s="3">
        <v>39</v>
      </c>
      <c r="BH13" s="3">
        <v>29</v>
      </c>
      <c r="BI13" s="3">
        <v>10</v>
      </c>
      <c r="BJ13" s="17">
        <v>0.74358974358974361</v>
      </c>
      <c r="BK13" s="18">
        <v>0.25641025641025639</v>
      </c>
      <c r="BL13" s="13">
        <v>1753</v>
      </c>
      <c r="BM13" s="17">
        <v>0.52367370222475751</v>
      </c>
      <c r="BN13" s="17">
        <v>0.27381631488876212</v>
      </c>
      <c r="BO13" s="18">
        <v>0.20250998288648031</v>
      </c>
      <c r="BP13" s="36">
        <v>3981</v>
      </c>
      <c r="BQ13" s="37">
        <v>235</v>
      </c>
      <c r="BR13" s="37">
        <v>245</v>
      </c>
      <c r="BS13" s="37">
        <v>197</v>
      </c>
      <c r="BT13" s="37">
        <v>3142</v>
      </c>
      <c r="BU13" s="37">
        <v>1712</v>
      </c>
      <c r="BV13" s="18">
        <v>0.1875</v>
      </c>
      <c r="BW13" s="36">
        <v>855</v>
      </c>
      <c r="BX13" s="37">
        <v>0</v>
      </c>
      <c r="BY13" s="37">
        <v>273</v>
      </c>
      <c r="BZ13" s="37">
        <v>462</v>
      </c>
      <c r="CA13" s="37">
        <v>136</v>
      </c>
      <c r="CB13" s="38">
        <v>1726</v>
      </c>
      <c r="CC13" s="37">
        <v>683</v>
      </c>
      <c r="CD13" s="37">
        <v>534</v>
      </c>
      <c r="CE13" s="37">
        <v>147</v>
      </c>
      <c r="CF13" s="37">
        <v>149</v>
      </c>
      <c r="CG13" s="17">
        <v>0.21522693997071743</v>
      </c>
      <c r="CH13" s="93">
        <v>0.21815519765739386</v>
      </c>
      <c r="CI13" s="37">
        <v>160</v>
      </c>
      <c r="CJ13" s="37">
        <v>120</v>
      </c>
      <c r="CK13" s="37">
        <v>80</v>
      </c>
      <c r="CL13" s="37">
        <v>100</v>
      </c>
      <c r="CM13" s="42">
        <v>90</v>
      </c>
      <c r="CN13" s="42">
        <v>100</v>
      </c>
      <c r="CO13" s="36">
        <v>461</v>
      </c>
      <c r="CP13" s="37">
        <v>196</v>
      </c>
      <c r="CQ13" s="17">
        <v>0.42516268980477223</v>
      </c>
      <c r="CR13" s="38">
        <v>44</v>
      </c>
      <c r="CS13" s="37">
        <v>173</v>
      </c>
      <c r="CT13" s="37">
        <v>162</v>
      </c>
      <c r="CU13" s="37">
        <v>167</v>
      </c>
      <c r="CV13" s="37">
        <v>138</v>
      </c>
      <c r="CW13" s="37">
        <v>151</v>
      </c>
      <c r="CX13" s="526" t="s">
        <v>471</v>
      </c>
      <c r="CY13" s="568">
        <v>167</v>
      </c>
      <c r="CZ13" s="37">
        <v>16</v>
      </c>
      <c r="DA13" s="37">
        <v>8</v>
      </c>
      <c r="DB13" s="37">
        <v>5</v>
      </c>
      <c r="DC13" s="37">
        <v>5</v>
      </c>
      <c r="DD13" s="37">
        <v>5</v>
      </c>
      <c r="DE13" s="528" t="s">
        <v>471</v>
      </c>
      <c r="DF13" s="716">
        <v>3</v>
      </c>
      <c r="DG13" s="13">
        <v>12</v>
      </c>
      <c r="DH13" s="13">
        <v>11</v>
      </c>
      <c r="DI13" s="17">
        <v>7.2847682119205295E-2</v>
      </c>
      <c r="DJ13" s="17">
        <v>4.1161071759033392E-2</v>
      </c>
      <c r="DK13" s="18">
        <v>0.12572872001578086</v>
      </c>
      <c r="DL13" s="425" t="s">
        <v>286</v>
      </c>
      <c r="DM13" s="258" t="s">
        <v>286</v>
      </c>
      <c r="DN13" s="258" t="s">
        <v>286</v>
      </c>
      <c r="DO13" s="258" t="s">
        <v>286</v>
      </c>
      <c r="DP13" s="337">
        <v>10</v>
      </c>
      <c r="DQ13" s="393">
        <v>5.9880239520958084E-2</v>
      </c>
      <c r="DR13" s="393">
        <v>3.2847569670312958E-2</v>
      </c>
      <c r="DS13" s="393">
        <v>0.10670555159937144</v>
      </c>
      <c r="DT13" s="13">
        <v>21</v>
      </c>
      <c r="DU13" s="18">
        <v>2.2975929978118162E-2</v>
      </c>
      <c r="DV13" s="328">
        <v>2</v>
      </c>
      <c r="DW13" s="333">
        <v>2</v>
      </c>
      <c r="DX13" s="337">
        <v>1</v>
      </c>
      <c r="DY13" s="393">
        <v>0.25188880706921946</v>
      </c>
      <c r="DZ13" s="337">
        <v>2</v>
      </c>
      <c r="EA13" s="93">
        <v>0.21763646288209604</v>
      </c>
      <c r="EB13" s="3">
        <v>315</v>
      </c>
      <c r="EC13" s="18">
        <v>5.5545759125374711E-2</v>
      </c>
      <c r="ED13" s="13">
        <v>210</v>
      </c>
      <c r="EE13" s="3">
        <v>220</v>
      </c>
      <c r="EF13" s="3">
        <v>215</v>
      </c>
      <c r="EG13" s="3">
        <v>170</v>
      </c>
      <c r="EH13" s="9">
        <v>170</v>
      </c>
      <c r="EI13" s="9">
        <v>175</v>
      </c>
      <c r="EJ13" s="13">
        <v>195</v>
      </c>
      <c r="EK13" s="17">
        <v>0.23214285714285715</v>
      </c>
      <c r="EL13" s="17">
        <v>0.2048498825240892</v>
      </c>
      <c r="EM13" s="17">
        <v>0.26187458888444415</v>
      </c>
      <c r="EN13" s="3">
        <v>230</v>
      </c>
      <c r="EO13" s="17">
        <v>0.27380952380952384</v>
      </c>
      <c r="EP13" s="17">
        <v>0.24473541457202197</v>
      </c>
      <c r="EQ13" s="17">
        <v>0.30494302795073952</v>
      </c>
      <c r="ER13" s="3">
        <v>220</v>
      </c>
      <c r="ES13" s="17">
        <v>0.26190476190476192</v>
      </c>
      <c r="ET13" s="17">
        <v>0.23330377662264171</v>
      </c>
      <c r="EU13" s="17">
        <v>0.29267353129605461</v>
      </c>
      <c r="EV13" s="3">
        <v>210</v>
      </c>
      <c r="EW13" s="17">
        <v>0.23595505617977527</v>
      </c>
      <c r="EX13" s="17">
        <v>0.20923167326062522</v>
      </c>
      <c r="EY13" s="17">
        <v>0.26494800887215142</v>
      </c>
      <c r="EZ13" s="3">
        <v>170</v>
      </c>
      <c r="FA13" s="18">
        <v>0.19540229885057472</v>
      </c>
      <c r="FB13" s="18">
        <v>0.17041752754110948</v>
      </c>
      <c r="FC13" s="18">
        <v>0.22306512923822272</v>
      </c>
      <c r="FD13" s="337">
        <v>180</v>
      </c>
      <c r="FE13" s="18">
        <v>0.20930232558139536</v>
      </c>
      <c r="FF13" s="18">
        <v>0.18343591382141053</v>
      </c>
      <c r="FG13" s="393">
        <v>0.23775417274540703</v>
      </c>
      <c r="FH13" s="425" t="s">
        <v>286</v>
      </c>
      <c r="FI13" s="258" t="s">
        <v>286</v>
      </c>
      <c r="FJ13" s="258" t="s">
        <v>286</v>
      </c>
      <c r="FK13" s="258" t="s">
        <v>286</v>
      </c>
      <c r="FL13" s="36">
        <v>645</v>
      </c>
      <c r="FM13" s="18">
        <v>0.23800738007380073</v>
      </c>
      <c r="FN13" s="42">
        <v>700</v>
      </c>
      <c r="FO13" s="18">
        <v>0.26070763500931099</v>
      </c>
      <c r="FP13" s="42">
        <v>675</v>
      </c>
      <c r="FQ13" s="18">
        <v>0.2504638218923933</v>
      </c>
      <c r="FR13" s="42">
        <v>655</v>
      </c>
      <c r="FS13" s="18">
        <v>0.23948811700182815</v>
      </c>
      <c r="FT13" s="42">
        <v>550</v>
      </c>
      <c r="FU13" s="18">
        <v>0.20220588235294118</v>
      </c>
      <c r="FV13" s="42">
        <v>525</v>
      </c>
      <c r="FW13" s="393">
        <v>0.19090909090909092</v>
      </c>
      <c r="FX13" s="114" t="s">
        <v>286</v>
      </c>
      <c r="FY13" s="259" t="s">
        <v>286</v>
      </c>
      <c r="FZ13" s="3">
        <v>146</v>
      </c>
      <c r="GA13" s="3">
        <v>13</v>
      </c>
      <c r="GB13" s="3">
        <v>133</v>
      </c>
      <c r="GC13" s="17">
        <v>0.91095890410958902</v>
      </c>
      <c r="GD13" s="3">
        <v>48</v>
      </c>
      <c r="GE13" s="3">
        <v>67</v>
      </c>
      <c r="GF13" s="17">
        <v>0.36090225563909772</v>
      </c>
      <c r="GG13" s="17">
        <v>0.50375939849624063</v>
      </c>
      <c r="GH13" s="17">
        <v>0.28424408653110661</v>
      </c>
      <c r="GI13" s="17">
        <v>0.44537029973739656</v>
      </c>
      <c r="GJ13" s="17">
        <v>0.41988066594915235</v>
      </c>
      <c r="GK13" s="93">
        <v>0.58742705334088818</v>
      </c>
      <c r="GL13" s="337">
        <v>147</v>
      </c>
      <c r="GM13" s="337">
        <v>47</v>
      </c>
      <c r="GN13" s="337">
        <v>17</v>
      </c>
      <c r="GO13" s="337">
        <v>64</v>
      </c>
      <c r="GP13" s="393">
        <v>0.31972789115646261</v>
      </c>
      <c r="GQ13" s="393">
        <v>0.43537414965986393</v>
      </c>
      <c r="GR13" s="393">
        <v>0.24975231000513165</v>
      </c>
      <c r="GS13" s="393">
        <v>0.39888540263459216</v>
      </c>
      <c r="GT13" s="393">
        <v>0.35788045644828609</v>
      </c>
      <c r="GU13" s="93">
        <v>0.5161594782716149</v>
      </c>
      <c r="GV13" s="42">
        <v>168</v>
      </c>
      <c r="GW13" s="42">
        <v>37</v>
      </c>
      <c r="GX13" s="42">
        <v>131</v>
      </c>
      <c r="GY13" s="393">
        <f t="shared" si="2"/>
        <v>0.77976190476190477</v>
      </c>
      <c r="GZ13" s="42">
        <v>44</v>
      </c>
      <c r="HA13" s="42">
        <v>12</v>
      </c>
      <c r="HB13" s="42">
        <v>56</v>
      </c>
      <c r="HC13" s="393">
        <v>0.33587786259541985</v>
      </c>
      <c r="HD13" s="393">
        <v>0.42748091603053434</v>
      </c>
      <c r="HE13" s="393">
        <v>0.26069947152775608</v>
      </c>
      <c r="HF13" s="393">
        <v>0.42040750865421161</v>
      </c>
      <c r="HG13" s="393">
        <v>0.34602071298529352</v>
      </c>
      <c r="HH13" s="93">
        <v>0.51307306895557592</v>
      </c>
      <c r="HI13" s="696">
        <v>64</v>
      </c>
      <c r="HJ13" s="696">
        <v>14</v>
      </c>
      <c r="HK13" s="696">
        <v>50</v>
      </c>
      <c r="HL13" s="697">
        <v>0.78125</v>
      </c>
      <c r="HM13" s="696">
        <v>15</v>
      </c>
      <c r="HN13" s="696">
        <v>5</v>
      </c>
      <c r="HO13" s="696">
        <v>20</v>
      </c>
      <c r="HP13" s="697">
        <v>0.3</v>
      </c>
      <c r="HQ13" s="697">
        <v>0.4</v>
      </c>
      <c r="HR13" s="697">
        <v>0.19103553500880946</v>
      </c>
      <c r="HS13" s="697">
        <v>0.43750350464453397</v>
      </c>
      <c r="HT13" s="697">
        <v>0.27608389730256544</v>
      </c>
      <c r="HU13" s="698">
        <v>0.53818562252410629</v>
      </c>
      <c r="HV13" s="3">
        <v>122</v>
      </c>
      <c r="HW13" s="3">
        <v>13</v>
      </c>
      <c r="HX13" s="17">
        <v>0.10655737704918032</v>
      </c>
      <c r="HY13" s="17">
        <v>6.3336996121428402E-2</v>
      </c>
      <c r="HZ13" s="17">
        <v>0.17379835736500793</v>
      </c>
      <c r="IA13" s="267" t="s">
        <v>707</v>
      </c>
      <c r="IB13" s="3">
        <v>133</v>
      </c>
      <c r="IC13" s="3">
        <v>13</v>
      </c>
      <c r="ID13" s="17">
        <v>9.7744360902255634E-2</v>
      </c>
      <c r="IE13" s="17">
        <v>5.8014803824288148E-2</v>
      </c>
      <c r="IF13" s="17">
        <v>0.16005842542852139</v>
      </c>
      <c r="IG13" s="3" t="s">
        <v>707</v>
      </c>
      <c r="IH13" s="3">
        <v>150</v>
      </c>
      <c r="II13" s="3">
        <v>12</v>
      </c>
      <c r="IJ13" s="17">
        <v>0.08</v>
      </c>
      <c r="IK13" s="17">
        <v>4.6353641518652906E-2</v>
      </c>
      <c r="IL13" s="17">
        <v>0.13462136375053141</v>
      </c>
      <c r="IM13" s="3" t="s">
        <v>707</v>
      </c>
      <c r="IN13" s="3">
        <v>170</v>
      </c>
      <c r="IO13" s="3">
        <v>13</v>
      </c>
      <c r="IP13" s="17">
        <v>7.6470588235294124E-2</v>
      </c>
      <c r="IQ13" s="17">
        <v>4.5231780539752423E-2</v>
      </c>
      <c r="IR13" s="17">
        <v>0.12642726456452041</v>
      </c>
      <c r="IS13" s="3" t="s">
        <v>707</v>
      </c>
      <c r="IT13" s="3">
        <v>113</v>
      </c>
      <c r="IU13" s="3">
        <v>12</v>
      </c>
      <c r="IV13" s="17">
        <v>0.10619469026548672</v>
      </c>
      <c r="IW13" s="17">
        <v>6.1798485171717647E-2</v>
      </c>
      <c r="IX13" s="17">
        <v>0.17648558883509405</v>
      </c>
      <c r="IY13" s="9" t="s">
        <v>707</v>
      </c>
      <c r="IZ13" s="9">
        <v>165</v>
      </c>
      <c r="JA13" s="9">
        <v>22</v>
      </c>
      <c r="JB13" s="393">
        <v>0.13333333333333333</v>
      </c>
      <c r="JC13" s="393">
        <v>8.9726674413001264E-2</v>
      </c>
      <c r="JD13" s="393">
        <v>0.19362469648163597</v>
      </c>
      <c r="JE13" s="9" t="str">
        <f t="shared" si="0"/>
        <v>No Sig diff</v>
      </c>
      <c r="JF13" s="9">
        <v>167</v>
      </c>
      <c r="JG13" s="109">
        <v>13</v>
      </c>
      <c r="JH13" s="258">
        <v>7.7844311377245512E-2</v>
      </c>
      <c r="JI13" s="258">
        <v>4.6054515315211361E-2</v>
      </c>
      <c r="JJ13" s="258">
        <v>0.12861888671897573</v>
      </c>
      <c r="JK13" s="662" t="str">
        <f t="shared" si="3"/>
        <v>No Sig diff</v>
      </c>
      <c r="JL13" s="3">
        <v>115</v>
      </c>
      <c r="JM13" s="3">
        <v>15</v>
      </c>
      <c r="JN13" s="17">
        <v>0.13043478260869565</v>
      </c>
      <c r="JO13" s="17">
        <v>8.0663846927720689E-2</v>
      </c>
      <c r="JP13" s="17">
        <v>0.20409754153481507</v>
      </c>
      <c r="JQ13" s="3" t="s">
        <v>707</v>
      </c>
      <c r="JR13" s="3">
        <v>132</v>
      </c>
      <c r="JS13" s="3">
        <v>18</v>
      </c>
      <c r="JT13" s="17">
        <v>0.13636363636363635</v>
      </c>
      <c r="JU13" s="17">
        <v>8.8028458868182197E-2</v>
      </c>
      <c r="JV13" s="17">
        <v>0.20526534971262397</v>
      </c>
      <c r="JW13" s="3" t="s">
        <v>707</v>
      </c>
      <c r="JX13" s="3">
        <v>130</v>
      </c>
      <c r="JY13" s="3">
        <v>32</v>
      </c>
      <c r="JZ13" s="17">
        <v>0.24615384615384617</v>
      </c>
      <c r="KA13" s="17">
        <v>0.18009792380442399</v>
      </c>
      <c r="KB13" s="17">
        <v>0.32678133034044121</v>
      </c>
      <c r="KC13" s="3" t="s">
        <v>707</v>
      </c>
      <c r="KD13" s="3">
        <v>127</v>
      </c>
      <c r="KE13" s="3">
        <v>14</v>
      </c>
      <c r="KF13" s="17">
        <v>0.11023622047244094</v>
      </c>
      <c r="KG13" s="17">
        <v>6.6810002178845376E-2</v>
      </c>
      <c r="KH13" s="17">
        <v>0.17654909139660793</v>
      </c>
      <c r="KI13" s="3" t="s">
        <v>708</v>
      </c>
      <c r="KJ13" s="3">
        <v>133</v>
      </c>
      <c r="KK13" s="3">
        <v>22</v>
      </c>
      <c r="KL13" s="17">
        <v>0.16541353383458646</v>
      </c>
      <c r="KM13" s="17">
        <v>0.11184855141915906</v>
      </c>
      <c r="KN13" s="17">
        <v>0.23776376076308434</v>
      </c>
      <c r="KO13" s="465" t="s">
        <v>707</v>
      </c>
      <c r="KP13" s="465">
        <v>154</v>
      </c>
      <c r="KQ13" s="465">
        <v>35</v>
      </c>
      <c r="KR13" s="393">
        <v>0.22727272727272727</v>
      </c>
      <c r="KS13" s="393">
        <v>0.16819723652281077</v>
      </c>
      <c r="KT13" s="393">
        <v>0.29962319147118716</v>
      </c>
      <c r="KU13" s="465" t="s">
        <v>772</v>
      </c>
      <c r="KV13" s="465">
        <v>149</v>
      </c>
      <c r="KW13" s="465">
        <v>31</v>
      </c>
      <c r="KX13" s="393">
        <v>0.20805369127516779</v>
      </c>
      <c r="KY13" s="393">
        <v>0.15062222176215131</v>
      </c>
      <c r="KZ13" s="393">
        <v>0.28016049471228383</v>
      </c>
      <c r="LA13" s="660" t="str">
        <f t="shared" si="4"/>
        <v>No Sig diff</v>
      </c>
      <c r="LB13" s="3">
        <v>193</v>
      </c>
      <c r="LC13" s="3">
        <v>111</v>
      </c>
      <c r="LD13" s="17">
        <v>0.57512953367875652</v>
      </c>
      <c r="LE13" s="17">
        <v>0.50459186111857379</v>
      </c>
      <c r="LF13" s="17">
        <v>0.64273482592054509</v>
      </c>
      <c r="LG13" s="3">
        <v>193</v>
      </c>
      <c r="LH13" s="3">
        <v>34</v>
      </c>
      <c r="LI13" s="3">
        <v>38</v>
      </c>
      <c r="LJ13" s="293">
        <v>22.710526315789476</v>
      </c>
      <c r="LK13" s="17">
        <v>0.33204334365325072</v>
      </c>
      <c r="LL13" s="3">
        <v>179</v>
      </c>
      <c r="LM13" s="3">
        <v>106</v>
      </c>
      <c r="LN13" s="17">
        <v>0.59217877094972071</v>
      </c>
      <c r="LO13" s="17">
        <v>0.5189842940127406</v>
      </c>
      <c r="LP13" s="17">
        <v>0.66149993649409367</v>
      </c>
      <c r="LQ13" s="3">
        <v>179</v>
      </c>
      <c r="LR13" s="3">
        <v>34</v>
      </c>
      <c r="LS13" s="3">
        <v>35</v>
      </c>
      <c r="LT13" s="293">
        <v>23.685714285714287</v>
      </c>
      <c r="LU13" s="18">
        <v>0.3033613445378151</v>
      </c>
      <c r="LV13" s="42">
        <v>188</v>
      </c>
      <c r="LW13" s="42">
        <v>111</v>
      </c>
      <c r="LX13" s="18">
        <v>0.59042553191489366</v>
      </c>
      <c r="LY13" s="18">
        <v>0.51900464650099754</v>
      </c>
      <c r="LZ13" s="18">
        <v>0.65822503163535528</v>
      </c>
      <c r="MA13" s="337">
        <v>34</v>
      </c>
      <c r="MB13" s="337">
        <v>37</v>
      </c>
      <c r="MC13" s="294">
        <v>23.2</v>
      </c>
      <c r="MD13" s="393">
        <v>0.317</v>
      </c>
      <c r="ME13" s="337">
        <v>187</v>
      </c>
      <c r="MF13" s="337">
        <v>123</v>
      </c>
      <c r="MG13" s="393">
        <v>0.65775401069518713</v>
      </c>
      <c r="MH13" s="393">
        <v>0.58718858950378883</v>
      </c>
      <c r="MI13" s="393">
        <v>0.72196855257944004</v>
      </c>
      <c r="MJ13" s="337">
        <v>34</v>
      </c>
      <c r="MK13" s="337">
        <v>37</v>
      </c>
      <c r="ML13" s="294">
        <v>23.54054054054054</v>
      </c>
      <c r="MM13" s="93">
        <v>0.30763116057233703</v>
      </c>
      <c r="MN13" s="17"/>
      <c r="MO13" s="17">
        <v>0.1388888888888889</v>
      </c>
      <c r="MP13" s="17">
        <v>6.0817253631150994E-2</v>
      </c>
      <c r="MQ13" s="17">
        <v>0.28659851280393195</v>
      </c>
      <c r="MR13" s="17"/>
      <c r="MS13" s="17">
        <v>0.1111111111111111</v>
      </c>
      <c r="MT13" s="17">
        <v>4.4065689087418335E-2</v>
      </c>
      <c r="MU13" s="17">
        <v>0.25315129015036325</v>
      </c>
      <c r="MV13" s="17"/>
      <c r="MW13" s="17">
        <v>0.1388888888888889</v>
      </c>
      <c r="MX13" s="17">
        <v>6.0817253631150994E-2</v>
      </c>
      <c r="MY13" s="17">
        <v>0.28659851280393195</v>
      </c>
      <c r="MZ13" s="17"/>
      <c r="NA13" s="17">
        <v>0.27777777777777779</v>
      </c>
      <c r="NB13" s="17">
        <v>0.15848170025813799</v>
      </c>
      <c r="NC13" s="93">
        <v>0.43992800216345151</v>
      </c>
      <c r="ND13" s="337">
        <v>15</v>
      </c>
      <c r="NE13" s="337">
        <v>69</v>
      </c>
      <c r="NF13" s="393">
        <v>0.21739130434782608</v>
      </c>
      <c r="NG13" s="393">
        <v>0.13640766010620264</v>
      </c>
      <c r="NH13" s="393">
        <v>0.32818296408760916</v>
      </c>
      <c r="NI13" s="337">
        <v>13</v>
      </c>
      <c r="NJ13" s="337">
        <v>69</v>
      </c>
      <c r="NK13" s="393">
        <v>0.18840579710144928</v>
      </c>
      <c r="NL13" s="393">
        <v>0.11354748324355968</v>
      </c>
      <c r="NM13" s="393">
        <v>0.29612935881628411</v>
      </c>
      <c r="NN13" s="337">
        <v>13</v>
      </c>
      <c r="NO13" s="337">
        <v>69</v>
      </c>
      <c r="NP13" s="393">
        <v>0.18840579710144928</v>
      </c>
      <c r="NQ13" s="393">
        <v>0.11354748324355968</v>
      </c>
      <c r="NR13" s="393">
        <v>0.29612935881628411</v>
      </c>
      <c r="NS13" s="337">
        <v>19</v>
      </c>
      <c r="NT13" s="337">
        <v>69</v>
      </c>
      <c r="NU13" s="393">
        <v>0.27536231884057971</v>
      </c>
      <c r="NV13" s="393">
        <v>0.1839452163184169</v>
      </c>
      <c r="NW13" s="93">
        <v>0.39047297214333093</v>
      </c>
      <c r="NX13" s="3">
        <v>44</v>
      </c>
      <c r="NY13" s="3">
        <v>44</v>
      </c>
      <c r="NZ13" s="3">
        <v>44</v>
      </c>
      <c r="OA13" s="3">
        <v>44</v>
      </c>
      <c r="OB13" s="3">
        <v>44</v>
      </c>
      <c r="OC13" s="3">
        <v>49</v>
      </c>
      <c r="OD13" s="3">
        <v>45</v>
      </c>
      <c r="OE13" s="3">
        <v>47</v>
      </c>
      <c r="OF13" s="3">
        <v>44</v>
      </c>
      <c r="OG13" s="3">
        <v>47</v>
      </c>
      <c r="OH13" s="3">
        <v>48</v>
      </c>
      <c r="OI13" s="3">
        <v>44</v>
      </c>
      <c r="OJ13" s="3">
        <v>47</v>
      </c>
      <c r="OK13" s="3">
        <v>52</v>
      </c>
      <c r="OL13" s="3">
        <v>50</v>
      </c>
      <c r="OM13" s="3">
        <v>50</v>
      </c>
      <c r="ON13" s="3">
        <v>48</v>
      </c>
      <c r="OO13" s="3">
        <v>50</v>
      </c>
      <c r="OP13" s="3">
        <v>50</v>
      </c>
      <c r="OQ13" s="3">
        <v>48</v>
      </c>
      <c r="OR13" s="3">
        <v>50</v>
      </c>
      <c r="OS13" s="3">
        <v>50</v>
      </c>
      <c r="OT13" s="6">
        <v>50</v>
      </c>
      <c r="OU13" s="3">
        <v>68</v>
      </c>
      <c r="OV13" s="22">
        <v>0.86799999999999999</v>
      </c>
      <c r="OW13" s="22">
        <v>0</v>
      </c>
      <c r="OX13" s="22">
        <v>0.85299999999999998</v>
      </c>
      <c r="OY13" s="3">
        <v>59</v>
      </c>
      <c r="OZ13" s="3">
        <v>0</v>
      </c>
      <c r="PA13" s="3">
        <v>58</v>
      </c>
      <c r="PB13" s="3">
        <v>84</v>
      </c>
      <c r="PC13" s="22">
        <v>0.94</v>
      </c>
      <c r="PD13" s="22">
        <v>0.77400000000000002</v>
      </c>
      <c r="PE13" s="22">
        <v>0.92900000000000005</v>
      </c>
      <c r="PF13" s="22">
        <v>0.82099999999999995</v>
      </c>
      <c r="PG13" s="22">
        <v>0.77400000000000002</v>
      </c>
      <c r="PH13" s="3">
        <v>79</v>
      </c>
      <c r="PI13" s="3">
        <v>65</v>
      </c>
      <c r="PJ13" s="3">
        <v>78</v>
      </c>
      <c r="PK13" s="3">
        <v>69</v>
      </c>
      <c r="PL13" s="3">
        <v>65</v>
      </c>
      <c r="PM13" s="3">
        <v>81</v>
      </c>
      <c r="PN13" s="22">
        <v>0.96299999999999997</v>
      </c>
      <c r="PO13" s="22">
        <v>0.88900000000000001</v>
      </c>
      <c r="PP13" s="22">
        <v>0.96299999999999997</v>
      </c>
      <c r="PQ13" s="22">
        <v>0.96299999999999997</v>
      </c>
      <c r="PR13" s="22">
        <v>0.96299999999999997</v>
      </c>
      <c r="PS13" s="22">
        <v>0.90100000000000002</v>
      </c>
      <c r="PT13" s="22">
        <v>0.97499999999999998</v>
      </c>
      <c r="PU13" s="22">
        <v>0.88900000000000001</v>
      </c>
      <c r="PV13" s="22">
        <v>0.97499999999999998</v>
      </c>
      <c r="PW13" s="22">
        <v>0.96299999999999997</v>
      </c>
      <c r="PX13" s="3">
        <v>78</v>
      </c>
      <c r="PY13" s="3">
        <v>72</v>
      </c>
      <c r="PZ13" s="3">
        <v>78</v>
      </c>
      <c r="QA13" s="3">
        <v>78</v>
      </c>
      <c r="QB13" s="3">
        <v>78</v>
      </c>
      <c r="QC13" s="3">
        <v>73</v>
      </c>
      <c r="QD13" s="3">
        <v>79</v>
      </c>
      <c r="QE13" s="3">
        <v>72</v>
      </c>
      <c r="QF13" s="3">
        <v>79</v>
      </c>
      <c r="QG13" s="6">
        <v>78</v>
      </c>
      <c r="QH13" s="37">
        <v>67</v>
      </c>
      <c r="QI13" s="17">
        <v>0.88059701492537312</v>
      </c>
      <c r="QJ13" s="17">
        <v>0.31343283582089554</v>
      </c>
      <c r="QK13" s="17">
        <v>0.86567164179104472</v>
      </c>
      <c r="QL13" s="37">
        <v>59</v>
      </c>
      <c r="QM13" s="37">
        <v>21</v>
      </c>
      <c r="QN13" s="37">
        <v>57.999999999999993</v>
      </c>
      <c r="QO13" s="37">
        <v>59</v>
      </c>
      <c r="QP13" s="17">
        <v>0.93220338983050843</v>
      </c>
      <c r="QQ13" s="17">
        <v>0.9152542372881356</v>
      </c>
      <c r="QR13" s="17">
        <v>0.67796610169491522</v>
      </c>
      <c r="QS13" s="17">
        <v>0.93220338983050843</v>
      </c>
      <c r="QT13" s="17">
        <v>0.71186440677966101</v>
      </c>
      <c r="QU13" s="37">
        <v>55</v>
      </c>
      <c r="QV13" s="37">
        <v>54</v>
      </c>
      <c r="QW13" s="37">
        <v>40</v>
      </c>
      <c r="QX13" s="37">
        <v>55</v>
      </c>
      <c r="QY13" s="37">
        <v>42</v>
      </c>
      <c r="QZ13" s="3">
        <v>97</v>
      </c>
      <c r="RA13" s="17">
        <v>0.93814432989690721</v>
      </c>
      <c r="RB13" s="17">
        <v>0.84536082474226804</v>
      </c>
      <c r="RC13" s="17">
        <v>0.93814432989690721</v>
      </c>
      <c r="RD13" s="17">
        <v>0.93814432989690721</v>
      </c>
      <c r="RE13" s="17">
        <v>0.67010309278350511</v>
      </c>
      <c r="RF13" s="17">
        <v>0.91752577319587625</v>
      </c>
      <c r="RG13" s="17">
        <v>0.93814432989690721</v>
      </c>
      <c r="RH13" s="17">
        <v>0.88659793814432986</v>
      </c>
      <c r="RI13" s="17">
        <v>0.67010309278350511</v>
      </c>
      <c r="RJ13" s="17">
        <v>0.64948453608247425</v>
      </c>
      <c r="RK13" s="37">
        <v>91</v>
      </c>
      <c r="RL13" s="37">
        <v>82</v>
      </c>
      <c r="RM13" s="37">
        <v>91</v>
      </c>
      <c r="RN13" s="37">
        <v>91</v>
      </c>
      <c r="RO13" s="37">
        <v>65</v>
      </c>
      <c r="RP13" s="37">
        <v>89</v>
      </c>
      <c r="RQ13" s="37">
        <v>91</v>
      </c>
      <c r="RR13" s="37">
        <v>86</v>
      </c>
      <c r="RS13" s="37">
        <v>65</v>
      </c>
      <c r="RT13" s="38">
        <v>63</v>
      </c>
    </row>
    <row r="14" spans="1:488" s="3" customFormat="1" ht="12.75" x14ac:dyDescent="0.2">
      <c r="A14" s="9" t="s">
        <v>62</v>
      </c>
      <c r="B14" s="6">
        <v>31</v>
      </c>
      <c r="C14" s="9" t="s">
        <v>229</v>
      </c>
      <c r="D14" s="9" t="s">
        <v>230</v>
      </c>
      <c r="E14" s="9" t="s">
        <v>286</v>
      </c>
      <c r="F14" s="9" t="s">
        <v>286</v>
      </c>
      <c r="G14" s="9" t="s">
        <v>231</v>
      </c>
      <c r="H14" s="9" t="s">
        <v>80</v>
      </c>
      <c r="I14" s="9" t="s">
        <v>80</v>
      </c>
      <c r="J14" s="9" t="s">
        <v>270</v>
      </c>
      <c r="K14" s="9" t="s">
        <v>387</v>
      </c>
      <c r="L14" s="9" t="s">
        <v>275</v>
      </c>
      <c r="M14" s="9" t="s">
        <v>354</v>
      </c>
      <c r="N14" s="3" t="s">
        <v>80</v>
      </c>
      <c r="O14" s="9">
        <v>539528</v>
      </c>
      <c r="P14" s="9">
        <v>139222</v>
      </c>
      <c r="Q14" s="109">
        <v>21023</v>
      </c>
      <c r="R14" s="109" t="s">
        <v>286</v>
      </c>
      <c r="S14" s="310" t="s">
        <v>797</v>
      </c>
      <c r="T14" s="36">
        <v>11570</v>
      </c>
      <c r="U14" s="37">
        <v>11630</v>
      </c>
      <c r="V14" s="37">
        <v>11770</v>
      </c>
      <c r="W14" s="37">
        <v>11975</v>
      </c>
      <c r="X14" s="37">
        <v>12235</v>
      </c>
      <c r="Y14" s="37">
        <v>12420</v>
      </c>
      <c r="Z14" s="37">
        <v>12625</v>
      </c>
      <c r="AA14" s="37">
        <v>12605</v>
      </c>
      <c r="AB14" s="37">
        <v>12705</v>
      </c>
      <c r="AC14" s="42">
        <v>12786</v>
      </c>
      <c r="AD14" s="42">
        <v>12909</v>
      </c>
      <c r="AE14" s="36">
        <v>720</v>
      </c>
      <c r="AF14" s="37">
        <v>710</v>
      </c>
      <c r="AG14" s="37">
        <v>705</v>
      </c>
      <c r="AH14" s="37">
        <v>740</v>
      </c>
      <c r="AI14" s="37">
        <v>730</v>
      </c>
      <c r="AJ14" s="37">
        <v>790</v>
      </c>
      <c r="AK14" s="37">
        <v>795</v>
      </c>
      <c r="AL14" s="37">
        <v>865</v>
      </c>
      <c r="AM14" s="37">
        <v>845</v>
      </c>
      <c r="AN14" s="42">
        <v>851</v>
      </c>
      <c r="AO14" s="42">
        <v>873</v>
      </c>
      <c r="AP14" s="13">
        <v>799</v>
      </c>
      <c r="AQ14" s="3">
        <v>681</v>
      </c>
      <c r="AR14" s="3">
        <v>32</v>
      </c>
      <c r="AS14" s="3">
        <v>48</v>
      </c>
      <c r="AT14" s="3">
        <v>32</v>
      </c>
      <c r="AU14" s="3">
        <v>4</v>
      </c>
      <c r="AV14" s="3">
        <v>2</v>
      </c>
      <c r="AW14" s="9">
        <v>118</v>
      </c>
      <c r="AX14" s="16">
        <v>0.85231539424280356</v>
      </c>
      <c r="AY14" s="17">
        <v>4.005006257822278E-2</v>
      </c>
      <c r="AZ14" s="17">
        <v>6.0075093867334166E-2</v>
      </c>
      <c r="BA14" s="17">
        <v>4.005006257822278E-2</v>
      </c>
      <c r="BB14" s="17">
        <v>5.0062578222778474E-3</v>
      </c>
      <c r="BC14" s="17">
        <v>2.5031289111389237E-3</v>
      </c>
      <c r="BD14" s="18">
        <v>0.14768460575719644</v>
      </c>
      <c r="BE14" s="13">
        <v>1928</v>
      </c>
      <c r="BF14" s="3">
        <v>1895</v>
      </c>
      <c r="BG14" s="3">
        <v>33</v>
      </c>
      <c r="BH14" s="3">
        <v>30</v>
      </c>
      <c r="BI14" s="3">
        <v>3</v>
      </c>
      <c r="BJ14" s="17">
        <v>0.90909090909090906</v>
      </c>
      <c r="BK14" s="18">
        <v>9.0909090909090912E-2</v>
      </c>
      <c r="BL14" s="13">
        <v>1527</v>
      </c>
      <c r="BM14" s="17">
        <v>0.65094957432874923</v>
      </c>
      <c r="BN14" s="17">
        <v>0.18925998690242304</v>
      </c>
      <c r="BO14" s="18">
        <v>0.15979043876882776</v>
      </c>
      <c r="BP14" s="36">
        <v>3648</v>
      </c>
      <c r="BQ14" s="37">
        <v>249</v>
      </c>
      <c r="BR14" s="37">
        <v>267</v>
      </c>
      <c r="BS14" s="37">
        <v>115</v>
      </c>
      <c r="BT14" s="37">
        <v>2772</v>
      </c>
      <c r="BU14" s="37">
        <v>1596</v>
      </c>
      <c r="BV14" s="18">
        <v>0.12343358395989974</v>
      </c>
      <c r="BW14" s="36">
        <v>976</v>
      </c>
      <c r="BX14" s="37">
        <v>1</v>
      </c>
      <c r="BY14" s="37">
        <v>214</v>
      </c>
      <c r="BZ14" s="37">
        <v>317</v>
      </c>
      <c r="CA14" s="37">
        <v>95</v>
      </c>
      <c r="CB14" s="38">
        <v>1603</v>
      </c>
      <c r="CC14" s="37">
        <v>634</v>
      </c>
      <c r="CD14" s="37">
        <v>545</v>
      </c>
      <c r="CE14" s="37">
        <v>89</v>
      </c>
      <c r="CF14" s="37">
        <v>89</v>
      </c>
      <c r="CG14" s="17">
        <v>0.14037854889589904</v>
      </c>
      <c r="CH14" s="93">
        <v>0.14037854889589904</v>
      </c>
      <c r="CI14" s="37">
        <v>80</v>
      </c>
      <c r="CJ14" s="37">
        <v>65</v>
      </c>
      <c r="CK14" s="37">
        <v>55</v>
      </c>
      <c r="CL14" s="37">
        <v>55</v>
      </c>
      <c r="CM14" s="42">
        <v>45</v>
      </c>
      <c r="CN14" s="42">
        <v>35</v>
      </c>
      <c r="CO14" s="36">
        <v>316</v>
      </c>
      <c r="CP14" s="37">
        <v>85</v>
      </c>
      <c r="CQ14" s="17">
        <v>0.26898734177215189</v>
      </c>
      <c r="CR14" s="38">
        <v>26</v>
      </c>
      <c r="CS14" s="37">
        <v>137</v>
      </c>
      <c r="CT14" s="37">
        <v>147</v>
      </c>
      <c r="CU14" s="37">
        <v>157</v>
      </c>
      <c r="CV14" s="37">
        <v>170</v>
      </c>
      <c r="CW14" s="37">
        <v>131</v>
      </c>
      <c r="CX14" s="526" t="s">
        <v>471</v>
      </c>
      <c r="CY14" s="568">
        <v>130</v>
      </c>
      <c r="CZ14" s="37">
        <v>6</v>
      </c>
      <c r="DA14" s="37">
        <v>7</v>
      </c>
      <c r="DB14" s="37">
        <v>6</v>
      </c>
      <c r="DC14" s="37">
        <v>5</v>
      </c>
      <c r="DD14" s="37">
        <v>2</v>
      </c>
      <c r="DE14" s="528" t="s">
        <v>471</v>
      </c>
      <c r="DF14" s="716">
        <v>0</v>
      </c>
      <c r="DG14" s="13">
        <v>6</v>
      </c>
      <c r="DH14" s="13">
        <v>9</v>
      </c>
      <c r="DI14" s="17">
        <v>6.8702290076335881E-2</v>
      </c>
      <c r="DJ14" s="17">
        <v>3.6562545650761696E-2</v>
      </c>
      <c r="DK14" s="18">
        <v>0.12541626273440917</v>
      </c>
      <c r="DL14" s="425" t="s">
        <v>286</v>
      </c>
      <c r="DM14" s="258" t="s">
        <v>286</v>
      </c>
      <c r="DN14" s="258" t="s">
        <v>286</v>
      </c>
      <c r="DO14" s="258" t="s">
        <v>286</v>
      </c>
      <c r="DP14" s="337">
        <v>10</v>
      </c>
      <c r="DQ14" s="393">
        <v>7.6923076923076927E-2</v>
      </c>
      <c r="DR14" s="393">
        <v>4.2317437086078179E-2</v>
      </c>
      <c r="DS14" s="393">
        <v>0.13581465315536376</v>
      </c>
      <c r="DT14" s="13">
        <v>15</v>
      </c>
      <c r="DU14" s="18">
        <v>1.8773466833541929E-2</v>
      </c>
      <c r="DV14" s="328">
        <v>8</v>
      </c>
      <c r="DW14" s="333">
        <v>9</v>
      </c>
      <c r="DX14" s="337">
        <v>7</v>
      </c>
      <c r="DY14" s="393">
        <v>9.1949551090209497E-2</v>
      </c>
      <c r="DZ14" s="337">
        <v>7</v>
      </c>
      <c r="EA14" s="93">
        <v>9.5676388333999191E-2</v>
      </c>
      <c r="EB14" s="3">
        <v>165</v>
      </c>
      <c r="EC14" s="18">
        <v>3.1488549618320608E-2</v>
      </c>
      <c r="ED14" s="13">
        <v>90</v>
      </c>
      <c r="EE14" s="3">
        <v>110</v>
      </c>
      <c r="EF14" s="3">
        <v>95</v>
      </c>
      <c r="EG14" s="3">
        <v>75</v>
      </c>
      <c r="EH14" s="9">
        <v>85</v>
      </c>
      <c r="EI14" s="9">
        <v>80</v>
      </c>
      <c r="EJ14" s="13">
        <v>70</v>
      </c>
      <c r="EK14" s="17">
        <v>0.10526315789473684</v>
      </c>
      <c r="EL14" s="17">
        <v>8.4162072650977582E-2</v>
      </c>
      <c r="EM14" s="17">
        <v>0.13089854735651474</v>
      </c>
      <c r="EN14" s="3">
        <v>85</v>
      </c>
      <c r="EO14" s="17">
        <v>0.125</v>
      </c>
      <c r="EP14" s="17">
        <v>0.10222988886419331</v>
      </c>
      <c r="EQ14" s="17">
        <v>0.15198321357111258</v>
      </c>
      <c r="ER14" s="3">
        <v>105</v>
      </c>
      <c r="ES14" s="17">
        <v>0.14000000000000001</v>
      </c>
      <c r="ET14" s="17">
        <v>0.11699693009430727</v>
      </c>
      <c r="EU14" s="17">
        <v>0.16667207791598002</v>
      </c>
      <c r="EV14" s="3">
        <v>100</v>
      </c>
      <c r="EW14" s="17">
        <v>0.13245033112582782</v>
      </c>
      <c r="EX14" s="17">
        <v>0.11012102580446763</v>
      </c>
      <c r="EY14" s="17">
        <v>0.15850090628854366</v>
      </c>
      <c r="EZ14" s="3">
        <v>95</v>
      </c>
      <c r="FA14" s="18">
        <v>0.1130952380952381</v>
      </c>
      <c r="FB14" s="18">
        <v>9.3415386153877691E-2</v>
      </c>
      <c r="FC14" s="18">
        <v>0.13629773921400382</v>
      </c>
      <c r="FD14" s="337">
        <v>70</v>
      </c>
      <c r="FE14" s="18">
        <v>9.7222222222222224E-2</v>
      </c>
      <c r="FF14" s="18">
        <v>7.7671794742528957E-2</v>
      </c>
      <c r="FG14" s="393">
        <v>0.12104776886888019</v>
      </c>
      <c r="FH14" s="425" t="s">
        <v>286</v>
      </c>
      <c r="FI14" s="258" t="s">
        <v>286</v>
      </c>
      <c r="FJ14" s="258" t="s">
        <v>286</v>
      </c>
      <c r="FK14" s="258" t="s">
        <v>286</v>
      </c>
      <c r="FL14" s="36">
        <v>205</v>
      </c>
      <c r="FM14" s="18">
        <v>9.1111111111111115E-2</v>
      </c>
      <c r="FN14" s="42">
        <v>250</v>
      </c>
      <c r="FO14" s="18">
        <v>0.1111111111111111</v>
      </c>
      <c r="FP14" s="42">
        <v>270</v>
      </c>
      <c r="FQ14" s="18">
        <v>0.11739130434782609</v>
      </c>
      <c r="FR14" s="42">
        <v>250</v>
      </c>
      <c r="FS14" s="18">
        <v>0.10799136069114471</v>
      </c>
      <c r="FT14" s="42">
        <v>230</v>
      </c>
      <c r="FU14" s="18">
        <v>9.5634095634095639E-2</v>
      </c>
      <c r="FV14" s="42">
        <v>205</v>
      </c>
      <c r="FW14" s="393">
        <v>8.7420042643923238E-2</v>
      </c>
      <c r="FX14" s="114" t="s">
        <v>286</v>
      </c>
      <c r="FY14" s="259" t="s">
        <v>286</v>
      </c>
      <c r="FZ14" s="3">
        <v>152</v>
      </c>
      <c r="GA14" s="3">
        <v>6</v>
      </c>
      <c r="GB14" s="3">
        <v>146</v>
      </c>
      <c r="GC14" s="17">
        <v>0.96052631578947367</v>
      </c>
      <c r="GD14" s="3">
        <v>63</v>
      </c>
      <c r="GE14" s="3">
        <v>80</v>
      </c>
      <c r="GF14" s="17">
        <v>0.4315068493150685</v>
      </c>
      <c r="GG14" s="17">
        <v>0.54794520547945202</v>
      </c>
      <c r="GH14" s="17">
        <v>0.35393919302495835</v>
      </c>
      <c r="GI14" s="17">
        <v>0.51258652479973121</v>
      </c>
      <c r="GJ14" s="17">
        <v>0.46701649179589177</v>
      </c>
      <c r="GK14" s="93">
        <v>0.62641550572682558</v>
      </c>
      <c r="GL14" s="337">
        <v>142</v>
      </c>
      <c r="GM14" s="337">
        <v>62</v>
      </c>
      <c r="GN14" s="337">
        <v>22</v>
      </c>
      <c r="GO14" s="337">
        <v>84</v>
      </c>
      <c r="GP14" s="393">
        <v>0.43661971830985913</v>
      </c>
      <c r="GQ14" s="393">
        <v>0.59154929577464788</v>
      </c>
      <c r="GR14" s="393">
        <v>0.35777847716774974</v>
      </c>
      <c r="GS14" s="393">
        <v>0.51879982816770209</v>
      </c>
      <c r="GT14" s="393">
        <v>0.50932533827736404</v>
      </c>
      <c r="GU14" s="93">
        <v>0.66895044290476124</v>
      </c>
      <c r="GV14" s="42">
        <v>156</v>
      </c>
      <c r="GW14" s="42">
        <v>18</v>
      </c>
      <c r="GX14" s="42">
        <v>138</v>
      </c>
      <c r="GY14" s="393">
        <f t="shared" si="2"/>
        <v>0.88461538461538458</v>
      </c>
      <c r="GZ14" s="42">
        <v>57</v>
      </c>
      <c r="HA14" s="42">
        <v>23</v>
      </c>
      <c r="HB14" s="42">
        <v>80</v>
      </c>
      <c r="HC14" s="393">
        <v>0.41304347826086957</v>
      </c>
      <c r="HD14" s="393">
        <v>0.57971014492753625</v>
      </c>
      <c r="HE14" s="393">
        <v>0.33433400445888056</v>
      </c>
      <c r="HF14" s="393">
        <v>0.49646299805687127</v>
      </c>
      <c r="HG14" s="393">
        <v>0.49629083327975365</v>
      </c>
      <c r="HH14" s="93">
        <v>0.65881191441414055</v>
      </c>
      <c r="HI14" s="696">
        <v>146</v>
      </c>
      <c r="HJ14" s="696">
        <v>0</v>
      </c>
      <c r="HK14" s="696">
        <v>146</v>
      </c>
      <c r="HL14" s="697">
        <v>1</v>
      </c>
      <c r="HM14" s="696">
        <v>62</v>
      </c>
      <c r="HN14" s="696">
        <v>28</v>
      </c>
      <c r="HO14" s="696">
        <v>90</v>
      </c>
      <c r="HP14" s="697">
        <v>0.42465753424657532</v>
      </c>
      <c r="HQ14" s="697">
        <v>0.61643835616438358</v>
      </c>
      <c r="HR14" s="697">
        <v>0.34742210473143159</v>
      </c>
      <c r="HS14" s="697">
        <v>0.50575604654160145</v>
      </c>
      <c r="HT14" s="697">
        <v>0.53553960759423647</v>
      </c>
      <c r="HU14" s="698">
        <v>0.6913668858928943</v>
      </c>
      <c r="HV14" s="3">
        <v>87</v>
      </c>
      <c r="HW14" s="3">
        <v>7</v>
      </c>
      <c r="HX14" s="17">
        <v>8.0459770114942528E-2</v>
      </c>
      <c r="HY14" s="17">
        <v>3.9520271089868816E-2</v>
      </c>
      <c r="HZ14" s="17">
        <v>0.15688188990922067</v>
      </c>
      <c r="IA14" s="267" t="s">
        <v>707</v>
      </c>
      <c r="IB14" s="3">
        <v>119</v>
      </c>
      <c r="IC14" s="3">
        <v>10</v>
      </c>
      <c r="ID14" s="17">
        <v>8.4033613445378158E-2</v>
      </c>
      <c r="IE14" s="17">
        <v>4.6284809194831765E-2</v>
      </c>
      <c r="IF14" s="17">
        <v>0.14779835335938682</v>
      </c>
      <c r="IG14" s="3" t="s">
        <v>707</v>
      </c>
      <c r="IH14" s="3">
        <v>104</v>
      </c>
      <c r="II14" s="3">
        <v>5</v>
      </c>
      <c r="IJ14" s="17">
        <v>4.807692307692308E-2</v>
      </c>
      <c r="IK14" s="17">
        <v>2.070804232585223E-2</v>
      </c>
      <c r="IL14" s="17">
        <v>0.10764202797232544</v>
      </c>
      <c r="IM14" s="3" t="s">
        <v>707</v>
      </c>
      <c r="IN14" s="3">
        <v>145</v>
      </c>
      <c r="IO14" s="3">
        <v>13</v>
      </c>
      <c r="IP14" s="17">
        <v>8.9655172413793102E-2</v>
      </c>
      <c r="IQ14" s="17">
        <v>5.3143530294794135E-2</v>
      </c>
      <c r="IR14" s="17">
        <v>0.14734804683119626</v>
      </c>
      <c r="IS14" s="3" t="s">
        <v>707</v>
      </c>
      <c r="IT14" s="3">
        <v>99</v>
      </c>
      <c r="IU14" s="3">
        <v>5</v>
      </c>
      <c r="IV14" s="17">
        <v>5.0505050505050504E-2</v>
      </c>
      <c r="IW14" s="17">
        <v>2.1763234491416872E-2</v>
      </c>
      <c r="IX14" s="17">
        <v>0.11282702686248855</v>
      </c>
      <c r="IY14" s="9" t="s">
        <v>707</v>
      </c>
      <c r="IZ14" s="9">
        <v>101</v>
      </c>
      <c r="JA14" s="9">
        <v>5</v>
      </c>
      <c r="JB14" s="393">
        <v>4.9504950495049507E-2</v>
      </c>
      <c r="JC14" s="393">
        <v>2.1328509888006445E-2</v>
      </c>
      <c r="JD14" s="393">
        <v>0.11069425072968564</v>
      </c>
      <c r="JE14" s="9" t="str">
        <f t="shared" si="0"/>
        <v>No Sig diff</v>
      </c>
      <c r="JF14" s="9">
        <v>143</v>
      </c>
      <c r="JG14" s="109">
        <v>10</v>
      </c>
      <c r="JH14" s="258">
        <v>6.9930069930069935E-2</v>
      </c>
      <c r="JI14" s="258">
        <v>3.8425096602856819E-2</v>
      </c>
      <c r="JJ14" s="258">
        <v>0.12393680726386085</v>
      </c>
      <c r="JK14" s="662" t="str">
        <f t="shared" si="3"/>
        <v>No Sig diff</v>
      </c>
      <c r="JL14" s="3">
        <v>105</v>
      </c>
      <c r="JM14" s="3">
        <v>12</v>
      </c>
      <c r="JN14" s="17">
        <v>0.11428571428571428</v>
      </c>
      <c r="JO14" s="17">
        <v>6.6597020035790502E-2</v>
      </c>
      <c r="JP14" s="17">
        <v>0.1892012678809514</v>
      </c>
      <c r="JQ14" s="3" t="s">
        <v>707</v>
      </c>
      <c r="JR14" s="3">
        <v>116</v>
      </c>
      <c r="JS14" s="3">
        <v>10</v>
      </c>
      <c r="JT14" s="17">
        <v>8.6206896551724144E-2</v>
      </c>
      <c r="JU14" s="17">
        <v>4.7499354799614958E-2</v>
      </c>
      <c r="JV14" s="17">
        <v>0.15144230575181017</v>
      </c>
      <c r="JW14" s="3" t="s">
        <v>708</v>
      </c>
      <c r="JX14" s="3">
        <v>105</v>
      </c>
      <c r="JY14" s="3">
        <v>18</v>
      </c>
      <c r="JZ14" s="17">
        <v>0.17142857142857143</v>
      </c>
      <c r="KA14" s="17">
        <v>0.11127785378367308</v>
      </c>
      <c r="KB14" s="17">
        <v>0.25477253962688479</v>
      </c>
      <c r="KC14" s="3" t="s">
        <v>707</v>
      </c>
      <c r="KD14" s="3">
        <v>125</v>
      </c>
      <c r="KE14" s="3">
        <v>18</v>
      </c>
      <c r="KF14" s="17">
        <v>0.14399999999999999</v>
      </c>
      <c r="KG14" s="17">
        <v>9.3068950253000618E-2</v>
      </c>
      <c r="KH14" s="17">
        <v>0.21615961006732778</v>
      </c>
      <c r="KI14" s="3" t="s">
        <v>707</v>
      </c>
      <c r="KJ14" s="3">
        <v>115</v>
      </c>
      <c r="KK14" s="3">
        <v>20</v>
      </c>
      <c r="KL14" s="17">
        <v>0.17391304347826086</v>
      </c>
      <c r="KM14" s="17">
        <v>0.11549677517283552</v>
      </c>
      <c r="KN14" s="17">
        <v>0.25341033229410775</v>
      </c>
      <c r="KO14" s="465" t="s">
        <v>707</v>
      </c>
      <c r="KP14" s="465">
        <v>120</v>
      </c>
      <c r="KQ14" s="465">
        <v>16</v>
      </c>
      <c r="KR14" s="393">
        <v>0.13333333333333333</v>
      </c>
      <c r="KS14" s="393">
        <v>8.3766089626873083E-2</v>
      </c>
      <c r="KT14" s="393">
        <v>0.20564796574684277</v>
      </c>
      <c r="KU14" s="465" t="s">
        <v>772</v>
      </c>
      <c r="KV14" s="465">
        <v>95</v>
      </c>
      <c r="KW14" s="465">
        <v>13</v>
      </c>
      <c r="KX14" s="393">
        <v>0.1368421052631579</v>
      </c>
      <c r="KY14" s="393">
        <v>8.1747935596324817E-2</v>
      </c>
      <c r="KZ14" s="393">
        <v>0.22016443171129235</v>
      </c>
      <c r="LA14" s="660" t="str">
        <f t="shared" si="4"/>
        <v>No Sig diff</v>
      </c>
      <c r="LB14" s="3">
        <v>159</v>
      </c>
      <c r="LC14" s="3">
        <v>102</v>
      </c>
      <c r="LD14" s="17">
        <v>0.64150943396226412</v>
      </c>
      <c r="LE14" s="17">
        <v>0.56443995549802972</v>
      </c>
      <c r="LF14" s="17">
        <v>0.71190244726532192</v>
      </c>
      <c r="LG14" s="3">
        <v>159</v>
      </c>
      <c r="LH14" s="3">
        <v>34</v>
      </c>
      <c r="LI14" s="3">
        <v>31</v>
      </c>
      <c r="LJ14" s="293">
        <v>26.903225806451605</v>
      </c>
      <c r="LK14" s="17">
        <v>0.20872865275142338</v>
      </c>
      <c r="LL14" s="3">
        <v>141</v>
      </c>
      <c r="LM14" s="3">
        <v>83</v>
      </c>
      <c r="LN14" s="17">
        <v>0.58865248226950351</v>
      </c>
      <c r="LO14" s="17">
        <v>0.50612931176565457</v>
      </c>
      <c r="LP14" s="17">
        <v>0.66647320275989053</v>
      </c>
      <c r="LQ14" s="3">
        <v>141</v>
      </c>
      <c r="LR14" s="3">
        <v>34</v>
      </c>
      <c r="LS14" s="3">
        <v>28</v>
      </c>
      <c r="LT14" s="293">
        <v>25.785714285714285</v>
      </c>
      <c r="LU14" s="18">
        <v>0.24159663865546221</v>
      </c>
      <c r="LV14" s="42">
        <v>149</v>
      </c>
      <c r="LW14" s="42">
        <v>101</v>
      </c>
      <c r="LX14" s="18">
        <v>0.67785234899328861</v>
      </c>
      <c r="LY14" s="18">
        <v>0.59916386158433199</v>
      </c>
      <c r="LZ14" s="18">
        <v>0.74760069044848332</v>
      </c>
      <c r="MA14" s="337">
        <v>34</v>
      </c>
      <c r="MB14" s="337">
        <v>29</v>
      </c>
      <c r="MC14" s="294">
        <v>25.4</v>
      </c>
      <c r="MD14" s="393">
        <v>0.252</v>
      </c>
      <c r="ME14" s="337">
        <v>152</v>
      </c>
      <c r="MF14" s="337">
        <v>103</v>
      </c>
      <c r="MG14" s="393">
        <v>0.67763157894736847</v>
      </c>
      <c r="MH14" s="393">
        <v>0.59974215139460163</v>
      </c>
      <c r="MI14" s="393">
        <v>0.74676384520371408</v>
      </c>
      <c r="MJ14" s="337">
        <v>34</v>
      </c>
      <c r="MK14" s="337">
        <v>30</v>
      </c>
      <c r="ML14" s="294">
        <v>26.966666666666665</v>
      </c>
      <c r="MM14" s="93">
        <v>0.20686274509803926</v>
      </c>
      <c r="MN14" s="17">
        <v>0.87410399124684857</v>
      </c>
      <c r="MO14" s="17">
        <v>0.1258960087531516</v>
      </c>
      <c r="MP14" s="17">
        <v>8.167987995453567E-2</v>
      </c>
      <c r="MQ14" s="17">
        <v>0.20088987633992925</v>
      </c>
      <c r="MR14" s="17">
        <v>0.91388421102706829</v>
      </c>
      <c r="MS14" s="17">
        <v>8.6115788972931817E-2</v>
      </c>
      <c r="MT14" s="17">
        <v>3.8969900613698788E-2</v>
      </c>
      <c r="MU14" s="17">
        <v>0.13322597203376074</v>
      </c>
      <c r="MV14" s="17">
        <v>0.86807430664573537</v>
      </c>
      <c r="MW14" s="17">
        <v>0.13192569335426479</v>
      </c>
      <c r="MX14" s="17">
        <v>8.2363400835368833E-2</v>
      </c>
      <c r="MY14" s="17">
        <v>0.20245179541134131</v>
      </c>
      <c r="MZ14" s="17">
        <v>0.76172969887255593</v>
      </c>
      <c r="NA14" s="17">
        <v>0.23827030112744399</v>
      </c>
      <c r="NB14" s="17">
        <v>0.17652266116613055</v>
      </c>
      <c r="NC14" s="93">
        <v>0.32679486242234518</v>
      </c>
      <c r="ND14" s="337">
        <v>6</v>
      </c>
      <c r="NE14" s="337">
        <v>92</v>
      </c>
      <c r="NF14" s="393">
        <v>6.5217391304347824E-2</v>
      </c>
      <c r="NG14" s="393">
        <v>3.0230203323134093E-2</v>
      </c>
      <c r="NH14" s="393">
        <v>0.13505796127305869</v>
      </c>
      <c r="NI14" s="337">
        <v>4</v>
      </c>
      <c r="NJ14" s="337">
        <v>92</v>
      </c>
      <c r="NK14" s="393">
        <v>4.3478260869565216E-2</v>
      </c>
      <c r="NL14" s="393">
        <v>1.7035716273013698E-2</v>
      </c>
      <c r="NM14" s="393">
        <v>0.10651685655298872</v>
      </c>
      <c r="NN14" s="337">
        <v>6</v>
      </c>
      <c r="NO14" s="337">
        <v>92</v>
      </c>
      <c r="NP14" s="393">
        <v>6.5217391304347824E-2</v>
      </c>
      <c r="NQ14" s="393">
        <v>3.0230203323134093E-2</v>
      </c>
      <c r="NR14" s="393">
        <v>0.13505796127305869</v>
      </c>
      <c r="NS14" s="337">
        <v>12</v>
      </c>
      <c r="NT14" s="337">
        <v>91</v>
      </c>
      <c r="NU14" s="393">
        <v>0.13186813186813187</v>
      </c>
      <c r="NV14" s="393">
        <v>7.7071075145384665E-2</v>
      </c>
      <c r="NW14" s="93">
        <v>0.21648681785719742</v>
      </c>
      <c r="NX14" s="3">
        <v>40</v>
      </c>
      <c r="NY14" s="3">
        <v>39</v>
      </c>
      <c r="NZ14" s="3">
        <v>39</v>
      </c>
      <c r="OA14" s="3">
        <v>39</v>
      </c>
      <c r="OB14" s="3">
        <v>39</v>
      </c>
      <c r="OC14" s="3">
        <v>34</v>
      </c>
      <c r="OD14" s="3">
        <v>31</v>
      </c>
      <c r="OE14" s="3">
        <v>32</v>
      </c>
      <c r="OF14" s="3">
        <v>31</v>
      </c>
      <c r="OG14" s="3">
        <v>32</v>
      </c>
      <c r="OH14" s="3">
        <v>32</v>
      </c>
      <c r="OI14" s="3">
        <v>31</v>
      </c>
      <c r="OJ14" s="3">
        <v>32</v>
      </c>
      <c r="OK14" s="3">
        <v>41</v>
      </c>
      <c r="OL14" s="3">
        <v>33</v>
      </c>
      <c r="OM14" s="3">
        <v>36</v>
      </c>
      <c r="ON14" s="3">
        <v>34</v>
      </c>
      <c r="OO14" s="3">
        <v>36</v>
      </c>
      <c r="OP14" s="3">
        <v>37</v>
      </c>
      <c r="OQ14" s="3">
        <v>35</v>
      </c>
      <c r="OR14" s="3">
        <v>34</v>
      </c>
      <c r="OS14" s="3">
        <v>34</v>
      </c>
      <c r="OT14" s="6">
        <v>37</v>
      </c>
      <c r="OU14" s="3">
        <v>153</v>
      </c>
      <c r="OV14" s="22">
        <v>0.96699999999999997</v>
      </c>
      <c r="OW14" s="22">
        <v>2.5999999999999999E-2</v>
      </c>
      <c r="OX14" s="22">
        <v>0.96699999999999997</v>
      </c>
      <c r="OY14" s="3">
        <v>148</v>
      </c>
      <c r="OZ14" s="3">
        <v>4</v>
      </c>
      <c r="PA14" s="3">
        <v>148</v>
      </c>
      <c r="PB14" s="3">
        <v>159</v>
      </c>
      <c r="PC14" s="22">
        <v>0.91800000000000004</v>
      </c>
      <c r="PD14" s="22">
        <v>0.89300000000000002</v>
      </c>
      <c r="PE14" s="22">
        <v>0.91800000000000004</v>
      </c>
      <c r="PF14" s="22">
        <v>0.89900000000000002</v>
      </c>
      <c r="PG14" s="22">
        <v>0.88700000000000001</v>
      </c>
      <c r="PH14" s="3">
        <v>146</v>
      </c>
      <c r="PI14" s="3">
        <v>142</v>
      </c>
      <c r="PJ14" s="3">
        <v>146</v>
      </c>
      <c r="PK14" s="3">
        <v>143</v>
      </c>
      <c r="PL14" s="3">
        <v>141</v>
      </c>
      <c r="PM14" s="3">
        <v>166</v>
      </c>
      <c r="PN14" s="22">
        <v>0.91</v>
      </c>
      <c r="PO14" s="22">
        <v>0.91</v>
      </c>
      <c r="PP14" s="22">
        <v>0.91</v>
      </c>
      <c r="PQ14" s="22">
        <v>0.91</v>
      </c>
      <c r="PR14" s="22">
        <v>0.91600000000000004</v>
      </c>
      <c r="PS14" s="22">
        <v>0.88600000000000001</v>
      </c>
      <c r="PT14" s="22">
        <v>0.89200000000000002</v>
      </c>
      <c r="PU14" s="22">
        <v>0.91</v>
      </c>
      <c r="PV14" s="22">
        <v>0.91600000000000004</v>
      </c>
      <c r="PW14" s="22">
        <v>0.86099999999999999</v>
      </c>
      <c r="PX14" s="3">
        <v>151</v>
      </c>
      <c r="PY14" s="3">
        <v>151</v>
      </c>
      <c r="PZ14" s="3">
        <v>151</v>
      </c>
      <c r="QA14" s="3">
        <v>151</v>
      </c>
      <c r="QB14" s="3">
        <v>152</v>
      </c>
      <c r="QC14" s="3">
        <v>147</v>
      </c>
      <c r="QD14" s="3">
        <v>148</v>
      </c>
      <c r="QE14" s="3">
        <v>151</v>
      </c>
      <c r="QF14" s="3">
        <v>152</v>
      </c>
      <c r="QG14" s="6">
        <v>143</v>
      </c>
      <c r="QH14" s="37">
        <v>154</v>
      </c>
      <c r="QI14" s="17">
        <v>0.95454545454545459</v>
      </c>
      <c r="QJ14" s="17">
        <v>0.19480519480519481</v>
      </c>
      <c r="QK14" s="17">
        <v>0.95454545454545459</v>
      </c>
      <c r="QL14" s="37">
        <v>147</v>
      </c>
      <c r="QM14" s="37">
        <v>30</v>
      </c>
      <c r="QN14" s="37">
        <v>147</v>
      </c>
      <c r="QO14" s="37">
        <v>159</v>
      </c>
      <c r="QP14" s="17">
        <v>0.94968553459119498</v>
      </c>
      <c r="QQ14" s="17">
        <v>0.9308176100628931</v>
      </c>
      <c r="QR14" s="17">
        <v>0.72955974842767291</v>
      </c>
      <c r="QS14" s="17">
        <v>0.9308176100628931</v>
      </c>
      <c r="QT14" s="17">
        <v>0.71698113207547165</v>
      </c>
      <c r="QU14" s="37">
        <v>151</v>
      </c>
      <c r="QV14" s="37">
        <v>148</v>
      </c>
      <c r="QW14" s="37">
        <v>115.99999999999999</v>
      </c>
      <c r="QX14" s="37">
        <v>148</v>
      </c>
      <c r="QY14" s="37">
        <v>113.99999999999999</v>
      </c>
      <c r="QZ14" s="3">
        <v>183</v>
      </c>
      <c r="RA14" s="17">
        <v>0.92896174863387981</v>
      </c>
      <c r="RB14" s="17">
        <v>0.88524590163934425</v>
      </c>
      <c r="RC14" s="17">
        <v>0.92896174863387981</v>
      </c>
      <c r="RD14" s="17">
        <v>0.92896174863387981</v>
      </c>
      <c r="RE14" s="17">
        <v>0.74316939890710387</v>
      </c>
      <c r="RF14" s="17">
        <v>0.89071038251366119</v>
      </c>
      <c r="RG14" s="17">
        <v>0.89617486338797814</v>
      </c>
      <c r="RH14" s="17">
        <v>0.90163934426229508</v>
      </c>
      <c r="RI14" s="17">
        <v>0.74316939890710387</v>
      </c>
      <c r="RJ14" s="17">
        <v>0.69945355191256831</v>
      </c>
      <c r="RK14" s="37">
        <v>170</v>
      </c>
      <c r="RL14" s="37">
        <v>162</v>
      </c>
      <c r="RM14" s="37">
        <v>170</v>
      </c>
      <c r="RN14" s="37">
        <v>170</v>
      </c>
      <c r="RO14" s="37">
        <v>136</v>
      </c>
      <c r="RP14" s="37">
        <v>163</v>
      </c>
      <c r="RQ14" s="37">
        <v>164</v>
      </c>
      <c r="RR14" s="37">
        <v>165</v>
      </c>
      <c r="RS14" s="37">
        <v>136</v>
      </c>
      <c r="RT14" s="38">
        <v>128</v>
      </c>
    </row>
    <row r="15" spans="1:488" s="3" customFormat="1" ht="12.75" x14ac:dyDescent="0.2">
      <c r="A15" s="9" t="s">
        <v>63</v>
      </c>
      <c r="B15" s="6">
        <v>32</v>
      </c>
      <c r="C15" s="9" t="s">
        <v>232</v>
      </c>
      <c r="D15" s="9" t="s">
        <v>233</v>
      </c>
      <c r="E15" s="9" t="s">
        <v>286</v>
      </c>
      <c r="F15" s="9" t="s">
        <v>286</v>
      </c>
      <c r="G15" s="9" t="s">
        <v>234</v>
      </c>
      <c r="H15" s="9" t="s">
        <v>80</v>
      </c>
      <c r="I15" s="9" t="s">
        <v>80</v>
      </c>
      <c r="J15" s="9" t="s">
        <v>270</v>
      </c>
      <c r="K15" s="9" t="s">
        <v>387</v>
      </c>
      <c r="L15" s="9" t="s">
        <v>275</v>
      </c>
      <c r="M15" s="9" t="s">
        <v>355</v>
      </c>
      <c r="N15" s="3" t="s">
        <v>80</v>
      </c>
      <c r="O15" s="9">
        <v>539340</v>
      </c>
      <c r="P15" s="9">
        <v>137955</v>
      </c>
      <c r="Q15" s="109" t="s">
        <v>286</v>
      </c>
      <c r="R15" s="109" t="s">
        <v>286</v>
      </c>
      <c r="S15" s="109" t="s">
        <v>286</v>
      </c>
      <c r="T15" s="36">
        <v>13055</v>
      </c>
      <c r="U15" s="37">
        <v>13210</v>
      </c>
      <c r="V15" s="37">
        <v>13500</v>
      </c>
      <c r="W15" s="37">
        <v>13645</v>
      </c>
      <c r="X15" s="37">
        <v>13800</v>
      </c>
      <c r="Y15" s="37">
        <v>13935</v>
      </c>
      <c r="Z15" s="37">
        <v>13995</v>
      </c>
      <c r="AA15" s="37">
        <v>14095</v>
      </c>
      <c r="AB15" s="37">
        <v>14340</v>
      </c>
      <c r="AC15" s="42">
        <v>14345</v>
      </c>
      <c r="AD15" s="42">
        <v>14681</v>
      </c>
      <c r="AE15" s="36">
        <v>630</v>
      </c>
      <c r="AF15" s="37">
        <v>660</v>
      </c>
      <c r="AG15" s="37">
        <v>705</v>
      </c>
      <c r="AH15" s="37">
        <v>720</v>
      </c>
      <c r="AI15" s="37">
        <v>735</v>
      </c>
      <c r="AJ15" s="37">
        <v>760</v>
      </c>
      <c r="AK15" s="37">
        <v>750</v>
      </c>
      <c r="AL15" s="37">
        <v>760</v>
      </c>
      <c r="AM15" s="37">
        <v>740</v>
      </c>
      <c r="AN15" s="42">
        <v>774</v>
      </c>
      <c r="AO15" s="42">
        <v>792</v>
      </c>
      <c r="AP15" s="13">
        <v>749</v>
      </c>
      <c r="AQ15" s="3">
        <v>672</v>
      </c>
      <c r="AR15" s="3">
        <v>32</v>
      </c>
      <c r="AS15" s="3">
        <v>20</v>
      </c>
      <c r="AT15" s="3">
        <v>18</v>
      </c>
      <c r="AU15" s="3">
        <v>6</v>
      </c>
      <c r="AV15" s="3">
        <v>1</v>
      </c>
      <c r="AW15" s="9">
        <v>77</v>
      </c>
      <c r="AX15" s="16">
        <v>0.89719626168224298</v>
      </c>
      <c r="AY15" s="17">
        <v>4.2723631508678236E-2</v>
      </c>
      <c r="AZ15" s="17">
        <v>2.67022696929239E-2</v>
      </c>
      <c r="BA15" s="17">
        <v>2.4032042723631509E-2</v>
      </c>
      <c r="BB15" s="17">
        <v>8.0106809078771702E-3</v>
      </c>
      <c r="BC15" s="17">
        <v>1.3351134846461949E-3</v>
      </c>
      <c r="BD15" s="18">
        <v>0.10280373831775702</v>
      </c>
      <c r="BE15" s="13">
        <v>2038</v>
      </c>
      <c r="BF15" s="3">
        <v>1990</v>
      </c>
      <c r="BG15" s="3">
        <v>48</v>
      </c>
      <c r="BH15" s="3">
        <v>42</v>
      </c>
      <c r="BI15" s="3">
        <v>6</v>
      </c>
      <c r="BJ15" s="17">
        <v>0.875</v>
      </c>
      <c r="BK15" s="18">
        <v>0.125</v>
      </c>
      <c r="BL15" s="13">
        <v>1465</v>
      </c>
      <c r="BM15" s="17">
        <v>0.72832764505119452</v>
      </c>
      <c r="BN15" s="17">
        <v>9.6928327645051188E-2</v>
      </c>
      <c r="BO15" s="18">
        <v>0.17474402730375427</v>
      </c>
      <c r="BP15" s="36">
        <v>4083</v>
      </c>
      <c r="BQ15" s="37">
        <v>200</v>
      </c>
      <c r="BR15" s="37">
        <v>262</v>
      </c>
      <c r="BS15" s="37">
        <v>111</v>
      </c>
      <c r="BT15" s="37">
        <v>2804</v>
      </c>
      <c r="BU15" s="37">
        <v>1580</v>
      </c>
      <c r="BV15" s="18">
        <v>0.14113924050632912</v>
      </c>
      <c r="BW15" s="36">
        <v>1043</v>
      </c>
      <c r="BX15" s="37">
        <v>1</v>
      </c>
      <c r="BY15" s="37">
        <v>170</v>
      </c>
      <c r="BZ15" s="37">
        <v>276</v>
      </c>
      <c r="CA15" s="37">
        <v>92</v>
      </c>
      <c r="CB15" s="38">
        <v>1582</v>
      </c>
      <c r="CC15" s="37">
        <v>574</v>
      </c>
      <c r="CD15" s="37">
        <v>520</v>
      </c>
      <c r="CE15" s="37">
        <v>52</v>
      </c>
      <c r="CF15" s="37">
        <v>54</v>
      </c>
      <c r="CG15" s="17">
        <v>9.0592334494773524E-2</v>
      </c>
      <c r="CH15" s="93">
        <v>9.4076655052264813E-2</v>
      </c>
      <c r="CI15" s="37">
        <v>40</v>
      </c>
      <c r="CJ15" s="37">
        <v>60</v>
      </c>
      <c r="CK15" s="37">
        <v>20</v>
      </c>
      <c r="CL15" s="37">
        <v>35</v>
      </c>
      <c r="CM15" s="42">
        <v>40</v>
      </c>
      <c r="CN15" s="42">
        <v>40</v>
      </c>
      <c r="CO15" s="36">
        <v>275</v>
      </c>
      <c r="CP15" s="37">
        <v>50</v>
      </c>
      <c r="CQ15" s="17">
        <v>0.18181818181818182</v>
      </c>
      <c r="CR15" s="38">
        <v>20</v>
      </c>
      <c r="CS15" s="37">
        <v>121</v>
      </c>
      <c r="CT15" s="37">
        <v>138</v>
      </c>
      <c r="CU15" s="37">
        <v>133</v>
      </c>
      <c r="CV15" s="37">
        <v>121</v>
      </c>
      <c r="CW15" s="37">
        <v>135</v>
      </c>
      <c r="CX15" s="526" t="s">
        <v>471</v>
      </c>
      <c r="CY15" s="568">
        <v>132</v>
      </c>
      <c r="CZ15" s="37">
        <v>2</v>
      </c>
      <c r="DA15" s="37">
        <v>4</v>
      </c>
      <c r="DB15" s="37">
        <v>5</v>
      </c>
      <c r="DC15" s="37">
        <v>1</v>
      </c>
      <c r="DD15" s="37">
        <v>1</v>
      </c>
      <c r="DE15" s="528" t="s">
        <v>471</v>
      </c>
      <c r="DF15" s="716">
        <v>2</v>
      </c>
      <c r="DG15" s="13">
        <v>5</v>
      </c>
      <c r="DH15" s="13">
        <v>9</v>
      </c>
      <c r="DI15" s="17">
        <v>6.6666666666666666E-2</v>
      </c>
      <c r="DJ15" s="17">
        <v>3.5466897784925636E-2</v>
      </c>
      <c r="DK15" s="18">
        <v>0.12184532729692925</v>
      </c>
      <c r="DL15" s="425" t="s">
        <v>286</v>
      </c>
      <c r="DM15" s="258" t="s">
        <v>286</v>
      </c>
      <c r="DN15" s="258" t="s">
        <v>286</v>
      </c>
      <c r="DO15" s="258" t="s">
        <v>286</v>
      </c>
      <c r="DP15" s="337">
        <v>10</v>
      </c>
      <c r="DQ15" s="393">
        <v>7.575757575757576E-2</v>
      </c>
      <c r="DR15" s="393">
        <v>4.166806478574666E-2</v>
      </c>
      <c r="DS15" s="393">
        <v>0.13384137855852715</v>
      </c>
      <c r="DT15" s="13">
        <v>13</v>
      </c>
      <c r="DU15" s="18">
        <v>1.7356475300400534E-2</v>
      </c>
      <c r="DV15" s="328">
        <v>10</v>
      </c>
      <c r="DW15" s="333">
        <v>10</v>
      </c>
      <c r="DX15" s="337">
        <v>10</v>
      </c>
      <c r="DY15" s="393">
        <v>7.0489795918367348E-2</v>
      </c>
      <c r="DZ15" s="337">
        <v>10</v>
      </c>
      <c r="EA15" s="93">
        <v>5.9724910035985609E-2</v>
      </c>
      <c r="EB15" s="3">
        <v>148</v>
      </c>
      <c r="EC15" s="18">
        <v>2.4983119513841998E-2</v>
      </c>
      <c r="ED15" s="13">
        <v>65</v>
      </c>
      <c r="EE15" s="3">
        <v>60</v>
      </c>
      <c r="EF15" s="3">
        <v>50</v>
      </c>
      <c r="EG15" s="3">
        <v>55</v>
      </c>
      <c r="EH15" s="9">
        <v>55</v>
      </c>
      <c r="EI15" s="9">
        <v>55</v>
      </c>
      <c r="EJ15" s="13">
        <v>50</v>
      </c>
      <c r="EK15" s="17">
        <v>7.8125E-2</v>
      </c>
      <c r="EL15" s="17">
        <v>5.9760302122918663E-2</v>
      </c>
      <c r="EM15" s="17">
        <v>0.10152390441279828</v>
      </c>
      <c r="EN15" s="3">
        <v>60</v>
      </c>
      <c r="EO15" s="17">
        <v>8.8888888888888892E-2</v>
      </c>
      <c r="EP15" s="17">
        <v>6.9681403930439256E-2</v>
      </c>
      <c r="EQ15" s="17">
        <v>0.11274920223176482</v>
      </c>
      <c r="ER15" s="3">
        <v>40</v>
      </c>
      <c r="ES15" s="17">
        <v>5.7553956834532377E-2</v>
      </c>
      <c r="ET15" s="17">
        <v>4.2548293433772588E-2</v>
      </c>
      <c r="EU15" s="17">
        <v>7.7423780006429285E-2</v>
      </c>
      <c r="EV15" s="3">
        <v>50</v>
      </c>
      <c r="EW15" s="17">
        <v>7.2463768115942032E-2</v>
      </c>
      <c r="EX15" s="17">
        <v>5.5395625700800082E-2</v>
      </c>
      <c r="EY15" s="17">
        <v>9.4266026108232787E-2</v>
      </c>
      <c r="EZ15" s="3">
        <v>50</v>
      </c>
      <c r="FA15" s="18">
        <v>7.2463768115942032E-2</v>
      </c>
      <c r="FB15" s="18">
        <v>5.5395625700800082E-2</v>
      </c>
      <c r="FC15" s="18">
        <v>9.4266026108232787E-2</v>
      </c>
      <c r="FD15" s="337">
        <v>45</v>
      </c>
      <c r="FE15" s="18">
        <v>7.6271186440677971E-2</v>
      </c>
      <c r="FF15" s="18">
        <v>5.7488567708338663E-2</v>
      </c>
      <c r="FG15" s="393">
        <v>0.10053586360545554</v>
      </c>
      <c r="FH15" s="425" t="s">
        <v>286</v>
      </c>
      <c r="FI15" s="258" t="s">
        <v>286</v>
      </c>
      <c r="FJ15" s="258" t="s">
        <v>286</v>
      </c>
      <c r="FK15" s="258" t="s">
        <v>286</v>
      </c>
      <c r="FL15" s="36">
        <v>155</v>
      </c>
      <c r="FM15" s="18">
        <v>6.9977426636568849E-2</v>
      </c>
      <c r="FN15" s="42">
        <v>170</v>
      </c>
      <c r="FO15" s="18">
        <v>7.5892857142857137E-2</v>
      </c>
      <c r="FP15" s="42">
        <v>155</v>
      </c>
      <c r="FQ15" s="18">
        <v>6.8584070796460173E-2</v>
      </c>
      <c r="FR15" s="42">
        <v>160</v>
      </c>
      <c r="FS15" s="18">
        <v>7.2562358276643993E-2</v>
      </c>
      <c r="FT15" s="42">
        <v>135</v>
      </c>
      <c r="FU15" s="18">
        <v>6.0402684563758392E-2</v>
      </c>
      <c r="FV15" s="42">
        <v>145</v>
      </c>
      <c r="FW15" s="393">
        <v>6.4444444444444443E-2</v>
      </c>
      <c r="FX15" s="114" t="s">
        <v>286</v>
      </c>
      <c r="FY15" s="259" t="s">
        <v>286</v>
      </c>
      <c r="FZ15" s="3">
        <v>131</v>
      </c>
      <c r="GA15" s="3">
        <v>4</v>
      </c>
      <c r="GB15" s="3">
        <v>127</v>
      </c>
      <c r="GC15" s="17">
        <v>0.96946564885496178</v>
      </c>
      <c r="GD15" s="3">
        <v>65</v>
      </c>
      <c r="GE15" s="3">
        <v>82</v>
      </c>
      <c r="GF15" s="17">
        <v>0.51181102362204722</v>
      </c>
      <c r="GG15" s="17">
        <v>0.64566929133858264</v>
      </c>
      <c r="GH15" s="17">
        <v>0.42581263792217539</v>
      </c>
      <c r="GI15" s="17">
        <v>0.5971158496536414</v>
      </c>
      <c r="GJ15" s="17">
        <v>0.55932258310542216</v>
      </c>
      <c r="GK15" s="93">
        <v>0.72346209699631914</v>
      </c>
      <c r="GL15" s="337">
        <v>129</v>
      </c>
      <c r="GM15" s="337">
        <v>60</v>
      </c>
      <c r="GN15" s="337">
        <v>20</v>
      </c>
      <c r="GO15" s="337">
        <v>80</v>
      </c>
      <c r="GP15" s="393">
        <v>0.46511627906976744</v>
      </c>
      <c r="GQ15" s="393">
        <v>0.62015503875968991</v>
      </c>
      <c r="GR15" s="393">
        <v>0.38130031118129837</v>
      </c>
      <c r="GS15" s="393">
        <v>0.55094975532732104</v>
      </c>
      <c r="GT15" s="393">
        <v>0.53407301161469178</v>
      </c>
      <c r="GU15" s="93">
        <v>0.69928787041117468</v>
      </c>
      <c r="GV15" s="42">
        <v>132</v>
      </c>
      <c r="GW15" s="42">
        <v>18</v>
      </c>
      <c r="GX15" s="42">
        <v>114</v>
      </c>
      <c r="GY15" s="393">
        <f t="shared" si="2"/>
        <v>0.86363636363636365</v>
      </c>
      <c r="GZ15" s="42">
        <v>50</v>
      </c>
      <c r="HA15" s="42">
        <v>11</v>
      </c>
      <c r="HB15" s="42">
        <v>61</v>
      </c>
      <c r="HC15" s="393">
        <v>0.43859649122807015</v>
      </c>
      <c r="HD15" s="393">
        <v>0.53508771929824561</v>
      </c>
      <c r="HE15" s="393">
        <v>0.35098380974694848</v>
      </c>
      <c r="HF15" s="393">
        <v>0.53021250146554089</v>
      </c>
      <c r="HG15" s="393">
        <v>0.44388388545852042</v>
      </c>
      <c r="HH15" s="93">
        <v>0.62400393670577137</v>
      </c>
      <c r="HI15" s="696">
        <v>168</v>
      </c>
      <c r="HJ15" s="696">
        <v>10</v>
      </c>
      <c r="HK15" s="696">
        <v>158</v>
      </c>
      <c r="HL15" s="697">
        <v>0.94047619047619047</v>
      </c>
      <c r="HM15" s="696">
        <v>72</v>
      </c>
      <c r="HN15" s="696">
        <v>19</v>
      </c>
      <c r="HO15" s="696">
        <v>91</v>
      </c>
      <c r="HP15" s="697">
        <v>0.45569620253164556</v>
      </c>
      <c r="HQ15" s="697">
        <v>0.57594936708860756</v>
      </c>
      <c r="HR15" s="697">
        <v>0.38001122715896307</v>
      </c>
      <c r="HS15" s="697">
        <v>0.53348436227766727</v>
      </c>
      <c r="HT15" s="697">
        <v>0.49798681781436865</v>
      </c>
      <c r="HU15" s="698">
        <v>0.65030645743712212</v>
      </c>
      <c r="HV15" s="3">
        <v>93</v>
      </c>
      <c r="HW15" s="3">
        <v>7</v>
      </c>
      <c r="HX15" s="17">
        <v>7.5268817204301078E-2</v>
      </c>
      <c r="HY15" s="17">
        <v>3.6936683981680471E-2</v>
      </c>
      <c r="HZ15" s="17">
        <v>0.14729700103258914</v>
      </c>
      <c r="IA15" s="267" t="s">
        <v>707</v>
      </c>
      <c r="IB15" s="3">
        <v>117</v>
      </c>
      <c r="IC15" s="3">
        <v>6</v>
      </c>
      <c r="ID15" s="17">
        <v>5.128205128205128E-2</v>
      </c>
      <c r="IE15" s="17">
        <v>2.3712378528816573E-2</v>
      </c>
      <c r="IF15" s="17">
        <v>0.10738053424543133</v>
      </c>
      <c r="IG15" s="3" t="s">
        <v>707</v>
      </c>
      <c r="IH15" s="3">
        <v>99</v>
      </c>
      <c r="II15" s="3">
        <v>4</v>
      </c>
      <c r="IJ15" s="17">
        <v>4.0404040404040407E-2</v>
      </c>
      <c r="IK15" s="17">
        <v>1.5822638994147552E-2</v>
      </c>
      <c r="IL15" s="17">
        <v>9.9320212502542235E-2</v>
      </c>
      <c r="IM15" s="3" t="s">
        <v>707</v>
      </c>
      <c r="IN15" s="3">
        <v>127</v>
      </c>
      <c r="IO15" s="3">
        <v>9</v>
      </c>
      <c r="IP15" s="17">
        <v>7.0866141732283464E-2</v>
      </c>
      <c r="IQ15" s="17">
        <v>3.7728059261201326E-2</v>
      </c>
      <c r="IR15" s="17">
        <v>0.12920265992793412</v>
      </c>
      <c r="IS15" s="3" t="s">
        <v>707</v>
      </c>
      <c r="IT15" s="3">
        <v>86</v>
      </c>
      <c r="IU15" s="3">
        <v>6</v>
      </c>
      <c r="IV15" s="17">
        <v>6.9767441860465115E-2</v>
      </c>
      <c r="IW15" s="17">
        <v>3.2365414509921343E-2</v>
      </c>
      <c r="IX15" s="17">
        <v>0.14396140641036845</v>
      </c>
      <c r="IY15" s="9" t="s">
        <v>707</v>
      </c>
      <c r="IZ15" s="9">
        <v>106</v>
      </c>
      <c r="JA15" s="9">
        <v>7</v>
      </c>
      <c r="JB15" s="393">
        <v>6.6037735849056603E-2</v>
      </c>
      <c r="JC15" s="393">
        <v>3.2354147112036276E-2</v>
      </c>
      <c r="JD15" s="393">
        <v>0.13007503957437352</v>
      </c>
      <c r="JE15" s="9" t="str">
        <f t="shared" si="0"/>
        <v>No Sig diff</v>
      </c>
      <c r="JF15" s="9">
        <v>137</v>
      </c>
      <c r="JG15" s="109">
        <v>10</v>
      </c>
      <c r="JH15" s="258">
        <v>7.2992700729927001E-2</v>
      </c>
      <c r="JI15" s="258">
        <v>4.0128622582625985E-2</v>
      </c>
      <c r="JJ15" s="258">
        <v>0.12915007575183807</v>
      </c>
      <c r="JK15" s="662" t="str">
        <f t="shared" si="3"/>
        <v>No Sig diff</v>
      </c>
      <c r="JL15" s="3">
        <v>89</v>
      </c>
      <c r="JM15" s="3">
        <v>18</v>
      </c>
      <c r="JN15" s="17">
        <v>0.20224719101123595</v>
      </c>
      <c r="JO15" s="17">
        <v>0.13193782732624648</v>
      </c>
      <c r="JP15" s="17">
        <v>0.29719651983691514</v>
      </c>
      <c r="JQ15" s="3" t="s">
        <v>707</v>
      </c>
      <c r="JR15" s="3">
        <v>88</v>
      </c>
      <c r="JS15" s="3">
        <v>11</v>
      </c>
      <c r="JT15" s="17">
        <v>0.125</v>
      </c>
      <c r="JU15" s="17">
        <v>7.1252741521922444E-2</v>
      </c>
      <c r="JV15" s="17">
        <v>0.21011755847674671</v>
      </c>
      <c r="JW15" s="3" t="s">
        <v>707</v>
      </c>
      <c r="JX15" s="3">
        <v>114</v>
      </c>
      <c r="JY15" s="3">
        <v>10</v>
      </c>
      <c r="JZ15" s="17">
        <v>8.771929824561403E-2</v>
      </c>
      <c r="KA15" s="17">
        <v>4.8345105411009899E-2</v>
      </c>
      <c r="KB15" s="17">
        <v>0.15397298415856123</v>
      </c>
      <c r="KC15" s="3" t="s">
        <v>708</v>
      </c>
      <c r="KD15" s="3">
        <v>99</v>
      </c>
      <c r="KE15" s="3">
        <v>7</v>
      </c>
      <c r="KF15" s="17">
        <v>7.0707070707070704E-2</v>
      </c>
      <c r="KG15" s="17">
        <v>3.4670230283234689E-2</v>
      </c>
      <c r="KH15" s="17">
        <v>0.13881485078510192</v>
      </c>
      <c r="KI15" s="3" t="s">
        <v>708</v>
      </c>
      <c r="KJ15" s="3">
        <v>102</v>
      </c>
      <c r="KK15" s="3">
        <v>7</v>
      </c>
      <c r="KL15" s="17">
        <v>6.8627450980392163E-2</v>
      </c>
      <c r="KM15" s="17">
        <v>3.3638220876867124E-2</v>
      </c>
      <c r="KN15" s="17">
        <v>0.13492955038674814</v>
      </c>
      <c r="KO15" s="465" t="s">
        <v>708</v>
      </c>
      <c r="KP15" s="465">
        <v>114</v>
      </c>
      <c r="KQ15" s="465">
        <v>16</v>
      </c>
      <c r="KR15" s="393">
        <v>0.14035087719298245</v>
      </c>
      <c r="KS15" s="393">
        <v>8.8274065827453604E-2</v>
      </c>
      <c r="KT15" s="393">
        <v>0.21587575698855524</v>
      </c>
      <c r="KU15" s="465" t="s">
        <v>772</v>
      </c>
      <c r="KV15" s="465">
        <v>94</v>
      </c>
      <c r="KW15" s="465">
        <v>11</v>
      </c>
      <c r="KX15" s="393">
        <v>0.11702127659574468</v>
      </c>
      <c r="KY15" s="393">
        <v>6.6613628282767567E-2</v>
      </c>
      <c r="KZ15" s="393">
        <v>0.19750200462139431</v>
      </c>
      <c r="LA15" s="660" t="str">
        <f t="shared" si="4"/>
        <v>No Sig diff</v>
      </c>
      <c r="LB15" s="3">
        <v>147</v>
      </c>
      <c r="LC15" s="3">
        <v>81</v>
      </c>
      <c r="LD15" s="17">
        <v>0.55102040816326525</v>
      </c>
      <c r="LE15" s="17">
        <v>0.47033523732756821</v>
      </c>
      <c r="LF15" s="17">
        <v>0.62910691947250996</v>
      </c>
      <c r="LG15" s="3">
        <v>147</v>
      </c>
      <c r="LH15" s="3">
        <v>34</v>
      </c>
      <c r="LI15" s="3">
        <v>29</v>
      </c>
      <c r="LJ15" s="293">
        <v>25.344827586206897</v>
      </c>
      <c r="LK15" s="17">
        <v>0.25456389452332656</v>
      </c>
      <c r="LL15" s="3">
        <v>126</v>
      </c>
      <c r="LM15" s="3">
        <v>91</v>
      </c>
      <c r="LN15" s="17">
        <v>0.72222222222222221</v>
      </c>
      <c r="LO15" s="17">
        <v>0.63832593390940506</v>
      </c>
      <c r="LP15" s="17">
        <v>0.79296928187628457</v>
      </c>
      <c r="LQ15" s="3">
        <v>126</v>
      </c>
      <c r="LR15" s="3">
        <v>34</v>
      </c>
      <c r="LS15" s="3">
        <v>25</v>
      </c>
      <c r="LT15" s="293">
        <v>26.839999999999996</v>
      </c>
      <c r="LU15" s="18">
        <v>0.21058823529411774</v>
      </c>
      <c r="LV15" s="42">
        <v>141</v>
      </c>
      <c r="LW15" s="42">
        <v>99</v>
      </c>
      <c r="LX15" s="18">
        <v>0.7021276595744681</v>
      </c>
      <c r="LY15" s="18">
        <v>0.62209673816041289</v>
      </c>
      <c r="LZ15" s="18">
        <v>0.77143699495782991</v>
      </c>
      <c r="MA15" s="337">
        <v>34</v>
      </c>
      <c r="MB15" s="337">
        <v>28</v>
      </c>
      <c r="MC15" s="294">
        <v>25.7</v>
      </c>
      <c r="MD15" s="393">
        <v>0.245</v>
      </c>
      <c r="ME15" s="337">
        <v>148</v>
      </c>
      <c r="MF15" s="337">
        <v>104</v>
      </c>
      <c r="MG15" s="393">
        <v>0.70270270270270274</v>
      </c>
      <c r="MH15" s="393">
        <v>0.62469388777665658</v>
      </c>
      <c r="MI15" s="393">
        <v>0.77045510819586327</v>
      </c>
      <c r="MJ15" s="337">
        <v>34</v>
      </c>
      <c r="MK15" s="337">
        <v>29</v>
      </c>
      <c r="ML15" s="294">
        <v>25.793103448275861</v>
      </c>
      <c r="MM15" s="93">
        <v>0.24137931034482762</v>
      </c>
      <c r="MN15" s="17">
        <v>0.91865338728083834</v>
      </c>
      <c r="MO15" s="17">
        <v>8.1346612719161743E-2</v>
      </c>
      <c r="MP15" s="17">
        <v>7.2097514909401916E-2</v>
      </c>
      <c r="MQ15" s="17">
        <v>0.22281995332477456</v>
      </c>
      <c r="MR15" s="17">
        <v>0.92518933499325662</v>
      </c>
      <c r="MS15" s="17">
        <v>7.4810665006743438E-2</v>
      </c>
      <c r="MT15" s="17">
        <v>6.2724910645863163E-2</v>
      </c>
      <c r="MU15" s="17">
        <v>0.20745281963161774</v>
      </c>
      <c r="MV15" s="17">
        <v>0.90939412802157904</v>
      </c>
      <c r="MW15" s="17">
        <v>9.0605871978421001E-2</v>
      </c>
      <c r="MX15" s="17">
        <v>8.1682478239274645E-2</v>
      </c>
      <c r="MY15" s="17">
        <v>0.23797472795159738</v>
      </c>
      <c r="MZ15" s="17">
        <v>0.8110488639900405</v>
      </c>
      <c r="NA15" s="17">
        <v>0.18895113600995952</v>
      </c>
      <c r="NB15" s="17">
        <v>0.13214965937388246</v>
      </c>
      <c r="NC15" s="93">
        <v>0.31120623660046737</v>
      </c>
      <c r="ND15" s="337">
        <v>5</v>
      </c>
      <c r="NE15" s="337">
        <v>67</v>
      </c>
      <c r="NF15" s="393">
        <v>7.4626865671641784E-2</v>
      </c>
      <c r="NG15" s="393">
        <v>3.2296049166322678E-2</v>
      </c>
      <c r="NH15" s="393">
        <v>0.16309036792776985</v>
      </c>
      <c r="NI15" s="337">
        <v>4</v>
      </c>
      <c r="NJ15" s="337">
        <v>67</v>
      </c>
      <c r="NK15" s="393">
        <v>5.9701492537313432E-2</v>
      </c>
      <c r="NL15" s="393">
        <v>2.3459351139819038E-2</v>
      </c>
      <c r="NM15" s="393">
        <v>0.14369501041371532</v>
      </c>
      <c r="NN15" s="337">
        <v>6</v>
      </c>
      <c r="NO15" s="337">
        <v>66</v>
      </c>
      <c r="NP15" s="393">
        <v>9.0909090909090912E-2</v>
      </c>
      <c r="NQ15" s="393">
        <v>4.2332975070511356E-2</v>
      </c>
      <c r="NR15" s="393">
        <v>0.18448729884965875</v>
      </c>
      <c r="NS15" s="337">
        <v>10</v>
      </c>
      <c r="NT15" s="337">
        <v>66</v>
      </c>
      <c r="NU15" s="393">
        <v>0.15151515151515152</v>
      </c>
      <c r="NV15" s="393">
        <v>8.4436369826712737E-2</v>
      </c>
      <c r="NW15" s="93">
        <v>0.25692904869787658</v>
      </c>
      <c r="NX15" s="3">
        <v>38</v>
      </c>
      <c r="NY15" s="3">
        <v>36</v>
      </c>
      <c r="NZ15" s="3">
        <v>36</v>
      </c>
      <c r="OA15" s="3">
        <v>36</v>
      </c>
      <c r="OB15" s="3">
        <v>36</v>
      </c>
      <c r="OC15" s="3">
        <v>36</v>
      </c>
      <c r="OD15" s="3">
        <v>34</v>
      </c>
      <c r="OE15" s="3">
        <v>34</v>
      </c>
      <c r="OF15" s="3">
        <v>34</v>
      </c>
      <c r="OG15" s="3">
        <v>34</v>
      </c>
      <c r="OH15" s="3">
        <v>34</v>
      </c>
      <c r="OI15" s="3">
        <v>34</v>
      </c>
      <c r="OJ15" s="3">
        <v>34</v>
      </c>
      <c r="OK15" s="3">
        <v>46</v>
      </c>
      <c r="OL15" s="3">
        <v>42</v>
      </c>
      <c r="OM15" s="3">
        <v>42</v>
      </c>
      <c r="ON15" s="3">
        <v>40</v>
      </c>
      <c r="OO15" s="3">
        <v>40</v>
      </c>
      <c r="OP15" s="3">
        <v>43</v>
      </c>
      <c r="OQ15" s="3">
        <v>40</v>
      </c>
      <c r="OR15" s="3">
        <v>42</v>
      </c>
      <c r="OS15" s="3">
        <v>41</v>
      </c>
      <c r="OT15" s="6">
        <v>42</v>
      </c>
      <c r="OU15" s="3">
        <v>186</v>
      </c>
      <c r="OV15" s="22">
        <v>0.93</v>
      </c>
      <c r="OW15" s="22">
        <v>1.6E-2</v>
      </c>
      <c r="OX15" s="22">
        <v>0.93500000000000005</v>
      </c>
      <c r="OY15" s="3">
        <v>173</v>
      </c>
      <c r="OZ15" s="3">
        <v>3</v>
      </c>
      <c r="PA15" s="3">
        <v>174</v>
      </c>
      <c r="PB15" s="3">
        <v>167</v>
      </c>
      <c r="PC15" s="22">
        <v>0.91600000000000004</v>
      </c>
      <c r="PD15" s="22">
        <v>0.84399999999999997</v>
      </c>
      <c r="PE15" s="22">
        <v>0.91600000000000004</v>
      </c>
      <c r="PF15" s="22">
        <v>0.85</v>
      </c>
      <c r="PG15" s="22">
        <v>0.85599999999999998</v>
      </c>
      <c r="PH15" s="3">
        <v>153</v>
      </c>
      <c r="PI15" s="3">
        <v>141</v>
      </c>
      <c r="PJ15" s="3">
        <v>153</v>
      </c>
      <c r="PK15" s="3">
        <v>142</v>
      </c>
      <c r="PL15" s="3">
        <v>143</v>
      </c>
      <c r="PM15" s="3">
        <v>196</v>
      </c>
      <c r="PN15" s="22">
        <v>0.92300000000000004</v>
      </c>
      <c r="PO15" s="22">
        <v>0.84699999999999998</v>
      </c>
      <c r="PP15" s="22">
        <v>0.92300000000000004</v>
      </c>
      <c r="PQ15" s="22">
        <v>0.92300000000000004</v>
      </c>
      <c r="PR15" s="22">
        <v>0.92300000000000004</v>
      </c>
      <c r="PS15" s="22">
        <v>0.84199999999999997</v>
      </c>
      <c r="PT15" s="22">
        <v>0.90800000000000003</v>
      </c>
      <c r="PU15" s="22">
        <v>0.85199999999999998</v>
      </c>
      <c r="PV15" s="22">
        <v>0.93400000000000005</v>
      </c>
      <c r="PW15" s="22">
        <v>0.872</v>
      </c>
      <c r="PX15" s="3">
        <v>181</v>
      </c>
      <c r="PY15" s="3">
        <v>166</v>
      </c>
      <c r="PZ15" s="3">
        <v>181</v>
      </c>
      <c r="QA15" s="3">
        <v>181</v>
      </c>
      <c r="QB15" s="3">
        <v>181</v>
      </c>
      <c r="QC15" s="3">
        <v>165</v>
      </c>
      <c r="QD15" s="3">
        <v>178</v>
      </c>
      <c r="QE15" s="3">
        <v>167</v>
      </c>
      <c r="QF15" s="3">
        <v>183</v>
      </c>
      <c r="QG15" s="6">
        <v>171</v>
      </c>
      <c r="QH15" s="37">
        <v>175</v>
      </c>
      <c r="QI15" s="17">
        <v>0.92</v>
      </c>
      <c r="QJ15" s="17">
        <v>0.25714285714285712</v>
      </c>
      <c r="QK15" s="17">
        <v>0.92</v>
      </c>
      <c r="QL15" s="37">
        <v>161</v>
      </c>
      <c r="QM15" s="37">
        <v>45</v>
      </c>
      <c r="QN15" s="37">
        <v>161</v>
      </c>
      <c r="QO15" s="37">
        <v>199</v>
      </c>
      <c r="QP15" s="17">
        <v>0.90954773869346739</v>
      </c>
      <c r="QQ15" s="17">
        <v>0.84422110552763818</v>
      </c>
      <c r="QR15" s="17">
        <v>0.70351758793969854</v>
      </c>
      <c r="QS15" s="17">
        <v>0.85427135678391963</v>
      </c>
      <c r="QT15" s="17">
        <v>0.67839195979899503</v>
      </c>
      <c r="QU15" s="37">
        <v>181</v>
      </c>
      <c r="QV15" s="37">
        <v>168</v>
      </c>
      <c r="QW15" s="37">
        <v>140</v>
      </c>
      <c r="QX15" s="37">
        <v>170</v>
      </c>
      <c r="QY15" s="37">
        <v>135</v>
      </c>
      <c r="QZ15" s="3">
        <v>208</v>
      </c>
      <c r="RA15" s="17">
        <v>0.875</v>
      </c>
      <c r="RB15" s="17">
        <v>0.75480769230769229</v>
      </c>
      <c r="RC15" s="17">
        <v>0.875</v>
      </c>
      <c r="RD15" s="17">
        <v>0.875</v>
      </c>
      <c r="RE15" s="17">
        <v>0.625</v>
      </c>
      <c r="RF15" s="17">
        <v>0.79326923076923073</v>
      </c>
      <c r="RG15" s="17">
        <v>0.83173076923076927</v>
      </c>
      <c r="RH15" s="17">
        <v>0.74519230769230771</v>
      </c>
      <c r="RI15" s="17">
        <v>0.62980769230769229</v>
      </c>
      <c r="RJ15" s="17">
        <v>0.5625</v>
      </c>
      <c r="RK15" s="37">
        <v>182</v>
      </c>
      <c r="RL15" s="37">
        <v>157</v>
      </c>
      <c r="RM15" s="37">
        <v>182</v>
      </c>
      <c r="RN15" s="37">
        <v>182</v>
      </c>
      <c r="RO15" s="37">
        <v>130</v>
      </c>
      <c r="RP15" s="37">
        <v>165</v>
      </c>
      <c r="RQ15" s="37">
        <v>173</v>
      </c>
      <c r="RR15" s="37">
        <v>155</v>
      </c>
      <c r="RS15" s="37">
        <v>131</v>
      </c>
      <c r="RT15" s="38">
        <v>117</v>
      </c>
    </row>
    <row r="16" spans="1:488" s="3" customFormat="1" ht="13.5" customHeight="1" x14ac:dyDescent="0.2">
      <c r="A16" s="9" t="s">
        <v>38</v>
      </c>
      <c r="B16" s="6">
        <v>6</v>
      </c>
      <c r="C16" s="9" t="s">
        <v>154</v>
      </c>
      <c r="D16" s="9" t="s">
        <v>155</v>
      </c>
      <c r="E16" s="9" t="s">
        <v>286</v>
      </c>
      <c r="F16" s="9" t="s">
        <v>286</v>
      </c>
      <c r="G16" s="9" t="s">
        <v>156</v>
      </c>
      <c r="H16" s="9" t="s">
        <v>75</v>
      </c>
      <c r="I16" s="9" t="s">
        <v>82</v>
      </c>
      <c r="J16" s="9" t="s">
        <v>268</v>
      </c>
      <c r="K16" s="9" t="s">
        <v>369</v>
      </c>
      <c r="L16" s="9" t="s">
        <v>271</v>
      </c>
      <c r="M16" s="9" t="s">
        <v>864</v>
      </c>
      <c r="N16" s="3" t="s">
        <v>402</v>
      </c>
      <c r="O16" s="9">
        <v>507031</v>
      </c>
      <c r="P16" s="9">
        <v>102448</v>
      </c>
      <c r="Q16" s="109">
        <v>21034</v>
      </c>
      <c r="R16" s="109">
        <v>80206</v>
      </c>
      <c r="S16" s="310" t="s">
        <v>797</v>
      </c>
      <c r="T16" s="36">
        <v>18325</v>
      </c>
      <c r="U16" s="37">
        <v>18400</v>
      </c>
      <c r="V16" s="37">
        <v>18435</v>
      </c>
      <c r="W16" s="37">
        <v>18385</v>
      </c>
      <c r="X16" s="37">
        <v>18475</v>
      </c>
      <c r="Y16" s="37">
        <v>18365</v>
      </c>
      <c r="Z16" s="37">
        <v>18420</v>
      </c>
      <c r="AA16" s="37">
        <v>18370</v>
      </c>
      <c r="AB16" s="37">
        <v>18475</v>
      </c>
      <c r="AC16" s="42">
        <v>18481</v>
      </c>
      <c r="AD16" s="42">
        <v>18351</v>
      </c>
      <c r="AE16" s="36">
        <v>680</v>
      </c>
      <c r="AF16" s="37">
        <v>700</v>
      </c>
      <c r="AG16" s="37">
        <v>690</v>
      </c>
      <c r="AH16" s="37">
        <v>665</v>
      </c>
      <c r="AI16" s="37">
        <v>665</v>
      </c>
      <c r="AJ16" s="37">
        <v>630</v>
      </c>
      <c r="AK16" s="37">
        <v>625</v>
      </c>
      <c r="AL16" s="37">
        <v>640</v>
      </c>
      <c r="AM16" s="37">
        <v>640</v>
      </c>
      <c r="AN16" s="42">
        <v>633</v>
      </c>
      <c r="AO16" s="42">
        <v>604</v>
      </c>
      <c r="AP16" s="13">
        <v>628</v>
      </c>
      <c r="AQ16" s="3">
        <v>579</v>
      </c>
      <c r="AR16" s="3">
        <v>23</v>
      </c>
      <c r="AS16" s="3">
        <v>18</v>
      </c>
      <c r="AT16" s="3">
        <v>5</v>
      </c>
      <c r="AU16" s="3">
        <v>3</v>
      </c>
      <c r="AV16" s="3">
        <v>0</v>
      </c>
      <c r="AW16" s="9">
        <v>49</v>
      </c>
      <c r="AX16" s="16">
        <v>0.92197452229299359</v>
      </c>
      <c r="AY16" s="17">
        <v>3.662420382165605E-2</v>
      </c>
      <c r="AZ16" s="17">
        <v>2.8662420382165606E-2</v>
      </c>
      <c r="BA16" s="17">
        <v>7.9617834394904458E-3</v>
      </c>
      <c r="BB16" s="17">
        <v>4.7770700636942673E-3</v>
      </c>
      <c r="BC16" s="17">
        <v>0</v>
      </c>
      <c r="BD16" s="18">
        <v>7.8025477707006408E-2</v>
      </c>
      <c r="BE16" s="13">
        <v>1891</v>
      </c>
      <c r="BF16" s="3">
        <v>1871</v>
      </c>
      <c r="BG16" s="3">
        <v>20</v>
      </c>
      <c r="BH16" s="3">
        <v>17</v>
      </c>
      <c r="BI16" s="3">
        <v>3</v>
      </c>
      <c r="BJ16" s="17">
        <v>0.85</v>
      </c>
      <c r="BK16" s="18">
        <v>0.15</v>
      </c>
      <c r="BL16" s="13">
        <v>1305</v>
      </c>
      <c r="BM16" s="17">
        <v>0.70574712643678161</v>
      </c>
      <c r="BN16" s="17">
        <v>8.2758620689655171E-2</v>
      </c>
      <c r="BO16" s="18">
        <v>0.21149425287356322</v>
      </c>
      <c r="BP16" s="36">
        <v>5666</v>
      </c>
      <c r="BQ16" s="37">
        <v>215</v>
      </c>
      <c r="BR16" s="37">
        <v>210</v>
      </c>
      <c r="BS16" s="37">
        <v>80</v>
      </c>
      <c r="BT16" s="37">
        <v>2647</v>
      </c>
      <c r="BU16" s="37">
        <v>1518</v>
      </c>
      <c r="BV16" s="18">
        <v>0.13372859025032938</v>
      </c>
      <c r="BW16" s="36">
        <v>917</v>
      </c>
      <c r="BX16" s="37">
        <v>0</v>
      </c>
      <c r="BY16" s="37">
        <v>193</v>
      </c>
      <c r="BZ16" s="37">
        <v>305</v>
      </c>
      <c r="CA16" s="37">
        <v>105</v>
      </c>
      <c r="CB16" s="38">
        <v>1520</v>
      </c>
      <c r="CC16" s="37">
        <v>507</v>
      </c>
      <c r="CD16" s="37">
        <v>425</v>
      </c>
      <c r="CE16" s="37">
        <v>82</v>
      </c>
      <c r="CF16" s="37">
        <v>82</v>
      </c>
      <c r="CG16" s="17">
        <v>0.16173570019723865</v>
      </c>
      <c r="CH16" s="93">
        <v>0.16173570019723865</v>
      </c>
      <c r="CI16" s="37">
        <v>65</v>
      </c>
      <c r="CJ16" s="37">
        <v>65</v>
      </c>
      <c r="CK16" s="37">
        <v>60</v>
      </c>
      <c r="CL16" s="37">
        <v>60</v>
      </c>
      <c r="CM16" s="42">
        <v>55</v>
      </c>
      <c r="CN16" s="42">
        <v>35</v>
      </c>
      <c r="CO16" s="36">
        <v>305</v>
      </c>
      <c r="CP16" s="37">
        <v>84</v>
      </c>
      <c r="CQ16" s="17">
        <v>0.27540983606557379</v>
      </c>
      <c r="CR16" s="38">
        <v>35</v>
      </c>
      <c r="CS16" s="37">
        <v>115</v>
      </c>
      <c r="CT16" s="37">
        <v>131</v>
      </c>
      <c r="CU16" s="37">
        <v>143</v>
      </c>
      <c r="CV16" s="37">
        <v>114</v>
      </c>
      <c r="CW16" s="37">
        <v>112</v>
      </c>
      <c r="CX16" s="526" t="s">
        <v>471</v>
      </c>
      <c r="CY16" s="568">
        <v>111</v>
      </c>
      <c r="CZ16" s="37">
        <v>6</v>
      </c>
      <c r="DA16" s="37">
        <v>7</v>
      </c>
      <c r="DB16" s="37">
        <v>4</v>
      </c>
      <c r="DC16" s="37">
        <v>5</v>
      </c>
      <c r="DD16" s="37">
        <v>3</v>
      </c>
      <c r="DE16" s="528" t="s">
        <v>471</v>
      </c>
      <c r="DF16" s="716">
        <v>0</v>
      </c>
      <c r="DG16" s="13">
        <v>7</v>
      </c>
      <c r="DH16" s="13">
        <v>9</v>
      </c>
      <c r="DI16" s="17">
        <v>8.0357142857142863E-2</v>
      </c>
      <c r="DJ16" s="17">
        <v>4.2850577836899766E-2</v>
      </c>
      <c r="DK16" s="18">
        <v>0.14569555273714238</v>
      </c>
      <c r="DL16" s="425" t="s">
        <v>286</v>
      </c>
      <c r="DM16" s="258" t="s">
        <v>286</v>
      </c>
      <c r="DN16" s="258" t="s">
        <v>286</v>
      </c>
      <c r="DO16" s="258" t="s">
        <v>286</v>
      </c>
      <c r="DP16" s="337">
        <v>2</v>
      </c>
      <c r="DQ16" s="393">
        <v>1.8018018018018018E-2</v>
      </c>
      <c r="DR16" s="393">
        <v>4.9551787085280758E-3</v>
      </c>
      <c r="DS16" s="393">
        <v>6.3325552842760036E-2</v>
      </c>
      <c r="DT16" s="13">
        <v>17</v>
      </c>
      <c r="DU16" s="18">
        <v>2.7113237639553429E-2</v>
      </c>
      <c r="DV16" s="328">
        <v>6</v>
      </c>
      <c r="DW16" s="333">
        <v>6</v>
      </c>
      <c r="DX16" s="337">
        <v>5</v>
      </c>
      <c r="DY16" s="393">
        <v>0.12017864393016646</v>
      </c>
      <c r="DZ16" s="337">
        <v>6</v>
      </c>
      <c r="EA16" s="93">
        <v>0.11242180518319929</v>
      </c>
      <c r="EB16" s="3">
        <v>225</v>
      </c>
      <c r="EC16" s="18">
        <v>2.5426601875918182E-2</v>
      </c>
      <c r="ED16" s="13">
        <v>85</v>
      </c>
      <c r="EE16" s="3">
        <v>95</v>
      </c>
      <c r="EF16" s="3">
        <v>100</v>
      </c>
      <c r="EG16" s="3">
        <v>75</v>
      </c>
      <c r="EH16" s="9">
        <v>75</v>
      </c>
      <c r="EI16" s="9">
        <v>65</v>
      </c>
      <c r="EJ16" s="13">
        <v>75</v>
      </c>
      <c r="EK16" s="17">
        <v>0.12096774193548387</v>
      </c>
      <c r="EL16" s="17">
        <v>9.760680774078051E-2</v>
      </c>
      <c r="EM16" s="17">
        <v>0.14899664678357097</v>
      </c>
      <c r="EN16" s="3">
        <v>70</v>
      </c>
      <c r="EO16" s="17">
        <v>0.112</v>
      </c>
      <c r="EP16" s="17">
        <v>8.9607870000130457E-2</v>
      </c>
      <c r="EQ16" s="17">
        <v>0.13913254907218875</v>
      </c>
      <c r="ER16" s="3">
        <v>75</v>
      </c>
      <c r="ES16" s="17">
        <v>0.125</v>
      </c>
      <c r="ET16" s="17">
        <v>0.10089974887356178</v>
      </c>
      <c r="EU16" s="17">
        <v>0.15387152688671377</v>
      </c>
      <c r="EV16" s="3">
        <v>85</v>
      </c>
      <c r="EW16" s="17">
        <v>0.13600000000000001</v>
      </c>
      <c r="EX16" s="17">
        <v>0.11133956335384002</v>
      </c>
      <c r="EY16" s="17">
        <v>0.1651076339201914</v>
      </c>
      <c r="EZ16" s="3">
        <v>95</v>
      </c>
      <c r="FA16" s="18">
        <v>0.14393939393939395</v>
      </c>
      <c r="FB16" s="18">
        <v>0.11921756644319204</v>
      </c>
      <c r="FC16" s="18">
        <v>0.17278206124660458</v>
      </c>
      <c r="FD16" s="337">
        <v>75</v>
      </c>
      <c r="FE16" s="18">
        <v>0.12605042016806722</v>
      </c>
      <c r="FF16" s="18">
        <v>0.1017580109145233</v>
      </c>
      <c r="FG16" s="393">
        <v>0.15514046622775074</v>
      </c>
      <c r="FH16" s="425" t="s">
        <v>286</v>
      </c>
      <c r="FI16" s="258" t="s">
        <v>286</v>
      </c>
      <c r="FJ16" s="258" t="s">
        <v>286</v>
      </c>
      <c r="FK16" s="258" t="s">
        <v>286</v>
      </c>
      <c r="FL16" s="36">
        <v>280</v>
      </c>
      <c r="FM16" s="18">
        <v>0.11914893617021277</v>
      </c>
      <c r="FN16" s="42">
        <v>275</v>
      </c>
      <c r="FO16" s="18">
        <v>0.11677282377919321</v>
      </c>
      <c r="FP16" s="42">
        <v>230</v>
      </c>
      <c r="FQ16" s="18">
        <v>0.10021786492374728</v>
      </c>
      <c r="FR16" s="42">
        <v>265</v>
      </c>
      <c r="FS16" s="18">
        <v>0.11422413793103449</v>
      </c>
      <c r="FT16" s="42">
        <v>250</v>
      </c>
      <c r="FU16" s="18">
        <v>0.10845986984815618</v>
      </c>
      <c r="FV16" s="42">
        <v>210</v>
      </c>
      <c r="FW16" s="393">
        <v>9.375E-2</v>
      </c>
      <c r="FX16" s="114" t="s">
        <v>286</v>
      </c>
      <c r="FY16" s="259" t="s">
        <v>286</v>
      </c>
      <c r="FZ16" s="3">
        <v>115</v>
      </c>
      <c r="GA16" s="3">
        <v>5</v>
      </c>
      <c r="GB16" s="3">
        <v>110</v>
      </c>
      <c r="GC16" s="17">
        <v>0.95652173913043481</v>
      </c>
      <c r="GD16" s="3">
        <v>36</v>
      </c>
      <c r="GE16" s="3">
        <v>49</v>
      </c>
      <c r="GF16" s="17">
        <v>0.32727272727272727</v>
      </c>
      <c r="GG16" s="17">
        <v>0.44545454545454544</v>
      </c>
      <c r="GH16" s="17">
        <v>0.24670999220537851</v>
      </c>
      <c r="GI16" s="17">
        <v>0.41949287212541092</v>
      </c>
      <c r="GJ16" s="17">
        <v>0.35597557115906309</v>
      </c>
      <c r="GK16" s="93">
        <v>0.53861480705065989</v>
      </c>
      <c r="GL16" s="337">
        <v>100</v>
      </c>
      <c r="GM16" s="337">
        <v>42</v>
      </c>
      <c r="GN16" s="337">
        <v>8</v>
      </c>
      <c r="GO16" s="337">
        <v>50</v>
      </c>
      <c r="GP16" s="393">
        <v>0.42</v>
      </c>
      <c r="GQ16" s="393">
        <v>0.5</v>
      </c>
      <c r="GR16" s="393">
        <v>0.32798382674354737</v>
      </c>
      <c r="GS16" s="393">
        <v>0.51793513296957039</v>
      </c>
      <c r="GT16" s="393">
        <v>0.40383153036599567</v>
      </c>
      <c r="GU16" s="93">
        <v>0.59616846963400427</v>
      </c>
      <c r="GV16" s="42">
        <v>120</v>
      </c>
      <c r="GW16" s="42">
        <v>9</v>
      </c>
      <c r="GX16" s="42">
        <v>111</v>
      </c>
      <c r="GY16" s="393">
        <f t="shared" si="2"/>
        <v>0.92500000000000004</v>
      </c>
      <c r="GZ16" s="42">
        <v>43</v>
      </c>
      <c r="HA16" s="42">
        <v>17</v>
      </c>
      <c r="HB16" s="42">
        <v>60</v>
      </c>
      <c r="HC16" s="393">
        <v>0.38738738738738737</v>
      </c>
      <c r="HD16" s="393">
        <v>0.54054054054054057</v>
      </c>
      <c r="HE16" s="393">
        <v>0.30197741698369296</v>
      </c>
      <c r="HF16" s="393">
        <v>0.48033116515445845</v>
      </c>
      <c r="HG16" s="393">
        <v>0.44802860675412204</v>
      </c>
      <c r="HH16" s="93">
        <v>0.63034030367614347</v>
      </c>
      <c r="HI16" s="696">
        <v>229</v>
      </c>
      <c r="HJ16" s="696">
        <v>15</v>
      </c>
      <c r="HK16" s="696">
        <v>214</v>
      </c>
      <c r="HL16" s="697">
        <v>0.93449781659388642</v>
      </c>
      <c r="HM16" s="696">
        <v>74</v>
      </c>
      <c r="HN16" s="696">
        <v>16</v>
      </c>
      <c r="HO16" s="696">
        <v>90</v>
      </c>
      <c r="HP16" s="697">
        <v>0.34579439252336447</v>
      </c>
      <c r="HQ16" s="697">
        <v>0.42056074766355139</v>
      </c>
      <c r="HR16" s="697">
        <v>0.28529491083658753</v>
      </c>
      <c r="HS16" s="697">
        <v>0.4117324577951807</v>
      </c>
      <c r="HT16" s="697">
        <v>0.35639308934657571</v>
      </c>
      <c r="HU16" s="698">
        <v>0.48753010055463825</v>
      </c>
      <c r="HV16" s="3">
        <v>100</v>
      </c>
      <c r="HW16" s="3">
        <v>5</v>
      </c>
      <c r="HX16" s="17">
        <v>0.05</v>
      </c>
      <c r="HY16" s="17">
        <v>2.1543679154367969E-2</v>
      </c>
      <c r="HZ16" s="17">
        <v>0.11175046923191914</v>
      </c>
      <c r="IA16" s="267" t="s">
        <v>707</v>
      </c>
      <c r="IB16" s="3">
        <v>108</v>
      </c>
      <c r="IC16" s="3">
        <v>11</v>
      </c>
      <c r="ID16" s="17">
        <v>0.10185185185185185</v>
      </c>
      <c r="IE16" s="17">
        <v>5.7829317593360803E-2</v>
      </c>
      <c r="IF16" s="17">
        <v>0.17322506146408276</v>
      </c>
      <c r="IG16" s="3" t="s">
        <v>707</v>
      </c>
      <c r="IH16" s="3">
        <v>83</v>
      </c>
      <c r="II16" s="3">
        <v>6</v>
      </c>
      <c r="IJ16" s="17">
        <v>7.2289156626506021E-2</v>
      </c>
      <c r="IK16" s="17">
        <v>3.3550295522992796E-2</v>
      </c>
      <c r="IL16" s="17">
        <v>0.14886786091773177</v>
      </c>
      <c r="IM16" s="3" t="s">
        <v>707</v>
      </c>
      <c r="IN16" s="3">
        <v>130</v>
      </c>
      <c r="IO16" s="3">
        <v>10</v>
      </c>
      <c r="IP16" s="17">
        <v>7.6923076923076927E-2</v>
      </c>
      <c r="IQ16" s="17">
        <v>4.2317437086078179E-2</v>
      </c>
      <c r="IR16" s="17">
        <v>0.13581465315536376</v>
      </c>
      <c r="IS16" s="3" t="s">
        <v>707</v>
      </c>
      <c r="IT16" s="3">
        <v>81</v>
      </c>
      <c r="IU16" s="3">
        <v>4</v>
      </c>
      <c r="IV16" s="17">
        <v>4.9382716049382713E-2</v>
      </c>
      <c r="IW16" s="17">
        <v>1.9369305554033843E-2</v>
      </c>
      <c r="IX16" s="17">
        <v>0.12020230230480947</v>
      </c>
      <c r="IY16" s="9" t="s">
        <v>707</v>
      </c>
      <c r="IZ16" s="9">
        <v>104</v>
      </c>
      <c r="JA16" s="9">
        <v>5</v>
      </c>
      <c r="JB16" s="393">
        <v>4.807692307692308E-2</v>
      </c>
      <c r="JC16" s="393">
        <v>2.070804232585223E-2</v>
      </c>
      <c r="JD16" s="393">
        <v>0.10764202797232544</v>
      </c>
      <c r="JE16" s="9" t="str">
        <f t="shared" si="0"/>
        <v>No Sig diff</v>
      </c>
      <c r="JF16" s="9">
        <v>120</v>
      </c>
      <c r="JG16" s="109">
        <v>9</v>
      </c>
      <c r="JH16" s="258">
        <v>7.4999999999999997E-2</v>
      </c>
      <c r="JI16" s="258">
        <v>3.995711539596028E-2</v>
      </c>
      <c r="JJ16" s="258">
        <v>0.13640917605993766</v>
      </c>
      <c r="JK16" s="662" t="str">
        <f t="shared" si="3"/>
        <v>No Sig diff</v>
      </c>
      <c r="JL16" s="3">
        <v>144</v>
      </c>
      <c r="JM16" s="3">
        <v>19</v>
      </c>
      <c r="JN16" s="17">
        <v>0.13194444444444445</v>
      </c>
      <c r="JO16" s="17">
        <v>8.6122870939953716E-2</v>
      </c>
      <c r="JP16" s="17">
        <v>0.19689286195700392</v>
      </c>
      <c r="JQ16" s="3" t="s">
        <v>707</v>
      </c>
      <c r="JR16" s="3">
        <v>139</v>
      </c>
      <c r="JS16" s="3">
        <v>20</v>
      </c>
      <c r="JT16" s="17">
        <v>0.14388489208633093</v>
      </c>
      <c r="JU16" s="17">
        <v>9.5114077729757537E-2</v>
      </c>
      <c r="JV16" s="17">
        <v>0.21180983065546405</v>
      </c>
      <c r="JW16" s="3" t="s">
        <v>707</v>
      </c>
      <c r="JX16" s="3">
        <v>117</v>
      </c>
      <c r="JY16" s="3">
        <v>11</v>
      </c>
      <c r="JZ16" s="17">
        <v>9.4017094017094016E-2</v>
      </c>
      <c r="KA16" s="17">
        <v>5.3310461939706823E-2</v>
      </c>
      <c r="KB16" s="17">
        <v>0.16053550676080314</v>
      </c>
      <c r="KC16" s="3" t="s">
        <v>708</v>
      </c>
      <c r="KD16" s="3">
        <v>132</v>
      </c>
      <c r="KE16" s="3">
        <v>16</v>
      </c>
      <c r="KF16" s="17">
        <v>0.12121212121212122</v>
      </c>
      <c r="KG16" s="17">
        <v>7.6004168709792846E-2</v>
      </c>
      <c r="KH16" s="17">
        <v>0.18784354856188021</v>
      </c>
      <c r="KI16" s="3" t="s">
        <v>708</v>
      </c>
      <c r="KJ16" s="3">
        <v>131</v>
      </c>
      <c r="KK16" s="3">
        <v>23</v>
      </c>
      <c r="KL16" s="17">
        <v>0.17557251908396945</v>
      </c>
      <c r="KM16" s="17">
        <v>0.11993766480499095</v>
      </c>
      <c r="KN16" s="17">
        <v>0.24969241229889863</v>
      </c>
      <c r="KO16" s="465" t="s">
        <v>707</v>
      </c>
      <c r="KP16" s="465">
        <v>125</v>
      </c>
      <c r="KQ16" s="465">
        <v>15</v>
      </c>
      <c r="KR16" s="393">
        <v>0.12</v>
      </c>
      <c r="KS16" s="393">
        <v>7.4085888637149294E-2</v>
      </c>
      <c r="KT16" s="393">
        <v>0.18857381058117878</v>
      </c>
      <c r="KU16" s="465" t="s">
        <v>708</v>
      </c>
      <c r="KV16" s="465">
        <v>117</v>
      </c>
      <c r="KW16" s="465">
        <v>19</v>
      </c>
      <c r="KX16" s="393">
        <v>0.1623931623931624</v>
      </c>
      <c r="KY16" s="393">
        <v>0.10649805976106339</v>
      </c>
      <c r="KZ16" s="393">
        <v>0.23975279842146596</v>
      </c>
      <c r="LA16" s="660" t="str">
        <f t="shared" si="4"/>
        <v>No Sig diff</v>
      </c>
      <c r="LB16" s="3">
        <v>143</v>
      </c>
      <c r="LC16" s="3">
        <v>75</v>
      </c>
      <c r="LD16" s="17">
        <v>0.52447552447552448</v>
      </c>
      <c r="LE16" s="17">
        <v>0.44305846825994299</v>
      </c>
      <c r="LF16" s="17">
        <v>0.6046119924956096</v>
      </c>
      <c r="LG16" s="3">
        <v>143</v>
      </c>
      <c r="LH16" s="3">
        <v>34</v>
      </c>
      <c r="LI16" s="3">
        <v>28</v>
      </c>
      <c r="LJ16" s="293">
        <v>26.035714285714278</v>
      </c>
      <c r="LK16" s="17">
        <v>0.23424369747899185</v>
      </c>
      <c r="LL16" s="3">
        <v>151</v>
      </c>
      <c r="LM16" s="3">
        <v>101</v>
      </c>
      <c r="LN16" s="17">
        <v>0.66887417218543044</v>
      </c>
      <c r="LO16" s="17">
        <v>0.59043982267317197</v>
      </c>
      <c r="LP16" s="17">
        <v>0.73892932941585499</v>
      </c>
      <c r="LQ16" s="3">
        <v>151</v>
      </c>
      <c r="LR16" s="3">
        <v>34</v>
      </c>
      <c r="LS16" s="3">
        <v>30</v>
      </c>
      <c r="LT16" s="293">
        <v>25.06666666666667</v>
      </c>
      <c r="LU16" s="18">
        <v>0.26274509803921559</v>
      </c>
      <c r="LV16" s="42">
        <v>120</v>
      </c>
      <c r="LW16" s="42">
        <v>79</v>
      </c>
      <c r="LX16" s="18">
        <v>0.65833333333333333</v>
      </c>
      <c r="LY16" s="18">
        <v>0.56974831431972239</v>
      </c>
      <c r="LZ16" s="18">
        <v>0.73709561631435483</v>
      </c>
      <c r="MA16" s="337">
        <v>34</v>
      </c>
      <c r="MB16" s="337">
        <v>24</v>
      </c>
      <c r="MC16" s="294">
        <v>20.2</v>
      </c>
      <c r="MD16" s="393">
        <v>0.40500000000000003</v>
      </c>
      <c r="ME16" s="337">
        <v>143</v>
      </c>
      <c r="MF16" s="337">
        <v>100</v>
      </c>
      <c r="MG16" s="393">
        <v>0.69930069930069927</v>
      </c>
      <c r="MH16" s="393">
        <v>0.61973492796604979</v>
      </c>
      <c r="MI16" s="393">
        <v>0.76843882390059326</v>
      </c>
      <c r="MJ16" s="337">
        <v>34</v>
      </c>
      <c r="MK16" s="337">
        <v>28</v>
      </c>
      <c r="ML16" s="294">
        <v>25.785714285714285</v>
      </c>
      <c r="MM16" s="93">
        <v>0.24159663865546221</v>
      </c>
      <c r="MN16" s="17">
        <v>0.94504477004477005</v>
      </c>
      <c r="MO16" s="17">
        <v>5.4955229955229966E-2</v>
      </c>
      <c r="MP16" s="17">
        <v>2.4232521079919089E-2</v>
      </c>
      <c r="MQ16" s="17">
        <v>0.12485581862986618</v>
      </c>
      <c r="MR16" s="17">
        <v>0.95933048433048429</v>
      </c>
      <c r="MS16" s="17">
        <v>4.0669515669515668E-2</v>
      </c>
      <c r="MT16" s="17">
        <v>1.7614201033819141E-2</v>
      </c>
      <c r="MU16" s="17">
        <v>0.10993207132684676</v>
      </c>
      <c r="MV16" s="17">
        <v>0.96858974358974359</v>
      </c>
      <c r="MW16" s="17">
        <v>3.141025641025641E-2</v>
      </c>
      <c r="MX16" s="17">
        <v>1.1529012223652576E-2</v>
      </c>
      <c r="MY16" s="17">
        <v>9.4475192787893972E-2</v>
      </c>
      <c r="MZ16" s="17">
        <v>0.83746438746438756</v>
      </c>
      <c r="NA16" s="17">
        <v>0.16253561253561252</v>
      </c>
      <c r="NB16" s="17">
        <v>0.11649367959569261</v>
      </c>
      <c r="NC16" s="93">
        <v>0.27805683470612508</v>
      </c>
      <c r="ND16" s="337">
        <v>3</v>
      </c>
      <c r="NE16" s="337">
        <v>63</v>
      </c>
      <c r="NF16" s="393">
        <v>4.7619047619047616E-2</v>
      </c>
      <c r="NG16" s="393">
        <v>1.6326168867995608E-2</v>
      </c>
      <c r="NH16" s="393">
        <v>0.13090967837906067</v>
      </c>
      <c r="NI16" s="337">
        <v>1</v>
      </c>
      <c r="NJ16" s="337">
        <v>63</v>
      </c>
      <c r="NK16" s="393">
        <v>1.5873015873015872E-2</v>
      </c>
      <c r="NL16" s="393">
        <v>2.8074942138692845E-3</v>
      </c>
      <c r="NM16" s="393">
        <v>8.458525459438393E-2</v>
      </c>
      <c r="NN16" s="337">
        <v>1</v>
      </c>
      <c r="NO16" s="337">
        <v>62</v>
      </c>
      <c r="NP16" s="393">
        <v>1.6129032258064516E-2</v>
      </c>
      <c r="NQ16" s="393">
        <v>2.852867168621826E-3</v>
      </c>
      <c r="NR16" s="393">
        <v>8.5867202606899895E-2</v>
      </c>
      <c r="NS16" s="337">
        <v>7</v>
      </c>
      <c r="NT16" s="337">
        <v>63</v>
      </c>
      <c r="NU16" s="393">
        <v>0.1111111111111111</v>
      </c>
      <c r="NV16" s="393">
        <v>5.4875486623837205E-2</v>
      </c>
      <c r="NW16" s="93">
        <v>0.21204655750082518</v>
      </c>
      <c r="NX16" s="3">
        <v>32</v>
      </c>
      <c r="NY16" s="3">
        <v>31</v>
      </c>
      <c r="NZ16" s="3">
        <v>31</v>
      </c>
      <c r="OA16" s="3">
        <v>32</v>
      </c>
      <c r="OB16" s="3">
        <v>31</v>
      </c>
      <c r="OC16" s="3">
        <v>41</v>
      </c>
      <c r="OD16" s="3">
        <v>41</v>
      </c>
      <c r="OE16" s="3">
        <v>40</v>
      </c>
      <c r="OF16" s="3">
        <v>41</v>
      </c>
      <c r="OG16" s="3">
        <v>40</v>
      </c>
      <c r="OH16" s="3">
        <v>41</v>
      </c>
      <c r="OI16" s="3">
        <v>40</v>
      </c>
      <c r="OJ16" s="3">
        <v>40</v>
      </c>
      <c r="OK16" s="3">
        <v>37</v>
      </c>
      <c r="OL16" s="3">
        <v>36</v>
      </c>
      <c r="OM16" s="3">
        <v>36</v>
      </c>
      <c r="ON16" s="3">
        <v>35</v>
      </c>
      <c r="OO16" s="3">
        <v>36</v>
      </c>
      <c r="OP16" s="3">
        <v>36</v>
      </c>
      <c r="OQ16" s="3">
        <v>35</v>
      </c>
      <c r="OR16" s="3">
        <v>37</v>
      </c>
      <c r="OS16" s="3">
        <v>35</v>
      </c>
      <c r="OT16" s="6">
        <v>37</v>
      </c>
      <c r="OU16" s="3">
        <v>200</v>
      </c>
      <c r="OV16" s="22">
        <v>0.96499999999999997</v>
      </c>
      <c r="OW16" s="22">
        <v>0</v>
      </c>
      <c r="OX16" s="22">
        <v>0.96499999999999997</v>
      </c>
      <c r="OY16" s="3">
        <v>193</v>
      </c>
      <c r="OZ16" s="3">
        <v>0</v>
      </c>
      <c r="PA16" s="3">
        <v>193</v>
      </c>
      <c r="PB16" s="3">
        <v>201</v>
      </c>
      <c r="PC16" s="22">
        <v>0.99</v>
      </c>
      <c r="PD16" s="22">
        <v>0.97499999999999998</v>
      </c>
      <c r="PE16" s="22">
        <v>0.995</v>
      </c>
      <c r="PF16" s="22">
        <v>0.97499999999999998</v>
      </c>
      <c r="PG16" s="22">
        <v>0.97499999999999998</v>
      </c>
      <c r="PH16" s="3">
        <v>199</v>
      </c>
      <c r="PI16" s="3">
        <v>196</v>
      </c>
      <c r="PJ16" s="3">
        <v>200</v>
      </c>
      <c r="PK16" s="3">
        <v>196</v>
      </c>
      <c r="PL16" s="3">
        <v>196</v>
      </c>
      <c r="PM16" s="3">
        <v>204</v>
      </c>
      <c r="PN16" s="22">
        <v>0.98</v>
      </c>
      <c r="PO16" s="22">
        <v>0.95099999999999996</v>
      </c>
      <c r="PP16" s="22">
        <v>0.98</v>
      </c>
      <c r="PQ16" s="22">
        <v>0.98</v>
      </c>
      <c r="PR16" s="22">
        <v>0.98</v>
      </c>
      <c r="PS16" s="22">
        <v>0.92600000000000005</v>
      </c>
      <c r="PT16" s="22">
        <v>0.98499999999999999</v>
      </c>
      <c r="PU16" s="22">
        <v>0.95599999999999996</v>
      </c>
      <c r="PV16" s="22">
        <v>0.98499999999999999</v>
      </c>
      <c r="PW16" s="22">
        <v>0.98499999999999999</v>
      </c>
      <c r="PX16" s="3">
        <v>200</v>
      </c>
      <c r="PY16" s="3">
        <v>194</v>
      </c>
      <c r="PZ16" s="3">
        <v>200</v>
      </c>
      <c r="QA16" s="3">
        <v>200</v>
      </c>
      <c r="QB16" s="3">
        <v>200</v>
      </c>
      <c r="QC16" s="3">
        <v>189</v>
      </c>
      <c r="QD16" s="3">
        <v>201</v>
      </c>
      <c r="QE16" s="3">
        <v>195</v>
      </c>
      <c r="QF16" s="3">
        <v>201</v>
      </c>
      <c r="QG16" s="6">
        <v>201</v>
      </c>
      <c r="QH16" s="37">
        <v>231</v>
      </c>
      <c r="QI16" s="17">
        <v>0.97835497835497831</v>
      </c>
      <c r="QJ16" s="17">
        <v>0.24675324675324675</v>
      </c>
      <c r="QK16" s="17">
        <v>0.97835497835497831</v>
      </c>
      <c r="QL16" s="37">
        <v>226</v>
      </c>
      <c r="QM16" s="37">
        <v>57</v>
      </c>
      <c r="QN16" s="37">
        <v>226</v>
      </c>
      <c r="QO16" s="37">
        <v>195</v>
      </c>
      <c r="QP16" s="17">
        <v>0.96410256410256412</v>
      </c>
      <c r="QQ16" s="17">
        <v>0.9538461538461539</v>
      </c>
      <c r="QR16" s="17">
        <v>0.7384615384615385</v>
      </c>
      <c r="QS16" s="17">
        <v>0.96410256410256412</v>
      </c>
      <c r="QT16" s="17">
        <v>0.73333333333333328</v>
      </c>
      <c r="QU16" s="37">
        <v>188</v>
      </c>
      <c r="QV16" s="37">
        <v>186</v>
      </c>
      <c r="QW16" s="37">
        <v>144</v>
      </c>
      <c r="QX16" s="37">
        <v>188</v>
      </c>
      <c r="QY16" s="37">
        <v>143</v>
      </c>
      <c r="QZ16" s="3">
        <v>214</v>
      </c>
      <c r="RA16" s="17">
        <v>0.98598130841121501</v>
      </c>
      <c r="RB16" s="17">
        <v>0.91588785046728971</v>
      </c>
      <c r="RC16" s="17">
        <v>0.98598130841121501</v>
      </c>
      <c r="RD16" s="17">
        <v>0.98598130841121501</v>
      </c>
      <c r="RE16" s="17">
        <v>0.71962616822429903</v>
      </c>
      <c r="RF16" s="17">
        <v>0.92523364485981308</v>
      </c>
      <c r="RG16" s="17">
        <v>0.94392523364485981</v>
      </c>
      <c r="RH16" s="17">
        <v>0.92990654205607481</v>
      </c>
      <c r="RI16" s="17">
        <v>0.72429906542056077</v>
      </c>
      <c r="RJ16" s="17">
        <v>0.65420560747663548</v>
      </c>
      <c r="RK16" s="37">
        <v>211</v>
      </c>
      <c r="RL16" s="37">
        <v>196</v>
      </c>
      <c r="RM16" s="37">
        <v>211</v>
      </c>
      <c r="RN16" s="37">
        <v>211</v>
      </c>
      <c r="RO16" s="37">
        <v>154</v>
      </c>
      <c r="RP16" s="37">
        <v>198</v>
      </c>
      <c r="RQ16" s="37">
        <v>202</v>
      </c>
      <c r="RR16" s="37">
        <v>199</v>
      </c>
      <c r="RS16" s="37">
        <v>155</v>
      </c>
      <c r="RT16" s="38">
        <v>140</v>
      </c>
    </row>
    <row r="17" spans="1:488" s="3" customFormat="1" ht="12.75" x14ac:dyDescent="0.2">
      <c r="A17" s="9" t="s">
        <v>43</v>
      </c>
      <c r="B17" s="6">
        <v>11</v>
      </c>
      <c r="C17" s="9" t="s">
        <v>169</v>
      </c>
      <c r="D17" s="9" t="s">
        <v>170</v>
      </c>
      <c r="E17" s="9" t="s">
        <v>286</v>
      </c>
      <c r="F17" s="9" t="s">
        <v>286</v>
      </c>
      <c r="G17" s="9" t="s">
        <v>171</v>
      </c>
      <c r="H17" s="9" t="s">
        <v>77</v>
      </c>
      <c r="I17" s="9" t="s">
        <v>82</v>
      </c>
      <c r="J17" s="9" t="s">
        <v>268</v>
      </c>
      <c r="K17" s="9" t="s">
        <v>372</v>
      </c>
      <c r="L17" s="9" t="s">
        <v>274</v>
      </c>
      <c r="M17" s="9" t="s">
        <v>335</v>
      </c>
      <c r="N17" s="3" t="s">
        <v>403</v>
      </c>
      <c r="O17" s="9">
        <v>496277</v>
      </c>
      <c r="P17" s="9">
        <v>100377</v>
      </c>
      <c r="Q17" s="109">
        <v>21153</v>
      </c>
      <c r="R17" s="109">
        <v>80374</v>
      </c>
      <c r="S17" s="310" t="s">
        <v>797</v>
      </c>
      <c r="T17" s="36">
        <v>19635</v>
      </c>
      <c r="U17" s="37">
        <v>19660</v>
      </c>
      <c r="V17" s="37">
        <v>19650</v>
      </c>
      <c r="W17" s="37">
        <v>19765</v>
      </c>
      <c r="X17" s="37">
        <v>19785</v>
      </c>
      <c r="Y17" s="37">
        <v>19715</v>
      </c>
      <c r="Z17" s="37">
        <v>19595</v>
      </c>
      <c r="AA17" s="37">
        <v>19835</v>
      </c>
      <c r="AB17" s="37">
        <v>20120</v>
      </c>
      <c r="AC17" s="42">
        <v>20512</v>
      </c>
      <c r="AD17" s="42">
        <v>20765</v>
      </c>
      <c r="AE17" s="36">
        <v>785</v>
      </c>
      <c r="AF17" s="37">
        <v>770</v>
      </c>
      <c r="AG17" s="37">
        <v>780</v>
      </c>
      <c r="AH17" s="37">
        <v>785</v>
      </c>
      <c r="AI17" s="37">
        <v>795</v>
      </c>
      <c r="AJ17" s="37">
        <v>840</v>
      </c>
      <c r="AK17" s="37">
        <v>815</v>
      </c>
      <c r="AL17" s="37">
        <v>905</v>
      </c>
      <c r="AM17" s="37">
        <v>970</v>
      </c>
      <c r="AN17" s="42">
        <v>1019</v>
      </c>
      <c r="AO17" s="42">
        <v>1021</v>
      </c>
      <c r="AP17" s="13">
        <v>813</v>
      </c>
      <c r="AQ17" s="3">
        <v>743</v>
      </c>
      <c r="AR17" s="3">
        <v>35</v>
      </c>
      <c r="AS17" s="3">
        <v>20</v>
      </c>
      <c r="AT17" s="3">
        <v>11</v>
      </c>
      <c r="AU17" s="3">
        <v>2</v>
      </c>
      <c r="AV17" s="3">
        <v>2</v>
      </c>
      <c r="AW17" s="9">
        <v>70</v>
      </c>
      <c r="AX17" s="16">
        <v>0.91389913899138986</v>
      </c>
      <c r="AY17" s="17">
        <v>4.3050430504305043E-2</v>
      </c>
      <c r="AZ17" s="17">
        <v>2.4600246002460024E-2</v>
      </c>
      <c r="BA17" s="17">
        <v>1.3530135301353014E-2</v>
      </c>
      <c r="BB17" s="17">
        <v>2.4600246002460025E-3</v>
      </c>
      <c r="BC17" s="17">
        <v>2.4600246002460025E-3</v>
      </c>
      <c r="BD17" s="18">
        <v>8.6100861008610141E-2</v>
      </c>
      <c r="BE17" s="13">
        <v>2287</v>
      </c>
      <c r="BF17" s="3">
        <v>2241</v>
      </c>
      <c r="BG17" s="3">
        <v>46</v>
      </c>
      <c r="BH17" s="3">
        <v>33</v>
      </c>
      <c r="BI17" s="3">
        <v>13</v>
      </c>
      <c r="BJ17" s="17">
        <v>0.71739130434782605</v>
      </c>
      <c r="BK17" s="18">
        <v>0.28260869565217389</v>
      </c>
      <c r="BL17" s="13">
        <v>1662</v>
      </c>
      <c r="BM17" s="17">
        <v>0.68471720818291215</v>
      </c>
      <c r="BN17" s="17">
        <v>6.3778580024067388E-2</v>
      </c>
      <c r="BO17" s="18">
        <v>0.25150421179302046</v>
      </c>
      <c r="BP17" s="36">
        <v>5618</v>
      </c>
      <c r="BQ17" s="37">
        <v>250</v>
      </c>
      <c r="BR17" s="37">
        <v>266</v>
      </c>
      <c r="BS17" s="37">
        <v>117</v>
      </c>
      <c r="BT17" s="37">
        <v>3273</v>
      </c>
      <c r="BU17" s="37">
        <v>1883</v>
      </c>
      <c r="BV17" s="18">
        <v>0.12426978226234732</v>
      </c>
      <c r="BW17" s="36">
        <v>1082</v>
      </c>
      <c r="BX17" s="37">
        <v>0</v>
      </c>
      <c r="BY17" s="37">
        <v>244</v>
      </c>
      <c r="BZ17" s="37">
        <v>431</v>
      </c>
      <c r="CA17" s="37">
        <v>139</v>
      </c>
      <c r="CB17" s="38">
        <v>1896</v>
      </c>
      <c r="CC17" s="37">
        <v>642</v>
      </c>
      <c r="CD17" s="37">
        <v>533</v>
      </c>
      <c r="CE17" s="37">
        <v>108</v>
      </c>
      <c r="CF17" s="37">
        <v>109</v>
      </c>
      <c r="CG17" s="17">
        <v>0.16822429906542055</v>
      </c>
      <c r="CH17" s="93">
        <v>0.16978193146417445</v>
      </c>
      <c r="CI17" s="37">
        <v>130</v>
      </c>
      <c r="CJ17" s="37">
        <v>110</v>
      </c>
      <c r="CK17" s="37">
        <v>100</v>
      </c>
      <c r="CL17" s="37">
        <v>100</v>
      </c>
      <c r="CM17" s="42">
        <v>115</v>
      </c>
      <c r="CN17" s="42">
        <v>80</v>
      </c>
      <c r="CO17" s="36">
        <v>430</v>
      </c>
      <c r="CP17" s="37">
        <v>125</v>
      </c>
      <c r="CQ17" s="17">
        <v>0.29069767441860467</v>
      </c>
      <c r="CR17" s="38">
        <v>47</v>
      </c>
      <c r="CS17" s="37">
        <v>141</v>
      </c>
      <c r="CT17" s="37">
        <v>157</v>
      </c>
      <c r="CU17" s="37">
        <v>172</v>
      </c>
      <c r="CV17" s="37">
        <v>163</v>
      </c>
      <c r="CW17" s="37">
        <v>155</v>
      </c>
      <c r="CX17" s="526" t="s">
        <v>471</v>
      </c>
      <c r="CY17" s="568">
        <v>183</v>
      </c>
      <c r="CZ17" s="37">
        <v>12</v>
      </c>
      <c r="DA17" s="37">
        <v>9</v>
      </c>
      <c r="DB17" s="37">
        <v>9</v>
      </c>
      <c r="DC17" s="37">
        <v>9</v>
      </c>
      <c r="DD17" s="37">
        <v>6</v>
      </c>
      <c r="DE17" s="528" t="s">
        <v>471</v>
      </c>
      <c r="DF17" s="716">
        <v>7</v>
      </c>
      <c r="DG17" s="13">
        <v>17</v>
      </c>
      <c r="DH17" s="13">
        <v>13</v>
      </c>
      <c r="DI17" s="17">
        <v>8.387096774193549E-2</v>
      </c>
      <c r="DJ17" s="17">
        <v>4.9668328719835564E-2</v>
      </c>
      <c r="DK17" s="18">
        <v>0.13820112955793193</v>
      </c>
      <c r="DL17" s="425" t="s">
        <v>286</v>
      </c>
      <c r="DM17" s="258" t="s">
        <v>286</v>
      </c>
      <c r="DN17" s="258" t="s">
        <v>286</v>
      </c>
      <c r="DO17" s="258" t="s">
        <v>286</v>
      </c>
      <c r="DP17" s="337">
        <v>11</v>
      </c>
      <c r="DQ17" s="393">
        <v>6.0109289617486336E-2</v>
      </c>
      <c r="DR17" s="393">
        <v>3.3892167379215965E-2</v>
      </c>
      <c r="DS17" s="393">
        <v>0.10441471046149581</v>
      </c>
      <c r="DT17" s="13">
        <v>22</v>
      </c>
      <c r="DU17" s="18">
        <v>2.7060270602706028E-2</v>
      </c>
      <c r="DV17" s="328">
        <v>5</v>
      </c>
      <c r="DW17" s="333">
        <v>5</v>
      </c>
      <c r="DX17" s="337">
        <v>6</v>
      </c>
      <c r="DY17" s="393">
        <v>0.11822843822843823</v>
      </c>
      <c r="DZ17" s="337">
        <v>5</v>
      </c>
      <c r="EA17" s="93">
        <v>0.12999451114922811</v>
      </c>
      <c r="EB17" s="3">
        <v>294</v>
      </c>
      <c r="EC17" s="18">
        <v>3.4154275092936802E-2</v>
      </c>
      <c r="ED17" s="13">
        <v>130</v>
      </c>
      <c r="EE17" s="3">
        <v>140</v>
      </c>
      <c r="EF17" s="3">
        <v>150</v>
      </c>
      <c r="EG17" s="3">
        <v>170</v>
      </c>
      <c r="EH17" s="9">
        <v>175</v>
      </c>
      <c r="EI17" s="9">
        <v>145</v>
      </c>
      <c r="EJ17" s="13">
        <v>110</v>
      </c>
      <c r="EK17" s="17">
        <v>0.13580246913580246</v>
      </c>
      <c r="EL17" s="17">
        <v>0.11392252397260774</v>
      </c>
      <c r="EM17" s="17">
        <v>0.16112055277732099</v>
      </c>
      <c r="EN17" s="3">
        <v>130</v>
      </c>
      <c r="EO17" s="17">
        <v>0.15950920245398773</v>
      </c>
      <c r="EP17" s="17">
        <v>0.13597689445352973</v>
      </c>
      <c r="EQ17" s="17">
        <v>0.18623622260173264</v>
      </c>
      <c r="ER17" s="3">
        <v>135</v>
      </c>
      <c r="ES17" s="17">
        <v>0.16363636363636364</v>
      </c>
      <c r="ET17" s="17">
        <v>0.13996165928184773</v>
      </c>
      <c r="EU17" s="17">
        <v>0.19042897924910338</v>
      </c>
      <c r="EV17" s="3">
        <v>135</v>
      </c>
      <c r="EW17" s="17">
        <v>0.16875000000000001</v>
      </c>
      <c r="EX17" s="17">
        <v>0.14439354842269603</v>
      </c>
      <c r="EY17" s="17">
        <v>0.19627245706356439</v>
      </c>
      <c r="EZ17" s="3">
        <v>170</v>
      </c>
      <c r="FA17" s="18">
        <v>0.18994413407821228</v>
      </c>
      <c r="FB17" s="18">
        <v>0.16559155241766899</v>
      </c>
      <c r="FC17" s="18">
        <v>0.21694694249312876</v>
      </c>
      <c r="FD17" s="337">
        <v>190</v>
      </c>
      <c r="FE17" s="18">
        <v>0.21111111111111111</v>
      </c>
      <c r="FF17" s="18">
        <v>0.18570548198479889</v>
      </c>
      <c r="FG17" s="393">
        <v>0.23897238057034351</v>
      </c>
      <c r="FH17" s="425" t="s">
        <v>286</v>
      </c>
      <c r="FI17" s="258" t="s">
        <v>286</v>
      </c>
      <c r="FJ17" s="258" t="s">
        <v>286</v>
      </c>
      <c r="FK17" s="258" t="s">
        <v>286</v>
      </c>
      <c r="FL17" s="36">
        <v>345</v>
      </c>
      <c r="FM17" s="18">
        <v>0.11815068493150685</v>
      </c>
      <c r="FN17" s="42">
        <v>355</v>
      </c>
      <c r="FO17" s="18">
        <v>0.12199312714776632</v>
      </c>
      <c r="FP17" s="42">
        <v>350</v>
      </c>
      <c r="FQ17" s="18">
        <v>0.12216404886561955</v>
      </c>
      <c r="FR17" s="42">
        <v>325</v>
      </c>
      <c r="FS17" s="18">
        <v>0.11669658886894076</v>
      </c>
      <c r="FT17" s="42">
        <v>390</v>
      </c>
      <c r="FU17" s="18">
        <v>0.13287904599659284</v>
      </c>
      <c r="FV17" s="42">
        <v>415</v>
      </c>
      <c r="FW17" s="393">
        <v>0.13673805601317957</v>
      </c>
      <c r="FX17" s="114" t="s">
        <v>286</v>
      </c>
      <c r="FY17" s="259" t="s">
        <v>286</v>
      </c>
      <c r="FZ17" s="3">
        <v>178</v>
      </c>
      <c r="GA17" s="3">
        <v>6</v>
      </c>
      <c r="GB17" s="3">
        <v>172</v>
      </c>
      <c r="GC17" s="17">
        <v>0.9662921348314607</v>
      </c>
      <c r="GD17" s="3">
        <v>68</v>
      </c>
      <c r="GE17" s="3">
        <v>81</v>
      </c>
      <c r="GF17" s="17">
        <v>0.39534883720930231</v>
      </c>
      <c r="GG17" s="17">
        <v>0.47093023255813954</v>
      </c>
      <c r="GH17" s="17">
        <v>0.32533233499934777</v>
      </c>
      <c r="GI17" s="17">
        <v>0.46993795371504055</v>
      </c>
      <c r="GJ17" s="17">
        <v>0.39778405133173356</v>
      </c>
      <c r="GK17" s="93">
        <v>0.54534658442226325</v>
      </c>
      <c r="GL17" s="337">
        <v>182</v>
      </c>
      <c r="GM17" s="337">
        <v>56</v>
      </c>
      <c r="GN17" s="337">
        <v>24</v>
      </c>
      <c r="GO17" s="337">
        <v>80</v>
      </c>
      <c r="GP17" s="393">
        <v>0.30769230769230771</v>
      </c>
      <c r="GQ17" s="393">
        <v>0.43956043956043955</v>
      </c>
      <c r="GR17" s="393">
        <v>0.2451917830898642</v>
      </c>
      <c r="GS17" s="393">
        <v>0.37814307209151771</v>
      </c>
      <c r="GT17" s="393">
        <v>0.36943954423870295</v>
      </c>
      <c r="GU17" s="93">
        <v>0.51217998167544565</v>
      </c>
      <c r="GV17" s="42">
        <v>189</v>
      </c>
      <c r="GW17" s="42">
        <v>16</v>
      </c>
      <c r="GX17" s="42">
        <v>173</v>
      </c>
      <c r="GY17" s="393">
        <f t="shared" si="2"/>
        <v>0.91534391534391535</v>
      </c>
      <c r="GZ17" s="42">
        <v>52</v>
      </c>
      <c r="HA17" s="42">
        <v>27</v>
      </c>
      <c r="HB17" s="42">
        <v>79</v>
      </c>
      <c r="HC17" s="393">
        <v>0.30057803468208094</v>
      </c>
      <c r="HD17" s="393">
        <v>0.45664739884393063</v>
      </c>
      <c r="HE17" s="393">
        <v>0.237193457590508</v>
      </c>
      <c r="HF17" s="393">
        <v>0.37262654468643791</v>
      </c>
      <c r="HG17" s="393">
        <v>0.38416764925346947</v>
      </c>
      <c r="HH17" s="93">
        <v>0.53101061211108402</v>
      </c>
      <c r="HI17" s="696">
        <v>133</v>
      </c>
      <c r="HJ17" s="696">
        <v>13</v>
      </c>
      <c r="HK17" s="696">
        <v>120</v>
      </c>
      <c r="HL17" s="697">
        <v>0.90225563909774431</v>
      </c>
      <c r="HM17" s="696">
        <v>32</v>
      </c>
      <c r="HN17" s="696">
        <v>12</v>
      </c>
      <c r="HO17" s="696">
        <v>44</v>
      </c>
      <c r="HP17" s="697">
        <v>0.26666666666666666</v>
      </c>
      <c r="HQ17" s="697">
        <v>0.36666666666666664</v>
      </c>
      <c r="HR17" s="697">
        <v>0.19568455046725244</v>
      </c>
      <c r="HS17" s="697">
        <v>0.35212439386147587</v>
      </c>
      <c r="HT17" s="697">
        <v>0.28582935190005759</v>
      </c>
      <c r="HU17" s="698">
        <v>0.45577575914493001</v>
      </c>
      <c r="HV17" s="3">
        <v>149</v>
      </c>
      <c r="HW17" s="3">
        <v>10</v>
      </c>
      <c r="HX17" s="17">
        <v>6.7114093959731544E-2</v>
      </c>
      <c r="HY17" s="17">
        <v>3.6860340607094678E-2</v>
      </c>
      <c r="HZ17" s="17">
        <v>0.11912782519982631</v>
      </c>
      <c r="IA17" s="267" t="s">
        <v>707</v>
      </c>
      <c r="IB17" s="3">
        <v>179</v>
      </c>
      <c r="IC17" s="3">
        <v>16</v>
      </c>
      <c r="ID17" s="17">
        <v>8.9385474860335198E-2</v>
      </c>
      <c r="IE17" s="17">
        <v>5.5768700800059426E-2</v>
      </c>
      <c r="IF17" s="17">
        <v>0.14025609057858804</v>
      </c>
      <c r="IG17" s="3" t="s">
        <v>707</v>
      </c>
      <c r="IH17" s="3">
        <v>138</v>
      </c>
      <c r="II17" s="3">
        <v>15</v>
      </c>
      <c r="IJ17" s="17">
        <v>0.10869565217391304</v>
      </c>
      <c r="IK17" s="17">
        <v>6.6985397787695536E-2</v>
      </c>
      <c r="IL17" s="17">
        <v>0.17160111353318763</v>
      </c>
      <c r="IM17" s="3" t="s">
        <v>707</v>
      </c>
      <c r="IN17" s="3">
        <v>191</v>
      </c>
      <c r="IO17" s="3">
        <v>18</v>
      </c>
      <c r="IP17" s="17">
        <v>9.4240837696335081E-2</v>
      </c>
      <c r="IQ17" s="17">
        <v>6.0444414831651493E-2</v>
      </c>
      <c r="IR17" s="17">
        <v>0.14403700848472206</v>
      </c>
      <c r="IS17" s="3" t="s">
        <v>707</v>
      </c>
      <c r="IT17" s="3">
        <v>133</v>
      </c>
      <c r="IU17" s="3">
        <v>19</v>
      </c>
      <c r="IV17" s="17">
        <v>0.14285714285714285</v>
      </c>
      <c r="IW17" s="17">
        <v>9.34023426858272E-2</v>
      </c>
      <c r="IX17" s="17">
        <v>0.21236360851993824</v>
      </c>
      <c r="IY17" s="9" t="s">
        <v>707</v>
      </c>
      <c r="IZ17" s="9">
        <v>181</v>
      </c>
      <c r="JA17" s="9">
        <v>23</v>
      </c>
      <c r="JB17" s="393">
        <v>0.1270718232044199</v>
      </c>
      <c r="JC17" s="393">
        <v>8.6187292341289315E-2</v>
      </c>
      <c r="JD17" s="393">
        <v>0.18345707823816465</v>
      </c>
      <c r="JE17" s="9" t="str">
        <f t="shared" si="0"/>
        <v>No Sig diff</v>
      </c>
      <c r="JF17" s="9">
        <v>201</v>
      </c>
      <c r="JG17" s="109">
        <v>20</v>
      </c>
      <c r="JH17" s="258">
        <v>9.950248756218906E-2</v>
      </c>
      <c r="JI17" s="258">
        <v>6.5338926232430261E-2</v>
      </c>
      <c r="JJ17" s="258">
        <v>0.14868737036346683</v>
      </c>
      <c r="JK17" s="662" t="str">
        <f t="shared" si="3"/>
        <v>No Sig diff</v>
      </c>
      <c r="JL17" s="3">
        <v>175</v>
      </c>
      <c r="JM17" s="3">
        <v>22</v>
      </c>
      <c r="JN17" s="17">
        <v>0.12571428571428572</v>
      </c>
      <c r="JO17" s="17">
        <v>8.4504753621622061E-2</v>
      </c>
      <c r="JP17" s="17">
        <v>0.18300289888897292</v>
      </c>
      <c r="JQ17" s="3" t="s">
        <v>708</v>
      </c>
      <c r="JR17" s="3">
        <v>136</v>
      </c>
      <c r="JS17" s="3">
        <v>24</v>
      </c>
      <c r="JT17" s="17">
        <v>0.17647058823529413</v>
      </c>
      <c r="JU17" s="17">
        <v>0.12155217401413997</v>
      </c>
      <c r="JV17" s="17">
        <v>0.24916377287229574</v>
      </c>
      <c r="JW17" s="3" t="s">
        <v>707</v>
      </c>
      <c r="JX17" s="3">
        <v>155</v>
      </c>
      <c r="JY17" s="3">
        <v>19</v>
      </c>
      <c r="JZ17" s="17">
        <v>0.12258064516129032</v>
      </c>
      <c r="KA17" s="17">
        <v>7.9896668098098103E-2</v>
      </c>
      <c r="KB17" s="17">
        <v>0.18351981731662126</v>
      </c>
      <c r="KC17" s="3" t="s">
        <v>708</v>
      </c>
      <c r="KD17" s="3">
        <v>164</v>
      </c>
      <c r="KE17" s="3">
        <v>23</v>
      </c>
      <c r="KF17" s="17">
        <v>0.1402439024390244</v>
      </c>
      <c r="KG17" s="17">
        <v>9.5303919572450629E-2</v>
      </c>
      <c r="KH17" s="17">
        <v>0.20165166679396676</v>
      </c>
      <c r="KI17" s="3" t="s">
        <v>707</v>
      </c>
      <c r="KJ17" s="3">
        <v>168</v>
      </c>
      <c r="KK17" s="3">
        <v>25</v>
      </c>
      <c r="KL17" s="17">
        <v>0.14880952380952381</v>
      </c>
      <c r="KM17" s="17">
        <v>0.102871852858841</v>
      </c>
      <c r="KN17" s="17">
        <v>0.21044868800594727</v>
      </c>
      <c r="KO17" s="465" t="s">
        <v>707</v>
      </c>
      <c r="KP17" s="465">
        <v>167</v>
      </c>
      <c r="KQ17" s="465">
        <v>36</v>
      </c>
      <c r="KR17" s="393">
        <v>0.21556886227544911</v>
      </c>
      <c r="KS17" s="393">
        <v>0.15997105257556704</v>
      </c>
      <c r="KT17" s="393">
        <v>0.28395783531980728</v>
      </c>
      <c r="KU17" s="465" t="s">
        <v>772</v>
      </c>
      <c r="KV17" s="465">
        <v>163</v>
      </c>
      <c r="KW17" s="465">
        <v>29</v>
      </c>
      <c r="KX17" s="393">
        <v>0.17791411042944785</v>
      </c>
      <c r="KY17" s="393">
        <v>0.12682710449718471</v>
      </c>
      <c r="KZ17" s="393">
        <v>0.24383291764488754</v>
      </c>
      <c r="LA17" s="660" t="str">
        <f t="shared" si="4"/>
        <v>No Sig diff</v>
      </c>
      <c r="LB17" s="3">
        <v>190</v>
      </c>
      <c r="LC17" s="3">
        <v>81</v>
      </c>
      <c r="LD17" s="17">
        <v>0.4263157894736842</v>
      </c>
      <c r="LE17" s="17">
        <v>0.35814185509394658</v>
      </c>
      <c r="LF17" s="17">
        <v>0.49741020187906476</v>
      </c>
      <c r="LG17" s="3">
        <v>190</v>
      </c>
      <c r="LH17" s="3">
        <v>33</v>
      </c>
      <c r="LI17" s="3">
        <v>38</v>
      </c>
      <c r="LJ17" s="293">
        <v>22.763157894736842</v>
      </c>
      <c r="LK17" s="17">
        <v>0.31020733652312599</v>
      </c>
      <c r="LL17" s="3">
        <v>198</v>
      </c>
      <c r="LM17" s="3">
        <v>99</v>
      </c>
      <c r="LN17" s="17">
        <v>0.5</v>
      </c>
      <c r="LO17" s="17">
        <v>0.43102163323431003</v>
      </c>
      <c r="LP17" s="17">
        <v>0.56897836676569002</v>
      </c>
      <c r="LQ17" s="3">
        <v>198</v>
      </c>
      <c r="LR17" s="3">
        <v>33.5</v>
      </c>
      <c r="LS17" s="3">
        <v>39</v>
      </c>
      <c r="LT17" s="293">
        <v>22.179487179487182</v>
      </c>
      <c r="LU17" s="18">
        <v>0.33792575583620349</v>
      </c>
      <c r="LV17" s="42">
        <v>204</v>
      </c>
      <c r="LW17" s="42">
        <v>111</v>
      </c>
      <c r="LX17" s="18">
        <v>0.54411764705882348</v>
      </c>
      <c r="LY17" s="18">
        <v>0.47558701772861045</v>
      </c>
      <c r="LZ17" s="18">
        <v>0.61101745522944695</v>
      </c>
      <c r="MA17" s="337">
        <v>34</v>
      </c>
      <c r="MB17" s="337">
        <v>40</v>
      </c>
      <c r="MC17" s="294">
        <v>22.9</v>
      </c>
      <c r="MD17" s="393">
        <v>0.32600000000000001</v>
      </c>
      <c r="ME17" s="337">
        <v>235</v>
      </c>
      <c r="MF17" s="337">
        <v>165</v>
      </c>
      <c r="MG17" s="393">
        <v>0.7021276595744681</v>
      </c>
      <c r="MH17" s="393">
        <v>0.64078720730418304</v>
      </c>
      <c r="MI17" s="393">
        <v>0.75696618303714602</v>
      </c>
      <c r="MJ17" s="337">
        <v>34</v>
      </c>
      <c r="MK17" s="337">
        <v>47</v>
      </c>
      <c r="ML17" s="294">
        <v>25.680851063829788</v>
      </c>
      <c r="MM17" s="93">
        <v>0.24468085106382975</v>
      </c>
      <c r="MN17" s="17">
        <v>0.88842592592592595</v>
      </c>
      <c r="MO17" s="17">
        <v>0.11157407407407409</v>
      </c>
      <c r="MP17" s="17">
        <v>6.3644792722440502E-2</v>
      </c>
      <c r="MQ17" s="17">
        <v>0.19880765197250103</v>
      </c>
      <c r="MR17" s="17">
        <v>0.88981481481481473</v>
      </c>
      <c r="MS17" s="17">
        <v>0.11018518518518521</v>
      </c>
      <c r="MT17" s="17">
        <v>6.3644792722440502E-2</v>
      </c>
      <c r="MU17" s="17">
        <v>0.19880765197250103</v>
      </c>
      <c r="MV17" s="17">
        <v>0.88796296296296306</v>
      </c>
      <c r="MW17" s="17">
        <v>0.11203703703703703</v>
      </c>
      <c r="MX17" s="17">
        <v>6.3644792722440502E-2</v>
      </c>
      <c r="MY17" s="17">
        <v>0.19880765197250103</v>
      </c>
      <c r="MZ17" s="17">
        <v>0.77314814814814803</v>
      </c>
      <c r="NA17" s="17">
        <v>0.22685185185185186</v>
      </c>
      <c r="NB17" s="17">
        <v>0.1733308743374927</v>
      </c>
      <c r="NC17" s="93">
        <v>0.35331770957120112</v>
      </c>
      <c r="ND17" s="337">
        <v>16</v>
      </c>
      <c r="NE17" s="337">
        <v>107</v>
      </c>
      <c r="NF17" s="393">
        <v>0.14953271028037382</v>
      </c>
      <c r="NG17" s="393">
        <v>9.4188312088123075E-2</v>
      </c>
      <c r="NH17" s="393">
        <v>0.22916956502782221</v>
      </c>
      <c r="NI17" s="337">
        <v>12</v>
      </c>
      <c r="NJ17" s="337">
        <v>107</v>
      </c>
      <c r="NK17" s="393">
        <v>0.11214953271028037</v>
      </c>
      <c r="NL17" s="393">
        <v>6.5328818815477516E-2</v>
      </c>
      <c r="NM17" s="393">
        <v>0.18585389852616863</v>
      </c>
      <c r="NN17" s="337">
        <v>11</v>
      </c>
      <c r="NO17" s="337">
        <v>105</v>
      </c>
      <c r="NP17" s="393">
        <v>0.10476190476190476</v>
      </c>
      <c r="NQ17" s="393">
        <v>5.9510872563431121E-2</v>
      </c>
      <c r="NR17" s="393">
        <v>0.17791206443767477</v>
      </c>
      <c r="NS17" s="337">
        <v>25</v>
      </c>
      <c r="NT17" s="337">
        <v>107</v>
      </c>
      <c r="NU17" s="393">
        <v>0.23364485981308411</v>
      </c>
      <c r="NV17" s="393">
        <v>0.16356165995161556</v>
      </c>
      <c r="NW17" s="93">
        <v>0.32219032665650282</v>
      </c>
      <c r="NX17" s="3">
        <v>41</v>
      </c>
      <c r="NY17" s="3">
        <v>39</v>
      </c>
      <c r="NZ17" s="3">
        <v>39</v>
      </c>
      <c r="OA17" s="3">
        <v>40</v>
      </c>
      <c r="OB17" s="3">
        <v>40</v>
      </c>
      <c r="OC17" s="3">
        <v>51</v>
      </c>
      <c r="OD17" s="3">
        <v>50</v>
      </c>
      <c r="OE17" s="3">
        <v>51</v>
      </c>
      <c r="OF17" s="3">
        <v>50</v>
      </c>
      <c r="OG17" s="3">
        <v>51</v>
      </c>
      <c r="OH17" s="3">
        <v>51</v>
      </c>
      <c r="OI17" s="3">
        <v>50</v>
      </c>
      <c r="OJ17" s="3">
        <v>51</v>
      </c>
      <c r="OK17" s="3">
        <v>58</v>
      </c>
      <c r="OL17" s="3">
        <v>57</v>
      </c>
      <c r="OM17" s="3">
        <v>56</v>
      </c>
      <c r="ON17" s="3">
        <v>53</v>
      </c>
      <c r="OO17" s="3">
        <v>56</v>
      </c>
      <c r="OP17" s="3">
        <v>56</v>
      </c>
      <c r="OQ17" s="3">
        <v>53</v>
      </c>
      <c r="OR17" s="3">
        <v>55</v>
      </c>
      <c r="OS17" s="3">
        <v>54</v>
      </c>
      <c r="OT17" s="6">
        <v>57</v>
      </c>
      <c r="OU17" s="3">
        <v>108</v>
      </c>
      <c r="OV17" s="22">
        <v>0.96299999999999997</v>
      </c>
      <c r="OW17" s="22">
        <v>0</v>
      </c>
      <c r="OX17" s="22">
        <v>0.95399999999999996</v>
      </c>
      <c r="OY17" s="3">
        <v>104</v>
      </c>
      <c r="OZ17" s="3">
        <v>0</v>
      </c>
      <c r="PA17" s="3">
        <v>103</v>
      </c>
      <c r="PB17" s="3">
        <v>105</v>
      </c>
      <c r="PC17" s="22">
        <v>0.98099999999999998</v>
      </c>
      <c r="PD17" s="22">
        <v>0.95199999999999996</v>
      </c>
      <c r="PE17" s="22">
        <v>0.97099999999999997</v>
      </c>
      <c r="PF17" s="22">
        <v>0.93300000000000005</v>
      </c>
      <c r="PG17" s="22">
        <v>0.93300000000000005</v>
      </c>
      <c r="PH17" s="3">
        <v>103</v>
      </c>
      <c r="PI17" s="3">
        <v>100</v>
      </c>
      <c r="PJ17" s="3">
        <v>102</v>
      </c>
      <c r="PK17" s="3">
        <v>98</v>
      </c>
      <c r="PL17" s="3">
        <v>98</v>
      </c>
      <c r="PM17" s="3">
        <v>143</v>
      </c>
      <c r="PN17" s="22">
        <v>0.95799999999999996</v>
      </c>
      <c r="PO17" s="22">
        <v>0.93</v>
      </c>
      <c r="PP17" s="22">
        <v>0.95799999999999996</v>
      </c>
      <c r="PQ17" s="22">
        <v>0.95799999999999996</v>
      </c>
      <c r="PR17" s="22">
        <v>0.96499999999999997</v>
      </c>
      <c r="PS17" s="22">
        <v>0.72</v>
      </c>
      <c r="PT17" s="22">
        <v>0.95099999999999996</v>
      </c>
      <c r="PU17" s="22">
        <v>0.93</v>
      </c>
      <c r="PV17" s="22">
        <v>0.96499999999999997</v>
      </c>
      <c r="PW17" s="22">
        <v>0.93700000000000006</v>
      </c>
      <c r="PX17" s="3">
        <v>137</v>
      </c>
      <c r="PY17" s="3">
        <v>133</v>
      </c>
      <c r="PZ17" s="3">
        <v>137</v>
      </c>
      <c r="QA17" s="3">
        <v>137</v>
      </c>
      <c r="QB17" s="3">
        <v>138</v>
      </c>
      <c r="QC17" s="3">
        <v>103</v>
      </c>
      <c r="QD17" s="3">
        <v>136</v>
      </c>
      <c r="QE17" s="3">
        <v>133</v>
      </c>
      <c r="QF17" s="3">
        <v>138</v>
      </c>
      <c r="QG17" s="6">
        <v>134</v>
      </c>
      <c r="QH17" s="37">
        <v>135</v>
      </c>
      <c r="QI17" s="17">
        <v>0.8666666666666667</v>
      </c>
      <c r="QJ17" s="17">
        <v>0.17777777777777778</v>
      </c>
      <c r="QK17" s="17">
        <v>0.87407407407407411</v>
      </c>
      <c r="QL17" s="37">
        <v>117</v>
      </c>
      <c r="QM17" s="37">
        <v>24</v>
      </c>
      <c r="QN17" s="37">
        <v>118</v>
      </c>
      <c r="QO17" s="37">
        <v>112</v>
      </c>
      <c r="QP17" s="17">
        <v>0.9464285714285714</v>
      </c>
      <c r="QQ17" s="17">
        <v>0.9017857142857143</v>
      </c>
      <c r="QR17" s="17">
        <v>0.7321428571428571</v>
      </c>
      <c r="QS17" s="17">
        <v>0.9017857142857143</v>
      </c>
      <c r="QT17" s="17">
        <v>0.7053571428571429</v>
      </c>
      <c r="QU17" s="37">
        <v>106</v>
      </c>
      <c r="QV17" s="37">
        <v>101</v>
      </c>
      <c r="QW17" s="37">
        <v>82</v>
      </c>
      <c r="QX17" s="37">
        <v>101</v>
      </c>
      <c r="QY17" s="37">
        <v>79</v>
      </c>
      <c r="QZ17" s="3">
        <v>153</v>
      </c>
      <c r="RA17" s="17">
        <v>0.94117647058823528</v>
      </c>
      <c r="RB17" s="17">
        <v>0.79738562091503273</v>
      </c>
      <c r="RC17" s="17">
        <v>0.94117647058823528</v>
      </c>
      <c r="RD17" s="17">
        <v>0.94117647058823528</v>
      </c>
      <c r="RE17" s="17">
        <v>0.66666666666666663</v>
      </c>
      <c r="RF17" s="17">
        <v>0.95424836601307195</v>
      </c>
      <c r="RG17" s="17">
        <v>0.95424836601307195</v>
      </c>
      <c r="RH17" s="17">
        <v>0.91503267973856206</v>
      </c>
      <c r="RI17" s="17">
        <v>0.66013071895424835</v>
      </c>
      <c r="RJ17" s="17">
        <v>0.66666666666666663</v>
      </c>
      <c r="RK17" s="37">
        <v>144</v>
      </c>
      <c r="RL17" s="37">
        <v>122.00000000000001</v>
      </c>
      <c r="RM17" s="37">
        <v>144</v>
      </c>
      <c r="RN17" s="37">
        <v>144</v>
      </c>
      <c r="RO17" s="37">
        <v>102</v>
      </c>
      <c r="RP17" s="37">
        <v>146</v>
      </c>
      <c r="RQ17" s="37">
        <v>146</v>
      </c>
      <c r="RR17" s="37">
        <v>140</v>
      </c>
      <c r="RS17" s="37">
        <v>101</v>
      </c>
      <c r="RT17" s="38">
        <v>102</v>
      </c>
    </row>
    <row r="18" spans="1:488" s="3" customFormat="1" ht="12.75" x14ac:dyDescent="0.2">
      <c r="A18" s="9" t="s">
        <v>70</v>
      </c>
      <c r="B18" s="6">
        <v>40</v>
      </c>
      <c r="C18" s="9" t="s">
        <v>252</v>
      </c>
      <c r="D18" s="9" t="s">
        <v>253</v>
      </c>
      <c r="E18" s="9" t="s">
        <v>286</v>
      </c>
      <c r="F18" s="9" t="s">
        <v>286</v>
      </c>
      <c r="G18" s="9" t="s">
        <v>254</v>
      </c>
      <c r="H18" s="9" t="s">
        <v>81</v>
      </c>
      <c r="I18" s="9" t="s">
        <v>81</v>
      </c>
      <c r="J18" s="9" t="s">
        <v>268</v>
      </c>
      <c r="K18" s="9" t="s">
        <v>393</v>
      </c>
      <c r="L18" s="9" t="s">
        <v>271</v>
      </c>
      <c r="M18" s="9" t="s">
        <v>868</v>
      </c>
      <c r="N18" s="3" t="s">
        <v>400</v>
      </c>
      <c r="O18" s="9">
        <v>512619</v>
      </c>
      <c r="P18" s="9">
        <v>106696</v>
      </c>
      <c r="Q18" s="109">
        <v>21168</v>
      </c>
      <c r="R18" s="109" t="s">
        <v>286</v>
      </c>
      <c r="S18" s="310" t="s">
        <v>797</v>
      </c>
      <c r="T18" s="36">
        <v>20380</v>
      </c>
      <c r="U18" s="37">
        <v>20385</v>
      </c>
      <c r="V18" s="37">
        <v>20465</v>
      </c>
      <c r="W18" s="37">
        <v>20610</v>
      </c>
      <c r="X18" s="37">
        <v>20715</v>
      </c>
      <c r="Y18" s="37">
        <v>20880</v>
      </c>
      <c r="Z18" s="37">
        <v>21010</v>
      </c>
      <c r="AA18" s="37">
        <v>21080</v>
      </c>
      <c r="AB18" s="37">
        <v>21065</v>
      </c>
      <c r="AC18" s="42">
        <v>21251</v>
      </c>
      <c r="AD18" s="42">
        <v>21259</v>
      </c>
      <c r="AE18" s="36">
        <v>980</v>
      </c>
      <c r="AF18" s="37">
        <v>975</v>
      </c>
      <c r="AG18" s="37">
        <v>970</v>
      </c>
      <c r="AH18" s="37">
        <v>1010</v>
      </c>
      <c r="AI18" s="37">
        <v>970</v>
      </c>
      <c r="AJ18" s="37">
        <v>1000</v>
      </c>
      <c r="AK18" s="37">
        <v>1030</v>
      </c>
      <c r="AL18" s="37">
        <v>1000</v>
      </c>
      <c r="AM18" s="37">
        <v>970</v>
      </c>
      <c r="AN18" s="42">
        <v>959</v>
      </c>
      <c r="AO18" s="42">
        <v>921</v>
      </c>
      <c r="AP18" s="13">
        <v>1050</v>
      </c>
      <c r="AQ18" s="3">
        <v>953</v>
      </c>
      <c r="AR18" s="3">
        <v>28</v>
      </c>
      <c r="AS18" s="3">
        <v>56</v>
      </c>
      <c r="AT18" s="3">
        <v>10</v>
      </c>
      <c r="AU18" s="3">
        <v>1</v>
      </c>
      <c r="AV18" s="3">
        <v>2</v>
      </c>
      <c r="AW18" s="9">
        <v>97</v>
      </c>
      <c r="AX18" s="16">
        <v>0.90761904761904766</v>
      </c>
      <c r="AY18" s="17">
        <v>2.6666666666666668E-2</v>
      </c>
      <c r="AZ18" s="17">
        <v>5.3333333333333337E-2</v>
      </c>
      <c r="BA18" s="17">
        <v>9.5238095238095247E-3</v>
      </c>
      <c r="BB18" s="17">
        <v>9.5238095238095238E-4</v>
      </c>
      <c r="BC18" s="17">
        <v>1.9047619047619048E-3</v>
      </c>
      <c r="BD18" s="18">
        <v>9.2380952380952341E-2</v>
      </c>
      <c r="BE18" s="13">
        <v>2959</v>
      </c>
      <c r="BF18" s="3">
        <v>2944</v>
      </c>
      <c r="BG18" s="3">
        <v>15</v>
      </c>
      <c r="BH18" s="3">
        <v>13</v>
      </c>
      <c r="BI18" s="3">
        <v>2</v>
      </c>
      <c r="BJ18" s="17">
        <v>0.8666666666666667</v>
      </c>
      <c r="BK18" s="18">
        <v>0.13333333333333333</v>
      </c>
      <c r="BL18" s="36">
        <v>2130</v>
      </c>
      <c r="BM18" s="17">
        <v>0.784037558685446</v>
      </c>
      <c r="BN18" s="17">
        <v>3.5680751173708919E-2</v>
      </c>
      <c r="BO18" s="18">
        <v>0.18028169014084508</v>
      </c>
      <c r="BP18" s="36">
        <v>6430</v>
      </c>
      <c r="BQ18" s="37">
        <v>329</v>
      </c>
      <c r="BR18" s="37">
        <v>333</v>
      </c>
      <c r="BS18" s="37">
        <v>143</v>
      </c>
      <c r="BT18" s="37">
        <v>4068</v>
      </c>
      <c r="BU18" s="37">
        <v>2320</v>
      </c>
      <c r="BV18" s="18">
        <v>0.13620689655172413</v>
      </c>
      <c r="BW18" s="36">
        <v>1468</v>
      </c>
      <c r="BX18" s="37">
        <v>1</v>
      </c>
      <c r="BY18" s="37">
        <v>302</v>
      </c>
      <c r="BZ18" s="37">
        <v>371</v>
      </c>
      <c r="CA18" s="37">
        <v>185</v>
      </c>
      <c r="CB18" s="38">
        <v>2327</v>
      </c>
      <c r="CC18" s="37">
        <v>810</v>
      </c>
      <c r="CD18" s="37">
        <v>691</v>
      </c>
      <c r="CE18" s="37">
        <v>117</v>
      </c>
      <c r="CF18" s="37">
        <v>119</v>
      </c>
      <c r="CG18" s="17">
        <v>0.14444444444444443</v>
      </c>
      <c r="CH18" s="93">
        <v>0.14691358024691359</v>
      </c>
      <c r="CI18" s="37">
        <v>85</v>
      </c>
      <c r="CJ18" s="37">
        <v>80</v>
      </c>
      <c r="CK18" s="37">
        <v>50</v>
      </c>
      <c r="CL18" s="37">
        <v>55</v>
      </c>
      <c r="CM18" s="42">
        <v>45</v>
      </c>
      <c r="CN18" s="42">
        <v>40</v>
      </c>
      <c r="CO18" s="36">
        <v>371</v>
      </c>
      <c r="CP18" s="37">
        <v>99</v>
      </c>
      <c r="CQ18" s="17">
        <v>0.26684636118598382</v>
      </c>
      <c r="CR18" s="38">
        <v>34</v>
      </c>
      <c r="CS18" s="37">
        <v>190</v>
      </c>
      <c r="CT18" s="37">
        <v>159</v>
      </c>
      <c r="CU18" s="37">
        <v>176</v>
      </c>
      <c r="CV18" s="37">
        <v>153</v>
      </c>
      <c r="CW18" s="37">
        <v>160</v>
      </c>
      <c r="CX18" s="526" t="s">
        <v>471</v>
      </c>
      <c r="CY18" s="568">
        <v>174</v>
      </c>
      <c r="CZ18" s="37">
        <v>4</v>
      </c>
      <c r="DA18" s="37">
        <v>8</v>
      </c>
      <c r="DB18" s="37">
        <v>7</v>
      </c>
      <c r="DC18" s="37">
        <v>3</v>
      </c>
      <c r="DD18" s="37">
        <v>5</v>
      </c>
      <c r="DE18" s="528" t="s">
        <v>471</v>
      </c>
      <c r="DF18" s="716">
        <v>6</v>
      </c>
      <c r="DG18" s="13">
        <v>13</v>
      </c>
      <c r="DH18" s="13">
        <v>7</v>
      </c>
      <c r="DI18" s="17">
        <v>4.3749999999999997E-2</v>
      </c>
      <c r="DJ18" s="17">
        <v>2.1351611551534529E-2</v>
      </c>
      <c r="DK18" s="18">
        <v>8.7543041542463937E-2</v>
      </c>
      <c r="DL18" s="425" t="s">
        <v>286</v>
      </c>
      <c r="DM18" s="258" t="s">
        <v>286</v>
      </c>
      <c r="DN18" s="258" t="s">
        <v>286</v>
      </c>
      <c r="DO18" s="258" t="s">
        <v>286</v>
      </c>
      <c r="DP18" s="337">
        <v>11</v>
      </c>
      <c r="DQ18" s="393">
        <v>6.3218390804597707E-2</v>
      </c>
      <c r="DR18" s="393">
        <v>3.5663451154029968E-2</v>
      </c>
      <c r="DS18" s="393">
        <v>0.10964270519474564</v>
      </c>
      <c r="DT18" s="13">
        <v>18</v>
      </c>
      <c r="DU18" s="18">
        <v>1.7142857142857144E-2</v>
      </c>
      <c r="DV18" s="328">
        <v>8</v>
      </c>
      <c r="DW18" s="333">
        <v>8</v>
      </c>
      <c r="DX18" s="337">
        <v>9</v>
      </c>
      <c r="DY18" s="393">
        <v>7.1408004606968042E-2</v>
      </c>
      <c r="DZ18" s="337">
        <v>8</v>
      </c>
      <c r="EA18" s="93">
        <v>8.2963365769891231E-2</v>
      </c>
      <c r="EB18" s="3">
        <v>215</v>
      </c>
      <c r="EC18" s="18">
        <v>2.387827632163483E-2</v>
      </c>
      <c r="ED18" s="13">
        <v>115</v>
      </c>
      <c r="EE18" s="3">
        <v>115</v>
      </c>
      <c r="EF18" s="3">
        <v>110</v>
      </c>
      <c r="EG18" s="3">
        <v>85</v>
      </c>
      <c r="EH18" s="9">
        <v>80</v>
      </c>
      <c r="EI18" s="9">
        <v>75</v>
      </c>
      <c r="EJ18" s="13">
        <v>70</v>
      </c>
      <c r="EK18" s="17">
        <v>7.2916666666666671E-2</v>
      </c>
      <c r="EL18" s="17">
        <v>5.8116676905471398E-2</v>
      </c>
      <c r="EM18" s="17">
        <v>9.1120998548633883E-2</v>
      </c>
      <c r="EN18" s="3">
        <v>110</v>
      </c>
      <c r="EO18" s="17">
        <v>0.11518324607329843</v>
      </c>
      <c r="EP18" s="17">
        <v>9.645950088331233E-2</v>
      </c>
      <c r="EQ18" s="17">
        <v>0.13699041595278588</v>
      </c>
      <c r="ER18" s="3">
        <v>110</v>
      </c>
      <c r="ES18" s="17">
        <v>0.11282051282051282</v>
      </c>
      <c r="ET18" s="17">
        <v>9.4462381320112393E-2</v>
      </c>
      <c r="EU18" s="17">
        <v>0.13421761256814996</v>
      </c>
      <c r="EV18" s="3">
        <v>105</v>
      </c>
      <c r="EW18" s="17">
        <v>0.1099476439790576</v>
      </c>
      <c r="EX18" s="17">
        <v>9.16482958291856E-2</v>
      </c>
      <c r="EY18" s="17">
        <v>0.13137236817475068</v>
      </c>
      <c r="EZ18" s="3">
        <v>95</v>
      </c>
      <c r="FA18" s="18">
        <v>0.10326086956521739</v>
      </c>
      <c r="FB18" s="18">
        <v>8.5219021858840227E-2</v>
      </c>
      <c r="FC18" s="18">
        <v>0.12460210813043025</v>
      </c>
      <c r="FD18" s="337">
        <v>80</v>
      </c>
      <c r="FE18" s="18">
        <v>0.1</v>
      </c>
      <c r="FF18" s="18">
        <v>8.1084815650398406E-2</v>
      </c>
      <c r="FG18" s="393">
        <v>0.12273828531414242</v>
      </c>
      <c r="FH18" s="425" t="s">
        <v>286</v>
      </c>
      <c r="FI18" s="258" t="s">
        <v>286</v>
      </c>
      <c r="FJ18" s="258" t="s">
        <v>286</v>
      </c>
      <c r="FK18" s="258" t="s">
        <v>286</v>
      </c>
      <c r="FL18" s="36">
        <v>255</v>
      </c>
      <c r="FM18" s="18">
        <v>7.4561403508771926E-2</v>
      </c>
      <c r="FN18" s="42">
        <v>285</v>
      </c>
      <c r="FO18" s="18">
        <v>8.3211678832116789E-2</v>
      </c>
      <c r="FP18" s="42">
        <v>250</v>
      </c>
      <c r="FQ18" s="18">
        <v>7.2463768115942032E-2</v>
      </c>
      <c r="FR18" s="42">
        <v>285</v>
      </c>
      <c r="FS18" s="18">
        <v>8.3333333333333329E-2</v>
      </c>
      <c r="FT18" s="42">
        <v>255</v>
      </c>
      <c r="FU18" s="18">
        <v>7.5667655786350152E-2</v>
      </c>
      <c r="FV18" s="42">
        <v>235</v>
      </c>
      <c r="FW18" s="393">
        <v>7.1975497702909647E-2</v>
      </c>
      <c r="FX18" s="114" t="s">
        <v>286</v>
      </c>
      <c r="FY18" s="259" t="s">
        <v>286</v>
      </c>
      <c r="FZ18" s="3">
        <v>170</v>
      </c>
      <c r="GA18" s="3">
        <v>8</v>
      </c>
      <c r="GB18" s="3">
        <v>162</v>
      </c>
      <c r="GC18" s="17">
        <v>0.95294117647058818</v>
      </c>
      <c r="GD18" s="3">
        <v>58</v>
      </c>
      <c r="GE18" s="3">
        <v>84</v>
      </c>
      <c r="GF18" s="17">
        <v>0.35802469135802467</v>
      </c>
      <c r="GG18" s="17">
        <v>0.51851851851851849</v>
      </c>
      <c r="GH18" s="17">
        <v>0.28827262158110739</v>
      </c>
      <c r="GI18" s="17">
        <v>0.43435427058587606</v>
      </c>
      <c r="GJ18" s="17">
        <v>0.44204148501870449</v>
      </c>
      <c r="GK18" s="93">
        <v>0.59413761600299331</v>
      </c>
      <c r="GL18" s="337">
        <v>161</v>
      </c>
      <c r="GM18" s="337">
        <v>67</v>
      </c>
      <c r="GN18" s="337">
        <v>28</v>
      </c>
      <c r="GO18" s="337">
        <v>95</v>
      </c>
      <c r="GP18" s="393">
        <v>0.41614906832298137</v>
      </c>
      <c r="GQ18" s="393">
        <v>0.59006211180124224</v>
      </c>
      <c r="GR18" s="393">
        <v>0.34283056382297622</v>
      </c>
      <c r="GS18" s="393">
        <v>0.49337569039751583</v>
      </c>
      <c r="GT18" s="393">
        <v>0.51285423818821019</v>
      </c>
      <c r="GU18" s="93">
        <v>0.66307237764903915</v>
      </c>
      <c r="GV18" s="42">
        <v>181</v>
      </c>
      <c r="GW18" s="42">
        <v>43</v>
      </c>
      <c r="GX18" s="42">
        <v>138</v>
      </c>
      <c r="GY18" s="393">
        <f t="shared" si="2"/>
        <v>0.76243093922651939</v>
      </c>
      <c r="GZ18" s="42">
        <v>64</v>
      </c>
      <c r="HA18" s="42">
        <v>16</v>
      </c>
      <c r="HB18" s="42">
        <v>80</v>
      </c>
      <c r="HC18" s="393">
        <v>0.46376811594202899</v>
      </c>
      <c r="HD18" s="393">
        <v>0.57971014492753625</v>
      </c>
      <c r="HE18" s="393">
        <v>0.38267562147721057</v>
      </c>
      <c r="HF18" s="393">
        <v>0.54682312957101942</v>
      </c>
      <c r="HG18" s="393">
        <v>0.49629083327975365</v>
      </c>
      <c r="HH18" s="93">
        <v>0.65881191441414055</v>
      </c>
      <c r="HI18" s="696">
        <v>99</v>
      </c>
      <c r="HJ18" s="696">
        <v>3</v>
      </c>
      <c r="HK18" s="696">
        <v>96</v>
      </c>
      <c r="HL18" s="697">
        <v>0.96969696969696972</v>
      </c>
      <c r="HM18" s="696">
        <v>38</v>
      </c>
      <c r="HN18" s="696">
        <v>16</v>
      </c>
      <c r="HO18" s="696">
        <v>54</v>
      </c>
      <c r="HP18" s="697">
        <v>0.39583333333333331</v>
      </c>
      <c r="HQ18" s="697">
        <v>0.5625</v>
      </c>
      <c r="HR18" s="697">
        <v>0.30383353462051027</v>
      </c>
      <c r="HS18" s="697">
        <v>0.49584887951650553</v>
      </c>
      <c r="HT18" s="697">
        <v>0.46275882627554077</v>
      </c>
      <c r="HU18" s="698">
        <v>0.65743172524224991</v>
      </c>
      <c r="HV18" s="3">
        <v>149</v>
      </c>
      <c r="HW18" s="3">
        <v>12</v>
      </c>
      <c r="HX18" s="17">
        <v>8.0536912751677847E-2</v>
      </c>
      <c r="HY18" s="17">
        <v>4.6668847532353522E-2</v>
      </c>
      <c r="HZ18" s="17">
        <v>0.13549022786194978</v>
      </c>
      <c r="IA18" s="267" t="s">
        <v>707</v>
      </c>
      <c r="IB18" s="3">
        <v>195</v>
      </c>
      <c r="IC18" s="3">
        <v>12</v>
      </c>
      <c r="ID18" s="17">
        <v>6.1538461538461542E-2</v>
      </c>
      <c r="IE18" s="17">
        <v>3.5549562909461881E-2</v>
      </c>
      <c r="IF18" s="17">
        <v>0.10446881648595506</v>
      </c>
      <c r="IG18" s="3" t="s">
        <v>707</v>
      </c>
      <c r="IH18" s="3">
        <v>178</v>
      </c>
      <c r="II18" s="3">
        <v>11</v>
      </c>
      <c r="IJ18" s="17">
        <v>6.1797752808988762E-2</v>
      </c>
      <c r="IK18" s="17">
        <v>3.4853872292265949E-2</v>
      </c>
      <c r="IL18" s="17">
        <v>0.1072559578217525</v>
      </c>
      <c r="IM18" s="3" t="s">
        <v>707</v>
      </c>
      <c r="IN18" s="3">
        <v>217</v>
      </c>
      <c r="IO18" s="3">
        <v>25</v>
      </c>
      <c r="IP18" s="17">
        <v>0.1152073732718894</v>
      </c>
      <c r="IQ18" s="17">
        <v>7.9263660950678702E-2</v>
      </c>
      <c r="IR18" s="17">
        <v>0.16453774802483956</v>
      </c>
      <c r="IS18" s="3" t="s">
        <v>707</v>
      </c>
      <c r="IT18" s="3">
        <v>115</v>
      </c>
      <c r="IU18" s="3">
        <v>7</v>
      </c>
      <c r="IV18" s="17">
        <v>6.0869565217391307E-2</v>
      </c>
      <c r="IW18" s="17">
        <v>2.9795116013329806E-2</v>
      </c>
      <c r="IX18" s="17">
        <v>0.12033312204215381</v>
      </c>
      <c r="IY18" s="9" t="s">
        <v>707</v>
      </c>
      <c r="IZ18" s="9">
        <v>189</v>
      </c>
      <c r="JA18" s="9">
        <v>12</v>
      </c>
      <c r="JB18" s="393">
        <v>6.3492063492063489E-2</v>
      </c>
      <c r="JC18" s="393">
        <v>3.6689732951979262E-2</v>
      </c>
      <c r="JD18" s="393">
        <v>0.10768512809167931</v>
      </c>
      <c r="JE18" s="9" t="str">
        <f t="shared" si="0"/>
        <v>No Sig diff</v>
      </c>
      <c r="JF18" s="9">
        <v>162</v>
      </c>
      <c r="JG18" s="109">
        <v>10</v>
      </c>
      <c r="JH18" s="258">
        <v>6.1728395061728392E-2</v>
      </c>
      <c r="JI18" s="258">
        <v>3.3871842697269186E-2</v>
      </c>
      <c r="JJ18" s="258">
        <v>0.10988870421441248</v>
      </c>
      <c r="JK18" s="662" t="str">
        <f t="shared" si="3"/>
        <v>No Sig diff</v>
      </c>
      <c r="JL18" s="3">
        <v>202</v>
      </c>
      <c r="JM18" s="3">
        <v>26</v>
      </c>
      <c r="JN18" s="17">
        <v>0.12871287128712872</v>
      </c>
      <c r="JO18" s="17">
        <v>8.9372024897603541E-2</v>
      </c>
      <c r="JP18" s="17">
        <v>0.18191180266862503</v>
      </c>
      <c r="JQ18" s="3" t="s">
        <v>708</v>
      </c>
      <c r="JR18" s="3">
        <v>198</v>
      </c>
      <c r="JS18" s="3">
        <v>24</v>
      </c>
      <c r="JT18" s="17">
        <v>0.12121212121212122</v>
      </c>
      <c r="JU18" s="17">
        <v>8.2822315097491175E-2</v>
      </c>
      <c r="JV18" s="17">
        <v>0.17402015484693928</v>
      </c>
      <c r="JW18" s="3" t="s">
        <v>708</v>
      </c>
      <c r="JX18" s="3">
        <v>168</v>
      </c>
      <c r="JY18" s="3">
        <v>21</v>
      </c>
      <c r="JZ18" s="17">
        <v>0.125</v>
      </c>
      <c r="KA18" s="17">
        <v>8.3230069008517427E-2</v>
      </c>
      <c r="KB18" s="17">
        <v>0.18353593225388359</v>
      </c>
      <c r="KC18" s="3" t="s">
        <v>708</v>
      </c>
      <c r="KD18" s="3">
        <v>171</v>
      </c>
      <c r="KE18" s="3">
        <v>29</v>
      </c>
      <c r="KF18" s="17">
        <v>0.16959064327485379</v>
      </c>
      <c r="KG18" s="17">
        <v>0.12075302396653985</v>
      </c>
      <c r="KH18" s="17">
        <v>0.23294717527576139</v>
      </c>
      <c r="KI18" s="3" t="s">
        <v>707</v>
      </c>
      <c r="KJ18" s="3">
        <v>163</v>
      </c>
      <c r="KK18" s="3">
        <v>28</v>
      </c>
      <c r="KL18" s="17">
        <v>0.17177914110429449</v>
      </c>
      <c r="KM18" s="17">
        <v>0.1216054918926783</v>
      </c>
      <c r="KN18" s="17">
        <v>0.23706710209971912</v>
      </c>
      <c r="KO18" s="465" t="s">
        <v>707</v>
      </c>
      <c r="KP18" s="465">
        <v>189</v>
      </c>
      <c r="KQ18" s="465">
        <v>30</v>
      </c>
      <c r="KR18" s="393">
        <v>0.15873015873015872</v>
      </c>
      <c r="KS18" s="393">
        <v>0.1135065321415808</v>
      </c>
      <c r="KT18" s="393">
        <v>0.21755017740164317</v>
      </c>
      <c r="KU18" s="465" t="s">
        <v>772</v>
      </c>
      <c r="KV18" s="465">
        <v>166</v>
      </c>
      <c r="KW18" s="465">
        <v>25</v>
      </c>
      <c r="KX18" s="393">
        <v>0.15060240963855423</v>
      </c>
      <c r="KY18" s="393">
        <v>0.10413810746388925</v>
      </c>
      <c r="KZ18" s="393">
        <v>0.2128719982814688</v>
      </c>
      <c r="LA18" s="660" t="str">
        <f t="shared" si="4"/>
        <v>No Sig diff</v>
      </c>
      <c r="LB18" s="3">
        <v>231</v>
      </c>
      <c r="LC18" s="3">
        <v>132</v>
      </c>
      <c r="LD18" s="17">
        <v>0.5714285714285714</v>
      </c>
      <c r="LE18" s="17">
        <v>0.50695673142312703</v>
      </c>
      <c r="LF18" s="17">
        <v>0.63356360159522707</v>
      </c>
      <c r="LG18" s="3">
        <v>231</v>
      </c>
      <c r="LH18" s="3">
        <v>34</v>
      </c>
      <c r="LI18" s="3">
        <v>46</v>
      </c>
      <c r="LJ18" s="293">
        <v>24.978260869565222</v>
      </c>
      <c r="LK18" s="17">
        <v>0.26534526854219936</v>
      </c>
      <c r="LL18" s="3">
        <v>203</v>
      </c>
      <c r="LM18" s="3">
        <v>123</v>
      </c>
      <c r="LN18" s="17">
        <v>0.60591133004926112</v>
      </c>
      <c r="LO18" s="17">
        <v>0.53732196053928849</v>
      </c>
      <c r="LP18" s="17">
        <v>0.6705667298865301</v>
      </c>
      <c r="LQ18" s="3">
        <v>203</v>
      </c>
      <c r="LR18" s="3">
        <v>34</v>
      </c>
      <c r="LS18" s="3">
        <v>40</v>
      </c>
      <c r="LT18" s="293">
        <v>25.949999999999996</v>
      </c>
      <c r="LU18" s="18">
        <v>0.23676470588235307</v>
      </c>
      <c r="LV18" s="42">
        <v>206</v>
      </c>
      <c r="LW18" s="42">
        <v>148</v>
      </c>
      <c r="LX18" s="18">
        <v>0.71844660194174759</v>
      </c>
      <c r="LY18" s="18">
        <v>0.65346362488872112</v>
      </c>
      <c r="LZ18" s="18">
        <v>0.77543160156366187</v>
      </c>
      <c r="MA18" s="337">
        <v>34</v>
      </c>
      <c r="MB18" s="337">
        <v>41</v>
      </c>
      <c r="MC18" s="294">
        <v>27.5</v>
      </c>
      <c r="MD18" s="393">
        <v>0.192</v>
      </c>
      <c r="ME18" s="337">
        <v>205</v>
      </c>
      <c r="MF18" s="337">
        <v>153</v>
      </c>
      <c r="MG18" s="393">
        <v>0.74634146341463414</v>
      </c>
      <c r="MH18" s="393">
        <v>0.68262547287842501</v>
      </c>
      <c r="MI18" s="393">
        <v>0.80099497571610423</v>
      </c>
      <c r="MJ18" s="337">
        <v>34</v>
      </c>
      <c r="MK18" s="337">
        <v>41</v>
      </c>
      <c r="ML18" s="294">
        <v>28.512195121951219</v>
      </c>
      <c r="MM18" s="93">
        <v>0.16140602582496413</v>
      </c>
      <c r="MN18" s="17"/>
      <c r="MO18" s="17">
        <v>0.12328767123287671</v>
      </c>
      <c r="MP18" s="17">
        <v>6.6236761640452516E-2</v>
      </c>
      <c r="MQ18" s="17">
        <v>0.21800510734717918</v>
      </c>
      <c r="MR18" s="17"/>
      <c r="MS18" s="17">
        <v>9.5890410958904104E-2</v>
      </c>
      <c r="MT18" s="17">
        <v>4.7228354329351081E-2</v>
      </c>
      <c r="MU18" s="17">
        <v>0.18495837785738112</v>
      </c>
      <c r="MV18" s="17"/>
      <c r="MW18" s="17">
        <v>0.1095890410958904</v>
      </c>
      <c r="MX18" s="17">
        <v>5.6586041610119112E-2</v>
      </c>
      <c r="MY18" s="17">
        <v>0.20162825897706282</v>
      </c>
      <c r="MZ18" s="17"/>
      <c r="NA18" s="17">
        <v>0.19444444444444445</v>
      </c>
      <c r="NB18" s="17">
        <v>0.11951371043417636</v>
      </c>
      <c r="NC18" s="93">
        <v>0.30032975278389923</v>
      </c>
      <c r="ND18" s="337">
        <v>4</v>
      </c>
      <c r="NE18" s="337">
        <v>69</v>
      </c>
      <c r="NF18" s="393">
        <v>5.7971014492753624E-2</v>
      </c>
      <c r="NG18" s="393">
        <v>2.2772388880371218E-2</v>
      </c>
      <c r="NH18" s="393">
        <v>0.13979243357661653</v>
      </c>
      <c r="NI18" s="337">
        <v>3</v>
      </c>
      <c r="NJ18" s="337">
        <v>69</v>
      </c>
      <c r="NK18" s="393">
        <v>4.3478260869565216E-2</v>
      </c>
      <c r="NL18" s="393">
        <v>1.4895903896212303E-2</v>
      </c>
      <c r="NM18" s="393">
        <v>0.12021202749379141</v>
      </c>
      <c r="NN18" s="337">
        <v>3</v>
      </c>
      <c r="NO18" s="337">
        <v>69</v>
      </c>
      <c r="NP18" s="393">
        <v>4.3478260869565216E-2</v>
      </c>
      <c r="NQ18" s="393">
        <v>1.4895903896212303E-2</v>
      </c>
      <c r="NR18" s="393">
        <v>0.12021202749379141</v>
      </c>
      <c r="NS18" s="337">
        <v>9</v>
      </c>
      <c r="NT18" s="337">
        <v>68</v>
      </c>
      <c r="NU18" s="393">
        <v>0.13235294117647059</v>
      </c>
      <c r="NV18" s="393">
        <v>7.1222444102298069E-2</v>
      </c>
      <c r="NW18" s="93">
        <v>0.23280059745657725</v>
      </c>
      <c r="NX18" s="3">
        <v>40</v>
      </c>
      <c r="NY18" s="3">
        <v>39</v>
      </c>
      <c r="NZ18" s="3">
        <v>37</v>
      </c>
      <c r="OA18" s="3">
        <v>40</v>
      </c>
      <c r="OB18" s="3">
        <v>40</v>
      </c>
      <c r="OC18" s="3">
        <v>51</v>
      </c>
      <c r="OD18" s="3">
        <v>49</v>
      </c>
      <c r="OE18" s="3">
        <v>48</v>
      </c>
      <c r="OF18" s="3">
        <v>49</v>
      </c>
      <c r="OG18" s="3">
        <v>48</v>
      </c>
      <c r="OH18" s="3">
        <v>48</v>
      </c>
      <c r="OI18" s="3">
        <v>49</v>
      </c>
      <c r="OJ18" s="3">
        <v>49</v>
      </c>
      <c r="OK18" s="3">
        <v>55</v>
      </c>
      <c r="OL18" s="3">
        <v>51</v>
      </c>
      <c r="OM18" s="3">
        <v>50</v>
      </c>
      <c r="ON18" s="3">
        <v>50</v>
      </c>
      <c r="OO18" s="3">
        <v>52</v>
      </c>
      <c r="OP18" s="3">
        <v>52</v>
      </c>
      <c r="OQ18" s="3">
        <v>49</v>
      </c>
      <c r="OR18" s="3">
        <v>53</v>
      </c>
      <c r="OS18" s="3">
        <v>50</v>
      </c>
      <c r="OT18" s="6">
        <v>52</v>
      </c>
      <c r="OU18" s="3">
        <v>88</v>
      </c>
      <c r="OV18" s="22">
        <v>1</v>
      </c>
      <c r="OW18" s="22">
        <v>1.0999999999999999E-2</v>
      </c>
      <c r="OX18" s="22">
        <v>1</v>
      </c>
      <c r="OY18" s="3">
        <v>88</v>
      </c>
      <c r="OZ18" s="3">
        <v>1</v>
      </c>
      <c r="PA18" s="3">
        <v>88</v>
      </c>
      <c r="PB18" s="3">
        <v>86</v>
      </c>
      <c r="PC18" s="22">
        <v>0.98799999999999999</v>
      </c>
      <c r="PD18" s="22">
        <v>0.97699999999999998</v>
      </c>
      <c r="PE18" s="22">
        <v>0.97699999999999998</v>
      </c>
      <c r="PF18" s="22">
        <v>0.97699999999999998</v>
      </c>
      <c r="PG18" s="22">
        <v>0.97699999999999998</v>
      </c>
      <c r="PH18" s="3">
        <v>85</v>
      </c>
      <c r="PI18" s="3">
        <v>84</v>
      </c>
      <c r="PJ18" s="3">
        <v>84</v>
      </c>
      <c r="PK18" s="3">
        <v>84</v>
      </c>
      <c r="PL18" s="3">
        <v>84</v>
      </c>
      <c r="PM18" s="3">
        <v>128</v>
      </c>
      <c r="PN18" s="22">
        <v>0.98399999999999999</v>
      </c>
      <c r="PO18" s="22">
        <v>0.97699999999999998</v>
      </c>
      <c r="PP18" s="22">
        <v>0.98399999999999999</v>
      </c>
      <c r="PQ18" s="22">
        <v>0.98399999999999999</v>
      </c>
      <c r="PR18" s="22">
        <v>0.96899999999999997</v>
      </c>
      <c r="PS18" s="22">
        <v>0.94499999999999995</v>
      </c>
      <c r="PT18" s="22">
        <v>0.96899999999999997</v>
      </c>
      <c r="PU18" s="22">
        <v>0.95299999999999996</v>
      </c>
      <c r="PV18" s="22">
        <v>0.96899999999999997</v>
      </c>
      <c r="PW18" s="22">
        <v>0.96099999999999997</v>
      </c>
      <c r="PX18" s="3">
        <v>126</v>
      </c>
      <c r="PY18" s="3">
        <v>125</v>
      </c>
      <c r="PZ18" s="3">
        <v>126</v>
      </c>
      <c r="QA18" s="3">
        <v>126</v>
      </c>
      <c r="QB18" s="3">
        <v>124</v>
      </c>
      <c r="QC18" s="3">
        <v>121</v>
      </c>
      <c r="QD18" s="3">
        <v>124</v>
      </c>
      <c r="QE18" s="3">
        <v>122</v>
      </c>
      <c r="QF18" s="3">
        <v>124</v>
      </c>
      <c r="QG18" s="6">
        <v>123</v>
      </c>
      <c r="QH18" s="37">
        <v>103</v>
      </c>
      <c r="QI18" s="17">
        <v>0.91262135922330101</v>
      </c>
      <c r="QJ18" s="17">
        <v>0.1941747572815534</v>
      </c>
      <c r="QK18" s="17">
        <v>0.91262135922330101</v>
      </c>
      <c r="QL18" s="37">
        <v>94</v>
      </c>
      <c r="QM18" s="37">
        <v>20</v>
      </c>
      <c r="QN18" s="37">
        <v>94</v>
      </c>
      <c r="QO18" s="37">
        <v>97</v>
      </c>
      <c r="QP18" s="17">
        <v>1</v>
      </c>
      <c r="QQ18" s="17">
        <v>0.93814432989690721</v>
      </c>
      <c r="QR18" s="17">
        <v>0.75257731958762886</v>
      </c>
      <c r="QS18" s="17">
        <v>0.96907216494845361</v>
      </c>
      <c r="QT18" s="17">
        <v>0.72164948453608246</v>
      </c>
      <c r="QU18" s="37">
        <v>97</v>
      </c>
      <c r="QV18" s="37">
        <v>91</v>
      </c>
      <c r="QW18" s="37">
        <v>73</v>
      </c>
      <c r="QX18" s="37">
        <v>94</v>
      </c>
      <c r="QY18" s="37">
        <v>70</v>
      </c>
      <c r="QZ18" s="3">
        <v>126</v>
      </c>
      <c r="RA18" s="17">
        <v>0.95238095238095233</v>
      </c>
      <c r="RB18" s="17">
        <v>0.89682539682539686</v>
      </c>
      <c r="RC18" s="17">
        <v>0.95238095238095233</v>
      </c>
      <c r="RD18" s="17">
        <v>0.95238095238095233</v>
      </c>
      <c r="RE18" s="17">
        <v>0.70634920634920639</v>
      </c>
      <c r="RF18" s="17">
        <v>0.93650793650793651</v>
      </c>
      <c r="RG18" s="17">
        <v>0.93650793650793651</v>
      </c>
      <c r="RH18" s="17">
        <v>0.89682539682539686</v>
      </c>
      <c r="RI18" s="17">
        <v>0.70634920634920639</v>
      </c>
      <c r="RJ18" s="17">
        <v>0.65873015873015872</v>
      </c>
      <c r="RK18" s="37">
        <v>120</v>
      </c>
      <c r="RL18" s="37">
        <v>113</v>
      </c>
      <c r="RM18" s="37">
        <v>120</v>
      </c>
      <c r="RN18" s="37">
        <v>120</v>
      </c>
      <c r="RO18" s="37">
        <v>89</v>
      </c>
      <c r="RP18" s="37">
        <v>118</v>
      </c>
      <c r="RQ18" s="37">
        <v>118</v>
      </c>
      <c r="RR18" s="37">
        <v>113</v>
      </c>
      <c r="RS18" s="37">
        <v>89</v>
      </c>
      <c r="RT18" s="38">
        <v>83</v>
      </c>
    </row>
    <row r="19" spans="1:488" s="3" customFormat="1" ht="12.75" x14ac:dyDescent="0.2">
      <c r="A19" s="9" t="s">
        <v>71</v>
      </c>
      <c r="B19" s="6">
        <v>41</v>
      </c>
      <c r="C19" s="9" t="s">
        <v>255</v>
      </c>
      <c r="D19" s="9" t="s">
        <v>256</v>
      </c>
      <c r="E19" s="9" t="s">
        <v>854</v>
      </c>
      <c r="F19" s="9" t="s">
        <v>858</v>
      </c>
      <c r="G19" s="9" t="s">
        <v>257</v>
      </c>
      <c r="H19" s="9" t="s">
        <v>81</v>
      </c>
      <c r="I19" s="9" t="s">
        <v>81</v>
      </c>
      <c r="J19" s="9" t="s">
        <v>268</v>
      </c>
      <c r="K19" s="9" t="s">
        <v>81</v>
      </c>
      <c r="L19" s="9" t="s">
        <v>271</v>
      </c>
      <c r="M19" s="9" t="s">
        <v>363</v>
      </c>
      <c r="N19" s="3" t="s">
        <v>400</v>
      </c>
      <c r="O19" s="9">
        <v>515862</v>
      </c>
      <c r="P19" s="9">
        <v>103196</v>
      </c>
      <c r="Q19" s="109">
        <v>22768</v>
      </c>
      <c r="R19" s="109">
        <v>80773</v>
      </c>
      <c r="S19" s="310" t="s">
        <v>797</v>
      </c>
      <c r="T19" s="36">
        <v>23505</v>
      </c>
      <c r="U19" s="37">
        <v>23940</v>
      </c>
      <c r="V19" s="37">
        <v>24325</v>
      </c>
      <c r="W19" s="37">
        <v>24680</v>
      </c>
      <c r="X19" s="37">
        <v>24925</v>
      </c>
      <c r="Y19" s="37">
        <v>25605</v>
      </c>
      <c r="Z19" s="37">
        <v>26230</v>
      </c>
      <c r="AA19" s="37">
        <v>26505</v>
      </c>
      <c r="AB19" s="37">
        <v>26715</v>
      </c>
      <c r="AC19" s="42">
        <v>26928</v>
      </c>
      <c r="AD19" s="42">
        <v>27251</v>
      </c>
      <c r="AE19" s="36">
        <v>1230</v>
      </c>
      <c r="AF19" s="37">
        <v>1310</v>
      </c>
      <c r="AG19" s="37">
        <v>1420</v>
      </c>
      <c r="AH19" s="37">
        <v>1490</v>
      </c>
      <c r="AI19" s="37">
        <v>1510</v>
      </c>
      <c r="AJ19" s="37">
        <v>1600</v>
      </c>
      <c r="AK19" s="37">
        <v>1685</v>
      </c>
      <c r="AL19" s="37">
        <v>1730</v>
      </c>
      <c r="AM19" s="37">
        <v>1725</v>
      </c>
      <c r="AN19" s="42">
        <v>1659</v>
      </c>
      <c r="AO19" s="42">
        <v>1723</v>
      </c>
      <c r="AP19" s="13">
        <v>1652</v>
      </c>
      <c r="AQ19" s="3">
        <v>1260</v>
      </c>
      <c r="AR19" s="3">
        <v>91</v>
      </c>
      <c r="AS19" s="3">
        <v>129</v>
      </c>
      <c r="AT19" s="3">
        <v>139</v>
      </c>
      <c r="AU19" s="3">
        <v>21</v>
      </c>
      <c r="AV19" s="3">
        <v>12</v>
      </c>
      <c r="AW19" s="9">
        <v>392</v>
      </c>
      <c r="AX19" s="16">
        <v>0.76271186440677963</v>
      </c>
      <c r="AY19" s="17">
        <v>5.5084745762711863E-2</v>
      </c>
      <c r="AZ19" s="17">
        <v>7.8087167070217914E-2</v>
      </c>
      <c r="BA19" s="17">
        <v>8.4140435835351093E-2</v>
      </c>
      <c r="BB19" s="17">
        <v>1.2711864406779662E-2</v>
      </c>
      <c r="BC19" s="17">
        <v>7.2639225181598066E-3</v>
      </c>
      <c r="BD19" s="18">
        <v>0.23728813559322037</v>
      </c>
      <c r="BE19" s="13">
        <v>2914</v>
      </c>
      <c r="BF19" s="3">
        <v>2738</v>
      </c>
      <c r="BG19" s="3">
        <v>176</v>
      </c>
      <c r="BH19" s="3">
        <v>144</v>
      </c>
      <c r="BI19" s="3">
        <v>32</v>
      </c>
      <c r="BJ19" s="17">
        <v>0.81818181818181823</v>
      </c>
      <c r="BK19" s="18">
        <v>0.18181818181818182</v>
      </c>
      <c r="BL19" s="36">
        <v>2739</v>
      </c>
      <c r="BM19" s="17">
        <v>0.49069003285870755</v>
      </c>
      <c r="BN19" s="17">
        <v>0.14603870025556773</v>
      </c>
      <c r="BO19" s="18">
        <v>0.3632712668857247</v>
      </c>
      <c r="BP19" s="36">
        <v>6266</v>
      </c>
      <c r="BQ19" s="37">
        <v>673</v>
      </c>
      <c r="BR19" s="37">
        <v>453</v>
      </c>
      <c r="BS19" s="37">
        <v>177</v>
      </c>
      <c r="BT19" s="37">
        <v>4378</v>
      </c>
      <c r="BU19" s="37">
        <v>2659</v>
      </c>
      <c r="BV19" s="18">
        <v>0.11696126363294472</v>
      </c>
      <c r="BW19" s="36">
        <v>1207</v>
      </c>
      <c r="BX19" s="37">
        <v>2</v>
      </c>
      <c r="BY19" s="37">
        <v>465</v>
      </c>
      <c r="BZ19" s="37">
        <v>765</v>
      </c>
      <c r="CA19" s="37">
        <v>235</v>
      </c>
      <c r="CB19" s="38">
        <v>2674</v>
      </c>
      <c r="CC19" s="37">
        <v>1322</v>
      </c>
      <c r="CD19" s="37">
        <v>999</v>
      </c>
      <c r="CE19" s="37">
        <v>321</v>
      </c>
      <c r="CF19" s="37">
        <v>323</v>
      </c>
      <c r="CG19" s="17">
        <v>0.24281391830559759</v>
      </c>
      <c r="CH19" s="93">
        <v>0.2443267776096823</v>
      </c>
      <c r="CI19" s="37">
        <v>235</v>
      </c>
      <c r="CJ19" s="37">
        <v>220</v>
      </c>
      <c r="CK19" s="37">
        <v>190</v>
      </c>
      <c r="CL19" s="37">
        <v>185</v>
      </c>
      <c r="CM19" s="42">
        <v>170</v>
      </c>
      <c r="CN19" s="42">
        <v>160</v>
      </c>
      <c r="CO19" s="36">
        <v>763</v>
      </c>
      <c r="CP19" s="37">
        <v>300</v>
      </c>
      <c r="CQ19" s="17">
        <v>0.39318479685452162</v>
      </c>
      <c r="CR19" s="38">
        <v>94</v>
      </c>
      <c r="CS19" s="37">
        <v>352</v>
      </c>
      <c r="CT19" s="37">
        <v>341</v>
      </c>
      <c r="CU19" s="37">
        <v>395</v>
      </c>
      <c r="CV19" s="37">
        <v>376</v>
      </c>
      <c r="CW19" s="37">
        <v>335</v>
      </c>
      <c r="CX19" s="526" t="s">
        <v>471</v>
      </c>
      <c r="CY19" s="568">
        <v>336</v>
      </c>
      <c r="CZ19" s="37">
        <v>23</v>
      </c>
      <c r="DA19" s="37">
        <v>25</v>
      </c>
      <c r="DB19" s="37">
        <v>19</v>
      </c>
      <c r="DC19" s="37">
        <v>21</v>
      </c>
      <c r="DD19" s="37">
        <v>16</v>
      </c>
      <c r="DE19" s="528" t="s">
        <v>471</v>
      </c>
      <c r="DF19" s="716">
        <v>13</v>
      </c>
      <c r="DG19" s="13">
        <v>30</v>
      </c>
      <c r="DH19" s="13">
        <v>23</v>
      </c>
      <c r="DI19" s="17">
        <v>6.8656716417910449E-2</v>
      </c>
      <c r="DJ19" s="17">
        <v>4.6181975108283008E-2</v>
      </c>
      <c r="DK19" s="18">
        <v>0.10091176895173444</v>
      </c>
      <c r="DL19" s="425" t="s">
        <v>286</v>
      </c>
      <c r="DM19" s="258" t="s">
        <v>286</v>
      </c>
      <c r="DN19" s="258" t="s">
        <v>286</v>
      </c>
      <c r="DO19" s="258" t="s">
        <v>286</v>
      </c>
      <c r="DP19" s="337">
        <v>32</v>
      </c>
      <c r="DQ19" s="393">
        <v>9.5238095238095233E-2</v>
      </c>
      <c r="DR19" s="393">
        <v>6.8270620931209919E-2</v>
      </c>
      <c r="DS19" s="393">
        <v>0.1313561669719352</v>
      </c>
      <c r="DT19" s="13">
        <v>23</v>
      </c>
      <c r="DU19" s="18">
        <v>1.3990267639902677E-2</v>
      </c>
      <c r="DV19" s="328">
        <v>1</v>
      </c>
      <c r="DW19" s="333">
        <v>1</v>
      </c>
      <c r="DX19" s="337">
        <v>3.0000000000000009</v>
      </c>
      <c r="DY19" s="393">
        <v>0.18673215273934698</v>
      </c>
      <c r="DZ19" s="337">
        <v>3.0000000000000009</v>
      </c>
      <c r="EA19" s="93">
        <v>0.17017016089712336</v>
      </c>
      <c r="EB19" s="3">
        <v>954</v>
      </c>
      <c r="EC19" s="18">
        <v>7.3577047663118927E-2</v>
      </c>
      <c r="ED19" s="13">
        <v>320</v>
      </c>
      <c r="EE19" s="3">
        <v>315</v>
      </c>
      <c r="EF19" s="3">
        <v>310</v>
      </c>
      <c r="EG19" s="3">
        <v>340</v>
      </c>
      <c r="EH19" s="9">
        <v>295</v>
      </c>
      <c r="EI19" s="9">
        <v>280</v>
      </c>
      <c r="EJ19" s="13">
        <v>260</v>
      </c>
      <c r="EK19" s="17">
        <v>0.18571428571428572</v>
      </c>
      <c r="EL19" s="17">
        <v>0.16621381994113202</v>
      </c>
      <c r="EM19" s="17">
        <v>0.20693476854745022</v>
      </c>
      <c r="EN19" s="3">
        <v>305</v>
      </c>
      <c r="EO19" s="17">
        <v>0.2089041095890411</v>
      </c>
      <c r="EP19" s="17">
        <v>0.18882880933566293</v>
      </c>
      <c r="EQ19" s="17">
        <v>0.23050721583418002</v>
      </c>
      <c r="ER19" s="3">
        <v>300</v>
      </c>
      <c r="ES19" s="17">
        <v>0.19607843137254902</v>
      </c>
      <c r="ET19" s="17">
        <v>0.17695585479624362</v>
      </c>
      <c r="EU19" s="17">
        <v>0.21672333241581829</v>
      </c>
      <c r="EV19" s="3">
        <v>320</v>
      </c>
      <c r="EW19" s="17">
        <v>0.19814241486068113</v>
      </c>
      <c r="EX19" s="17">
        <v>0.17942845420226736</v>
      </c>
      <c r="EY19" s="17">
        <v>0.21828897224029772</v>
      </c>
      <c r="EZ19" s="3">
        <v>275</v>
      </c>
      <c r="FA19" s="18">
        <v>0.16566265060240964</v>
      </c>
      <c r="FB19" s="18">
        <v>0.14855403686287513</v>
      </c>
      <c r="FC19" s="18">
        <v>0.18431509311616065</v>
      </c>
      <c r="FD19" s="337">
        <v>305</v>
      </c>
      <c r="FE19" s="18">
        <v>0.19242902208201892</v>
      </c>
      <c r="FF19" s="18">
        <v>0.17377484400642398</v>
      </c>
      <c r="FG19" s="393">
        <v>0.21257047409492608</v>
      </c>
      <c r="FH19" s="425" t="s">
        <v>286</v>
      </c>
      <c r="FI19" s="258" t="s">
        <v>286</v>
      </c>
      <c r="FJ19" s="258" t="s">
        <v>286</v>
      </c>
      <c r="FK19" s="258" t="s">
        <v>286</v>
      </c>
      <c r="FL19" s="36">
        <v>640</v>
      </c>
      <c r="FM19" s="18">
        <v>0.17827298050139276</v>
      </c>
      <c r="FN19" s="42">
        <v>740</v>
      </c>
      <c r="FO19" s="18">
        <v>0.19812583668005354</v>
      </c>
      <c r="FP19" s="42">
        <v>720</v>
      </c>
      <c r="FQ19" s="18">
        <v>0.18725617685305593</v>
      </c>
      <c r="FR19" s="42">
        <v>690</v>
      </c>
      <c r="FS19" s="18">
        <v>0.17557251908396945</v>
      </c>
      <c r="FT19" s="42">
        <v>590</v>
      </c>
      <c r="FU19" s="18">
        <v>0.14603960396039603</v>
      </c>
      <c r="FV19" s="42">
        <v>635</v>
      </c>
      <c r="FW19" s="393">
        <v>0.1548780487804878</v>
      </c>
      <c r="FX19" s="114" t="s">
        <v>286</v>
      </c>
      <c r="FY19" s="259" t="s">
        <v>286</v>
      </c>
      <c r="FZ19" s="3">
        <v>345</v>
      </c>
      <c r="GA19" s="3">
        <v>15</v>
      </c>
      <c r="GB19" s="3">
        <v>330</v>
      </c>
      <c r="GC19" s="17">
        <v>0.95652173913043481</v>
      </c>
      <c r="GD19" s="3">
        <v>149</v>
      </c>
      <c r="GE19" s="3">
        <v>198</v>
      </c>
      <c r="GF19" s="17">
        <v>0.45151515151515154</v>
      </c>
      <c r="GG19" s="17">
        <v>0.6</v>
      </c>
      <c r="GH19" s="17">
        <v>0.39868699754486908</v>
      </c>
      <c r="GI19" s="17">
        <v>0.50545916039350647</v>
      </c>
      <c r="GJ19" s="17">
        <v>0.54628440930361477</v>
      </c>
      <c r="GK19" s="93">
        <v>0.65141413994848563</v>
      </c>
      <c r="GL19" s="337">
        <v>258</v>
      </c>
      <c r="GM19" s="337">
        <v>113</v>
      </c>
      <c r="GN19" s="337">
        <v>37</v>
      </c>
      <c r="GO19" s="337">
        <v>150</v>
      </c>
      <c r="GP19" s="393">
        <v>0.43798449612403101</v>
      </c>
      <c r="GQ19" s="393">
        <v>0.58139534883720934</v>
      </c>
      <c r="GR19" s="393">
        <v>0.37879325612018483</v>
      </c>
      <c r="GS19" s="393">
        <v>0.49899538688491996</v>
      </c>
      <c r="GT19" s="393">
        <v>0.5204353128674829</v>
      </c>
      <c r="GU19" s="93">
        <v>0.63996709318831702</v>
      </c>
      <c r="GV19" s="42">
        <v>330</v>
      </c>
      <c r="GW19" s="42">
        <v>95</v>
      </c>
      <c r="GX19" s="42">
        <v>235</v>
      </c>
      <c r="GY19" s="393">
        <f t="shared" si="2"/>
        <v>0.71212121212121215</v>
      </c>
      <c r="GZ19" s="42">
        <v>108</v>
      </c>
      <c r="HA19" s="42">
        <v>31</v>
      </c>
      <c r="HB19" s="42">
        <v>139</v>
      </c>
      <c r="HC19" s="393">
        <v>0.45957446808510638</v>
      </c>
      <c r="HD19" s="393">
        <v>0.59148936170212763</v>
      </c>
      <c r="HE19" s="393">
        <v>0.39701811055322245</v>
      </c>
      <c r="HF19" s="393">
        <v>0.52343121137851178</v>
      </c>
      <c r="HG19" s="393">
        <v>0.52766028011453647</v>
      </c>
      <c r="HH19" s="93">
        <v>0.65237546498732812</v>
      </c>
      <c r="HI19" s="696">
        <v>461</v>
      </c>
      <c r="HJ19" s="696">
        <v>63</v>
      </c>
      <c r="HK19" s="696">
        <v>398</v>
      </c>
      <c r="HL19" s="697">
        <v>0.8633405639913232</v>
      </c>
      <c r="HM19" s="696">
        <v>170</v>
      </c>
      <c r="HN19" s="696">
        <v>55</v>
      </c>
      <c r="HO19" s="696">
        <v>225</v>
      </c>
      <c r="HP19" s="697">
        <v>0.42713567839195982</v>
      </c>
      <c r="HQ19" s="697">
        <v>0.5653266331658291</v>
      </c>
      <c r="HR19" s="697">
        <v>0.37946240407911236</v>
      </c>
      <c r="HS19" s="697">
        <v>0.4762020657587791</v>
      </c>
      <c r="HT19" s="697">
        <v>0.51623046157530028</v>
      </c>
      <c r="HU19" s="698">
        <v>0.6131738068459005</v>
      </c>
      <c r="HV19" s="3">
        <v>161</v>
      </c>
      <c r="HW19" s="3">
        <v>13</v>
      </c>
      <c r="HX19" s="17">
        <v>8.0745341614906832E-2</v>
      </c>
      <c r="HY19" s="17">
        <v>4.7793188465854376E-2</v>
      </c>
      <c r="HZ19" s="17">
        <v>0.13323808263660591</v>
      </c>
      <c r="IA19" s="267" t="s">
        <v>707</v>
      </c>
      <c r="IB19" s="3">
        <v>213</v>
      </c>
      <c r="IC19" s="3">
        <v>28</v>
      </c>
      <c r="ID19" s="17">
        <v>0.13145539906103287</v>
      </c>
      <c r="IE19" s="17">
        <v>9.2538847220180187E-2</v>
      </c>
      <c r="IF19" s="17">
        <v>0.18342986810827064</v>
      </c>
      <c r="IG19" s="3" t="s">
        <v>707</v>
      </c>
      <c r="IH19" s="3">
        <v>221</v>
      </c>
      <c r="II19" s="3">
        <v>18</v>
      </c>
      <c r="IJ19" s="17">
        <v>8.1447963800904979E-2</v>
      </c>
      <c r="IK19" s="17">
        <v>5.2138724552875479E-2</v>
      </c>
      <c r="IL19" s="17">
        <v>0.12505928434488195</v>
      </c>
      <c r="IM19" s="3" t="s">
        <v>707</v>
      </c>
      <c r="IN19" s="3">
        <v>259</v>
      </c>
      <c r="IO19" s="3">
        <v>21</v>
      </c>
      <c r="IP19" s="17">
        <v>8.1081081081081086E-2</v>
      </c>
      <c r="IQ19" s="17">
        <v>5.3641549235695814E-2</v>
      </c>
      <c r="IR19" s="17">
        <v>0.12076571142391865</v>
      </c>
      <c r="IS19" s="3" t="s">
        <v>707</v>
      </c>
      <c r="IT19" s="3">
        <v>154</v>
      </c>
      <c r="IU19" s="3">
        <v>10</v>
      </c>
      <c r="IV19" s="17">
        <v>6.4935064935064929E-2</v>
      </c>
      <c r="IW19" s="17">
        <v>3.565054847774999E-2</v>
      </c>
      <c r="IX19" s="17">
        <v>0.1153963247507705</v>
      </c>
      <c r="IY19" s="9" t="s">
        <v>707</v>
      </c>
      <c r="IZ19" s="9">
        <v>236</v>
      </c>
      <c r="JA19" s="9">
        <v>16</v>
      </c>
      <c r="JB19" s="393">
        <v>6.7796610169491525E-2</v>
      </c>
      <c r="JC19" s="393">
        <v>4.2158706734221979E-2</v>
      </c>
      <c r="JD19" s="393">
        <v>0.10727942209024141</v>
      </c>
      <c r="JE19" s="9" t="str">
        <f t="shared" si="0"/>
        <v>No Sig diff</v>
      </c>
      <c r="JF19" s="9">
        <v>251</v>
      </c>
      <c r="JG19" s="109">
        <v>25</v>
      </c>
      <c r="JH19" s="258">
        <v>9.9601593625498003E-2</v>
      </c>
      <c r="JI19" s="258">
        <v>6.837761967555861E-2</v>
      </c>
      <c r="JJ19" s="258">
        <v>0.1428967117062</v>
      </c>
      <c r="JK19" s="662" t="str">
        <f t="shared" si="3"/>
        <v>No Sig diff</v>
      </c>
      <c r="JL19" s="3">
        <v>152</v>
      </c>
      <c r="JM19" s="3">
        <v>33</v>
      </c>
      <c r="JN19" s="17">
        <v>0.21710526315789475</v>
      </c>
      <c r="JO19" s="17">
        <v>0.15897583021997941</v>
      </c>
      <c r="JP19" s="17">
        <v>0.28918128630862894</v>
      </c>
      <c r="JQ19" s="3" t="s">
        <v>707</v>
      </c>
      <c r="JR19" s="3">
        <v>156</v>
      </c>
      <c r="JS19" s="3">
        <v>39</v>
      </c>
      <c r="JT19" s="17">
        <v>0.25</v>
      </c>
      <c r="JU19" s="17">
        <v>0.18861184195741063</v>
      </c>
      <c r="JV19" s="17">
        <v>0.32340462376129686</v>
      </c>
      <c r="JW19" s="3" t="s">
        <v>707</v>
      </c>
      <c r="JX19" s="3">
        <v>148</v>
      </c>
      <c r="JY19" s="3">
        <v>19</v>
      </c>
      <c r="JZ19" s="17">
        <v>0.12837837837837837</v>
      </c>
      <c r="KA19" s="17">
        <v>8.3749542616648201E-2</v>
      </c>
      <c r="KB19" s="17">
        <v>0.19181063143373209</v>
      </c>
      <c r="KC19" s="3" t="s">
        <v>707</v>
      </c>
      <c r="KD19" s="3">
        <v>154</v>
      </c>
      <c r="KE19" s="3">
        <v>22</v>
      </c>
      <c r="KF19" s="17">
        <v>0.14285714285714285</v>
      </c>
      <c r="KG19" s="17">
        <v>9.6271191632122291E-2</v>
      </c>
      <c r="KH19" s="17">
        <v>0.20682698788382736</v>
      </c>
      <c r="KI19" s="3" t="s">
        <v>707</v>
      </c>
      <c r="KJ19" s="3">
        <v>189</v>
      </c>
      <c r="KK19" s="3">
        <v>41</v>
      </c>
      <c r="KL19" s="17">
        <v>0.21693121693121692</v>
      </c>
      <c r="KM19" s="17">
        <v>0.16412605827539797</v>
      </c>
      <c r="KN19" s="17">
        <v>0.28101400312867153</v>
      </c>
      <c r="KO19" s="465" t="s">
        <v>707</v>
      </c>
      <c r="KP19" s="465">
        <v>194</v>
      </c>
      <c r="KQ19" s="465">
        <v>45</v>
      </c>
      <c r="KR19" s="393">
        <v>0.23195876288659795</v>
      </c>
      <c r="KS19" s="393">
        <v>0.17811859186061987</v>
      </c>
      <c r="KT19" s="393">
        <v>0.29620796931654808</v>
      </c>
      <c r="KU19" s="465" t="s">
        <v>772</v>
      </c>
      <c r="KV19" s="465">
        <v>185</v>
      </c>
      <c r="KW19" s="465">
        <v>39</v>
      </c>
      <c r="KX19" s="393">
        <v>0.21081081081081082</v>
      </c>
      <c r="KY19" s="393">
        <v>0.15822188294439921</v>
      </c>
      <c r="KZ19" s="393">
        <v>0.27516525212535781</v>
      </c>
      <c r="LA19" s="660" t="str">
        <f t="shared" si="4"/>
        <v>No Sig diff</v>
      </c>
      <c r="LB19" s="3">
        <v>287</v>
      </c>
      <c r="LC19" s="3">
        <v>148</v>
      </c>
      <c r="LD19" s="17">
        <v>0.51567944250871078</v>
      </c>
      <c r="LE19" s="17">
        <v>0.45803701743184799</v>
      </c>
      <c r="LF19" s="17">
        <v>0.57290767675478294</v>
      </c>
      <c r="LG19" s="3">
        <v>287</v>
      </c>
      <c r="LH19" s="3">
        <v>34</v>
      </c>
      <c r="LI19" s="3">
        <v>57</v>
      </c>
      <c r="LJ19" s="293">
        <v>26.05263157894737</v>
      </c>
      <c r="LK19" s="17">
        <v>0.2337461300309597</v>
      </c>
      <c r="LL19" s="3">
        <v>281</v>
      </c>
      <c r="LM19" s="3">
        <v>171</v>
      </c>
      <c r="LN19" s="17">
        <v>0.60854092526690395</v>
      </c>
      <c r="LO19" s="17">
        <v>0.55037759347384574</v>
      </c>
      <c r="LP19" s="17">
        <v>0.66377662499053558</v>
      </c>
      <c r="LQ19" s="3">
        <v>281</v>
      </c>
      <c r="LR19" s="3">
        <v>34</v>
      </c>
      <c r="LS19" s="3">
        <v>56</v>
      </c>
      <c r="LT19" s="293">
        <v>27.053571428571423</v>
      </c>
      <c r="LU19" s="18">
        <v>0.20430672268907579</v>
      </c>
      <c r="LV19" s="42">
        <v>286</v>
      </c>
      <c r="LW19" s="42">
        <v>171</v>
      </c>
      <c r="LX19" s="18">
        <v>0.59790209790209792</v>
      </c>
      <c r="LY19" s="18">
        <v>0.54014159711974141</v>
      </c>
      <c r="LZ19" s="18">
        <v>0.65306747734411408</v>
      </c>
      <c r="MA19" s="337">
        <v>34</v>
      </c>
      <c r="MB19" s="337">
        <v>57</v>
      </c>
      <c r="MC19" s="294">
        <v>24.3</v>
      </c>
      <c r="MD19" s="393">
        <v>0.28399999999999997</v>
      </c>
      <c r="ME19" s="337">
        <v>300</v>
      </c>
      <c r="MF19" s="337">
        <v>209</v>
      </c>
      <c r="MG19" s="393">
        <v>0.69666666666666666</v>
      </c>
      <c r="MH19" s="393">
        <v>0.6424315614421271</v>
      </c>
      <c r="MI19" s="393">
        <v>0.7459288698762182</v>
      </c>
      <c r="MJ19" s="337">
        <v>34</v>
      </c>
      <c r="MK19" s="337">
        <v>60</v>
      </c>
      <c r="ML19" s="294">
        <v>24.733333333333334</v>
      </c>
      <c r="MM19" s="93">
        <v>0.27254901960784311</v>
      </c>
      <c r="MN19" s="17">
        <v>0.85523886335006882</v>
      </c>
      <c r="MO19" s="17">
        <v>0.14476113664993123</v>
      </c>
      <c r="MP19" s="17">
        <v>0.10589945678565693</v>
      </c>
      <c r="MQ19" s="17">
        <v>0.19796894649729968</v>
      </c>
      <c r="MR19" s="17">
        <v>0.9014757716031061</v>
      </c>
      <c r="MS19" s="17">
        <v>9.852422839689394E-2</v>
      </c>
      <c r="MT19" s="17">
        <v>6.877515560848059E-2</v>
      </c>
      <c r="MU19" s="17">
        <v>0.14807679808484558</v>
      </c>
      <c r="MV19" s="17">
        <v>0.90265936870775587</v>
      </c>
      <c r="MW19" s="17">
        <v>9.7340631292244212E-2</v>
      </c>
      <c r="MX19" s="17">
        <v>6.877515560848059E-2</v>
      </c>
      <c r="MY19" s="17">
        <v>0.14807679808484558</v>
      </c>
      <c r="MZ19" s="17">
        <v>0.76029450914425445</v>
      </c>
      <c r="NA19" s="17">
        <v>0.2397054908557455</v>
      </c>
      <c r="NB19" s="17">
        <v>0.19288785338762213</v>
      </c>
      <c r="NC19" s="93">
        <v>0.30458113826424538</v>
      </c>
      <c r="ND19" s="337">
        <v>14</v>
      </c>
      <c r="NE19" s="337">
        <v>133</v>
      </c>
      <c r="NF19" s="393">
        <v>0.10526315789473684</v>
      </c>
      <c r="NG19" s="393">
        <v>6.3744682279712347E-2</v>
      </c>
      <c r="NH19" s="393">
        <v>0.16894400063192314</v>
      </c>
      <c r="NI19" s="337">
        <v>10</v>
      </c>
      <c r="NJ19" s="337">
        <v>133</v>
      </c>
      <c r="NK19" s="393">
        <v>7.5187969924812026E-2</v>
      </c>
      <c r="NL19" s="393">
        <v>4.1350797012907302E-2</v>
      </c>
      <c r="NM19" s="393">
        <v>0.13287607126342424</v>
      </c>
      <c r="NN19" s="337">
        <v>12</v>
      </c>
      <c r="NO19" s="337">
        <v>132</v>
      </c>
      <c r="NP19" s="393">
        <v>9.0909090909090912E-2</v>
      </c>
      <c r="NQ19" s="393">
        <v>5.2769210507501198E-2</v>
      </c>
      <c r="NR19" s="393">
        <v>0.15218632414590569</v>
      </c>
      <c r="NS19" s="337">
        <v>29</v>
      </c>
      <c r="NT19" s="337">
        <v>133</v>
      </c>
      <c r="NU19" s="393">
        <v>0.21804511278195488</v>
      </c>
      <c r="NV19" s="393">
        <v>0.15632532218581729</v>
      </c>
      <c r="NW19" s="93">
        <v>0.29559516560820803</v>
      </c>
      <c r="NX19" s="3">
        <v>74</v>
      </c>
      <c r="NY19" s="3">
        <v>72</v>
      </c>
      <c r="NZ19" s="3">
        <v>72</v>
      </c>
      <c r="OA19" s="3">
        <v>74</v>
      </c>
      <c r="OB19" s="3">
        <v>72</v>
      </c>
      <c r="OC19" s="3">
        <v>85</v>
      </c>
      <c r="OD19" s="3">
        <v>82</v>
      </c>
      <c r="OE19" s="3">
        <v>82</v>
      </c>
      <c r="OF19" s="3">
        <v>81</v>
      </c>
      <c r="OG19" s="3">
        <v>82</v>
      </c>
      <c r="OH19" s="3">
        <v>82</v>
      </c>
      <c r="OI19" s="3">
        <v>81</v>
      </c>
      <c r="OJ19" s="3">
        <v>83</v>
      </c>
      <c r="OK19" s="3">
        <v>89</v>
      </c>
      <c r="OL19" s="3">
        <v>82</v>
      </c>
      <c r="OM19" s="3">
        <v>76</v>
      </c>
      <c r="ON19" s="3">
        <v>76</v>
      </c>
      <c r="OO19" s="3">
        <v>75</v>
      </c>
      <c r="OP19" s="3">
        <v>77</v>
      </c>
      <c r="OQ19" s="3">
        <v>77</v>
      </c>
      <c r="OR19" s="3">
        <v>82</v>
      </c>
      <c r="OS19" s="3">
        <v>80</v>
      </c>
      <c r="OT19" s="6">
        <v>80</v>
      </c>
      <c r="OU19" s="3">
        <v>490</v>
      </c>
      <c r="OV19" s="22">
        <v>0.84699999999999998</v>
      </c>
      <c r="OW19" s="22">
        <v>1.6E-2</v>
      </c>
      <c r="OX19" s="22">
        <v>0.85299999999999998</v>
      </c>
      <c r="OY19" s="3">
        <v>415</v>
      </c>
      <c r="OZ19" s="3">
        <v>8</v>
      </c>
      <c r="PA19" s="3">
        <v>418</v>
      </c>
      <c r="PB19" s="3">
        <v>456</v>
      </c>
      <c r="PC19" s="22">
        <v>0.94699999999999995</v>
      </c>
      <c r="PD19" s="22">
        <v>0.91400000000000003</v>
      </c>
      <c r="PE19" s="22">
        <v>0.94499999999999995</v>
      </c>
      <c r="PF19" s="22">
        <v>0.91</v>
      </c>
      <c r="PG19" s="22">
        <v>0.91</v>
      </c>
      <c r="PH19" s="3">
        <v>432</v>
      </c>
      <c r="PI19" s="3">
        <v>417</v>
      </c>
      <c r="PJ19" s="3">
        <v>431</v>
      </c>
      <c r="PK19" s="3">
        <v>415</v>
      </c>
      <c r="PL19" s="3">
        <v>415</v>
      </c>
      <c r="PM19" s="3">
        <v>503</v>
      </c>
      <c r="PN19" s="22">
        <v>0.94399999999999995</v>
      </c>
      <c r="PO19" s="22">
        <v>0.90900000000000003</v>
      </c>
      <c r="PP19" s="22">
        <v>0.94399999999999995</v>
      </c>
      <c r="PQ19" s="22">
        <v>0.93799999999999994</v>
      </c>
      <c r="PR19" s="22">
        <v>0.93400000000000005</v>
      </c>
      <c r="PS19" s="22">
        <v>0.88900000000000001</v>
      </c>
      <c r="PT19" s="22">
        <v>0.93600000000000005</v>
      </c>
      <c r="PU19" s="22">
        <v>0.90900000000000003</v>
      </c>
      <c r="PV19" s="22">
        <v>0.94</v>
      </c>
      <c r="PW19" s="22">
        <v>0.88500000000000001</v>
      </c>
      <c r="PX19" s="3">
        <v>475</v>
      </c>
      <c r="PY19" s="3">
        <v>457</v>
      </c>
      <c r="PZ19" s="3">
        <v>475</v>
      </c>
      <c r="QA19" s="3">
        <v>472</v>
      </c>
      <c r="QB19" s="3">
        <v>470</v>
      </c>
      <c r="QC19" s="3">
        <v>447</v>
      </c>
      <c r="QD19" s="3">
        <v>471</v>
      </c>
      <c r="QE19" s="3">
        <v>457</v>
      </c>
      <c r="QF19" s="3">
        <v>473</v>
      </c>
      <c r="QG19" s="6">
        <v>445</v>
      </c>
      <c r="QH19" s="37">
        <v>462</v>
      </c>
      <c r="QI19" s="17">
        <v>0.72943722943722944</v>
      </c>
      <c r="QJ19" s="17">
        <v>0.26406926406926406</v>
      </c>
      <c r="QK19" s="17">
        <v>0.75541125541125542</v>
      </c>
      <c r="QL19" s="37">
        <v>337</v>
      </c>
      <c r="QM19" s="37">
        <v>122</v>
      </c>
      <c r="QN19" s="37">
        <v>349</v>
      </c>
      <c r="QO19" s="37">
        <v>481</v>
      </c>
      <c r="QP19" s="17">
        <v>0.83991683991683996</v>
      </c>
      <c r="QQ19" s="17">
        <v>0.73180873180873185</v>
      </c>
      <c r="QR19" s="17">
        <v>0.67983367983367982</v>
      </c>
      <c r="QS19" s="17">
        <v>0.72349272349272353</v>
      </c>
      <c r="QT19" s="17">
        <v>0.53430353430353428</v>
      </c>
      <c r="QU19" s="37">
        <v>404</v>
      </c>
      <c r="QV19" s="37">
        <v>352</v>
      </c>
      <c r="QW19" s="37">
        <v>327</v>
      </c>
      <c r="QX19" s="37">
        <v>348</v>
      </c>
      <c r="QY19" s="37">
        <v>257</v>
      </c>
      <c r="QZ19" s="3">
        <v>509</v>
      </c>
      <c r="RA19" s="17">
        <v>0.92730844793713163</v>
      </c>
      <c r="RB19" s="17">
        <v>0.82318271119842834</v>
      </c>
      <c r="RC19" s="17">
        <v>0.92730844793713163</v>
      </c>
      <c r="RD19" s="17">
        <v>0.92534381139489197</v>
      </c>
      <c r="RE19" s="17">
        <v>0.67583497053045183</v>
      </c>
      <c r="RF19" s="17">
        <v>0.89587426326129671</v>
      </c>
      <c r="RG19" s="17">
        <v>0.89390962671905694</v>
      </c>
      <c r="RH19" s="17">
        <v>0.86051080550098236</v>
      </c>
      <c r="RI19" s="17">
        <v>0.67976424361493126</v>
      </c>
      <c r="RJ19" s="17">
        <v>0.64440078585461691</v>
      </c>
      <c r="RK19" s="37">
        <v>472</v>
      </c>
      <c r="RL19" s="37">
        <v>419</v>
      </c>
      <c r="RM19" s="37">
        <v>472</v>
      </c>
      <c r="RN19" s="37">
        <v>471</v>
      </c>
      <c r="RO19" s="37">
        <v>344</v>
      </c>
      <c r="RP19" s="37">
        <v>456</v>
      </c>
      <c r="RQ19" s="37">
        <v>455</v>
      </c>
      <c r="RR19" s="37">
        <v>438</v>
      </c>
      <c r="RS19" s="37">
        <v>346</v>
      </c>
      <c r="RT19" s="38">
        <v>328</v>
      </c>
    </row>
    <row r="20" spans="1:488" s="3" customFormat="1" ht="12.75" x14ac:dyDescent="0.2">
      <c r="A20" s="9" t="s">
        <v>277</v>
      </c>
      <c r="B20" s="6">
        <v>33</v>
      </c>
      <c r="C20" s="9" t="s">
        <v>235</v>
      </c>
      <c r="D20" s="9" t="s">
        <v>236</v>
      </c>
      <c r="E20" s="9" t="s">
        <v>286</v>
      </c>
      <c r="F20" s="9" t="s">
        <v>286</v>
      </c>
      <c r="G20" s="9" t="s">
        <v>237</v>
      </c>
      <c r="H20" s="9" t="s">
        <v>80</v>
      </c>
      <c r="I20" s="9" t="s">
        <v>80</v>
      </c>
      <c r="J20" s="9" t="s">
        <v>270</v>
      </c>
      <c r="K20" s="9" t="s">
        <v>388</v>
      </c>
      <c r="L20" s="9" t="s">
        <v>275</v>
      </c>
      <c r="M20" s="9" t="s">
        <v>356</v>
      </c>
      <c r="N20" s="3" t="s">
        <v>80</v>
      </c>
      <c r="O20" s="9">
        <v>534239</v>
      </c>
      <c r="P20" s="9">
        <v>124484</v>
      </c>
      <c r="Q20" s="109">
        <v>21421</v>
      </c>
      <c r="R20" s="109" t="s">
        <v>286</v>
      </c>
      <c r="S20" s="310" t="s">
        <v>797</v>
      </c>
      <c r="T20" s="36">
        <v>17050</v>
      </c>
      <c r="U20" s="37">
        <v>17235</v>
      </c>
      <c r="V20" s="37">
        <v>17490</v>
      </c>
      <c r="W20" s="37">
        <v>17540</v>
      </c>
      <c r="X20" s="37">
        <v>17695</v>
      </c>
      <c r="Y20" s="37">
        <v>17985</v>
      </c>
      <c r="Z20" s="37">
        <v>18150</v>
      </c>
      <c r="AA20" s="37">
        <v>18425</v>
      </c>
      <c r="AB20" s="37">
        <v>18995</v>
      </c>
      <c r="AC20" s="42">
        <v>19494</v>
      </c>
      <c r="AD20" s="42">
        <v>19558</v>
      </c>
      <c r="AE20" s="36">
        <v>1100</v>
      </c>
      <c r="AF20" s="37">
        <v>1120</v>
      </c>
      <c r="AG20" s="37">
        <v>1200</v>
      </c>
      <c r="AH20" s="37">
        <v>1220</v>
      </c>
      <c r="AI20" s="37">
        <v>1205</v>
      </c>
      <c r="AJ20" s="37">
        <v>1225</v>
      </c>
      <c r="AK20" s="37">
        <v>1230</v>
      </c>
      <c r="AL20" s="37">
        <v>1245</v>
      </c>
      <c r="AM20" s="37">
        <v>1320</v>
      </c>
      <c r="AN20" s="42">
        <v>1393</v>
      </c>
      <c r="AO20" s="42">
        <v>1364</v>
      </c>
      <c r="AP20" s="13">
        <v>1219</v>
      </c>
      <c r="AQ20" s="3">
        <v>981</v>
      </c>
      <c r="AR20" s="3">
        <v>52</v>
      </c>
      <c r="AS20" s="3">
        <v>62</v>
      </c>
      <c r="AT20" s="3">
        <v>117</v>
      </c>
      <c r="AU20" s="3">
        <v>7</v>
      </c>
      <c r="AV20" s="3">
        <v>0</v>
      </c>
      <c r="AW20" s="9">
        <v>238</v>
      </c>
      <c r="AX20" s="16">
        <v>0.80475799835931094</v>
      </c>
      <c r="AY20" s="17">
        <v>4.2657916324856437E-2</v>
      </c>
      <c r="AZ20" s="17">
        <v>5.0861361771944218E-2</v>
      </c>
      <c r="BA20" s="17">
        <v>9.5980311730926984E-2</v>
      </c>
      <c r="BB20" s="17">
        <v>5.742411812961444E-3</v>
      </c>
      <c r="BC20" s="17">
        <v>0</v>
      </c>
      <c r="BD20" s="18">
        <v>0.19524200164068906</v>
      </c>
      <c r="BE20" s="13">
        <v>2747</v>
      </c>
      <c r="BF20" s="3">
        <v>2657</v>
      </c>
      <c r="BG20" s="3">
        <v>90</v>
      </c>
      <c r="BH20" s="3">
        <v>75</v>
      </c>
      <c r="BI20" s="3">
        <v>15</v>
      </c>
      <c r="BJ20" s="17">
        <v>0.83333333333333337</v>
      </c>
      <c r="BK20" s="18">
        <v>0.16666666666666666</v>
      </c>
      <c r="BL20" s="13">
        <v>2248</v>
      </c>
      <c r="BM20" s="17">
        <v>0.604982206405694</v>
      </c>
      <c r="BN20" s="17">
        <v>0.20862989323843417</v>
      </c>
      <c r="BO20" s="18">
        <v>0.18638790035587188</v>
      </c>
      <c r="BP20" s="36">
        <v>5124</v>
      </c>
      <c r="BQ20" s="37">
        <v>382</v>
      </c>
      <c r="BR20" s="37">
        <v>376</v>
      </c>
      <c r="BS20" s="37">
        <v>179</v>
      </c>
      <c r="BT20" s="37">
        <v>3909</v>
      </c>
      <c r="BU20" s="37">
        <v>2212</v>
      </c>
      <c r="BV20" s="18">
        <v>0.14647377938517178</v>
      </c>
      <c r="BW20" s="36">
        <v>1431</v>
      </c>
      <c r="BX20" s="37">
        <v>0</v>
      </c>
      <c r="BY20" s="37">
        <v>274</v>
      </c>
      <c r="BZ20" s="37">
        <v>384</v>
      </c>
      <c r="CA20" s="37">
        <v>137</v>
      </c>
      <c r="CB20" s="38">
        <v>2226</v>
      </c>
      <c r="CC20" s="37">
        <v>940</v>
      </c>
      <c r="CD20" s="37">
        <v>841</v>
      </c>
      <c r="CE20" s="37">
        <v>99</v>
      </c>
      <c r="CF20" s="37">
        <v>99</v>
      </c>
      <c r="CG20" s="17">
        <v>0.10531914893617021</v>
      </c>
      <c r="CH20" s="93">
        <v>0.10531914893617021</v>
      </c>
      <c r="CI20" s="37">
        <v>100</v>
      </c>
      <c r="CJ20" s="37">
        <v>95</v>
      </c>
      <c r="CK20" s="37">
        <v>95</v>
      </c>
      <c r="CL20" s="37">
        <v>90</v>
      </c>
      <c r="CM20" s="42">
        <v>80</v>
      </c>
      <c r="CN20" s="42">
        <v>90</v>
      </c>
      <c r="CO20" s="36">
        <v>384</v>
      </c>
      <c r="CP20" s="37">
        <v>122</v>
      </c>
      <c r="CQ20" s="17">
        <v>0.31770833333333331</v>
      </c>
      <c r="CR20" s="38">
        <v>26</v>
      </c>
      <c r="CS20" s="37">
        <v>241</v>
      </c>
      <c r="CT20" s="37">
        <v>243</v>
      </c>
      <c r="CU20" s="37">
        <v>259</v>
      </c>
      <c r="CV20" s="37">
        <v>236</v>
      </c>
      <c r="CW20" s="37">
        <v>254</v>
      </c>
      <c r="CX20" s="526" t="s">
        <v>471</v>
      </c>
      <c r="CY20" s="568">
        <v>227</v>
      </c>
      <c r="CZ20" s="37">
        <v>11</v>
      </c>
      <c r="DA20" s="37">
        <v>9</v>
      </c>
      <c r="DB20" s="37">
        <v>6</v>
      </c>
      <c r="DC20" s="37">
        <v>9</v>
      </c>
      <c r="DD20" s="37">
        <v>11</v>
      </c>
      <c r="DE20" s="528" t="s">
        <v>471</v>
      </c>
      <c r="DF20" s="716">
        <v>2</v>
      </c>
      <c r="DG20" s="13">
        <v>21</v>
      </c>
      <c r="DH20" s="13">
        <v>13</v>
      </c>
      <c r="DI20" s="17">
        <v>5.1181102362204724E-2</v>
      </c>
      <c r="DJ20" s="17">
        <v>3.0151261764165438E-2</v>
      </c>
      <c r="DK20" s="18">
        <v>8.5584426969453661E-2</v>
      </c>
      <c r="DL20" s="425" t="s">
        <v>286</v>
      </c>
      <c r="DM20" s="258" t="s">
        <v>286</v>
      </c>
      <c r="DN20" s="258" t="s">
        <v>286</v>
      </c>
      <c r="DO20" s="258" t="s">
        <v>286</v>
      </c>
      <c r="DP20" s="337">
        <v>17</v>
      </c>
      <c r="DQ20" s="393">
        <v>7.4889867841409691E-2</v>
      </c>
      <c r="DR20" s="393">
        <v>4.7280387682671059E-2</v>
      </c>
      <c r="DS20" s="393">
        <v>0.11664795956489783</v>
      </c>
      <c r="DT20" s="13">
        <v>26</v>
      </c>
      <c r="DU20" s="18">
        <v>2.1346469622331693E-2</v>
      </c>
      <c r="DV20" s="328">
        <v>7</v>
      </c>
      <c r="DW20" s="333">
        <v>7</v>
      </c>
      <c r="DX20" s="337">
        <v>5</v>
      </c>
      <c r="DY20" s="393">
        <v>0.1310260201064459</v>
      </c>
      <c r="DZ20" s="337">
        <v>5</v>
      </c>
      <c r="EA20" s="93">
        <v>0.11401894678183339</v>
      </c>
      <c r="EB20" s="3">
        <v>248</v>
      </c>
      <c r="EC20" s="18">
        <v>3.1746031746031744E-2</v>
      </c>
      <c r="ED20" s="13">
        <v>165</v>
      </c>
      <c r="EE20" s="3">
        <v>130</v>
      </c>
      <c r="EF20" s="3">
        <v>155</v>
      </c>
      <c r="EG20" s="3">
        <v>145</v>
      </c>
      <c r="EH20" s="9">
        <v>140</v>
      </c>
      <c r="EI20" s="9">
        <v>120</v>
      </c>
      <c r="EJ20" s="13">
        <v>150</v>
      </c>
      <c r="EK20" s="17">
        <v>0.13574660633484162</v>
      </c>
      <c r="EL20" s="17">
        <v>0.11680870105054958</v>
      </c>
      <c r="EM20" s="17">
        <v>0.15720834295846869</v>
      </c>
      <c r="EN20" s="3">
        <v>165</v>
      </c>
      <c r="EO20" s="17">
        <v>0.14601769911504425</v>
      </c>
      <c r="EP20" s="17">
        <v>0.12662790339373267</v>
      </c>
      <c r="EQ20" s="17">
        <v>0.16780608137863742</v>
      </c>
      <c r="ER20" s="3">
        <v>150</v>
      </c>
      <c r="ES20" s="17">
        <v>0.12987012987012986</v>
      </c>
      <c r="ET20" s="17">
        <v>0.11170369147972666</v>
      </c>
      <c r="EU20" s="17">
        <v>0.1504904650271533</v>
      </c>
      <c r="EV20" s="3">
        <v>135</v>
      </c>
      <c r="EW20" s="17">
        <v>0.11637931034482758</v>
      </c>
      <c r="EX20" s="17">
        <v>9.9178561465025336E-2</v>
      </c>
      <c r="EY20" s="17">
        <v>0.13611247130001661</v>
      </c>
      <c r="EZ20" s="3">
        <v>140</v>
      </c>
      <c r="FA20" s="18">
        <v>0.12173913043478261</v>
      </c>
      <c r="FB20" s="18">
        <v>0.10408952536247225</v>
      </c>
      <c r="FC20" s="18">
        <v>0.14190740658240669</v>
      </c>
      <c r="FD20" s="337">
        <v>125</v>
      </c>
      <c r="FE20" s="18">
        <v>0.11574074074074074</v>
      </c>
      <c r="FF20" s="18">
        <v>9.8008285081654142E-2</v>
      </c>
      <c r="FG20" s="393">
        <v>0.13619705625756154</v>
      </c>
      <c r="FH20" s="425" t="s">
        <v>286</v>
      </c>
      <c r="FI20" s="258" t="s">
        <v>286</v>
      </c>
      <c r="FJ20" s="258" t="s">
        <v>286</v>
      </c>
      <c r="FK20" s="258" t="s">
        <v>286</v>
      </c>
      <c r="FL20" s="36">
        <v>420</v>
      </c>
      <c r="FM20" s="18">
        <v>0.13125000000000001</v>
      </c>
      <c r="FN20" s="42">
        <v>455</v>
      </c>
      <c r="FO20" s="18">
        <v>0.13957055214723926</v>
      </c>
      <c r="FP20" s="42">
        <v>410</v>
      </c>
      <c r="FQ20" s="18">
        <v>0.12424242424242424</v>
      </c>
      <c r="FR20" s="42">
        <v>405</v>
      </c>
      <c r="FS20" s="18">
        <v>0.12017804154302671</v>
      </c>
      <c r="FT20" s="42">
        <v>370</v>
      </c>
      <c r="FU20" s="18">
        <v>0.10914454277286136</v>
      </c>
      <c r="FV20" s="42">
        <v>355</v>
      </c>
      <c r="FW20" s="393">
        <v>0.10245310245310245</v>
      </c>
      <c r="FX20" s="114" t="s">
        <v>286</v>
      </c>
      <c r="FY20" s="259" t="s">
        <v>286</v>
      </c>
      <c r="FZ20" s="3">
        <v>237</v>
      </c>
      <c r="GA20" s="3">
        <v>2</v>
      </c>
      <c r="GB20" s="3">
        <v>235</v>
      </c>
      <c r="GC20" s="17">
        <v>0.99156118143459915</v>
      </c>
      <c r="GD20" s="3">
        <v>107</v>
      </c>
      <c r="GE20" s="3">
        <v>138</v>
      </c>
      <c r="GF20" s="17">
        <v>0.4553191489361702</v>
      </c>
      <c r="GG20" s="17">
        <v>0.58723404255319145</v>
      </c>
      <c r="GH20" s="17">
        <v>0.39287546928976086</v>
      </c>
      <c r="GI20" s="17">
        <v>0.51920014902798606</v>
      </c>
      <c r="GJ20" s="17">
        <v>0.52337579384151411</v>
      </c>
      <c r="GK20" s="93">
        <v>0.64828609420478922</v>
      </c>
      <c r="GL20" s="337">
        <v>266</v>
      </c>
      <c r="GM20" s="337">
        <v>119</v>
      </c>
      <c r="GN20" s="337">
        <v>64</v>
      </c>
      <c r="GO20" s="337">
        <v>183</v>
      </c>
      <c r="GP20" s="393">
        <v>0.44736842105263158</v>
      </c>
      <c r="GQ20" s="393">
        <v>0.68796992481203012</v>
      </c>
      <c r="GR20" s="393">
        <v>0.38878706183305556</v>
      </c>
      <c r="GS20" s="393">
        <v>0.50744830495464921</v>
      </c>
      <c r="GT20" s="393">
        <v>0.62994815610124077</v>
      </c>
      <c r="GU20" s="93">
        <v>0.74063981965695658</v>
      </c>
      <c r="GV20" s="42">
        <v>237</v>
      </c>
      <c r="GW20" s="42">
        <v>21</v>
      </c>
      <c r="GX20" s="42">
        <v>216</v>
      </c>
      <c r="GY20" s="393">
        <f t="shared" si="2"/>
        <v>0.91139240506329111</v>
      </c>
      <c r="GZ20" s="42">
        <v>102</v>
      </c>
      <c r="HA20" s="42">
        <v>37</v>
      </c>
      <c r="HB20" s="42">
        <v>139</v>
      </c>
      <c r="HC20" s="393">
        <v>0.47222222222222221</v>
      </c>
      <c r="HD20" s="393">
        <v>0.64351851851851849</v>
      </c>
      <c r="HE20" s="393">
        <v>0.40671370386425348</v>
      </c>
      <c r="HF20" s="393">
        <v>0.53870150551266671</v>
      </c>
      <c r="HG20" s="393">
        <v>0.5776481475051477</v>
      </c>
      <c r="HH20" s="93">
        <v>0.70437327071409772</v>
      </c>
      <c r="HI20" s="696">
        <v>251</v>
      </c>
      <c r="HJ20" s="696">
        <v>6</v>
      </c>
      <c r="HK20" s="696">
        <v>245</v>
      </c>
      <c r="HL20" s="697">
        <v>0.9760956175298805</v>
      </c>
      <c r="HM20" s="696">
        <v>123</v>
      </c>
      <c r="HN20" s="696">
        <v>59</v>
      </c>
      <c r="HO20" s="696">
        <v>182</v>
      </c>
      <c r="HP20" s="697">
        <v>0.50204081632653064</v>
      </c>
      <c r="HQ20" s="697">
        <v>0.74285714285714288</v>
      </c>
      <c r="HR20" s="697">
        <v>0.43988620505576825</v>
      </c>
      <c r="HS20" s="697">
        <v>0.56413241790496826</v>
      </c>
      <c r="HT20" s="697">
        <v>0.68467545482786651</v>
      </c>
      <c r="HU20" s="698">
        <v>0.79354067749977331</v>
      </c>
      <c r="HV20" s="3">
        <v>177</v>
      </c>
      <c r="HW20" s="3">
        <v>8</v>
      </c>
      <c r="HX20" s="17">
        <v>4.519774011299435E-2</v>
      </c>
      <c r="HY20" s="17">
        <v>2.3077636816594912E-2</v>
      </c>
      <c r="HZ20" s="17">
        <v>8.663978611332683E-2</v>
      </c>
      <c r="IA20" s="267" t="s">
        <v>708</v>
      </c>
      <c r="IB20" s="3">
        <v>178</v>
      </c>
      <c r="IC20" s="3">
        <v>12</v>
      </c>
      <c r="ID20" s="17">
        <v>6.741573033707865E-2</v>
      </c>
      <c r="IE20" s="17">
        <v>3.898189964215943E-2</v>
      </c>
      <c r="IF20" s="17">
        <v>0.11412652239347418</v>
      </c>
      <c r="IG20" s="3" t="s">
        <v>707</v>
      </c>
      <c r="IH20" s="3">
        <v>204</v>
      </c>
      <c r="II20" s="3">
        <v>11</v>
      </c>
      <c r="IJ20" s="17">
        <v>5.3921568627450983E-2</v>
      </c>
      <c r="IK20" s="17">
        <v>3.0372420984158512E-2</v>
      </c>
      <c r="IL20" s="17">
        <v>9.3960130217705773E-2</v>
      </c>
      <c r="IM20" s="3" t="s">
        <v>708</v>
      </c>
      <c r="IN20" s="3">
        <v>197</v>
      </c>
      <c r="IO20" s="3">
        <v>17</v>
      </c>
      <c r="IP20" s="17">
        <v>8.6294416243654817E-2</v>
      </c>
      <c r="IQ20" s="17">
        <v>5.4574988236147239E-2</v>
      </c>
      <c r="IR20" s="17">
        <v>0.13383959032194798</v>
      </c>
      <c r="IS20" s="3" t="s">
        <v>707</v>
      </c>
      <c r="IT20" s="3">
        <v>135</v>
      </c>
      <c r="IU20" s="3">
        <v>12</v>
      </c>
      <c r="IV20" s="17">
        <v>8.8888888888888892E-2</v>
      </c>
      <c r="IW20" s="17">
        <v>5.1579365474074726E-2</v>
      </c>
      <c r="IX20" s="17">
        <v>0.14894761729589015</v>
      </c>
      <c r="IY20" s="9" t="s">
        <v>707</v>
      </c>
      <c r="IZ20" s="9">
        <v>204</v>
      </c>
      <c r="JA20" s="9">
        <v>14</v>
      </c>
      <c r="JB20" s="393">
        <v>6.8627450980392163E-2</v>
      </c>
      <c r="JC20" s="393">
        <v>4.1316711494961592E-2</v>
      </c>
      <c r="JD20" s="393">
        <v>0.1118839973595885</v>
      </c>
      <c r="JE20" s="9" t="str">
        <f t="shared" si="0"/>
        <v>No Sig diff</v>
      </c>
      <c r="JF20" s="9">
        <v>227</v>
      </c>
      <c r="JG20" s="109">
        <v>23</v>
      </c>
      <c r="JH20" s="258">
        <v>0.1013215859030837</v>
      </c>
      <c r="JI20" s="258">
        <v>6.8468303650311965E-2</v>
      </c>
      <c r="JJ20" s="258">
        <v>0.14744377330207128</v>
      </c>
      <c r="JK20" s="662" t="str">
        <f t="shared" si="3"/>
        <v>No Sig diff</v>
      </c>
      <c r="JL20" s="3">
        <v>147</v>
      </c>
      <c r="JM20" s="3">
        <v>25</v>
      </c>
      <c r="JN20" s="17">
        <v>0.17006802721088435</v>
      </c>
      <c r="JO20" s="17">
        <v>0.11793015070055879</v>
      </c>
      <c r="JP20" s="17">
        <v>0.23901056865893572</v>
      </c>
      <c r="JQ20" s="3" t="s">
        <v>707</v>
      </c>
      <c r="JR20" s="3">
        <v>165</v>
      </c>
      <c r="JS20" s="3">
        <v>29</v>
      </c>
      <c r="JT20" s="17">
        <v>0.17575757575757575</v>
      </c>
      <c r="JU20" s="17">
        <v>0.12525193987760452</v>
      </c>
      <c r="JV20" s="17">
        <v>0.24101745421930615</v>
      </c>
      <c r="JW20" s="3" t="s">
        <v>707</v>
      </c>
      <c r="JX20" s="3">
        <v>149</v>
      </c>
      <c r="JY20" s="3">
        <v>32</v>
      </c>
      <c r="JZ20" s="17">
        <v>0.21476510067114093</v>
      </c>
      <c r="KA20" s="17">
        <v>0.15643634438513321</v>
      </c>
      <c r="KB20" s="17">
        <v>0.28743182688299307</v>
      </c>
      <c r="KC20" s="3" t="s">
        <v>707</v>
      </c>
      <c r="KD20" s="3">
        <v>143</v>
      </c>
      <c r="KE20" s="3">
        <v>20</v>
      </c>
      <c r="KF20" s="17">
        <v>0.13986013986013987</v>
      </c>
      <c r="KG20" s="17">
        <v>9.2396955251221199E-2</v>
      </c>
      <c r="KH20" s="17">
        <v>0.2061662650599326</v>
      </c>
      <c r="KI20" s="3" t="s">
        <v>707</v>
      </c>
      <c r="KJ20" s="3">
        <v>158</v>
      </c>
      <c r="KK20" s="3">
        <v>17</v>
      </c>
      <c r="KL20" s="17">
        <v>0.10759493670886076</v>
      </c>
      <c r="KM20" s="17">
        <v>6.8269177614385793E-2</v>
      </c>
      <c r="KN20" s="17">
        <v>0.16554890025291197</v>
      </c>
      <c r="KO20" s="465" t="s">
        <v>708</v>
      </c>
      <c r="KP20" s="465">
        <v>170</v>
      </c>
      <c r="KQ20" s="465">
        <v>24</v>
      </c>
      <c r="KR20" s="393">
        <v>0.14117647058823529</v>
      </c>
      <c r="KS20" s="393">
        <v>9.6740551579802103E-2</v>
      </c>
      <c r="KT20" s="393">
        <v>0.20147058385576239</v>
      </c>
      <c r="KU20" s="465" t="s">
        <v>772</v>
      </c>
      <c r="KV20" s="465">
        <v>170</v>
      </c>
      <c r="KW20" s="465">
        <v>13</v>
      </c>
      <c r="KX20" s="393">
        <v>7.6470588235294124E-2</v>
      </c>
      <c r="KY20" s="393">
        <v>4.5231780539752423E-2</v>
      </c>
      <c r="KZ20" s="393">
        <v>0.12642726456452041</v>
      </c>
      <c r="LA20" s="660" t="str">
        <f t="shared" si="4"/>
        <v>Sig better than Eng.</v>
      </c>
      <c r="LB20" s="3">
        <v>228</v>
      </c>
      <c r="LC20" s="3">
        <v>130</v>
      </c>
      <c r="LD20" s="17">
        <v>0.57017543859649122</v>
      </c>
      <c r="LE20" s="17">
        <v>0.50527816193920483</v>
      </c>
      <c r="LF20" s="17">
        <v>0.63274719453833861</v>
      </c>
      <c r="LG20" s="3">
        <v>228</v>
      </c>
      <c r="LH20" s="3">
        <v>34</v>
      </c>
      <c r="LI20" s="3">
        <v>45</v>
      </c>
      <c r="LJ20" s="293">
        <v>23.866666666666671</v>
      </c>
      <c r="LK20" s="17">
        <v>0.29803921568627439</v>
      </c>
      <c r="LL20" s="3">
        <v>247</v>
      </c>
      <c r="LM20" s="3">
        <v>141</v>
      </c>
      <c r="LN20" s="17">
        <v>0.57085020242914974</v>
      </c>
      <c r="LO20" s="17">
        <v>0.50850446183921483</v>
      </c>
      <c r="LP20" s="17">
        <v>0.63102590193936048</v>
      </c>
      <c r="LQ20" s="3">
        <v>247</v>
      </c>
      <c r="LR20" s="3">
        <v>34</v>
      </c>
      <c r="LS20" s="3">
        <v>49</v>
      </c>
      <c r="LT20" s="293">
        <v>24.959183673469393</v>
      </c>
      <c r="LU20" s="18">
        <v>0.26590636254501782</v>
      </c>
      <c r="LV20" s="42">
        <v>240</v>
      </c>
      <c r="LW20" s="42">
        <v>142</v>
      </c>
      <c r="LX20" s="18">
        <v>0.59166666666666667</v>
      </c>
      <c r="LY20" s="18">
        <v>0.52851203352999931</v>
      </c>
      <c r="LZ20" s="18">
        <v>0.65193308114738158</v>
      </c>
      <c r="MA20" s="337">
        <v>34</v>
      </c>
      <c r="MB20" s="337">
        <v>48</v>
      </c>
      <c r="MC20" s="294">
        <v>23.9</v>
      </c>
      <c r="MD20" s="393">
        <v>0.29699999999999999</v>
      </c>
      <c r="ME20" s="337">
        <v>264</v>
      </c>
      <c r="MF20" s="337">
        <v>184</v>
      </c>
      <c r="MG20" s="393">
        <v>0.69696969696969702</v>
      </c>
      <c r="MH20" s="393">
        <v>0.63903468797646112</v>
      </c>
      <c r="MI20" s="393">
        <v>0.74925471448539804</v>
      </c>
      <c r="MJ20" s="337">
        <v>34</v>
      </c>
      <c r="MK20" s="337">
        <v>264</v>
      </c>
      <c r="ML20" s="294">
        <v>26.23076923076923</v>
      </c>
      <c r="MM20" s="93">
        <v>0.22850678733031676</v>
      </c>
      <c r="MN20" s="17">
        <v>0.90808540874330357</v>
      </c>
      <c r="MO20" s="17">
        <v>9.1914591256696501E-2</v>
      </c>
      <c r="MP20" s="17">
        <v>6.7227027172261908E-2</v>
      </c>
      <c r="MQ20" s="17">
        <v>0.1593496190820943</v>
      </c>
      <c r="MR20" s="17">
        <v>0.95988835725677835</v>
      </c>
      <c r="MS20" s="17">
        <v>4.0111642743221688E-2</v>
      </c>
      <c r="MT20" s="17">
        <v>2.3753540562369307E-2</v>
      </c>
      <c r="MU20" s="17">
        <v>8.9084377199980441E-2</v>
      </c>
      <c r="MV20" s="17">
        <v>0.91131967447756923</v>
      </c>
      <c r="MW20" s="17">
        <v>8.8680325522430783E-2</v>
      </c>
      <c r="MX20" s="17">
        <v>5.8070662732992634E-2</v>
      </c>
      <c r="MY20" s="17">
        <v>0.14575823782296227</v>
      </c>
      <c r="MZ20" s="17">
        <v>0.83214431767063357</v>
      </c>
      <c r="NA20" s="17">
        <v>0.16785568232936654</v>
      </c>
      <c r="NB20" s="17">
        <v>0.12997636711378782</v>
      </c>
      <c r="NC20" s="93">
        <v>0.24446062618017678</v>
      </c>
      <c r="ND20" s="337">
        <v>16</v>
      </c>
      <c r="NE20" s="337">
        <v>170</v>
      </c>
      <c r="NF20" s="393">
        <v>9.4117647058823528E-2</v>
      </c>
      <c r="NG20" s="393">
        <v>5.8764358872737593E-2</v>
      </c>
      <c r="NH20" s="393">
        <v>0.14740889268552387</v>
      </c>
      <c r="NI20" s="337">
        <v>12</v>
      </c>
      <c r="NJ20" s="337">
        <v>170</v>
      </c>
      <c r="NK20" s="393">
        <v>7.0588235294117646E-2</v>
      </c>
      <c r="NL20" s="393">
        <v>4.0837418953078485E-2</v>
      </c>
      <c r="NM20" s="393">
        <v>0.11931689066653146</v>
      </c>
      <c r="NN20" s="337">
        <v>13</v>
      </c>
      <c r="NO20" s="337">
        <v>170</v>
      </c>
      <c r="NP20" s="393">
        <v>7.6470588235294124E-2</v>
      </c>
      <c r="NQ20" s="393">
        <v>4.5231780539752423E-2</v>
      </c>
      <c r="NR20" s="393">
        <v>0.12642726456452041</v>
      </c>
      <c r="NS20" s="337">
        <v>29</v>
      </c>
      <c r="NT20" s="337">
        <v>170</v>
      </c>
      <c r="NU20" s="393">
        <v>0.17058823529411765</v>
      </c>
      <c r="NV20" s="393">
        <v>0.1214802387930996</v>
      </c>
      <c r="NW20" s="93">
        <v>0.23425457406577926</v>
      </c>
      <c r="NX20" s="3">
        <v>65</v>
      </c>
      <c r="NY20" s="3">
        <v>63</v>
      </c>
      <c r="NZ20" s="3">
        <v>63</v>
      </c>
      <c r="OA20" s="3">
        <v>64</v>
      </c>
      <c r="OB20" s="3">
        <v>63</v>
      </c>
      <c r="OC20" s="3">
        <v>74</v>
      </c>
      <c r="OD20" s="3">
        <v>65</v>
      </c>
      <c r="OE20" s="3">
        <v>66</v>
      </c>
      <c r="OF20" s="3">
        <v>64</v>
      </c>
      <c r="OG20" s="3">
        <v>66</v>
      </c>
      <c r="OH20" s="3">
        <v>71</v>
      </c>
      <c r="OI20" s="3">
        <v>66</v>
      </c>
      <c r="OJ20" s="3">
        <v>67</v>
      </c>
      <c r="OK20" s="3">
        <v>72</v>
      </c>
      <c r="OL20" s="3">
        <v>68</v>
      </c>
      <c r="OM20" s="3">
        <v>67</v>
      </c>
      <c r="ON20" s="3">
        <v>63</v>
      </c>
      <c r="OO20" s="3">
        <v>66</v>
      </c>
      <c r="OP20" s="3">
        <v>66</v>
      </c>
      <c r="OQ20" s="3">
        <v>63</v>
      </c>
      <c r="OR20" s="3">
        <v>69</v>
      </c>
      <c r="OS20" s="3">
        <v>69</v>
      </c>
      <c r="OT20" s="6">
        <v>68</v>
      </c>
      <c r="OU20" s="3">
        <v>280</v>
      </c>
      <c r="OV20" s="22">
        <v>0.95</v>
      </c>
      <c r="OW20" s="22">
        <v>4.0000000000000001E-3</v>
      </c>
      <c r="OX20" s="22">
        <v>0.94299999999999995</v>
      </c>
      <c r="OY20" s="3">
        <v>266</v>
      </c>
      <c r="OZ20" s="3">
        <v>1</v>
      </c>
      <c r="PA20" s="3">
        <v>264</v>
      </c>
      <c r="PB20" s="3">
        <v>259</v>
      </c>
      <c r="PC20" s="22">
        <v>0.94199999999999995</v>
      </c>
      <c r="PD20" s="22">
        <v>0.89600000000000002</v>
      </c>
      <c r="PE20" s="22">
        <v>0.95399999999999996</v>
      </c>
      <c r="PF20" s="22">
        <v>0.89600000000000002</v>
      </c>
      <c r="PG20" s="22">
        <v>0.88</v>
      </c>
      <c r="PH20" s="3">
        <v>244</v>
      </c>
      <c r="PI20" s="3">
        <v>232</v>
      </c>
      <c r="PJ20" s="3">
        <v>247</v>
      </c>
      <c r="PK20" s="3">
        <v>232</v>
      </c>
      <c r="PL20" s="3">
        <v>228</v>
      </c>
      <c r="PM20" s="3">
        <v>240</v>
      </c>
      <c r="PN20" s="22">
        <v>0.92500000000000004</v>
      </c>
      <c r="PO20" s="22">
        <v>0.73799999999999999</v>
      </c>
      <c r="PP20" s="22">
        <v>0.92500000000000004</v>
      </c>
      <c r="PQ20" s="22">
        <v>0.92500000000000004</v>
      </c>
      <c r="PR20" s="22">
        <v>0.91700000000000004</v>
      </c>
      <c r="PS20" s="22">
        <v>0.871</v>
      </c>
      <c r="PT20" s="22">
        <v>0.90400000000000003</v>
      </c>
      <c r="PU20" s="22">
        <v>0.879</v>
      </c>
      <c r="PV20" s="22">
        <v>0.91700000000000004</v>
      </c>
      <c r="PW20" s="22">
        <v>0.84599999999999997</v>
      </c>
      <c r="PX20" s="3">
        <v>222</v>
      </c>
      <c r="PY20" s="3">
        <v>177</v>
      </c>
      <c r="PZ20" s="3">
        <v>222</v>
      </c>
      <c r="QA20" s="3">
        <v>222</v>
      </c>
      <c r="QB20" s="3">
        <v>220</v>
      </c>
      <c r="QC20" s="3">
        <v>209</v>
      </c>
      <c r="QD20" s="3">
        <v>217</v>
      </c>
      <c r="QE20" s="3">
        <v>211</v>
      </c>
      <c r="QF20" s="3">
        <v>220</v>
      </c>
      <c r="QG20" s="6">
        <v>203</v>
      </c>
      <c r="QH20" s="37">
        <v>253</v>
      </c>
      <c r="QI20" s="17">
        <v>0.92490118577075098</v>
      </c>
      <c r="QJ20" s="17">
        <v>0.23715415019762845</v>
      </c>
      <c r="QK20" s="17">
        <v>0.92490118577075098</v>
      </c>
      <c r="QL20" s="37">
        <v>234</v>
      </c>
      <c r="QM20" s="37">
        <v>60</v>
      </c>
      <c r="QN20" s="37">
        <v>234</v>
      </c>
      <c r="QO20" s="37">
        <v>291</v>
      </c>
      <c r="QP20" s="17">
        <v>0.94158075601374569</v>
      </c>
      <c r="QQ20" s="17">
        <v>0.63917525773195871</v>
      </c>
      <c r="QR20" s="17">
        <v>0.71134020618556704</v>
      </c>
      <c r="QS20" s="17">
        <v>0.60481099656357384</v>
      </c>
      <c r="QT20" s="17">
        <v>0.43642611683848798</v>
      </c>
      <c r="QU20" s="37">
        <v>274</v>
      </c>
      <c r="QV20" s="37">
        <v>186</v>
      </c>
      <c r="QW20" s="37">
        <v>207</v>
      </c>
      <c r="QX20" s="37">
        <v>176</v>
      </c>
      <c r="QY20" s="37">
        <v>127</v>
      </c>
      <c r="QZ20" s="3">
        <v>263</v>
      </c>
      <c r="RA20" s="17">
        <v>0.90874524714828897</v>
      </c>
      <c r="RB20" s="17">
        <v>0.7756653992395437</v>
      </c>
      <c r="RC20" s="17">
        <v>0.90874524714828897</v>
      </c>
      <c r="RD20" s="17">
        <v>0.9125475285171103</v>
      </c>
      <c r="RE20" s="17">
        <v>0.66920152091254748</v>
      </c>
      <c r="RF20" s="17">
        <v>0.90874524714828897</v>
      </c>
      <c r="RG20" s="17">
        <v>0.93536121673003803</v>
      </c>
      <c r="RH20" s="17">
        <v>0.87832699619771859</v>
      </c>
      <c r="RI20" s="17">
        <v>0.68441064638783267</v>
      </c>
      <c r="RJ20" s="17">
        <v>0.64638783269961975</v>
      </c>
      <c r="RK20" s="37">
        <v>239</v>
      </c>
      <c r="RL20" s="37">
        <v>204</v>
      </c>
      <c r="RM20" s="37">
        <v>239</v>
      </c>
      <c r="RN20" s="37">
        <v>240</v>
      </c>
      <c r="RO20" s="37">
        <v>176</v>
      </c>
      <c r="RP20" s="37">
        <v>239</v>
      </c>
      <c r="RQ20" s="37">
        <v>246</v>
      </c>
      <c r="RR20" s="37">
        <v>231</v>
      </c>
      <c r="RS20" s="37">
        <v>180</v>
      </c>
      <c r="RT20" s="38">
        <v>170</v>
      </c>
    </row>
    <row r="21" spans="1:488" s="3" customFormat="1" ht="12.75" x14ac:dyDescent="0.2">
      <c r="A21" s="9" t="s">
        <v>58</v>
      </c>
      <c r="B21" s="6">
        <v>27</v>
      </c>
      <c r="C21" s="9" t="s">
        <v>217</v>
      </c>
      <c r="D21" s="9" t="s">
        <v>218</v>
      </c>
      <c r="E21" s="9" t="s">
        <v>286</v>
      </c>
      <c r="F21" s="9" t="s">
        <v>286</v>
      </c>
      <c r="G21" s="9" t="s">
        <v>219</v>
      </c>
      <c r="H21" s="9" t="s">
        <v>852</v>
      </c>
      <c r="I21" s="9" t="s">
        <v>83</v>
      </c>
      <c r="J21" s="9" t="s">
        <v>270</v>
      </c>
      <c r="K21" s="9" t="s">
        <v>385</v>
      </c>
      <c r="L21" s="9" t="s">
        <v>273</v>
      </c>
      <c r="M21" s="9" t="s">
        <v>351</v>
      </c>
      <c r="N21" s="3" t="s">
        <v>83</v>
      </c>
      <c r="O21" s="9">
        <v>518392</v>
      </c>
      <c r="P21" s="9">
        <v>131222</v>
      </c>
      <c r="Q21" s="109">
        <v>21563</v>
      </c>
      <c r="R21" s="109" t="s">
        <v>286</v>
      </c>
      <c r="S21" s="310" t="s">
        <v>797</v>
      </c>
      <c r="T21" s="36">
        <v>17035</v>
      </c>
      <c r="U21" s="37">
        <v>17080</v>
      </c>
      <c r="V21" s="37">
        <v>17315</v>
      </c>
      <c r="W21" s="37">
        <v>17440</v>
      </c>
      <c r="X21" s="37">
        <v>17640</v>
      </c>
      <c r="Y21" s="37">
        <v>17925</v>
      </c>
      <c r="Z21" s="37">
        <v>18020</v>
      </c>
      <c r="AA21" s="37">
        <v>18165</v>
      </c>
      <c r="AB21" s="37">
        <v>18135</v>
      </c>
      <c r="AC21" s="42">
        <v>18258</v>
      </c>
      <c r="AD21" s="42">
        <v>18290</v>
      </c>
      <c r="AE21" s="36">
        <v>970</v>
      </c>
      <c r="AF21" s="37">
        <v>935</v>
      </c>
      <c r="AG21" s="37">
        <v>955</v>
      </c>
      <c r="AH21" s="37">
        <v>1005</v>
      </c>
      <c r="AI21" s="37">
        <v>1025</v>
      </c>
      <c r="AJ21" s="37">
        <v>1095</v>
      </c>
      <c r="AK21" s="37">
        <v>1110</v>
      </c>
      <c r="AL21" s="37">
        <v>1155</v>
      </c>
      <c r="AM21" s="37">
        <v>1095</v>
      </c>
      <c r="AN21" s="42">
        <v>1086</v>
      </c>
      <c r="AO21" s="42">
        <v>1044</v>
      </c>
      <c r="AP21" s="13">
        <v>1094</v>
      </c>
      <c r="AQ21" s="3">
        <v>916</v>
      </c>
      <c r="AR21" s="3">
        <v>48</v>
      </c>
      <c r="AS21" s="3">
        <v>68</v>
      </c>
      <c r="AT21" s="3">
        <v>48</v>
      </c>
      <c r="AU21" s="3">
        <v>8</v>
      </c>
      <c r="AV21" s="3">
        <v>6</v>
      </c>
      <c r="AW21" s="9">
        <v>178</v>
      </c>
      <c r="AX21" s="16">
        <v>0.83729433272394882</v>
      </c>
      <c r="AY21" s="17">
        <v>4.3875685557586835E-2</v>
      </c>
      <c r="AZ21" s="17">
        <v>6.2157221206581355E-2</v>
      </c>
      <c r="BA21" s="17">
        <v>4.3875685557586835E-2</v>
      </c>
      <c r="BB21" s="17">
        <v>7.3126142595978062E-3</v>
      </c>
      <c r="BC21" s="17">
        <v>5.4844606946983544E-3</v>
      </c>
      <c r="BD21" s="18">
        <v>0.16270566727605118</v>
      </c>
      <c r="BE21" s="13">
        <v>2770</v>
      </c>
      <c r="BF21" s="3">
        <v>2686</v>
      </c>
      <c r="BG21" s="3">
        <v>84</v>
      </c>
      <c r="BH21" s="3">
        <v>74</v>
      </c>
      <c r="BI21" s="3">
        <v>10</v>
      </c>
      <c r="BJ21" s="17">
        <v>0.88095238095238093</v>
      </c>
      <c r="BK21" s="18">
        <v>0.11904761904761904</v>
      </c>
      <c r="BL21" s="13">
        <v>2084</v>
      </c>
      <c r="BM21" s="17">
        <v>0.66314779270633395</v>
      </c>
      <c r="BN21" s="17">
        <v>0.16794625719769674</v>
      </c>
      <c r="BO21" s="18">
        <v>0.16890595009596929</v>
      </c>
      <c r="BP21" s="36">
        <v>5092</v>
      </c>
      <c r="BQ21" s="37">
        <v>298</v>
      </c>
      <c r="BR21" s="37">
        <v>371</v>
      </c>
      <c r="BS21" s="37">
        <v>148</v>
      </c>
      <c r="BT21" s="37">
        <v>3972</v>
      </c>
      <c r="BU21" s="37">
        <v>2199</v>
      </c>
      <c r="BV21" s="18">
        <v>0.15507048658481129</v>
      </c>
      <c r="BW21" s="36">
        <v>1435</v>
      </c>
      <c r="BX21" s="37">
        <v>1</v>
      </c>
      <c r="BY21" s="37">
        <v>262</v>
      </c>
      <c r="BZ21" s="37">
        <v>376</v>
      </c>
      <c r="CA21" s="37">
        <v>131</v>
      </c>
      <c r="CB21" s="38">
        <v>2205</v>
      </c>
      <c r="CC21" s="37">
        <v>822</v>
      </c>
      <c r="CD21" s="37">
        <v>717</v>
      </c>
      <c r="CE21" s="37">
        <v>103</v>
      </c>
      <c r="CF21" s="37">
        <v>105</v>
      </c>
      <c r="CG21" s="17">
        <v>0.12530413625304138</v>
      </c>
      <c r="CH21" s="93">
        <v>0.12773722627737227</v>
      </c>
      <c r="CI21" s="37">
        <v>95</v>
      </c>
      <c r="CJ21" s="37">
        <v>100</v>
      </c>
      <c r="CK21" s="37">
        <v>85</v>
      </c>
      <c r="CL21" s="37">
        <v>70</v>
      </c>
      <c r="CM21" s="42">
        <v>60</v>
      </c>
      <c r="CN21" s="42">
        <v>65</v>
      </c>
      <c r="CO21" s="36">
        <v>375</v>
      </c>
      <c r="CP21" s="37">
        <v>107</v>
      </c>
      <c r="CQ21" s="17">
        <v>0.28533333333333333</v>
      </c>
      <c r="CR21" s="38">
        <v>35</v>
      </c>
      <c r="CS21" s="37">
        <v>200</v>
      </c>
      <c r="CT21" s="37">
        <v>201</v>
      </c>
      <c r="CU21" s="37">
        <v>193</v>
      </c>
      <c r="CV21" s="37">
        <v>194</v>
      </c>
      <c r="CW21" s="37">
        <v>199</v>
      </c>
      <c r="CX21" s="526" t="s">
        <v>471</v>
      </c>
      <c r="CY21" s="568">
        <v>157</v>
      </c>
      <c r="CZ21" s="37">
        <v>5</v>
      </c>
      <c r="DA21" s="37">
        <v>6</v>
      </c>
      <c r="DB21" s="37">
        <v>3</v>
      </c>
      <c r="DC21" s="37">
        <v>6</v>
      </c>
      <c r="DD21" s="37">
        <v>3</v>
      </c>
      <c r="DE21" s="528" t="s">
        <v>471</v>
      </c>
      <c r="DF21" s="716">
        <v>1</v>
      </c>
      <c r="DG21" s="13">
        <v>9</v>
      </c>
      <c r="DH21" s="13">
        <v>11</v>
      </c>
      <c r="DI21" s="17">
        <v>5.5276381909547742E-2</v>
      </c>
      <c r="DJ21" s="17">
        <v>3.1142457209597071E-2</v>
      </c>
      <c r="DK21" s="18">
        <v>9.625486565987218E-2</v>
      </c>
      <c r="DL21" s="425" t="s">
        <v>286</v>
      </c>
      <c r="DM21" s="258" t="s">
        <v>286</v>
      </c>
      <c r="DN21" s="258" t="s">
        <v>286</v>
      </c>
      <c r="DO21" s="258" t="s">
        <v>286</v>
      </c>
      <c r="DP21" s="337">
        <v>20</v>
      </c>
      <c r="DQ21" s="393">
        <v>0.12738853503184713</v>
      </c>
      <c r="DR21" s="393">
        <v>8.3999137534954915E-2</v>
      </c>
      <c r="DS21" s="393">
        <v>0.18857647289623702</v>
      </c>
      <c r="DT21" s="13">
        <v>19</v>
      </c>
      <c r="DU21" s="18">
        <v>1.736745886654479E-2</v>
      </c>
      <c r="DV21" s="328">
        <v>7</v>
      </c>
      <c r="DW21" s="333">
        <v>7</v>
      </c>
      <c r="DX21" s="337">
        <v>6</v>
      </c>
      <c r="DY21" s="393">
        <v>9.7371163867979157E-2</v>
      </c>
      <c r="DZ21" s="337">
        <v>6</v>
      </c>
      <c r="EA21" s="93">
        <v>0.10865097031963468</v>
      </c>
      <c r="EB21" s="3">
        <v>286</v>
      </c>
      <c r="EC21" s="18">
        <v>3.7725893681572351E-2</v>
      </c>
      <c r="ED21" s="13">
        <v>150</v>
      </c>
      <c r="EE21" s="3">
        <v>145</v>
      </c>
      <c r="EF21" s="3">
        <v>135</v>
      </c>
      <c r="EG21" s="3">
        <v>125</v>
      </c>
      <c r="EH21" s="9">
        <v>105</v>
      </c>
      <c r="EI21" s="9">
        <v>85</v>
      </c>
      <c r="EJ21" s="13">
        <v>95</v>
      </c>
      <c r="EK21" s="17">
        <v>0.10160427807486631</v>
      </c>
      <c r="EL21" s="17">
        <v>8.3839775349221296E-2</v>
      </c>
      <c r="EM21" s="17">
        <v>0.1226290133898103</v>
      </c>
      <c r="EN21" s="3">
        <v>120</v>
      </c>
      <c r="EO21" s="17">
        <v>0.12698412698412698</v>
      </c>
      <c r="EP21" s="17">
        <v>0.1072551342537283</v>
      </c>
      <c r="EQ21" s="17">
        <v>0.14973348755856297</v>
      </c>
      <c r="ER21" s="3">
        <v>125</v>
      </c>
      <c r="ES21" s="17">
        <v>0.12315270935960591</v>
      </c>
      <c r="ET21" s="17">
        <v>0.10434558707624035</v>
      </c>
      <c r="EU21" s="17">
        <v>0.14480157573603356</v>
      </c>
      <c r="EV21" s="3">
        <v>135</v>
      </c>
      <c r="EW21" s="17">
        <v>0.13500000000000001</v>
      </c>
      <c r="EX21" s="17">
        <v>0.11521137849166015</v>
      </c>
      <c r="EY21" s="17">
        <v>0.15758215520279509</v>
      </c>
      <c r="EZ21" s="3">
        <v>120</v>
      </c>
      <c r="FA21" s="18">
        <v>0.12</v>
      </c>
      <c r="FB21" s="18">
        <v>0.10129926060130916</v>
      </c>
      <c r="FC21" s="18">
        <v>0.14160907584771276</v>
      </c>
      <c r="FD21" s="337">
        <v>105</v>
      </c>
      <c r="FE21" s="18">
        <v>0.12</v>
      </c>
      <c r="FF21" s="18">
        <v>0.1001124101709939</v>
      </c>
      <c r="FG21" s="393">
        <v>0.14320958684499258</v>
      </c>
      <c r="FH21" s="425" t="s">
        <v>286</v>
      </c>
      <c r="FI21" s="258" t="s">
        <v>286</v>
      </c>
      <c r="FJ21" s="258" t="s">
        <v>286</v>
      </c>
      <c r="FK21" s="258" t="s">
        <v>286</v>
      </c>
      <c r="FL21" s="36">
        <v>305</v>
      </c>
      <c r="FM21" s="18">
        <v>9.4427244582043338E-2</v>
      </c>
      <c r="FN21" s="42">
        <v>350</v>
      </c>
      <c r="FO21" s="18">
        <v>0.10920436817472699</v>
      </c>
      <c r="FP21" s="42">
        <v>340</v>
      </c>
      <c r="FQ21" s="18">
        <v>0.10240963855421686</v>
      </c>
      <c r="FR21" s="42">
        <v>345</v>
      </c>
      <c r="FS21" s="18">
        <v>0.10534351145038168</v>
      </c>
      <c r="FT21" s="42">
        <v>340</v>
      </c>
      <c r="FU21" s="18">
        <v>0.10256410256410256</v>
      </c>
      <c r="FV21" s="42">
        <v>305</v>
      </c>
      <c r="FW21" s="393">
        <v>9.2846270928462704E-2</v>
      </c>
      <c r="FX21" s="114" t="s">
        <v>286</v>
      </c>
      <c r="FY21" s="259" t="s">
        <v>286</v>
      </c>
      <c r="FZ21" s="3">
        <v>198</v>
      </c>
      <c r="GA21" s="3">
        <v>8</v>
      </c>
      <c r="GB21" s="3">
        <v>190</v>
      </c>
      <c r="GC21" s="17">
        <v>0.95959595959595956</v>
      </c>
      <c r="GD21" s="3">
        <v>93</v>
      </c>
      <c r="GE21" s="3">
        <v>115</v>
      </c>
      <c r="GF21" s="17">
        <v>0.48947368421052634</v>
      </c>
      <c r="GG21" s="17">
        <v>0.60526315789473684</v>
      </c>
      <c r="GH21" s="17">
        <v>0.41930894701947735</v>
      </c>
      <c r="GI21" s="17">
        <v>0.56005564757734805</v>
      </c>
      <c r="GJ21" s="17">
        <v>0.53433430731905218</v>
      </c>
      <c r="GK21" s="93">
        <v>0.67201974671269327</v>
      </c>
      <c r="GL21" s="337">
        <v>156</v>
      </c>
      <c r="GM21" s="337">
        <v>78</v>
      </c>
      <c r="GN21" s="337">
        <v>28</v>
      </c>
      <c r="GO21" s="337">
        <v>106</v>
      </c>
      <c r="GP21" s="393">
        <v>0.5</v>
      </c>
      <c r="GQ21" s="393">
        <v>0.67948717948717952</v>
      </c>
      <c r="GR21" s="393">
        <v>0.42248720841465115</v>
      </c>
      <c r="GS21" s="393">
        <v>0.57751279158534885</v>
      </c>
      <c r="GT21" s="393">
        <v>0.60269872848965911</v>
      </c>
      <c r="GU21" s="93">
        <v>0.74764842432767908</v>
      </c>
      <c r="GV21" s="42">
        <v>178</v>
      </c>
      <c r="GW21" s="42">
        <v>18</v>
      </c>
      <c r="GX21" s="42">
        <v>160</v>
      </c>
      <c r="GY21" s="393">
        <f t="shared" si="2"/>
        <v>0.898876404494382</v>
      </c>
      <c r="GZ21" s="42">
        <v>79</v>
      </c>
      <c r="HA21" s="42">
        <v>22</v>
      </c>
      <c r="HB21" s="42">
        <v>101</v>
      </c>
      <c r="HC21" s="393">
        <v>0.49375000000000002</v>
      </c>
      <c r="HD21" s="393">
        <v>0.63124999999999998</v>
      </c>
      <c r="HE21" s="393">
        <v>0.41734162771161937</v>
      </c>
      <c r="HF21" s="393">
        <v>0.57045144972802453</v>
      </c>
      <c r="HG21" s="393">
        <v>0.5542327024207806</v>
      </c>
      <c r="HH21" s="93">
        <v>0.7021126713466993</v>
      </c>
      <c r="HI21" s="696">
        <v>316</v>
      </c>
      <c r="HJ21" s="696">
        <v>16</v>
      </c>
      <c r="HK21" s="696">
        <v>300</v>
      </c>
      <c r="HL21" s="697">
        <v>0.94936708860759489</v>
      </c>
      <c r="HM21" s="696">
        <v>146</v>
      </c>
      <c r="HN21" s="696">
        <v>45</v>
      </c>
      <c r="HO21" s="696">
        <v>191</v>
      </c>
      <c r="HP21" s="697">
        <v>0.48666666666666669</v>
      </c>
      <c r="HQ21" s="697">
        <v>0.63666666666666671</v>
      </c>
      <c r="HR21" s="697">
        <v>0.43063449599449383</v>
      </c>
      <c r="HS21" s="697">
        <v>0.54303598323816071</v>
      </c>
      <c r="HT21" s="697">
        <v>0.58083162487586903</v>
      </c>
      <c r="HU21" s="698">
        <v>0.68904596298942167</v>
      </c>
      <c r="HV21" s="3">
        <v>161</v>
      </c>
      <c r="HW21" s="3">
        <v>11</v>
      </c>
      <c r="HX21" s="17">
        <v>6.8322981366459631E-2</v>
      </c>
      <c r="HY21" s="17">
        <v>3.8575583671797267E-2</v>
      </c>
      <c r="HZ21" s="17">
        <v>0.11818994731518039</v>
      </c>
      <c r="IA21" s="267" t="s">
        <v>707</v>
      </c>
      <c r="IB21" s="3">
        <v>168</v>
      </c>
      <c r="IC21" s="3">
        <v>11</v>
      </c>
      <c r="ID21" s="17">
        <v>6.5476190476190479E-2</v>
      </c>
      <c r="IE21" s="17">
        <v>3.695089521739349E-2</v>
      </c>
      <c r="IF21" s="17">
        <v>0.11342875703903946</v>
      </c>
      <c r="IG21" s="3" t="s">
        <v>707</v>
      </c>
      <c r="IH21" s="3">
        <v>115</v>
      </c>
      <c r="II21" s="3">
        <v>6</v>
      </c>
      <c r="IJ21" s="17">
        <v>5.2173913043478258E-2</v>
      </c>
      <c r="IK21" s="17">
        <v>2.4128549061825513E-2</v>
      </c>
      <c r="IL21" s="17">
        <v>0.10917054519277661</v>
      </c>
      <c r="IM21" s="3" t="s">
        <v>707</v>
      </c>
      <c r="IN21" s="3">
        <v>172</v>
      </c>
      <c r="IO21" s="3">
        <v>14</v>
      </c>
      <c r="IP21" s="17">
        <v>8.1395348837209308E-2</v>
      </c>
      <c r="IQ21" s="17">
        <v>4.910271749221258E-2</v>
      </c>
      <c r="IR21" s="17">
        <v>0.13197777987310397</v>
      </c>
      <c r="IS21" s="3" t="s">
        <v>707</v>
      </c>
      <c r="IT21" s="3">
        <v>101</v>
      </c>
      <c r="IU21" s="3">
        <v>1</v>
      </c>
      <c r="IV21" s="17">
        <v>9.9009900990099011E-3</v>
      </c>
      <c r="IW21" s="17">
        <v>1.7499112489682295E-3</v>
      </c>
      <c r="IX21" s="17">
        <v>5.3967157994455041E-2</v>
      </c>
      <c r="IY21" s="9" t="s">
        <v>708</v>
      </c>
      <c r="IZ21" s="9">
        <v>187</v>
      </c>
      <c r="JA21" s="9">
        <v>14</v>
      </c>
      <c r="JB21" s="393">
        <v>7.4866310160427801E-2</v>
      </c>
      <c r="JC21" s="393">
        <v>4.511723060861856E-2</v>
      </c>
      <c r="JD21" s="393">
        <v>0.12173047123488336</v>
      </c>
      <c r="JE21" s="9" t="str">
        <f t="shared" si="0"/>
        <v>No Sig diff</v>
      </c>
      <c r="JF21" s="9">
        <v>187</v>
      </c>
      <c r="JG21" s="109">
        <v>12</v>
      </c>
      <c r="JH21" s="258">
        <v>6.4171122994652413E-2</v>
      </c>
      <c r="JI21" s="258">
        <v>3.7086220493424561E-2</v>
      </c>
      <c r="JJ21" s="258">
        <v>0.10880167510714658</v>
      </c>
      <c r="JK21" s="662" t="str">
        <f t="shared" si="3"/>
        <v>No Sig diff</v>
      </c>
      <c r="JL21" s="3">
        <v>181</v>
      </c>
      <c r="JM21" s="3">
        <v>18</v>
      </c>
      <c r="JN21" s="17">
        <v>9.9447513812154692E-2</v>
      </c>
      <c r="JO21" s="17">
        <v>6.3834231714869225E-2</v>
      </c>
      <c r="JP21" s="17">
        <v>0.15170972187047022</v>
      </c>
      <c r="JQ21" s="3" t="s">
        <v>708</v>
      </c>
      <c r="JR21" s="3">
        <v>172</v>
      </c>
      <c r="JS21" s="3">
        <v>27</v>
      </c>
      <c r="JT21" s="17">
        <v>0.15697674418604651</v>
      </c>
      <c r="JU21" s="17">
        <v>0.11018266234093407</v>
      </c>
      <c r="JV21" s="17">
        <v>0.21875830077786704</v>
      </c>
      <c r="JW21" s="3" t="s">
        <v>707</v>
      </c>
      <c r="JX21" s="3">
        <v>196</v>
      </c>
      <c r="JY21" s="3">
        <v>24</v>
      </c>
      <c r="JZ21" s="17">
        <v>0.12244897959183673</v>
      </c>
      <c r="KA21" s="17">
        <v>8.3682204688779863E-2</v>
      </c>
      <c r="KB21" s="17">
        <v>0.1757307275757328</v>
      </c>
      <c r="KC21" s="3" t="s">
        <v>708</v>
      </c>
      <c r="KD21" s="3">
        <v>178</v>
      </c>
      <c r="KE21" s="3">
        <v>26</v>
      </c>
      <c r="KF21" s="17">
        <v>0.14606741573033707</v>
      </c>
      <c r="KG21" s="17">
        <v>0.10167044863273805</v>
      </c>
      <c r="KH21" s="17">
        <v>0.20541826030550761</v>
      </c>
      <c r="KI21" s="3" t="s">
        <v>707</v>
      </c>
      <c r="KJ21" s="3">
        <v>198</v>
      </c>
      <c r="KK21" s="3">
        <v>22</v>
      </c>
      <c r="KL21" s="17">
        <v>0.1111111111111111</v>
      </c>
      <c r="KM21" s="17">
        <v>7.4529633249924634E-2</v>
      </c>
      <c r="KN21" s="17">
        <v>0.16249530255969058</v>
      </c>
      <c r="KO21" s="465" t="s">
        <v>708</v>
      </c>
      <c r="KP21" s="465">
        <v>167</v>
      </c>
      <c r="KQ21" s="465">
        <v>25</v>
      </c>
      <c r="KR21" s="393">
        <v>0.1497005988023952</v>
      </c>
      <c r="KS21" s="393">
        <v>0.10350110403596958</v>
      </c>
      <c r="KT21" s="393">
        <v>0.21165342105622822</v>
      </c>
      <c r="KU21" s="465" t="s">
        <v>772</v>
      </c>
      <c r="KV21" s="465">
        <v>175</v>
      </c>
      <c r="KW21" s="465">
        <v>21</v>
      </c>
      <c r="KX21" s="393">
        <v>0.12</v>
      </c>
      <c r="KY21" s="393">
        <v>7.984170687522997E-2</v>
      </c>
      <c r="KZ21" s="393">
        <v>0.17648285636071759</v>
      </c>
      <c r="LA21" s="660" t="str">
        <f t="shared" si="4"/>
        <v>Sig better than Eng.</v>
      </c>
      <c r="LB21" s="3">
        <v>197</v>
      </c>
      <c r="LC21" s="3">
        <v>96</v>
      </c>
      <c r="LD21" s="17">
        <v>0.48730964467005078</v>
      </c>
      <c r="LE21" s="17">
        <v>0.41842434381975807</v>
      </c>
      <c r="LF21" s="17">
        <v>0.55668039785380308</v>
      </c>
      <c r="LG21" s="3">
        <v>197</v>
      </c>
      <c r="LH21" s="3">
        <v>34</v>
      </c>
      <c r="LI21" s="3">
        <v>39</v>
      </c>
      <c r="LJ21" s="293">
        <v>24.076923076923077</v>
      </c>
      <c r="LK21" s="17">
        <v>0.29185520361990952</v>
      </c>
      <c r="LL21" s="3">
        <v>215</v>
      </c>
      <c r="LM21" s="3">
        <v>140</v>
      </c>
      <c r="LN21" s="17">
        <v>0.65116279069767447</v>
      </c>
      <c r="LO21" s="17">
        <v>0.58530853616604794</v>
      </c>
      <c r="LP21" s="17">
        <v>0.71171013822168405</v>
      </c>
      <c r="LQ21" s="3">
        <v>215</v>
      </c>
      <c r="LR21" s="3">
        <v>34</v>
      </c>
      <c r="LS21" s="3">
        <v>43</v>
      </c>
      <c r="LT21" s="293">
        <v>24.232558139534884</v>
      </c>
      <c r="LU21" s="18">
        <v>0.28727770177838574</v>
      </c>
      <c r="LV21" s="42">
        <v>219</v>
      </c>
      <c r="LW21" s="42">
        <v>122</v>
      </c>
      <c r="LX21" s="18">
        <v>0.55707762557077622</v>
      </c>
      <c r="LY21" s="18">
        <v>0.49086762596297678</v>
      </c>
      <c r="LZ21" s="18">
        <v>0.62131975663765437</v>
      </c>
      <c r="MA21" s="337">
        <v>34</v>
      </c>
      <c r="MB21" s="337">
        <v>43</v>
      </c>
      <c r="MC21" s="294">
        <v>21.6</v>
      </c>
      <c r="MD21" s="393">
        <v>0.36299999999999999</v>
      </c>
      <c r="ME21" s="337">
        <v>218</v>
      </c>
      <c r="MF21" s="337">
        <v>161</v>
      </c>
      <c r="MG21" s="393">
        <v>0.73853211009174313</v>
      </c>
      <c r="MH21" s="393">
        <v>0.67642863886170301</v>
      </c>
      <c r="MI21" s="393">
        <v>0.79237462520292423</v>
      </c>
      <c r="MJ21" s="337">
        <v>34</v>
      </c>
      <c r="MK21" s="337">
        <v>218</v>
      </c>
      <c r="ML21" s="294">
        <v>24.488372093023255</v>
      </c>
      <c r="MM21" s="93">
        <v>0.27975376196990426</v>
      </c>
      <c r="MN21" s="17">
        <v>0.90972777222777235</v>
      </c>
      <c r="MO21" s="17">
        <v>9.0272227772227778E-2</v>
      </c>
      <c r="MP21" s="17">
        <v>4.2986910653413021E-2</v>
      </c>
      <c r="MQ21" s="17">
        <v>0.13784827338561564</v>
      </c>
      <c r="MR21" s="17">
        <v>0.88209429459429456</v>
      </c>
      <c r="MS21" s="17">
        <v>0.11790570540570541</v>
      </c>
      <c r="MT21" s="17">
        <v>6.6278187495025204E-2</v>
      </c>
      <c r="MU21" s="17">
        <v>0.1752358718003717</v>
      </c>
      <c r="MV21" s="17">
        <v>0.87754884004884015</v>
      </c>
      <c r="MW21" s="17">
        <v>0.12245115995115995</v>
      </c>
      <c r="MX21" s="17">
        <v>6.6278187495025204E-2</v>
      </c>
      <c r="MY21" s="17">
        <v>0.1752358718003717</v>
      </c>
      <c r="MZ21" s="17">
        <v>0.77176874162520082</v>
      </c>
      <c r="NA21" s="17">
        <v>0.22823125837479907</v>
      </c>
      <c r="NB21" s="17">
        <v>0.16395460040058435</v>
      </c>
      <c r="NC21" s="93">
        <v>0.30869018535562776</v>
      </c>
      <c r="ND21" s="337">
        <v>8</v>
      </c>
      <c r="NE21" s="337">
        <v>77</v>
      </c>
      <c r="NF21" s="393">
        <v>0.1038961038961039</v>
      </c>
      <c r="NG21" s="393">
        <v>5.359292364758092E-2</v>
      </c>
      <c r="NH21" s="393">
        <v>0.19184375092681485</v>
      </c>
      <c r="NI21" s="337">
        <v>8</v>
      </c>
      <c r="NJ21" s="337">
        <v>77</v>
      </c>
      <c r="NK21" s="393">
        <v>0.1038961038961039</v>
      </c>
      <c r="NL21" s="393">
        <v>5.359292364758092E-2</v>
      </c>
      <c r="NM21" s="393">
        <v>0.19184375092681485</v>
      </c>
      <c r="NN21" s="337">
        <v>10</v>
      </c>
      <c r="NO21" s="337">
        <v>77</v>
      </c>
      <c r="NP21" s="393">
        <v>0.12987012987012986</v>
      </c>
      <c r="NQ21" s="393">
        <v>7.2098290062351036E-2</v>
      </c>
      <c r="NR21" s="393">
        <v>0.2228179468350352</v>
      </c>
      <c r="NS21" s="337">
        <v>15</v>
      </c>
      <c r="NT21" s="337">
        <v>75</v>
      </c>
      <c r="NU21" s="393">
        <v>0.2</v>
      </c>
      <c r="NV21" s="393">
        <v>0.12512147714196709</v>
      </c>
      <c r="NW21" s="93">
        <v>0.30411282834771636</v>
      </c>
      <c r="NX21" s="3">
        <v>58</v>
      </c>
      <c r="NY21" s="3">
        <v>56</v>
      </c>
      <c r="NZ21" s="3">
        <v>57</v>
      </c>
      <c r="OA21" s="3">
        <v>58</v>
      </c>
      <c r="OB21" s="3">
        <v>56</v>
      </c>
      <c r="OC21" s="3">
        <v>68</v>
      </c>
      <c r="OD21" s="3">
        <v>66</v>
      </c>
      <c r="OE21" s="3">
        <v>62</v>
      </c>
      <c r="OF21" s="3">
        <v>65</v>
      </c>
      <c r="OG21" s="3">
        <v>63</v>
      </c>
      <c r="OH21" s="3">
        <v>65</v>
      </c>
      <c r="OI21" s="3">
        <v>65</v>
      </c>
      <c r="OJ21" s="3">
        <v>66</v>
      </c>
      <c r="OK21" s="3">
        <v>56</v>
      </c>
      <c r="OL21" s="3">
        <v>52</v>
      </c>
      <c r="OM21" s="3">
        <v>49</v>
      </c>
      <c r="ON21" s="3">
        <v>48</v>
      </c>
      <c r="OO21" s="3">
        <v>48</v>
      </c>
      <c r="OP21" s="3">
        <v>51</v>
      </c>
      <c r="OQ21" s="3">
        <v>46</v>
      </c>
      <c r="OR21" s="3">
        <v>52</v>
      </c>
      <c r="OS21" s="3">
        <v>49</v>
      </c>
      <c r="OT21" s="6">
        <v>51</v>
      </c>
      <c r="OU21" s="3">
        <v>372</v>
      </c>
      <c r="OV21" s="22">
        <v>0.97299999999999998</v>
      </c>
      <c r="OW21" s="22">
        <v>3.0000000000000001E-3</v>
      </c>
      <c r="OX21" s="22">
        <v>0.97</v>
      </c>
      <c r="OY21" s="3">
        <v>362</v>
      </c>
      <c r="OZ21" s="3">
        <v>1</v>
      </c>
      <c r="PA21" s="3">
        <v>361</v>
      </c>
      <c r="PB21" s="3">
        <v>390</v>
      </c>
      <c r="PC21" s="22">
        <v>0.97899999999999998</v>
      </c>
      <c r="PD21" s="22">
        <v>0.95099999999999996</v>
      </c>
      <c r="PE21" s="22">
        <v>0.94899999999999995</v>
      </c>
      <c r="PF21" s="22">
        <v>0.95099999999999996</v>
      </c>
      <c r="PG21" s="22">
        <v>0.94599999999999995</v>
      </c>
      <c r="PH21" s="3">
        <v>382</v>
      </c>
      <c r="PI21" s="3">
        <v>371</v>
      </c>
      <c r="PJ21" s="3">
        <v>370</v>
      </c>
      <c r="PK21" s="3">
        <v>371</v>
      </c>
      <c r="PL21" s="3">
        <v>369</v>
      </c>
      <c r="PM21" s="3">
        <v>392</v>
      </c>
      <c r="PN21" s="22">
        <v>0.95699999999999996</v>
      </c>
      <c r="PO21" s="22">
        <v>0.89500000000000002</v>
      </c>
      <c r="PP21" s="22">
        <v>0.95699999999999996</v>
      </c>
      <c r="PQ21" s="22">
        <v>0.95399999999999996</v>
      </c>
      <c r="PR21" s="22">
        <v>0.94599999999999995</v>
      </c>
      <c r="PS21" s="22">
        <v>0.84899999999999998</v>
      </c>
      <c r="PT21" s="22">
        <v>0.93600000000000005</v>
      </c>
      <c r="PU21" s="22">
        <v>0.90300000000000002</v>
      </c>
      <c r="PV21" s="22">
        <v>0.95199999999999996</v>
      </c>
      <c r="PW21" s="22">
        <v>0.91300000000000003</v>
      </c>
      <c r="PX21" s="3">
        <v>375</v>
      </c>
      <c r="PY21" s="3">
        <v>351</v>
      </c>
      <c r="PZ21" s="3">
        <v>375</v>
      </c>
      <c r="QA21" s="3">
        <v>374</v>
      </c>
      <c r="QB21" s="3">
        <v>371</v>
      </c>
      <c r="QC21" s="3">
        <v>333</v>
      </c>
      <c r="QD21" s="3">
        <v>367</v>
      </c>
      <c r="QE21" s="3">
        <v>354</v>
      </c>
      <c r="QF21" s="3">
        <v>373</v>
      </c>
      <c r="QG21" s="6">
        <v>358</v>
      </c>
      <c r="QH21" s="37">
        <v>332</v>
      </c>
      <c r="QI21" s="17">
        <v>0.97891566265060237</v>
      </c>
      <c r="QJ21" s="17">
        <v>0.2740963855421687</v>
      </c>
      <c r="QK21" s="17">
        <v>0.97289156626506024</v>
      </c>
      <c r="QL21" s="37">
        <v>325</v>
      </c>
      <c r="QM21" s="37">
        <v>91</v>
      </c>
      <c r="QN21" s="37">
        <v>323</v>
      </c>
      <c r="QO21" s="37">
        <v>375</v>
      </c>
      <c r="QP21" s="17">
        <v>0.97866666666666668</v>
      </c>
      <c r="QQ21" s="17">
        <v>0.95733333333333337</v>
      </c>
      <c r="QR21" s="17">
        <v>0.71733333333333338</v>
      </c>
      <c r="QS21" s="17">
        <v>0.96533333333333338</v>
      </c>
      <c r="QT21" s="17">
        <v>0.71733333333333338</v>
      </c>
      <c r="QU21" s="37">
        <v>367</v>
      </c>
      <c r="QV21" s="37">
        <v>359</v>
      </c>
      <c r="QW21" s="37">
        <v>269</v>
      </c>
      <c r="QX21" s="37">
        <v>362</v>
      </c>
      <c r="QY21" s="37">
        <v>269</v>
      </c>
      <c r="QZ21" s="3">
        <v>435</v>
      </c>
      <c r="RA21" s="17">
        <v>0.94712643678160924</v>
      </c>
      <c r="RB21" s="17">
        <v>0.91034482758620694</v>
      </c>
      <c r="RC21" s="17">
        <v>0.94712643678160924</v>
      </c>
      <c r="RD21" s="17">
        <v>0.94252873563218387</v>
      </c>
      <c r="RE21" s="17">
        <v>0.69655172413793098</v>
      </c>
      <c r="RF21" s="17">
        <v>0.90344827586206899</v>
      </c>
      <c r="RG21" s="17">
        <v>0.9264367816091954</v>
      </c>
      <c r="RH21" s="17">
        <v>0.92413793103448272</v>
      </c>
      <c r="RI21" s="17">
        <v>0.69885057471264367</v>
      </c>
      <c r="RJ21" s="17">
        <v>0.66896551724137931</v>
      </c>
      <c r="RK21" s="37">
        <v>412</v>
      </c>
      <c r="RL21" s="37">
        <v>396</v>
      </c>
      <c r="RM21" s="37">
        <v>412</v>
      </c>
      <c r="RN21" s="37">
        <v>410</v>
      </c>
      <c r="RO21" s="37">
        <v>303</v>
      </c>
      <c r="RP21" s="37">
        <v>393</v>
      </c>
      <c r="RQ21" s="37">
        <v>403</v>
      </c>
      <c r="RR21" s="37">
        <v>402</v>
      </c>
      <c r="RS21" s="37">
        <v>304</v>
      </c>
      <c r="RT21" s="38">
        <v>291</v>
      </c>
    </row>
    <row r="22" spans="1:488" s="3" customFormat="1" ht="12.75" x14ac:dyDescent="0.2">
      <c r="A22" s="9" t="s">
        <v>33</v>
      </c>
      <c r="B22" s="6">
        <v>1</v>
      </c>
      <c r="C22" s="9" t="s">
        <v>139</v>
      </c>
      <c r="D22" s="9" t="s">
        <v>140</v>
      </c>
      <c r="E22" s="9" t="s">
        <v>286</v>
      </c>
      <c r="F22" s="9" t="s">
        <v>286</v>
      </c>
      <c r="G22" s="9" t="s">
        <v>141</v>
      </c>
      <c r="H22" s="9" t="s">
        <v>73</v>
      </c>
      <c r="I22" s="9" t="s">
        <v>398</v>
      </c>
      <c r="J22" s="9" t="s">
        <v>268</v>
      </c>
      <c r="K22" s="9" t="s">
        <v>366</v>
      </c>
      <c r="L22" s="9" t="s">
        <v>271</v>
      </c>
      <c r="M22" s="9" t="s">
        <v>330</v>
      </c>
      <c r="N22" s="3" t="s">
        <v>400</v>
      </c>
      <c r="O22" s="9">
        <v>522547</v>
      </c>
      <c r="P22" s="9">
        <v>105509</v>
      </c>
      <c r="Q22" s="109">
        <v>21691</v>
      </c>
      <c r="R22" s="109">
        <v>80191</v>
      </c>
      <c r="S22" s="310" t="s">
        <v>797</v>
      </c>
      <c r="T22" s="36">
        <v>14160</v>
      </c>
      <c r="U22" s="37">
        <v>14375</v>
      </c>
      <c r="V22" s="37">
        <v>14435</v>
      </c>
      <c r="W22" s="37">
        <v>14450</v>
      </c>
      <c r="X22" s="37">
        <v>14610</v>
      </c>
      <c r="Y22" s="37">
        <v>14625</v>
      </c>
      <c r="Z22" s="37">
        <v>14590</v>
      </c>
      <c r="AA22" s="37">
        <v>14850</v>
      </c>
      <c r="AB22" s="37">
        <v>15185</v>
      </c>
      <c r="AC22" s="42">
        <v>15368</v>
      </c>
      <c r="AD22" s="42">
        <v>15447</v>
      </c>
      <c r="AE22" s="36">
        <v>775</v>
      </c>
      <c r="AF22" s="37">
        <v>805</v>
      </c>
      <c r="AG22" s="37">
        <v>800</v>
      </c>
      <c r="AH22" s="37">
        <v>830</v>
      </c>
      <c r="AI22" s="37">
        <v>815</v>
      </c>
      <c r="AJ22" s="37">
        <v>860</v>
      </c>
      <c r="AK22" s="37">
        <v>905</v>
      </c>
      <c r="AL22" s="37">
        <v>945</v>
      </c>
      <c r="AM22" s="37">
        <v>990</v>
      </c>
      <c r="AN22" s="42">
        <v>1022</v>
      </c>
      <c r="AO22" s="42">
        <v>1030</v>
      </c>
      <c r="AP22" s="13">
        <v>892</v>
      </c>
      <c r="AQ22" s="3">
        <v>802</v>
      </c>
      <c r="AR22" s="3">
        <v>19</v>
      </c>
      <c r="AS22" s="3">
        <v>42</v>
      </c>
      <c r="AT22" s="3">
        <v>25</v>
      </c>
      <c r="AU22" s="3">
        <v>0</v>
      </c>
      <c r="AV22" s="3">
        <v>4</v>
      </c>
      <c r="AW22" s="9">
        <v>90</v>
      </c>
      <c r="AX22" s="16">
        <v>0.89910313901345296</v>
      </c>
      <c r="AY22" s="17">
        <v>2.1300448430493273E-2</v>
      </c>
      <c r="AZ22" s="17">
        <v>4.708520179372197E-2</v>
      </c>
      <c r="BA22" s="17">
        <v>2.8026905829596414E-2</v>
      </c>
      <c r="BB22" s="17">
        <v>0</v>
      </c>
      <c r="BC22" s="17">
        <v>4.4843049327354259E-3</v>
      </c>
      <c r="BD22" s="18">
        <v>0.10089686098654704</v>
      </c>
      <c r="BE22" s="13">
        <v>2048</v>
      </c>
      <c r="BF22" s="3">
        <v>2022</v>
      </c>
      <c r="BG22" s="3">
        <v>26</v>
      </c>
      <c r="BH22" s="3">
        <v>22</v>
      </c>
      <c r="BI22" s="3">
        <v>4</v>
      </c>
      <c r="BJ22" s="17">
        <v>0.84615384615384615</v>
      </c>
      <c r="BK22" s="18">
        <v>0.15384615384615385</v>
      </c>
      <c r="BL22" s="13">
        <v>1659</v>
      </c>
      <c r="BM22" s="17">
        <v>0.59975889089813139</v>
      </c>
      <c r="BN22" s="17">
        <v>0.20253164556962025</v>
      </c>
      <c r="BO22" s="18">
        <v>0.19770946353224833</v>
      </c>
      <c r="BP22" s="36">
        <v>4255</v>
      </c>
      <c r="BQ22" s="37">
        <v>299</v>
      </c>
      <c r="BR22" s="37">
        <v>296</v>
      </c>
      <c r="BS22" s="37">
        <v>106</v>
      </c>
      <c r="BT22" s="37">
        <v>2930</v>
      </c>
      <c r="BU22" s="37">
        <v>1701</v>
      </c>
      <c r="BV22" s="18">
        <v>0.11169900058788948</v>
      </c>
      <c r="BW22" s="36">
        <v>897</v>
      </c>
      <c r="BX22" s="37">
        <v>3</v>
      </c>
      <c r="BY22" s="37">
        <v>278</v>
      </c>
      <c r="BZ22" s="37">
        <v>406</v>
      </c>
      <c r="CA22" s="37">
        <v>124</v>
      </c>
      <c r="CB22" s="38">
        <v>1708</v>
      </c>
      <c r="CC22" s="37">
        <v>706</v>
      </c>
      <c r="CD22" s="37">
        <v>573</v>
      </c>
      <c r="CE22" s="37">
        <v>132</v>
      </c>
      <c r="CF22" s="37">
        <v>133</v>
      </c>
      <c r="CG22" s="17">
        <v>0.18696883852691218</v>
      </c>
      <c r="CH22" s="93">
        <v>0.18838526912181303</v>
      </c>
      <c r="CI22" s="37">
        <v>130</v>
      </c>
      <c r="CJ22" s="37">
        <v>90</v>
      </c>
      <c r="CK22" s="37">
        <v>105</v>
      </c>
      <c r="CL22" s="37">
        <v>80</v>
      </c>
      <c r="CM22" s="42">
        <v>105</v>
      </c>
      <c r="CN22" s="42">
        <v>85</v>
      </c>
      <c r="CO22" s="36">
        <v>405</v>
      </c>
      <c r="CP22" s="37">
        <v>156</v>
      </c>
      <c r="CQ22" s="17">
        <v>0.38518518518518519</v>
      </c>
      <c r="CR22" s="38">
        <v>30</v>
      </c>
      <c r="CS22" s="37">
        <v>151</v>
      </c>
      <c r="CT22" s="37">
        <v>167</v>
      </c>
      <c r="CU22" s="37">
        <v>168</v>
      </c>
      <c r="CV22" s="37">
        <v>178</v>
      </c>
      <c r="CW22" s="37">
        <v>202</v>
      </c>
      <c r="CX22" s="526" t="s">
        <v>471</v>
      </c>
      <c r="CY22" s="568">
        <v>177</v>
      </c>
      <c r="CZ22" s="37">
        <v>8</v>
      </c>
      <c r="DA22" s="37">
        <v>5</v>
      </c>
      <c r="DB22" s="37">
        <v>7</v>
      </c>
      <c r="DC22" s="37">
        <v>4</v>
      </c>
      <c r="DD22" s="37">
        <v>6</v>
      </c>
      <c r="DE22" s="528" t="s">
        <v>471</v>
      </c>
      <c r="DF22" s="716">
        <v>6</v>
      </c>
      <c r="DG22" s="13">
        <v>9</v>
      </c>
      <c r="DH22" s="13">
        <v>16</v>
      </c>
      <c r="DI22" s="17">
        <v>7.9207920792079209E-2</v>
      </c>
      <c r="DJ22" s="17">
        <v>4.9341090217535556E-2</v>
      </c>
      <c r="DK22" s="18">
        <v>0.12478058102419014</v>
      </c>
      <c r="DL22" s="425" t="s">
        <v>286</v>
      </c>
      <c r="DM22" s="258" t="s">
        <v>286</v>
      </c>
      <c r="DN22" s="258" t="s">
        <v>286</v>
      </c>
      <c r="DO22" s="258" t="s">
        <v>286</v>
      </c>
      <c r="DP22" s="337">
        <v>14</v>
      </c>
      <c r="DQ22" s="393">
        <v>7.909604519774012E-2</v>
      </c>
      <c r="DR22" s="393">
        <v>4.7698204864886386E-2</v>
      </c>
      <c r="DS22" s="393">
        <v>0.12837568343671818</v>
      </c>
      <c r="DT22" s="13">
        <v>22</v>
      </c>
      <c r="DU22" s="18">
        <v>2.4663677130044841E-2</v>
      </c>
      <c r="DV22" s="328">
        <v>3</v>
      </c>
      <c r="DW22" s="333">
        <v>3</v>
      </c>
      <c r="DX22" s="337">
        <v>3.0000000000000009</v>
      </c>
      <c r="DY22" s="393">
        <v>0.17931921331316186</v>
      </c>
      <c r="DZ22" s="337">
        <v>3.0000000000000009</v>
      </c>
      <c r="EA22" s="93">
        <v>0.16313345794392525</v>
      </c>
      <c r="EB22" s="3">
        <v>345</v>
      </c>
      <c r="EC22" s="18">
        <v>5.3889409559512651E-2</v>
      </c>
      <c r="ED22" s="13">
        <v>165</v>
      </c>
      <c r="EE22" s="3">
        <v>165</v>
      </c>
      <c r="EF22" s="3">
        <v>155</v>
      </c>
      <c r="EG22" s="3">
        <v>155</v>
      </c>
      <c r="EH22" s="9">
        <v>115</v>
      </c>
      <c r="EI22" s="9">
        <v>120</v>
      </c>
      <c r="EJ22" s="13">
        <v>145</v>
      </c>
      <c r="EK22" s="17">
        <v>0.17901234567901234</v>
      </c>
      <c r="EL22" s="17">
        <v>0.15414559991681143</v>
      </c>
      <c r="EM22" s="17">
        <v>0.20690931518482067</v>
      </c>
      <c r="EN22" s="3">
        <v>145</v>
      </c>
      <c r="EO22" s="17">
        <v>0.18124999999999999</v>
      </c>
      <c r="EP22" s="17">
        <v>0.15609934500085099</v>
      </c>
      <c r="EQ22" s="17">
        <v>0.20944718858026748</v>
      </c>
      <c r="ER22" s="3">
        <v>165</v>
      </c>
      <c r="ES22" s="17">
        <v>0.2</v>
      </c>
      <c r="ET22" s="17">
        <v>0.17412339695141124</v>
      </c>
      <c r="EU22" s="17">
        <v>0.22865744281943703</v>
      </c>
      <c r="EV22" s="3">
        <v>150</v>
      </c>
      <c r="EW22" s="17">
        <v>0.17543859649122806</v>
      </c>
      <c r="EX22" s="17">
        <v>0.15141192884865326</v>
      </c>
      <c r="EY22" s="17">
        <v>0.20236868537310274</v>
      </c>
      <c r="EZ22" s="3">
        <v>145</v>
      </c>
      <c r="FA22" s="18">
        <v>0.16292134831460675</v>
      </c>
      <c r="FB22" s="18">
        <v>0.14011697451170044</v>
      </c>
      <c r="FC22" s="18">
        <v>0.18862304523226978</v>
      </c>
      <c r="FD22" s="337">
        <v>145</v>
      </c>
      <c r="FE22" s="18">
        <v>0.16022099447513813</v>
      </c>
      <c r="FF22" s="18">
        <v>0.13776626878938375</v>
      </c>
      <c r="FG22" s="393">
        <v>0.18554805184249037</v>
      </c>
      <c r="FH22" s="425" t="s">
        <v>286</v>
      </c>
      <c r="FI22" s="258" t="s">
        <v>286</v>
      </c>
      <c r="FJ22" s="258" t="s">
        <v>286</v>
      </c>
      <c r="FK22" s="258" t="s">
        <v>286</v>
      </c>
      <c r="FL22" s="36">
        <v>420</v>
      </c>
      <c r="FM22" s="18">
        <v>0.16438356164383561</v>
      </c>
      <c r="FN22" s="42">
        <v>420</v>
      </c>
      <c r="FO22" s="18">
        <v>0.16470588235294117</v>
      </c>
      <c r="FP22" s="42">
        <v>425</v>
      </c>
      <c r="FQ22" s="18">
        <v>0.16569200779727095</v>
      </c>
      <c r="FR22" s="42">
        <v>415</v>
      </c>
      <c r="FS22" s="18">
        <v>0.162109375</v>
      </c>
      <c r="FT22" s="42">
        <v>435</v>
      </c>
      <c r="FU22" s="18">
        <v>0.16322701688555347</v>
      </c>
      <c r="FV22" s="42">
        <v>415</v>
      </c>
      <c r="FW22" s="393">
        <v>0.14981949458483754</v>
      </c>
      <c r="FX22" s="114" t="s">
        <v>286</v>
      </c>
      <c r="FY22" s="259" t="s">
        <v>286</v>
      </c>
      <c r="FZ22" s="3">
        <v>181</v>
      </c>
      <c r="GA22" s="3">
        <v>5</v>
      </c>
      <c r="GB22" s="3">
        <v>176</v>
      </c>
      <c r="GC22" s="17">
        <v>0.97237569060773477</v>
      </c>
      <c r="GD22" s="3">
        <v>73</v>
      </c>
      <c r="GE22" s="3">
        <v>95</v>
      </c>
      <c r="GF22" s="17">
        <v>0.41477272727272729</v>
      </c>
      <c r="GG22" s="17">
        <v>0.53977272727272729</v>
      </c>
      <c r="GH22" s="17">
        <v>0.34456265326077334</v>
      </c>
      <c r="GI22" s="17">
        <v>0.48862388422554792</v>
      </c>
      <c r="GJ22" s="17">
        <v>0.4660727025222357</v>
      </c>
      <c r="GK22" s="93">
        <v>0.61177357998414772</v>
      </c>
      <c r="GL22" s="337">
        <v>154</v>
      </c>
      <c r="GM22" s="337">
        <v>66</v>
      </c>
      <c r="GN22" s="337">
        <v>34</v>
      </c>
      <c r="GO22" s="337">
        <v>100</v>
      </c>
      <c r="GP22" s="393">
        <v>0.42857142857142855</v>
      </c>
      <c r="GQ22" s="393">
        <v>0.64935064935064934</v>
      </c>
      <c r="GR22" s="393">
        <v>0.35308796768751771</v>
      </c>
      <c r="GS22" s="393">
        <v>0.50753166821567219</v>
      </c>
      <c r="GT22" s="393">
        <v>0.57118588919922308</v>
      </c>
      <c r="GU22" s="93">
        <v>0.72024578118501614</v>
      </c>
      <c r="GV22" s="42">
        <v>176</v>
      </c>
      <c r="GW22" s="42">
        <v>107</v>
      </c>
      <c r="GX22" s="42">
        <v>69</v>
      </c>
      <c r="GY22" s="393">
        <f t="shared" si="2"/>
        <v>0.39204545454545453</v>
      </c>
      <c r="GZ22" s="42">
        <v>28</v>
      </c>
      <c r="HA22" s="42">
        <v>12</v>
      </c>
      <c r="HB22" s="42">
        <v>40</v>
      </c>
      <c r="HC22" s="393">
        <v>0.40579710144927539</v>
      </c>
      <c r="HD22" s="393">
        <v>0.57971014492753625</v>
      </c>
      <c r="HE22" s="393">
        <v>0.29788908641297196</v>
      </c>
      <c r="HF22" s="393">
        <v>0.5236411216516319</v>
      </c>
      <c r="HG22" s="393">
        <v>0.46207405427966053</v>
      </c>
      <c r="HH22" s="93">
        <v>0.68893884658875149</v>
      </c>
      <c r="HI22" s="696">
        <v>288</v>
      </c>
      <c r="HJ22" s="696">
        <v>35</v>
      </c>
      <c r="HK22" s="696">
        <v>253</v>
      </c>
      <c r="HL22" s="697">
        <v>0.87847222222222221</v>
      </c>
      <c r="HM22" s="696">
        <v>112</v>
      </c>
      <c r="HN22" s="696">
        <v>47</v>
      </c>
      <c r="HO22" s="696">
        <v>159</v>
      </c>
      <c r="HP22" s="697">
        <v>0.44268774703557312</v>
      </c>
      <c r="HQ22" s="697">
        <v>0.62845849802371545</v>
      </c>
      <c r="HR22" s="697">
        <v>0.38279346734822417</v>
      </c>
      <c r="HS22" s="697">
        <v>0.50429641240422862</v>
      </c>
      <c r="HT22" s="697">
        <v>0.56741006038465602</v>
      </c>
      <c r="HU22" s="698">
        <v>0.68566434706674273</v>
      </c>
      <c r="HV22" s="3">
        <v>128</v>
      </c>
      <c r="HW22" s="3">
        <v>6</v>
      </c>
      <c r="HX22" s="17">
        <v>4.6875E-2</v>
      </c>
      <c r="HY22" s="17">
        <v>2.1657844171923776E-2</v>
      </c>
      <c r="HZ22" s="17">
        <v>9.8497522450943217E-2</v>
      </c>
      <c r="IA22" s="267" t="s">
        <v>707</v>
      </c>
      <c r="IB22" s="3">
        <v>156</v>
      </c>
      <c r="IC22" s="3">
        <v>9</v>
      </c>
      <c r="ID22" s="17">
        <v>5.7692307692307696E-2</v>
      </c>
      <c r="IE22" s="17">
        <v>3.0645742163795515E-2</v>
      </c>
      <c r="IF22" s="17">
        <v>0.10599877410776384</v>
      </c>
      <c r="IG22" s="3" t="s">
        <v>707</v>
      </c>
      <c r="IH22" s="3">
        <v>132</v>
      </c>
      <c r="II22" s="3">
        <v>9</v>
      </c>
      <c r="IJ22" s="17">
        <v>6.8181818181818177E-2</v>
      </c>
      <c r="IK22" s="17">
        <v>3.6282334854811568E-2</v>
      </c>
      <c r="IL22" s="17">
        <v>0.12450406283489571</v>
      </c>
      <c r="IM22" s="3" t="s">
        <v>707</v>
      </c>
      <c r="IN22" s="3">
        <v>165</v>
      </c>
      <c r="IO22" s="3">
        <v>17</v>
      </c>
      <c r="IP22" s="17">
        <v>0.10303030303030303</v>
      </c>
      <c r="IQ22" s="17">
        <v>6.5326799711821093E-2</v>
      </c>
      <c r="IR22" s="17">
        <v>0.15879741175262088</v>
      </c>
      <c r="IS22" s="3" t="s">
        <v>707</v>
      </c>
      <c r="IT22" s="3">
        <v>115</v>
      </c>
      <c r="IU22" s="3">
        <v>12</v>
      </c>
      <c r="IV22" s="17">
        <v>0.10434782608695652</v>
      </c>
      <c r="IW22" s="17">
        <v>6.0705034420564269E-2</v>
      </c>
      <c r="IX22" s="17">
        <v>0.17356892263932694</v>
      </c>
      <c r="IY22" s="9" t="s">
        <v>707</v>
      </c>
      <c r="IZ22" s="9">
        <v>168</v>
      </c>
      <c r="JA22" s="9">
        <v>4</v>
      </c>
      <c r="JB22" s="393">
        <v>2.3809523809523808E-2</v>
      </c>
      <c r="JC22" s="393">
        <v>9.2971194913950405E-3</v>
      </c>
      <c r="JD22" s="393">
        <v>5.9612088460860239E-2</v>
      </c>
      <c r="JE22" s="9" t="str">
        <f t="shared" si="0"/>
        <v>Sig better than Eng.</v>
      </c>
      <c r="JF22" s="9">
        <v>186</v>
      </c>
      <c r="JG22" s="109">
        <v>13</v>
      </c>
      <c r="JH22" s="258">
        <v>6.9892473118279563E-2</v>
      </c>
      <c r="JI22" s="258">
        <v>4.1297216253746924E-2</v>
      </c>
      <c r="JJ22" s="258">
        <v>0.11589425818008302</v>
      </c>
      <c r="JK22" s="662" t="str">
        <f t="shared" si="3"/>
        <v>No Sig diff</v>
      </c>
      <c r="JL22" s="3">
        <v>135</v>
      </c>
      <c r="JM22" s="3">
        <v>25</v>
      </c>
      <c r="JN22" s="17">
        <v>0.18518518518518517</v>
      </c>
      <c r="JO22" s="17">
        <v>0.12869783265528051</v>
      </c>
      <c r="JP22" s="17">
        <v>0.25909310009649444</v>
      </c>
      <c r="JQ22" s="3" t="s">
        <v>707</v>
      </c>
      <c r="JR22" s="3">
        <v>120</v>
      </c>
      <c r="JS22" s="3">
        <v>27</v>
      </c>
      <c r="JT22" s="17">
        <v>0.22500000000000001</v>
      </c>
      <c r="JU22" s="17">
        <v>0.15949154668383531</v>
      </c>
      <c r="JV22" s="17">
        <v>0.30756899484645162</v>
      </c>
      <c r="JW22" s="3" t="s">
        <v>707</v>
      </c>
      <c r="JX22" s="3">
        <v>121</v>
      </c>
      <c r="JY22" s="3">
        <v>18</v>
      </c>
      <c r="JZ22" s="17">
        <v>0.1487603305785124</v>
      </c>
      <c r="KA22" s="17">
        <v>9.6217408704644847E-2</v>
      </c>
      <c r="KB22" s="17">
        <v>0.22291903200226135</v>
      </c>
      <c r="KC22" s="3" t="s">
        <v>707</v>
      </c>
      <c r="KD22" s="3">
        <v>125</v>
      </c>
      <c r="KE22" s="3">
        <v>27</v>
      </c>
      <c r="KF22" s="17">
        <v>0.216</v>
      </c>
      <c r="KG22" s="17">
        <v>0.15290810140879452</v>
      </c>
      <c r="KH22" s="17">
        <v>0.2960270422175349</v>
      </c>
      <c r="KI22" s="3" t="s">
        <v>707</v>
      </c>
      <c r="KJ22" s="3">
        <v>117</v>
      </c>
      <c r="KK22" s="3">
        <v>22</v>
      </c>
      <c r="KL22" s="17">
        <v>0.18803418803418803</v>
      </c>
      <c r="KM22" s="17">
        <v>0.12758198294157502</v>
      </c>
      <c r="KN22" s="17">
        <v>0.2683207087967116</v>
      </c>
      <c r="KO22" s="465" t="s">
        <v>707</v>
      </c>
      <c r="KP22" s="465">
        <v>131</v>
      </c>
      <c r="KQ22" s="465">
        <v>23</v>
      </c>
      <c r="KR22" s="393">
        <v>0.17557251908396945</v>
      </c>
      <c r="KS22" s="393">
        <v>0.11993766480499095</v>
      </c>
      <c r="KT22" s="393">
        <v>0.24969241229889863</v>
      </c>
      <c r="KU22" s="465" t="s">
        <v>772</v>
      </c>
      <c r="KV22" s="465">
        <v>122</v>
      </c>
      <c r="KW22" s="465">
        <v>20</v>
      </c>
      <c r="KX22" s="393">
        <v>0.16393442622950818</v>
      </c>
      <c r="KY22" s="393">
        <v>0.10870155413703707</v>
      </c>
      <c r="KZ22" s="393">
        <v>0.23968489363262729</v>
      </c>
      <c r="LA22" s="660" t="str">
        <f t="shared" si="4"/>
        <v>No Sig diff</v>
      </c>
      <c r="LB22" s="3">
        <v>179</v>
      </c>
      <c r="LC22" s="3">
        <v>88</v>
      </c>
      <c r="LD22" s="17">
        <v>0.49162011173184356</v>
      </c>
      <c r="LE22" s="17">
        <v>0.41933238292420277</v>
      </c>
      <c r="LF22" s="17">
        <v>0.56425995975699406</v>
      </c>
      <c r="LG22" s="3">
        <v>179</v>
      </c>
      <c r="LH22" s="3">
        <v>34</v>
      </c>
      <c r="LI22" s="3">
        <v>35</v>
      </c>
      <c r="LJ22" s="293">
        <v>23.971428571428568</v>
      </c>
      <c r="LK22" s="17">
        <v>0.29495798319327743</v>
      </c>
      <c r="LL22" s="3">
        <v>172</v>
      </c>
      <c r="LM22" s="3">
        <v>106</v>
      </c>
      <c r="LN22" s="17">
        <v>0.61627906976744184</v>
      </c>
      <c r="LO22" s="17">
        <v>0.5418179440123243</v>
      </c>
      <c r="LP22" s="17">
        <v>0.6856596956084211</v>
      </c>
      <c r="LQ22" s="3">
        <v>172</v>
      </c>
      <c r="LR22" s="3">
        <v>34</v>
      </c>
      <c r="LS22" s="3">
        <v>34</v>
      </c>
      <c r="LT22" s="293">
        <v>26.941176470588232</v>
      </c>
      <c r="LU22" s="18">
        <v>0.20761245674740494</v>
      </c>
      <c r="LV22" s="42">
        <v>190</v>
      </c>
      <c r="LW22" s="42">
        <v>137</v>
      </c>
      <c r="LX22" s="18">
        <v>0.72105263157894739</v>
      </c>
      <c r="LY22" s="18">
        <v>0.65338523334178444</v>
      </c>
      <c r="LZ22" s="18">
        <v>0.77995859573918158</v>
      </c>
      <c r="MA22" s="337">
        <v>34</v>
      </c>
      <c r="MB22" s="337">
        <v>38</v>
      </c>
      <c r="MC22" s="294">
        <v>26.6</v>
      </c>
      <c r="MD22" s="393">
        <v>0.216</v>
      </c>
      <c r="ME22" s="337">
        <v>208</v>
      </c>
      <c r="MF22" s="337">
        <v>132</v>
      </c>
      <c r="MG22" s="393">
        <v>0.63461538461538458</v>
      </c>
      <c r="MH22" s="393">
        <v>0.5672839017036686</v>
      </c>
      <c r="MI22" s="393">
        <v>0.69706473105097677</v>
      </c>
      <c r="MJ22" s="337">
        <v>34</v>
      </c>
      <c r="MK22" s="337">
        <v>41</v>
      </c>
      <c r="ML22" s="294">
        <v>25.804878048780488</v>
      </c>
      <c r="MM22" s="93">
        <v>0.24103299856527977</v>
      </c>
      <c r="MN22" s="17">
        <v>0.92550505050505061</v>
      </c>
      <c r="MO22" s="17">
        <v>7.4494949494949489E-2</v>
      </c>
      <c r="MP22" s="17">
        <v>4.283011146065737E-2</v>
      </c>
      <c r="MQ22" s="17">
        <v>0.15590067811002259</v>
      </c>
      <c r="MR22" s="17">
        <v>0.9412878787878789</v>
      </c>
      <c r="MS22" s="17">
        <v>5.8712121212121209E-2</v>
      </c>
      <c r="MT22" s="17">
        <v>2.8956279687604513E-2</v>
      </c>
      <c r="MU22" s="17">
        <v>0.12971104936160943</v>
      </c>
      <c r="MV22" s="17">
        <v>0.93118686868686884</v>
      </c>
      <c r="MW22" s="17">
        <v>6.8813131313131312E-2</v>
      </c>
      <c r="MX22" s="17">
        <v>3.5767126237989492E-2</v>
      </c>
      <c r="MY22" s="17">
        <v>0.14293193307195745</v>
      </c>
      <c r="MZ22" s="17">
        <v>0.79608585858585845</v>
      </c>
      <c r="NA22" s="17">
        <v>0.20391414141414141</v>
      </c>
      <c r="NB22" s="17">
        <v>0.14776236248775229</v>
      </c>
      <c r="NC22" s="93">
        <v>0.31138092047245669</v>
      </c>
      <c r="ND22" s="337">
        <v>8</v>
      </c>
      <c r="NE22" s="337">
        <v>52</v>
      </c>
      <c r="NF22" s="393">
        <v>0.15384615384615385</v>
      </c>
      <c r="NG22" s="393">
        <v>8.0076850167803207E-2</v>
      </c>
      <c r="NH22" s="393">
        <v>0.27524085176410146</v>
      </c>
      <c r="NI22" s="337">
        <v>5</v>
      </c>
      <c r="NJ22" s="337">
        <v>52</v>
      </c>
      <c r="NK22" s="393">
        <v>9.6153846153846159E-2</v>
      </c>
      <c r="NL22" s="393">
        <v>4.1774351052572475E-2</v>
      </c>
      <c r="NM22" s="393">
        <v>0.20609630120131633</v>
      </c>
      <c r="NN22" s="337">
        <v>5</v>
      </c>
      <c r="NO22" s="337">
        <v>52</v>
      </c>
      <c r="NP22" s="393">
        <v>9.6153846153846159E-2</v>
      </c>
      <c r="NQ22" s="393">
        <v>4.1774351052572475E-2</v>
      </c>
      <c r="NR22" s="393">
        <v>0.20609630120131633</v>
      </c>
      <c r="NS22" s="337">
        <v>9</v>
      </c>
      <c r="NT22" s="337">
        <v>51</v>
      </c>
      <c r="NU22" s="393">
        <v>0.17647058823529413</v>
      </c>
      <c r="NV22" s="393">
        <v>9.5724034691263171E-2</v>
      </c>
      <c r="NW22" s="93">
        <v>0.3025414252430807</v>
      </c>
      <c r="NX22" s="3">
        <v>57</v>
      </c>
      <c r="NY22" s="3">
        <v>52</v>
      </c>
      <c r="NZ22" s="3">
        <v>53</v>
      </c>
      <c r="OA22" s="3">
        <v>55</v>
      </c>
      <c r="OB22" s="3">
        <v>53</v>
      </c>
      <c r="OC22" s="3">
        <v>42</v>
      </c>
      <c r="OD22" s="3">
        <v>40</v>
      </c>
      <c r="OE22" s="3">
        <v>41</v>
      </c>
      <c r="OF22" s="3">
        <v>40</v>
      </c>
      <c r="OG22" s="3">
        <v>41</v>
      </c>
      <c r="OH22" s="3">
        <v>41</v>
      </c>
      <c r="OI22" s="3">
        <v>40</v>
      </c>
      <c r="OJ22" s="3">
        <v>41</v>
      </c>
      <c r="OK22" s="3">
        <v>41</v>
      </c>
      <c r="OL22" s="3">
        <v>38</v>
      </c>
      <c r="OM22" s="3">
        <v>37</v>
      </c>
      <c r="ON22" s="3">
        <v>37</v>
      </c>
      <c r="OO22" s="3">
        <v>37</v>
      </c>
      <c r="OP22" s="3">
        <v>38</v>
      </c>
      <c r="OQ22" s="3">
        <v>36</v>
      </c>
      <c r="OR22" s="3">
        <v>37</v>
      </c>
      <c r="OS22" s="3">
        <v>36</v>
      </c>
      <c r="OT22" s="6">
        <v>38</v>
      </c>
      <c r="OU22" s="3">
        <v>286</v>
      </c>
      <c r="OV22" s="22">
        <v>0.94799999999999995</v>
      </c>
      <c r="OW22" s="22">
        <v>7.0000000000000001E-3</v>
      </c>
      <c r="OX22" s="22">
        <v>0.93400000000000005</v>
      </c>
      <c r="OY22" s="3">
        <v>271</v>
      </c>
      <c r="OZ22" s="3">
        <v>2</v>
      </c>
      <c r="PA22" s="3">
        <v>267</v>
      </c>
      <c r="PB22" s="3">
        <v>300</v>
      </c>
      <c r="PC22" s="22">
        <v>0.96699999999999997</v>
      </c>
      <c r="PD22" s="22">
        <v>0.92700000000000005</v>
      </c>
      <c r="PE22" s="22">
        <v>0.96699999999999997</v>
      </c>
      <c r="PF22" s="22">
        <v>0.94</v>
      </c>
      <c r="PG22" s="22">
        <v>0.94</v>
      </c>
      <c r="PH22" s="3">
        <v>290</v>
      </c>
      <c r="PI22" s="3">
        <v>278</v>
      </c>
      <c r="PJ22" s="3">
        <v>290</v>
      </c>
      <c r="PK22" s="3">
        <v>282</v>
      </c>
      <c r="PL22" s="3">
        <v>282</v>
      </c>
      <c r="PM22" s="3">
        <v>302</v>
      </c>
      <c r="PN22" s="22">
        <v>0.96699999999999997</v>
      </c>
      <c r="PO22" s="22">
        <v>0.92400000000000004</v>
      </c>
      <c r="PP22" s="22">
        <v>0.96699999999999997</v>
      </c>
      <c r="PQ22" s="22">
        <v>0.96699999999999997</v>
      </c>
      <c r="PR22" s="22">
        <v>0.97399999999999998</v>
      </c>
      <c r="PS22" s="22">
        <v>0.90700000000000003</v>
      </c>
      <c r="PT22" s="22">
        <v>0.95</v>
      </c>
      <c r="PU22" s="22">
        <v>0.94699999999999995</v>
      </c>
      <c r="PV22" s="22">
        <v>0.97</v>
      </c>
      <c r="PW22" s="22">
        <v>0.92400000000000004</v>
      </c>
      <c r="PX22" s="3">
        <v>292</v>
      </c>
      <c r="PY22" s="3">
        <v>279</v>
      </c>
      <c r="PZ22" s="3">
        <v>292</v>
      </c>
      <c r="QA22" s="3">
        <v>292</v>
      </c>
      <c r="QB22" s="3">
        <v>294</v>
      </c>
      <c r="QC22" s="3">
        <v>274</v>
      </c>
      <c r="QD22" s="3">
        <v>287</v>
      </c>
      <c r="QE22" s="3">
        <v>286</v>
      </c>
      <c r="QF22" s="3">
        <v>293</v>
      </c>
      <c r="QG22" s="6">
        <v>279</v>
      </c>
      <c r="QH22" s="37">
        <v>310</v>
      </c>
      <c r="QI22" s="17">
        <v>0.8612903225806452</v>
      </c>
      <c r="QJ22" s="17">
        <v>0.27419354838709675</v>
      </c>
      <c r="QK22" s="17">
        <v>0.87096774193548387</v>
      </c>
      <c r="QL22" s="37">
        <v>267</v>
      </c>
      <c r="QM22" s="37">
        <v>85</v>
      </c>
      <c r="QN22" s="37">
        <v>270</v>
      </c>
      <c r="QO22" s="37">
        <v>287</v>
      </c>
      <c r="QP22" s="17">
        <v>0.95470383275261328</v>
      </c>
      <c r="QQ22" s="17">
        <v>0.88153310104529614</v>
      </c>
      <c r="QR22" s="17">
        <v>0.74912891986062713</v>
      </c>
      <c r="QS22" s="17">
        <v>0.88153310104529614</v>
      </c>
      <c r="QT22" s="17">
        <v>0.68989547038327526</v>
      </c>
      <c r="QU22" s="37">
        <v>274</v>
      </c>
      <c r="QV22" s="37">
        <v>253</v>
      </c>
      <c r="QW22" s="37">
        <v>215</v>
      </c>
      <c r="QX22" s="37">
        <v>253</v>
      </c>
      <c r="QY22" s="37">
        <v>198</v>
      </c>
      <c r="QZ22" s="3">
        <v>312</v>
      </c>
      <c r="RA22" s="17">
        <v>0.97435897435897434</v>
      </c>
      <c r="RB22" s="17">
        <v>0.85576923076923073</v>
      </c>
      <c r="RC22" s="17">
        <v>0.97435897435897434</v>
      </c>
      <c r="RD22" s="17">
        <v>0.97435897435897434</v>
      </c>
      <c r="RE22" s="17">
        <v>0.6858974358974359</v>
      </c>
      <c r="RF22" s="17">
        <v>0.93269230769230771</v>
      </c>
      <c r="RG22" s="17">
        <v>0.93269230769230771</v>
      </c>
      <c r="RH22" s="17">
        <v>0.9358974358974359</v>
      </c>
      <c r="RI22" s="17">
        <v>0.6891025641025641</v>
      </c>
      <c r="RJ22" s="17">
        <v>0.63782051282051277</v>
      </c>
      <c r="RK22" s="37">
        <v>304</v>
      </c>
      <c r="RL22" s="37">
        <v>267</v>
      </c>
      <c r="RM22" s="37">
        <v>304</v>
      </c>
      <c r="RN22" s="37">
        <v>304</v>
      </c>
      <c r="RO22" s="37">
        <v>214</v>
      </c>
      <c r="RP22" s="37">
        <v>291</v>
      </c>
      <c r="RQ22" s="37">
        <v>291</v>
      </c>
      <c r="RR22" s="37">
        <v>292</v>
      </c>
      <c r="RS22" s="37">
        <v>215</v>
      </c>
      <c r="RT22" s="38">
        <v>199</v>
      </c>
    </row>
    <row r="23" spans="1:488" s="3" customFormat="1" ht="12.75" x14ac:dyDescent="0.2">
      <c r="A23" s="9" t="s">
        <v>36</v>
      </c>
      <c r="B23" s="6">
        <v>4</v>
      </c>
      <c r="C23" s="9" t="s">
        <v>148</v>
      </c>
      <c r="D23" s="9" t="s">
        <v>149</v>
      </c>
      <c r="E23" s="9" t="s">
        <v>286</v>
      </c>
      <c r="F23" s="9" t="s">
        <v>286</v>
      </c>
      <c r="G23" s="9" t="s">
        <v>150</v>
      </c>
      <c r="H23" s="9" t="s">
        <v>74</v>
      </c>
      <c r="I23" s="9" t="s">
        <v>398</v>
      </c>
      <c r="J23" s="9" t="s">
        <v>268</v>
      </c>
      <c r="K23" s="9" t="s">
        <v>371</v>
      </c>
      <c r="L23" s="9" t="s">
        <v>271</v>
      </c>
      <c r="M23" s="9" t="s">
        <v>333</v>
      </c>
      <c r="N23" s="3" t="s">
        <v>400</v>
      </c>
      <c r="O23" s="9">
        <v>518254</v>
      </c>
      <c r="P23" s="9">
        <v>104496</v>
      </c>
      <c r="Q23" s="109">
        <v>21735</v>
      </c>
      <c r="R23" s="109">
        <v>80191</v>
      </c>
      <c r="S23" s="310" t="s">
        <v>797</v>
      </c>
      <c r="T23" s="36">
        <v>13885</v>
      </c>
      <c r="U23" s="37">
        <v>14085</v>
      </c>
      <c r="V23" s="37">
        <v>14295</v>
      </c>
      <c r="W23" s="37">
        <v>14475</v>
      </c>
      <c r="X23" s="37">
        <v>14595</v>
      </c>
      <c r="Y23" s="37">
        <v>14705</v>
      </c>
      <c r="Z23" s="37">
        <v>14760</v>
      </c>
      <c r="AA23" s="37">
        <v>14890</v>
      </c>
      <c r="AB23" s="37">
        <v>15055</v>
      </c>
      <c r="AC23" s="42">
        <v>15231</v>
      </c>
      <c r="AD23" s="42">
        <v>15179</v>
      </c>
      <c r="AE23" s="36">
        <v>650</v>
      </c>
      <c r="AF23" s="37">
        <v>690</v>
      </c>
      <c r="AG23" s="37">
        <v>730</v>
      </c>
      <c r="AH23" s="37">
        <v>725</v>
      </c>
      <c r="AI23" s="37">
        <v>805</v>
      </c>
      <c r="AJ23" s="37">
        <v>850</v>
      </c>
      <c r="AK23" s="37">
        <v>875</v>
      </c>
      <c r="AL23" s="37">
        <v>910</v>
      </c>
      <c r="AM23" s="37">
        <v>955</v>
      </c>
      <c r="AN23" s="42">
        <v>952</v>
      </c>
      <c r="AO23" s="42">
        <v>922</v>
      </c>
      <c r="AP23" s="13">
        <v>854</v>
      </c>
      <c r="AQ23" s="3">
        <v>753</v>
      </c>
      <c r="AR23" s="3">
        <v>33</v>
      </c>
      <c r="AS23" s="3">
        <v>40</v>
      </c>
      <c r="AT23" s="3">
        <v>17</v>
      </c>
      <c r="AU23" s="3">
        <v>5</v>
      </c>
      <c r="AV23" s="3">
        <v>6</v>
      </c>
      <c r="AW23" s="9">
        <v>101</v>
      </c>
      <c r="AX23" s="16">
        <v>0.88173302107728335</v>
      </c>
      <c r="AY23" s="17">
        <v>3.864168618266979E-2</v>
      </c>
      <c r="AZ23" s="17">
        <v>4.6838407494145202E-2</v>
      </c>
      <c r="BA23" s="17">
        <v>1.9906323185011711E-2</v>
      </c>
      <c r="BB23" s="17">
        <v>5.8548009367681503E-3</v>
      </c>
      <c r="BC23" s="17">
        <v>7.0257611241217799E-3</v>
      </c>
      <c r="BD23" s="18">
        <v>0.11826697892271665</v>
      </c>
      <c r="BE23" s="13">
        <v>1894</v>
      </c>
      <c r="BF23" s="3">
        <v>1869</v>
      </c>
      <c r="BG23" s="3">
        <v>25</v>
      </c>
      <c r="BH23" s="3">
        <v>20</v>
      </c>
      <c r="BI23" s="3">
        <v>5</v>
      </c>
      <c r="BJ23" s="17">
        <v>0.8</v>
      </c>
      <c r="BK23" s="18">
        <v>0.2</v>
      </c>
      <c r="BL23" s="13">
        <v>1581</v>
      </c>
      <c r="BM23" s="17">
        <v>0.6198608475648324</v>
      </c>
      <c r="BN23" s="17">
        <v>0.12397216951296648</v>
      </c>
      <c r="BO23" s="18">
        <v>0.25616698292220114</v>
      </c>
      <c r="BP23" s="36">
        <v>4325</v>
      </c>
      <c r="BQ23" s="37">
        <v>316</v>
      </c>
      <c r="BR23" s="37">
        <v>254</v>
      </c>
      <c r="BS23" s="37">
        <v>103</v>
      </c>
      <c r="BT23" s="37">
        <v>2755</v>
      </c>
      <c r="BU23" s="37">
        <v>1619</v>
      </c>
      <c r="BV23" s="18">
        <v>0.11735639283508338</v>
      </c>
      <c r="BW23" s="36">
        <v>831</v>
      </c>
      <c r="BX23" s="37">
        <v>0</v>
      </c>
      <c r="BY23" s="37">
        <v>297</v>
      </c>
      <c r="BZ23" s="37">
        <v>388</v>
      </c>
      <c r="CA23" s="37">
        <v>117</v>
      </c>
      <c r="CB23" s="38">
        <v>1633</v>
      </c>
      <c r="CC23" s="37">
        <v>682</v>
      </c>
      <c r="CD23" s="37">
        <v>548</v>
      </c>
      <c r="CE23" s="37">
        <v>128</v>
      </c>
      <c r="CF23" s="37">
        <v>134</v>
      </c>
      <c r="CG23" s="17">
        <v>0.18768328445747801</v>
      </c>
      <c r="CH23" s="93">
        <v>0.19648093841642228</v>
      </c>
      <c r="CI23" s="37">
        <v>125</v>
      </c>
      <c r="CJ23" s="37">
        <v>140</v>
      </c>
      <c r="CK23" s="37">
        <v>130</v>
      </c>
      <c r="CL23" s="37">
        <v>115</v>
      </c>
      <c r="CM23" s="42">
        <v>110</v>
      </c>
      <c r="CN23" s="42">
        <v>95</v>
      </c>
      <c r="CO23" s="36">
        <v>388</v>
      </c>
      <c r="CP23" s="37">
        <v>152</v>
      </c>
      <c r="CQ23" s="17">
        <v>0.39175257731958762</v>
      </c>
      <c r="CR23" s="38">
        <v>44</v>
      </c>
      <c r="CS23" s="37">
        <v>180</v>
      </c>
      <c r="CT23" s="37">
        <v>171</v>
      </c>
      <c r="CU23" s="37">
        <v>184</v>
      </c>
      <c r="CV23" s="37">
        <v>195</v>
      </c>
      <c r="CW23" s="37">
        <v>199</v>
      </c>
      <c r="CX23" s="526" t="s">
        <v>471</v>
      </c>
      <c r="CY23" s="568">
        <v>175</v>
      </c>
      <c r="CZ23" s="37">
        <v>12</v>
      </c>
      <c r="DA23" s="37">
        <v>13</v>
      </c>
      <c r="DB23" s="37">
        <v>6</v>
      </c>
      <c r="DC23" s="37">
        <v>13</v>
      </c>
      <c r="DD23" s="37">
        <v>8</v>
      </c>
      <c r="DE23" s="528" t="s">
        <v>471</v>
      </c>
      <c r="DF23" s="716">
        <v>4</v>
      </c>
      <c r="DG23" s="13">
        <v>14</v>
      </c>
      <c r="DH23" s="13">
        <v>9</v>
      </c>
      <c r="DI23" s="17">
        <v>4.5226130653266333E-2</v>
      </c>
      <c r="DJ23" s="17">
        <v>2.3973316045364932E-2</v>
      </c>
      <c r="DK23" s="18">
        <v>8.3704172312679903E-2</v>
      </c>
      <c r="DL23" s="425" t="s">
        <v>286</v>
      </c>
      <c r="DM23" s="258" t="s">
        <v>286</v>
      </c>
      <c r="DN23" s="258" t="s">
        <v>286</v>
      </c>
      <c r="DO23" s="258" t="s">
        <v>286</v>
      </c>
      <c r="DP23" s="337">
        <v>7</v>
      </c>
      <c r="DQ23" s="393">
        <v>0.04</v>
      </c>
      <c r="DR23" s="393">
        <v>1.9508837291298556E-2</v>
      </c>
      <c r="DS23" s="393">
        <v>8.0252476099585329E-2</v>
      </c>
      <c r="DT23" s="13">
        <v>12</v>
      </c>
      <c r="DU23" s="18">
        <v>1.405152224824356E-2</v>
      </c>
      <c r="DV23" s="328">
        <v>3</v>
      </c>
      <c r="DW23" s="333">
        <v>4</v>
      </c>
      <c r="DX23" s="337">
        <v>4</v>
      </c>
      <c r="DY23" s="393">
        <v>0.16066348655680834</v>
      </c>
      <c r="DZ23" s="337">
        <v>3.0000000000000009</v>
      </c>
      <c r="EA23" s="93">
        <v>0.17672109654350415</v>
      </c>
      <c r="EB23" s="3">
        <v>296</v>
      </c>
      <c r="EC23" s="18">
        <v>4.3929949539922825E-2</v>
      </c>
      <c r="ED23" s="13">
        <v>190</v>
      </c>
      <c r="EE23" s="3">
        <v>180</v>
      </c>
      <c r="EF23" s="3">
        <v>200</v>
      </c>
      <c r="EG23" s="3">
        <v>175</v>
      </c>
      <c r="EH23" s="9">
        <v>155</v>
      </c>
      <c r="EI23" s="9">
        <v>150</v>
      </c>
      <c r="EJ23" s="13">
        <v>145</v>
      </c>
      <c r="EK23" s="17">
        <v>0.19078947368421054</v>
      </c>
      <c r="EL23" s="17">
        <v>0.16443647098737491</v>
      </c>
      <c r="EM23" s="17">
        <v>0.22025259691731858</v>
      </c>
      <c r="EN23" s="3">
        <v>185</v>
      </c>
      <c r="EO23" s="17">
        <v>0.22155688622754491</v>
      </c>
      <c r="EP23" s="17">
        <v>0.19469935242710709</v>
      </c>
      <c r="EQ23" s="17">
        <v>0.25096467012402945</v>
      </c>
      <c r="ER23" s="3">
        <v>165</v>
      </c>
      <c r="ES23" s="17">
        <v>0.19298245614035087</v>
      </c>
      <c r="ET23" s="17">
        <v>0.16792679855171319</v>
      </c>
      <c r="EU23" s="17">
        <v>0.22078459327967762</v>
      </c>
      <c r="EV23" s="3">
        <v>170</v>
      </c>
      <c r="EW23" s="17">
        <v>0.19209039548022599</v>
      </c>
      <c r="EX23" s="17">
        <v>0.16748874058273475</v>
      </c>
      <c r="EY23" s="17">
        <v>0.21935354204087229</v>
      </c>
      <c r="EZ23" s="3">
        <v>175</v>
      </c>
      <c r="FA23" s="18">
        <v>0.19662921348314608</v>
      </c>
      <c r="FB23" s="18">
        <v>0.17184488065784115</v>
      </c>
      <c r="FC23" s="18">
        <v>0.22402113711173205</v>
      </c>
      <c r="FD23" s="337">
        <v>165</v>
      </c>
      <c r="FE23" s="18">
        <v>0.1864406779661017</v>
      </c>
      <c r="FF23" s="18">
        <v>0.16215641130017225</v>
      </c>
      <c r="FG23" s="393">
        <v>0.21343527100460188</v>
      </c>
      <c r="FH23" s="425" t="s">
        <v>286</v>
      </c>
      <c r="FI23" s="258" t="s">
        <v>286</v>
      </c>
      <c r="FJ23" s="258" t="s">
        <v>286</v>
      </c>
      <c r="FK23" s="258" t="s">
        <v>286</v>
      </c>
      <c r="FL23" s="36">
        <v>370</v>
      </c>
      <c r="FM23" s="18">
        <v>0.16017316017316016</v>
      </c>
      <c r="FN23" s="42">
        <v>460</v>
      </c>
      <c r="FO23" s="18">
        <v>0.19246861924686193</v>
      </c>
      <c r="FP23" s="42">
        <v>375</v>
      </c>
      <c r="FQ23" s="18">
        <v>0.15560165975103735</v>
      </c>
      <c r="FR23" s="42">
        <v>405</v>
      </c>
      <c r="FS23" s="18">
        <v>0.16396761133603238</v>
      </c>
      <c r="FT23" s="42">
        <v>405</v>
      </c>
      <c r="FU23" s="18">
        <v>0.16396761133603238</v>
      </c>
      <c r="FV23" s="42">
        <v>385</v>
      </c>
      <c r="FW23" s="393">
        <v>0.15157480314960631</v>
      </c>
      <c r="FX23" s="114" t="s">
        <v>286</v>
      </c>
      <c r="FY23" s="259" t="s">
        <v>286</v>
      </c>
      <c r="FZ23" s="3">
        <v>188</v>
      </c>
      <c r="GA23" s="3">
        <v>14</v>
      </c>
      <c r="GB23" s="3">
        <v>174</v>
      </c>
      <c r="GC23" s="17">
        <v>0.92553191489361697</v>
      </c>
      <c r="GD23" s="3">
        <v>68</v>
      </c>
      <c r="GE23" s="3">
        <v>86</v>
      </c>
      <c r="GF23" s="17">
        <v>0.39080459770114945</v>
      </c>
      <c r="GG23" s="17">
        <v>0.4942528735632184</v>
      </c>
      <c r="GH23" s="17">
        <v>0.3214116321508444</v>
      </c>
      <c r="GI23" s="17">
        <v>0.46491507656072817</v>
      </c>
      <c r="GJ23" s="17">
        <v>0.42089495809986699</v>
      </c>
      <c r="GK23" s="93">
        <v>0.56785907920074208</v>
      </c>
      <c r="GL23" s="337">
        <v>140</v>
      </c>
      <c r="GM23" s="337">
        <v>52</v>
      </c>
      <c r="GN23" s="337">
        <v>17</v>
      </c>
      <c r="GO23" s="337">
        <v>69</v>
      </c>
      <c r="GP23" s="393">
        <v>0.37142857142857144</v>
      </c>
      <c r="GQ23" s="393">
        <v>0.49285714285714288</v>
      </c>
      <c r="GR23" s="393">
        <v>0.2958250811297044</v>
      </c>
      <c r="GS23" s="393">
        <v>0.45389937039385897</v>
      </c>
      <c r="GT23" s="393">
        <v>0.41134585788306199</v>
      </c>
      <c r="GU23" s="93">
        <v>0.57474994497935816</v>
      </c>
      <c r="GV23" s="42">
        <v>185</v>
      </c>
      <c r="GW23" s="42">
        <v>109</v>
      </c>
      <c r="GX23" s="42">
        <v>76</v>
      </c>
      <c r="GY23" s="393">
        <f t="shared" si="2"/>
        <v>0.41081081081081083</v>
      </c>
      <c r="GZ23" s="42">
        <v>29</v>
      </c>
      <c r="HA23" s="42">
        <v>11</v>
      </c>
      <c r="HB23" s="42">
        <v>40</v>
      </c>
      <c r="HC23" s="393">
        <v>0.38157894736842107</v>
      </c>
      <c r="HD23" s="393">
        <v>0.52631578947368418</v>
      </c>
      <c r="HE23" s="393">
        <v>0.28057076752897381</v>
      </c>
      <c r="HF23" s="393">
        <v>0.49398244998645341</v>
      </c>
      <c r="HG23" s="393">
        <v>0.41552028690262688</v>
      </c>
      <c r="HH23" s="93">
        <v>0.6345789980939448</v>
      </c>
      <c r="HI23" s="696">
        <v>113</v>
      </c>
      <c r="HJ23" s="696">
        <v>29</v>
      </c>
      <c r="HK23" s="696">
        <v>84</v>
      </c>
      <c r="HL23" s="697">
        <v>0.74336283185840712</v>
      </c>
      <c r="HM23" s="696">
        <v>24</v>
      </c>
      <c r="HN23" s="696">
        <v>11</v>
      </c>
      <c r="HO23" s="696">
        <v>35</v>
      </c>
      <c r="HP23" s="697">
        <v>0.2857142857142857</v>
      </c>
      <c r="HQ23" s="697">
        <v>0.41666666666666669</v>
      </c>
      <c r="HR23" s="697">
        <v>0.20015034121612776</v>
      </c>
      <c r="HS23" s="697">
        <v>0.3900203995330121</v>
      </c>
      <c r="HT23" s="697">
        <v>0.31714838460424716</v>
      </c>
      <c r="HU23" s="698">
        <v>0.5234735701315294</v>
      </c>
      <c r="HV23" s="3">
        <v>130</v>
      </c>
      <c r="HW23" s="3">
        <v>7</v>
      </c>
      <c r="HX23" s="17">
        <v>5.3846153846153849E-2</v>
      </c>
      <c r="HY23" s="17">
        <v>2.632495898818149E-2</v>
      </c>
      <c r="HZ23" s="17">
        <v>0.10697797253915731</v>
      </c>
      <c r="IA23" s="267" t="s">
        <v>707</v>
      </c>
      <c r="IB23" s="3">
        <v>154</v>
      </c>
      <c r="IC23" s="3">
        <v>11</v>
      </c>
      <c r="ID23" s="17">
        <v>7.1428571428571425E-2</v>
      </c>
      <c r="IE23" s="17">
        <v>4.0349744563473719E-2</v>
      </c>
      <c r="IF23" s="17">
        <v>0.12336807085566588</v>
      </c>
      <c r="IG23" s="3" t="s">
        <v>707</v>
      </c>
      <c r="IH23" s="3">
        <v>127</v>
      </c>
      <c r="II23" s="3">
        <v>12</v>
      </c>
      <c r="IJ23" s="17">
        <v>9.4488188976377951E-2</v>
      </c>
      <c r="IK23" s="17">
        <v>5.4879198646489942E-2</v>
      </c>
      <c r="IL23" s="17">
        <v>0.15790854517443623</v>
      </c>
      <c r="IM23" s="3" t="s">
        <v>707</v>
      </c>
      <c r="IN23" s="3">
        <v>158</v>
      </c>
      <c r="IO23" s="3">
        <v>10</v>
      </c>
      <c r="IP23" s="17">
        <v>6.3291139240506333E-2</v>
      </c>
      <c r="IQ23" s="17">
        <v>3.4738438192433274E-2</v>
      </c>
      <c r="IR23" s="17">
        <v>0.11257522911149487</v>
      </c>
      <c r="IS23" s="3" t="s">
        <v>707</v>
      </c>
      <c r="IT23" s="3">
        <v>92</v>
      </c>
      <c r="IU23" s="3">
        <v>7</v>
      </c>
      <c r="IV23" s="17">
        <v>7.6086956521739135E-2</v>
      </c>
      <c r="IW23" s="17">
        <v>3.7343559709615406E-2</v>
      </c>
      <c r="IX23" s="17">
        <v>0.14881240077167252</v>
      </c>
      <c r="IY23" s="9" t="s">
        <v>707</v>
      </c>
      <c r="IZ23" s="9">
        <v>153</v>
      </c>
      <c r="JA23" s="9">
        <v>11</v>
      </c>
      <c r="JB23" s="393">
        <v>7.1895424836601302E-2</v>
      </c>
      <c r="JC23" s="393">
        <v>4.0616608922109665E-2</v>
      </c>
      <c r="JD23" s="393">
        <v>0.12414504921980327</v>
      </c>
      <c r="JE23" s="9" t="str">
        <f t="shared" si="0"/>
        <v>No Sig diff</v>
      </c>
      <c r="JF23" s="9">
        <v>158</v>
      </c>
      <c r="JG23" s="109">
        <v>11</v>
      </c>
      <c r="JH23" s="258">
        <v>6.9620253164556958E-2</v>
      </c>
      <c r="JI23" s="258">
        <v>3.9316463407065287E-2</v>
      </c>
      <c r="JJ23" s="258">
        <v>0.12035497683448709</v>
      </c>
      <c r="JK23" s="662" t="str">
        <f t="shared" si="3"/>
        <v>No Sig diff</v>
      </c>
      <c r="JL23" s="3">
        <v>110</v>
      </c>
      <c r="JM23" s="3">
        <v>24</v>
      </c>
      <c r="JN23" s="17">
        <v>0.21818181818181817</v>
      </c>
      <c r="JO23" s="17">
        <v>0.15122956180325126</v>
      </c>
      <c r="JP23" s="17">
        <v>0.30415338354662314</v>
      </c>
      <c r="JQ23" s="3" t="s">
        <v>707</v>
      </c>
      <c r="JR23" s="3">
        <v>113</v>
      </c>
      <c r="JS23" s="3">
        <v>17</v>
      </c>
      <c r="JT23" s="17">
        <v>0.15044247787610621</v>
      </c>
      <c r="JU23" s="17">
        <v>9.6100867119634975E-2</v>
      </c>
      <c r="JV23" s="17">
        <v>0.22776926598753502</v>
      </c>
      <c r="JW23" s="3" t="s">
        <v>707</v>
      </c>
      <c r="JX23" s="3">
        <v>98</v>
      </c>
      <c r="JY23" s="3">
        <v>16</v>
      </c>
      <c r="JZ23" s="17">
        <v>0.16326530612244897</v>
      </c>
      <c r="KA23" s="17">
        <v>0.10306803521803502</v>
      </c>
      <c r="KB23" s="17">
        <v>0.24886583568023959</v>
      </c>
      <c r="KC23" s="3" t="s">
        <v>707</v>
      </c>
      <c r="KD23" s="3">
        <v>126</v>
      </c>
      <c r="KE23" s="3">
        <v>11</v>
      </c>
      <c r="KF23" s="17">
        <v>8.7301587301587297E-2</v>
      </c>
      <c r="KG23" s="17">
        <v>4.9446843632529658E-2</v>
      </c>
      <c r="KH23" s="17">
        <v>0.14957632705118967</v>
      </c>
      <c r="KI23" s="3" t="s">
        <v>708</v>
      </c>
      <c r="KJ23" s="3">
        <v>124</v>
      </c>
      <c r="KK23" s="3">
        <v>13</v>
      </c>
      <c r="KL23" s="17">
        <v>0.10483870967741936</v>
      </c>
      <c r="KM23" s="17">
        <v>6.2297852103246357E-2</v>
      </c>
      <c r="KN23" s="17">
        <v>0.17112766647245051</v>
      </c>
      <c r="KO23" s="465" t="s">
        <v>708</v>
      </c>
      <c r="KP23" s="465">
        <v>103</v>
      </c>
      <c r="KQ23" s="465">
        <v>13</v>
      </c>
      <c r="KR23" s="393">
        <v>0.12621359223300971</v>
      </c>
      <c r="KS23" s="393">
        <v>7.5264778879673852E-2</v>
      </c>
      <c r="KT23" s="393">
        <v>0.2040412054271796</v>
      </c>
      <c r="KU23" s="465" t="s">
        <v>772</v>
      </c>
      <c r="KV23" s="465">
        <v>139</v>
      </c>
      <c r="KW23" s="465">
        <v>29</v>
      </c>
      <c r="KX23" s="393">
        <v>0.20863309352517986</v>
      </c>
      <c r="KY23" s="393">
        <v>0.14937487730698981</v>
      </c>
      <c r="KZ23" s="393">
        <v>0.28356286591728236</v>
      </c>
      <c r="LA23" s="660" t="str">
        <f t="shared" si="4"/>
        <v>No Sig diff</v>
      </c>
      <c r="LB23" s="3">
        <v>171</v>
      </c>
      <c r="LC23" s="3">
        <v>83</v>
      </c>
      <c r="LD23" s="17">
        <v>0.4853801169590643</v>
      </c>
      <c r="LE23" s="17">
        <v>0.41161906981424612</v>
      </c>
      <c r="LF23" s="17">
        <v>0.55978359386904153</v>
      </c>
      <c r="LG23" s="3">
        <v>171</v>
      </c>
      <c r="LH23" s="3">
        <v>34</v>
      </c>
      <c r="LI23" s="3">
        <v>34</v>
      </c>
      <c r="LJ23" s="293">
        <v>22.558823529411764</v>
      </c>
      <c r="LK23" s="17">
        <v>0.33650519031141868</v>
      </c>
      <c r="LL23" s="3">
        <v>169</v>
      </c>
      <c r="LM23" s="3">
        <v>90</v>
      </c>
      <c r="LN23" s="17">
        <v>0.53254437869822491</v>
      </c>
      <c r="LO23" s="17">
        <v>0.45743480329711905</v>
      </c>
      <c r="LP23" s="17">
        <v>0.60620733485106337</v>
      </c>
      <c r="LQ23" s="3">
        <v>169</v>
      </c>
      <c r="LR23" s="3">
        <v>34</v>
      </c>
      <c r="LS23" s="3">
        <v>33</v>
      </c>
      <c r="LT23" s="293">
        <v>22.090909090909093</v>
      </c>
      <c r="LU23" s="18">
        <v>0.35026737967914429</v>
      </c>
      <c r="LV23" s="42">
        <v>167</v>
      </c>
      <c r="LW23" s="42">
        <v>119</v>
      </c>
      <c r="LX23" s="18">
        <v>0.71257485029940115</v>
      </c>
      <c r="LY23" s="18">
        <v>0.6397644897808028</v>
      </c>
      <c r="LZ23" s="18">
        <v>0.77582549926581224</v>
      </c>
      <c r="MA23" s="337">
        <v>34</v>
      </c>
      <c r="MB23" s="337">
        <v>33</v>
      </c>
      <c r="MC23" s="294">
        <v>23.5</v>
      </c>
      <c r="MD23" s="393">
        <v>0.308</v>
      </c>
      <c r="ME23" s="337">
        <v>170</v>
      </c>
      <c r="MF23" s="337">
        <v>125</v>
      </c>
      <c r="MG23" s="393">
        <v>0.73529411764705888</v>
      </c>
      <c r="MH23" s="393">
        <v>0.66430706125369754</v>
      </c>
      <c r="MI23" s="393">
        <v>0.79588235813281749</v>
      </c>
      <c r="MJ23" s="337">
        <v>34</v>
      </c>
      <c r="MK23" s="337">
        <v>34</v>
      </c>
      <c r="ML23" s="294">
        <v>25.794117647058822</v>
      </c>
      <c r="MM23" s="93">
        <v>0.24134948096885817</v>
      </c>
      <c r="MN23" s="17">
        <v>0.84947089947089938</v>
      </c>
      <c r="MO23" s="17">
        <v>0.15052910052910054</v>
      </c>
      <c r="MP23" s="17">
        <v>8.5202569718038565E-2</v>
      </c>
      <c r="MQ23" s="17">
        <v>0.21470101193978974</v>
      </c>
      <c r="MR23" s="17">
        <v>0.87645502645502649</v>
      </c>
      <c r="MS23" s="17">
        <v>0.12354497354497355</v>
      </c>
      <c r="MT23" s="17">
        <v>7.1039064247299846E-2</v>
      </c>
      <c r="MU23" s="17">
        <v>0.19341659749446916</v>
      </c>
      <c r="MV23" s="17">
        <v>0.8838624338624339</v>
      </c>
      <c r="MW23" s="17">
        <v>0.11613756613756615</v>
      </c>
      <c r="MX23" s="17">
        <v>7.1039064247299846E-2</v>
      </c>
      <c r="MY23" s="17">
        <v>0.19341659749446916</v>
      </c>
      <c r="MZ23" s="17">
        <v>0.71941659704817595</v>
      </c>
      <c r="NA23" s="17">
        <v>0.28058340295182405</v>
      </c>
      <c r="NB23" s="17">
        <v>0.16829549205620981</v>
      </c>
      <c r="NC23" s="93">
        <v>0.3265716491399448</v>
      </c>
      <c r="ND23" s="337">
        <v>2</v>
      </c>
      <c r="NE23" s="337">
        <v>43</v>
      </c>
      <c r="NF23" s="393">
        <v>4.6511627906976744E-2</v>
      </c>
      <c r="NG23" s="393">
        <v>1.2849260094380229E-2</v>
      </c>
      <c r="NH23" s="393">
        <v>0.15455498004063964</v>
      </c>
      <c r="NI23" s="337">
        <v>1</v>
      </c>
      <c r="NJ23" s="337">
        <v>44</v>
      </c>
      <c r="NK23" s="393">
        <v>2.2727272727272728E-2</v>
      </c>
      <c r="NL23" s="393">
        <v>4.0232520600532251E-3</v>
      </c>
      <c r="NM23" s="393">
        <v>0.11807709698213284</v>
      </c>
      <c r="NN23" s="337">
        <v>2</v>
      </c>
      <c r="NO23" s="337">
        <v>43</v>
      </c>
      <c r="NP23" s="393">
        <v>4.6511627906976744E-2</v>
      </c>
      <c r="NQ23" s="393">
        <v>1.2849260094380229E-2</v>
      </c>
      <c r="NR23" s="393">
        <v>0.15455498004063964</v>
      </c>
      <c r="NS23" s="337">
        <v>4</v>
      </c>
      <c r="NT23" s="337">
        <v>43</v>
      </c>
      <c r="NU23" s="393">
        <v>9.3023255813953487E-2</v>
      </c>
      <c r="NV23" s="393">
        <v>3.6771640631712767E-2</v>
      </c>
      <c r="NW23" s="93">
        <v>0.21602703641253584</v>
      </c>
      <c r="NX23" s="3">
        <v>53</v>
      </c>
      <c r="NY23" s="3">
        <v>51</v>
      </c>
      <c r="NZ23" s="3">
        <v>51</v>
      </c>
      <c r="OA23" s="3">
        <v>52</v>
      </c>
      <c r="OB23" s="3">
        <v>51</v>
      </c>
      <c r="OC23" s="3">
        <v>58</v>
      </c>
      <c r="OD23" s="3">
        <v>54</v>
      </c>
      <c r="OE23" s="3">
        <v>56</v>
      </c>
      <c r="OF23" s="3">
        <v>52</v>
      </c>
      <c r="OG23" s="3">
        <v>55</v>
      </c>
      <c r="OH23" s="3">
        <v>57</v>
      </c>
      <c r="OI23" s="3">
        <v>55</v>
      </c>
      <c r="OJ23" s="3">
        <v>56</v>
      </c>
      <c r="OK23" s="3">
        <v>37</v>
      </c>
      <c r="OL23" s="3">
        <v>34</v>
      </c>
      <c r="OM23" s="3">
        <v>33</v>
      </c>
      <c r="ON23" s="3">
        <v>33</v>
      </c>
      <c r="OO23" s="3">
        <v>33</v>
      </c>
      <c r="OP23" s="3">
        <v>33</v>
      </c>
      <c r="OQ23" s="3">
        <v>33</v>
      </c>
      <c r="OR23" s="3">
        <v>35</v>
      </c>
      <c r="OS23" s="3">
        <v>34</v>
      </c>
      <c r="OT23" s="6">
        <v>34</v>
      </c>
      <c r="OU23" s="3">
        <v>134</v>
      </c>
      <c r="OV23" s="22">
        <v>0.97</v>
      </c>
      <c r="OW23" s="22">
        <v>0</v>
      </c>
      <c r="OX23" s="22">
        <v>0.97</v>
      </c>
      <c r="OY23" s="3">
        <v>130</v>
      </c>
      <c r="OZ23" s="3">
        <v>0</v>
      </c>
      <c r="PA23" s="3">
        <v>130</v>
      </c>
      <c r="PB23" s="3">
        <v>158</v>
      </c>
      <c r="PC23" s="22">
        <v>0.98699999999999999</v>
      </c>
      <c r="PD23" s="22">
        <v>0.98099999999999998</v>
      </c>
      <c r="PE23" s="22">
        <v>0.99399999999999999</v>
      </c>
      <c r="PF23" s="22">
        <v>0.98699999999999999</v>
      </c>
      <c r="PG23" s="22">
        <v>0.97499999999999998</v>
      </c>
      <c r="PH23" s="3">
        <v>156</v>
      </c>
      <c r="PI23" s="3">
        <v>155</v>
      </c>
      <c r="PJ23" s="3">
        <v>157</v>
      </c>
      <c r="PK23" s="3">
        <v>156</v>
      </c>
      <c r="PL23" s="3">
        <v>154</v>
      </c>
      <c r="PM23" s="3">
        <v>143</v>
      </c>
      <c r="PN23" s="22">
        <v>0.95799999999999996</v>
      </c>
      <c r="PO23" s="22">
        <v>0.93</v>
      </c>
      <c r="PP23" s="22">
        <v>0.95799999999999996</v>
      </c>
      <c r="PQ23" s="22">
        <v>0.95799999999999996</v>
      </c>
      <c r="PR23" s="22">
        <v>0.96499999999999997</v>
      </c>
      <c r="PS23" s="22">
        <v>0.85299999999999998</v>
      </c>
      <c r="PT23" s="22">
        <v>0.95099999999999996</v>
      </c>
      <c r="PU23" s="22">
        <v>0.93</v>
      </c>
      <c r="PV23" s="22">
        <v>0.97199999999999998</v>
      </c>
      <c r="PW23" s="22">
        <v>0.91600000000000004</v>
      </c>
      <c r="PX23" s="3">
        <v>137</v>
      </c>
      <c r="PY23" s="3">
        <v>133</v>
      </c>
      <c r="PZ23" s="3">
        <v>137</v>
      </c>
      <c r="QA23" s="3">
        <v>137</v>
      </c>
      <c r="QB23" s="3">
        <v>138</v>
      </c>
      <c r="QC23" s="3">
        <v>122</v>
      </c>
      <c r="QD23" s="3">
        <v>136</v>
      </c>
      <c r="QE23" s="3">
        <v>133</v>
      </c>
      <c r="QF23" s="3">
        <v>139</v>
      </c>
      <c r="QG23" s="6">
        <v>131</v>
      </c>
      <c r="QH23" s="37">
        <v>119</v>
      </c>
      <c r="QI23" s="17">
        <v>0.97478991596638653</v>
      </c>
      <c r="QJ23" s="17">
        <v>0.20168067226890757</v>
      </c>
      <c r="QK23" s="17">
        <v>0.97478991596638653</v>
      </c>
      <c r="QL23" s="37">
        <v>116</v>
      </c>
      <c r="QM23" s="37">
        <v>24</v>
      </c>
      <c r="QN23" s="37">
        <v>116</v>
      </c>
      <c r="QO23" s="37">
        <v>136</v>
      </c>
      <c r="QP23" s="17">
        <v>0.94117647058823528</v>
      </c>
      <c r="QQ23" s="17">
        <v>0.875</v>
      </c>
      <c r="QR23" s="17">
        <v>0.71323529411764708</v>
      </c>
      <c r="QS23" s="17">
        <v>0.88235294117647056</v>
      </c>
      <c r="QT23" s="17">
        <v>0.68382352941176472</v>
      </c>
      <c r="QU23" s="37">
        <v>128</v>
      </c>
      <c r="QV23" s="37">
        <v>119</v>
      </c>
      <c r="QW23" s="37">
        <v>97</v>
      </c>
      <c r="QX23" s="37">
        <v>120</v>
      </c>
      <c r="QY23" s="37">
        <v>93</v>
      </c>
      <c r="QZ23" s="3">
        <v>140</v>
      </c>
      <c r="RA23" s="17">
        <v>0.9642857142857143</v>
      </c>
      <c r="RB23" s="17">
        <v>0.93571428571428572</v>
      </c>
      <c r="RC23" s="17">
        <v>0.9642857142857143</v>
      </c>
      <c r="RD23" s="17">
        <v>0.9642857142857143</v>
      </c>
      <c r="RE23" s="17">
        <v>0.79285714285714282</v>
      </c>
      <c r="RF23" s="17">
        <v>0.95</v>
      </c>
      <c r="RG23" s="17">
        <v>0.9642857142857143</v>
      </c>
      <c r="RH23" s="17">
        <v>0.9285714285714286</v>
      </c>
      <c r="RI23" s="17">
        <v>0.79285714285714282</v>
      </c>
      <c r="RJ23" s="17">
        <v>0.76428571428571423</v>
      </c>
      <c r="RK23" s="37">
        <v>135</v>
      </c>
      <c r="RL23" s="37">
        <v>131</v>
      </c>
      <c r="RM23" s="37">
        <v>135</v>
      </c>
      <c r="RN23" s="37">
        <v>135</v>
      </c>
      <c r="RO23" s="37">
        <v>111</v>
      </c>
      <c r="RP23" s="37">
        <v>133</v>
      </c>
      <c r="RQ23" s="37">
        <v>135</v>
      </c>
      <c r="RR23" s="37">
        <v>130</v>
      </c>
      <c r="RS23" s="37">
        <v>111</v>
      </c>
      <c r="RT23" s="38">
        <v>107</v>
      </c>
    </row>
    <row r="24" spans="1:488" s="3" customFormat="1" ht="12.75" x14ac:dyDescent="0.2">
      <c r="A24" s="9" t="s">
        <v>50</v>
      </c>
      <c r="B24" s="6">
        <v>19</v>
      </c>
      <c r="C24" s="9" t="s">
        <v>193</v>
      </c>
      <c r="D24" s="9" t="s">
        <v>194</v>
      </c>
      <c r="E24" s="9" t="s">
        <v>286</v>
      </c>
      <c r="F24" s="9" t="s">
        <v>286</v>
      </c>
      <c r="G24" s="9" t="s">
        <v>195</v>
      </c>
      <c r="H24" s="9" t="s">
        <v>79</v>
      </c>
      <c r="I24" s="9" t="s">
        <v>79</v>
      </c>
      <c r="J24" s="9" t="s">
        <v>269</v>
      </c>
      <c r="K24" s="9" t="s">
        <v>376</v>
      </c>
      <c r="L24" s="9" t="s">
        <v>272</v>
      </c>
      <c r="M24" s="9" t="s">
        <v>343</v>
      </c>
      <c r="N24" s="3" t="s">
        <v>79</v>
      </c>
      <c r="O24" s="9">
        <v>526058</v>
      </c>
      <c r="P24" s="9">
        <v>137916</v>
      </c>
      <c r="Q24" s="109">
        <v>21738</v>
      </c>
      <c r="R24" s="109">
        <v>80266</v>
      </c>
      <c r="S24" s="310" t="s">
        <v>797</v>
      </c>
      <c r="T24" s="36">
        <v>15845</v>
      </c>
      <c r="U24" s="37">
        <v>16080</v>
      </c>
      <c r="V24" s="37">
        <v>16165</v>
      </c>
      <c r="W24" s="37">
        <v>16350</v>
      </c>
      <c r="X24" s="37">
        <v>16480</v>
      </c>
      <c r="Y24" s="37">
        <v>16875</v>
      </c>
      <c r="Z24" s="37">
        <v>17185</v>
      </c>
      <c r="AA24" s="37">
        <v>17290</v>
      </c>
      <c r="AB24" s="37">
        <v>17405</v>
      </c>
      <c r="AC24" s="42">
        <v>17412</v>
      </c>
      <c r="AD24" s="42">
        <v>17615</v>
      </c>
      <c r="AE24" s="36">
        <v>940</v>
      </c>
      <c r="AF24" s="37">
        <v>970</v>
      </c>
      <c r="AG24" s="37">
        <v>1025</v>
      </c>
      <c r="AH24" s="37">
        <v>1100</v>
      </c>
      <c r="AI24" s="37">
        <v>1170</v>
      </c>
      <c r="AJ24" s="37">
        <v>1285</v>
      </c>
      <c r="AK24" s="37">
        <v>1305</v>
      </c>
      <c r="AL24" s="37">
        <v>1330</v>
      </c>
      <c r="AM24" s="37">
        <v>1310</v>
      </c>
      <c r="AN24" s="42">
        <v>1314</v>
      </c>
      <c r="AO24" s="42">
        <v>1332</v>
      </c>
      <c r="AP24" s="13">
        <v>1307</v>
      </c>
      <c r="AQ24" s="3">
        <v>754</v>
      </c>
      <c r="AR24" s="3">
        <v>78</v>
      </c>
      <c r="AS24" s="3">
        <v>93</v>
      </c>
      <c r="AT24" s="3">
        <v>320</v>
      </c>
      <c r="AU24" s="3">
        <v>50</v>
      </c>
      <c r="AV24" s="3">
        <v>12</v>
      </c>
      <c r="AW24" s="9">
        <v>553</v>
      </c>
      <c r="AX24" s="16">
        <v>0.57689364957918898</v>
      </c>
      <c r="AY24" s="17">
        <v>5.9678653404743688E-2</v>
      </c>
      <c r="AZ24" s="17">
        <v>7.1155317521040554E-2</v>
      </c>
      <c r="BA24" s="17">
        <v>0.24483550114766642</v>
      </c>
      <c r="BB24" s="17">
        <v>3.8255547054322873E-2</v>
      </c>
      <c r="BC24" s="17">
        <v>9.181331293037491E-3</v>
      </c>
      <c r="BD24" s="18">
        <v>0.42310635042081102</v>
      </c>
      <c r="BE24" s="13">
        <v>2759</v>
      </c>
      <c r="BF24" s="3">
        <v>2480</v>
      </c>
      <c r="BG24" s="3">
        <v>279</v>
      </c>
      <c r="BH24" s="3">
        <v>236</v>
      </c>
      <c r="BI24" s="3">
        <v>43</v>
      </c>
      <c r="BJ24" s="17">
        <v>0.84587813620071683</v>
      </c>
      <c r="BK24" s="18">
        <v>0.15412186379928317</v>
      </c>
      <c r="BL24" s="13">
        <v>2404</v>
      </c>
      <c r="BM24" s="17">
        <v>0.44675540765391014</v>
      </c>
      <c r="BN24" s="17">
        <v>0.38019966722129783</v>
      </c>
      <c r="BO24" s="18">
        <v>0.17304492512479203</v>
      </c>
      <c r="BP24" s="36">
        <v>4693</v>
      </c>
      <c r="BQ24" s="37">
        <v>379</v>
      </c>
      <c r="BR24" s="37">
        <v>343</v>
      </c>
      <c r="BS24" s="37">
        <v>285</v>
      </c>
      <c r="BT24" s="37">
        <v>3986</v>
      </c>
      <c r="BU24" s="37">
        <v>2149</v>
      </c>
      <c r="BV24" s="18">
        <v>0.20055839925546767</v>
      </c>
      <c r="BW24" s="36">
        <v>1032</v>
      </c>
      <c r="BX24" s="37">
        <v>1</v>
      </c>
      <c r="BY24" s="37">
        <v>293</v>
      </c>
      <c r="BZ24" s="37">
        <v>530</v>
      </c>
      <c r="CA24" s="37">
        <v>299</v>
      </c>
      <c r="CB24" s="38">
        <v>2155</v>
      </c>
      <c r="CC24" s="37">
        <v>1008</v>
      </c>
      <c r="CD24" s="37">
        <v>794</v>
      </c>
      <c r="CE24" s="37">
        <v>213</v>
      </c>
      <c r="CF24" s="37">
        <v>214</v>
      </c>
      <c r="CG24" s="17">
        <v>0.21130952380952381</v>
      </c>
      <c r="CH24" s="93">
        <v>0.2123015873015873</v>
      </c>
      <c r="CI24" s="37">
        <v>200</v>
      </c>
      <c r="CJ24" s="37">
        <v>170</v>
      </c>
      <c r="CK24" s="37">
        <v>170</v>
      </c>
      <c r="CL24" s="37">
        <v>160</v>
      </c>
      <c r="CM24" s="42">
        <v>135</v>
      </c>
      <c r="CN24" s="42">
        <v>140</v>
      </c>
      <c r="CO24" s="36">
        <v>523</v>
      </c>
      <c r="CP24" s="37">
        <v>219</v>
      </c>
      <c r="CQ24" s="17">
        <v>0.41873804971319312</v>
      </c>
      <c r="CR24" s="38">
        <v>47</v>
      </c>
      <c r="CS24" s="37">
        <v>276</v>
      </c>
      <c r="CT24" s="37">
        <v>290</v>
      </c>
      <c r="CU24" s="37">
        <v>295</v>
      </c>
      <c r="CV24" s="37">
        <v>260</v>
      </c>
      <c r="CW24" s="37">
        <v>242</v>
      </c>
      <c r="CX24" s="526" t="s">
        <v>471</v>
      </c>
      <c r="CY24" s="568">
        <v>210</v>
      </c>
      <c r="CZ24" s="37">
        <v>16</v>
      </c>
      <c r="DA24" s="37">
        <v>7</v>
      </c>
      <c r="DB24" s="37">
        <v>11</v>
      </c>
      <c r="DC24" s="37">
        <v>12</v>
      </c>
      <c r="DD24" s="37">
        <v>8</v>
      </c>
      <c r="DE24" s="528" t="s">
        <v>471</v>
      </c>
      <c r="DF24" s="716">
        <v>3</v>
      </c>
      <c r="DG24" s="13">
        <v>25</v>
      </c>
      <c r="DH24" s="13">
        <v>20</v>
      </c>
      <c r="DI24" s="17">
        <v>8.2644628099173556E-2</v>
      </c>
      <c r="DJ24" s="17">
        <v>5.4134868300491863E-2</v>
      </c>
      <c r="DK24" s="18">
        <v>0.12419737488990565</v>
      </c>
      <c r="DL24" s="425" t="s">
        <v>286</v>
      </c>
      <c r="DM24" s="258" t="s">
        <v>286</v>
      </c>
      <c r="DN24" s="258" t="s">
        <v>286</v>
      </c>
      <c r="DO24" s="258" t="s">
        <v>286</v>
      </c>
      <c r="DP24" s="337">
        <v>17</v>
      </c>
      <c r="DQ24" s="393">
        <v>8.0952380952380956E-2</v>
      </c>
      <c r="DR24" s="393">
        <v>5.1154890725747845E-2</v>
      </c>
      <c r="DS24" s="393">
        <v>0.12580545657727046</v>
      </c>
      <c r="DT24" s="13">
        <v>26</v>
      </c>
      <c r="DU24" s="18">
        <v>1.9892884468247895E-2</v>
      </c>
      <c r="DV24" s="328">
        <v>3</v>
      </c>
      <c r="DW24" s="333">
        <v>2</v>
      </c>
      <c r="DX24" s="337">
        <v>1</v>
      </c>
      <c r="DY24" s="393">
        <v>0.22871565495207663</v>
      </c>
      <c r="DZ24" s="337">
        <v>1</v>
      </c>
      <c r="EA24" s="93">
        <v>0.2194517891286534</v>
      </c>
      <c r="EB24" s="3">
        <v>382</v>
      </c>
      <c r="EC24" s="18">
        <v>5.8276125095347062E-2</v>
      </c>
      <c r="ED24" s="13">
        <v>280</v>
      </c>
      <c r="EE24" s="3">
        <v>300</v>
      </c>
      <c r="EF24" s="3">
        <v>300</v>
      </c>
      <c r="EG24" s="3">
        <v>280</v>
      </c>
      <c r="EH24" s="9">
        <v>215</v>
      </c>
      <c r="EI24" s="9">
        <v>225</v>
      </c>
      <c r="EJ24" s="13">
        <v>235</v>
      </c>
      <c r="EK24" s="17">
        <v>0.21266968325791855</v>
      </c>
      <c r="EL24" s="17">
        <v>0.18955965720252332</v>
      </c>
      <c r="EM24" s="17">
        <v>0.23777055763688862</v>
      </c>
      <c r="EN24" s="3">
        <v>260</v>
      </c>
      <c r="EO24" s="17">
        <v>0.22222222222222221</v>
      </c>
      <c r="EP24" s="17">
        <v>0.19933099451806957</v>
      </c>
      <c r="EQ24" s="17">
        <v>0.24693153513135532</v>
      </c>
      <c r="ER24" s="3">
        <v>300</v>
      </c>
      <c r="ES24" s="17">
        <v>0.23715415019762845</v>
      </c>
      <c r="ET24" s="17">
        <v>0.21453304165128737</v>
      </c>
      <c r="EU24" s="17">
        <v>0.26136680747716534</v>
      </c>
      <c r="EV24" s="3">
        <v>290</v>
      </c>
      <c r="EW24" s="17">
        <v>0.2265625</v>
      </c>
      <c r="EX24" s="17">
        <v>0.20446797898673269</v>
      </c>
      <c r="EY24" s="17">
        <v>0.25029335841157574</v>
      </c>
      <c r="EZ24" s="3">
        <v>270</v>
      </c>
      <c r="FA24" s="18">
        <v>0.20224719101123595</v>
      </c>
      <c r="FB24" s="18">
        <v>0.18156868988508593</v>
      </c>
      <c r="FC24" s="18">
        <v>0.22463434127868745</v>
      </c>
      <c r="FD24" s="337">
        <v>270</v>
      </c>
      <c r="FE24" s="18">
        <v>0.20849420849420849</v>
      </c>
      <c r="FF24" s="18">
        <v>0.18724709131404418</v>
      </c>
      <c r="FG24" s="393">
        <v>0.23146564312121518</v>
      </c>
      <c r="FH24" s="425" t="s">
        <v>286</v>
      </c>
      <c r="FI24" s="258" t="s">
        <v>286</v>
      </c>
      <c r="FJ24" s="258" t="s">
        <v>286</v>
      </c>
      <c r="FK24" s="258" t="s">
        <v>286</v>
      </c>
      <c r="FL24" s="36">
        <v>705</v>
      </c>
      <c r="FM24" s="18">
        <v>0.22065727699530516</v>
      </c>
      <c r="FN24" s="42">
        <v>750</v>
      </c>
      <c r="FO24" s="18">
        <v>0.22321428571428573</v>
      </c>
      <c r="FP24" s="42">
        <v>810</v>
      </c>
      <c r="FQ24" s="18">
        <v>0.23011363636363635</v>
      </c>
      <c r="FR24" s="42">
        <v>780</v>
      </c>
      <c r="FS24" s="18">
        <v>0.21606648199445982</v>
      </c>
      <c r="FT24" s="42">
        <v>735</v>
      </c>
      <c r="FU24" s="18">
        <v>0.19573901464713714</v>
      </c>
      <c r="FV24" s="42">
        <v>720</v>
      </c>
      <c r="FW24" s="393">
        <v>0.19098143236074269</v>
      </c>
      <c r="FX24" s="114" t="s">
        <v>286</v>
      </c>
      <c r="FY24" s="259" t="s">
        <v>286</v>
      </c>
      <c r="FZ24" s="3">
        <v>243</v>
      </c>
      <c r="GA24" s="3">
        <v>9</v>
      </c>
      <c r="GB24" s="3">
        <v>234</v>
      </c>
      <c r="GC24" s="17">
        <v>0.96296296296296291</v>
      </c>
      <c r="GD24" s="3">
        <v>83</v>
      </c>
      <c r="GE24" s="3">
        <v>121</v>
      </c>
      <c r="GF24" s="17">
        <v>0.35470085470085472</v>
      </c>
      <c r="GG24" s="17">
        <v>0.51709401709401714</v>
      </c>
      <c r="GH24" s="17">
        <v>0.29619960630889919</v>
      </c>
      <c r="GI24" s="17">
        <v>0.41789582527245578</v>
      </c>
      <c r="GJ24" s="17">
        <v>0.45330934839463238</v>
      </c>
      <c r="GK24" s="93">
        <v>0.58032648318403168</v>
      </c>
      <c r="GL24" s="337">
        <v>231</v>
      </c>
      <c r="GM24" s="337">
        <v>72</v>
      </c>
      <c r="GN24" s="337">
        <v>36</v>
      </c>
      <c r="GO24" s="337">
        <v>108</v>
      </c>
      <c r="GP24" s="393">
        <v>0.31168831168831168</v>
      </c>
      <c r="GQ24" s="393">
        <v>0.46753246753246752</v>
      </c>
      <c r="GR24" s="393">
        <v>0.25544882689407633</v>
      </c>
      <c r="GS24" s="393">
        <v>0.37408847696662684</v>
      </c>
      <c r="GT24" s="393">
        <v>0.40424776330838252</v>
      </c>
      <c r="GU24" s="93">
        <v>0.53187935804691111</v>
      </c>
      <c r="GV24" s="42">
        <v>267</v>
      </c>
      <c r="GW24" s="42">
        <v>28</v>
      </c>
      <c r="GX24" s="42">
        <v>239</v>
      </c>
      <c r="GY24" s="393">
        <f t="shared" si="2"/>
        <v>0.89513108614232206</v>
      </c>
      <c r="GZ24" s="42">
        <v>70</v>
      </c>
      <c r="HA24" s="42">
        <v>52</v>
      </c>
      <c r="HB24" s="42">
        <v>122</v>
      </c>
      <c r="HC24" s="393">
        <v>0.29288702928870292</v>
      </c>
      <c r="HD24" s="393">
        <v>0.5104602510460251</v>
      </c>
      <c r="HE24" s="393">
        <v>0.23883205171123612</v>
      </c>
      <c r="HF24" s="393">
        <v>0.35349456137710711</v>
      </c>
      <c r="HG24" s="393">
        <v>0.44742193588968443</v>
      </c>
      <c r="HH24" s="93">
        <v>0.57316762910585384</v>
      </c>
      <c r="HI24" s="696">
        <v>397</v>
      </c>
      <c r="HJ24" s="696">
        <v>71</v>
      </c>
      <c r="HK24" s="696">
        <v>326</v>
      </c>
      <c r="HL24" s="697">
        <v>0.82115869017632237</v>
      </c>
      <c r="HM24" s="696">
        <v>91</v>
      </c>
      <c r="HN24" s="696">
        <v>60</v>
      </c>
      <c r="HO24" s="696">
        <v>151</v>
      </c>
      <c r="HP24" s="697">
        <v>0.27914110429447853</v>
      </c>
      <c r="HQ24" s="697">
        <v>0.46319018404907975</v>
      </c>
      <c r="HR24" s="697">
        <v>0.23323531126497812</v>
      </c>
      <c r="HS24" s="697">
        <v>0.33019131037666283</v>
      </c>
      <c r="HT24" s="697">
        <v>0.40980440507853227</v>
      </c>
      <c r="HU24" s="698">
        <v>0.51743336519507455</v>
      </c>
      <c r="HV24" s="3">
        <v>182</v>
      </c>
      <c r="HW24" s="3">
        <v>13</v>
      </c>
      <c r="HX24" s="17">
        <v>7.1428571428571425E-2</v>
      </c>
      <c r="HY24" s="17">
        <v>4.2215244868037641E-2</v>
      </c>
      <c r="HZ24" s="17">
        <v>0.11835957525047065</v>
      </c>
      <c r="IA24" s="267" t="s">
        <v>707</v>
      </c>
      <c r="IB24" s="3">
        <v>199</v>
      </c>
      <c r="IC24" s="3">
        <v>23</v>
      </c>
      <c r="ID24" s="17">
        <v>0.11557788944723618</v>
      </c>
      <c r="IE24" s="17">
        <v>7.8261508207020325E-2</v>
      </c>
      <c r="IF24" s="17">
        <v>0.16745482173099549</v>
      </c>
      <c r="IG24" s="3" t="s">
        <v>707</v>
      </c>
      <c r="IH24" s="3">
        <v>164</v>
      </c>
      <c r="II24" s="3">
        <v>16</v>
      </c>
      <c r="IJ24" s="17">
        <v>9.7560975609756101E-2</v>
      </c>
      <c r="IK24" s="17">
        <v>6.0946967227705207E-2</v>
      </c>
      <c r="IL24" s="17">
        <v>0.15259657006354138</v>
      </c>
      <c r="IM24" s="3" t="s">
        <v>707</v>
      </c>
      <c r="IN24" s="3">
        <v>175</v>
      </c>
      <c r="IO24" s="3">
        <v>13</v>
      </c>
      <c r="IP24" s="17">
        <v>7.4285714285714288E-2</v>
      </c>
      <c r="IQ24" s="17">
        <v>4.3924003825929425E-2</v>
      </c>
      <c r="IR24" s="17">
        <v>0.12293584521283889</v>
      </c>
      <c r="IS24" s="3" t="s">
        <v>707</v>
      </c>
      <c r="IT24" s="3">
        <v>154</v>
      </c>
      <c r="IU24" s="3">
        <v>19</v>
      </c>
      <c r="IV24" s="17">
        <v>0.12337662337662338</v>
      </c>
      <c r="IW24" s="17">
        <v>8.0425217853813444E-2</v>
      </c>
      <c r="IX24" s="17">
        <v>0.1846601350902789</v>
      </c>
      <c r="IY24" s="9" t="s">
        <v>707</v>
      </c>
      <c r="IZ24" s="9">
        <v>253</v>
      </c>
      <c r="JA24" s="9">
        <v>18</v>
      </c>
      <c r="JB24" s="393">
        <v>7.1146245059288543E-2</v>
      </c>
      <c r="JC24" s="393">
        <v>4.547402605907172E-2</v>
      </c>
      <c r="JD24" s="393">
        <v>0.10964679829548934</v>
      </c>
      <c r="JE24" s="9" t="str">
        <f t="shared" si="0"/>
        <v>No Sig diff</v>
      </c>
      <c r="JF24" s="9">
        <v>262</v>
      </c>
      <c r="JG24" s="109">
        <v>29</v>
      </c>
      <c r="JH24" s="258">
        <v>0.11068702290076336</v>
      </c>
      <c r="JI24" s="258">
        <v>7.8180556881860042E-2</v>
      </c>
      <c r="JJ24" s="258">
        <v>0.15444477964401726</v>
      </c>
      <c r="JK24" s="662" t="str">
        <f t="shared" si="3"/>
        <v>No Sig diff</v>
      </c>
      <c r="JL24" s="3">
        <v>171</v>
      </c>
      <c r="JM24" s="3">
        <v>34</v>
      </c>
      <c r="JN24" s="17">
        <v>0.19883040935672514</v>
      </c>
      <c r="JO24" s="17">
        <v>0.14591834770221057</v>
      </c>
      <c r="JP24" s="17">
        <v>0.26497652417351536</v>
      </c>
      <c r="JQ24" s="3" t="s">
        <v>707</v>
      </c>
      <c r="JR24" s="3">
        <v>175</v>
      </c>
      <c r="JS24" s="3">
        <v>32</v>
      </c>
      <c r="JT24" s="17">
        <v>0.18285714285714286</v>
      </c>
      <c r="JU24" s="17">
        <v>0.13260870016222265</v>
      </c>
      <c r="JV24" s="17">
        <v>0.24672984509484641</v>
      </c>
      <c r="JW24" s="3" t="s">
        <v>707</v>
      </c>
      <c r="JX24" s="3">
        <v>188</v>
      </c>
      <c r="JY24" s="3">
        <v>36</v>
      </c>
      <c r="JZ24" s="17">
        <v>0.19148936170212766</v>
      </c>
      <c r="KA24" s="17">
        <v>0.14164627861962834</v>
      </c>
      <c r="KB24" s="17">
        <v>0.25368776067987386</v>
      </c>
      <c r="KC24" s="3" t="s">
        <v>707</v>
      </c>
      <c r="KD24" s="3">
        <v>173</v>
      </c>
      <c r="KE24" s="3">
        <v>38</v>
      </c>
      <c r="KF24" s="17">
        <v>0.21965317919075145</v>
      </c>
      <c r="KG24" s="17">
        <v>0.16442041037655816</v>
      </c>
      <c r="KH24" s="17">
        <v>0.28706567978088754</v>
      </c>
      <c r="KI24" s="3" t="s">
        <v>707</v>
      </c>
      <c r="KJ24" s="3">
        <v>203</v>
      </c>
      <c r="KK24" s="3">
        <v>46</v>
      </c>
      <c r="KL24" s="17">
        <v>0.22660098522167488</v>
      </c>
      <c r="KM24" s="17">
        <v>0.17440220871427278</v>
      </c>
      <c r="KN24" s="17">
        <v>0.28895489274466046</v>
      </c>
      <c r="KO24" s="465" t="s">
        <v>707</v>
      </c>
      <c r="KP24" s="465">
        <v>211</v>
      </c>
      <c r="KQ24" s="465">
        <v>46</v>
      </c>
      <c r="KR24" s="393">
        <v>0.21800947867298578</v>
      </c>
      <c r="KS24" s="393">
        <v>0.16761059996190267</v>
      </c>
      <c r="KT24" s="393">
        <v>0.27849258397096688</v>
      </c>
      <c r="KU24" s="465" t="s">
        <v>772</v>
      </c>
      <c r="KV24" s="465">
        <v>193</v>
      </c>
      <c r="KW24" s="465">
        <v>45</v>
      </c>
      <c r="KX24" s="393">
        <v>0.23316062176165803</v>
      </c>
      <c r="KY24" s="393">
        <v>0.1790686695953046</v>
      </c>
      <c r="KZ24" s="393">
        <v>0.29766757988644577</v>
      </c>
      <c r="LA24" s="660" t="str">
        <f t="shared" si="4"/>
        <v>No Sig diff</v>
      </c>
      <c r="LB24" s="3">
        <v>213</v>
      </c>
      <c r="LC24" s="3">
        <v>77</v>
      </c>
      <c r="LD24" s="17">
        <v>0.36150234741784038</v>
      </c>
      <c r="LE24" s="17">
        <v>0.29996303420485582</v>
      </c>
      <c r="LF24" s="17">
        <v>0.42794877601411613</v>
      </c>
      <c r="LG24" s="3">
        <v>213</v>
      </c>
      <c r="LH24" s="3">
        <v>32</v>
      </c>
      <c r="LI24" s="3">
        <v>42</v>
      </c>
      <c r="LJ24" s="293">
        <v>22.095238095238102</v>
      </c>
      <c r="LK24" s="17">
        <v>0.30952380952380931</v>
      </c>
      <c r="LL24" s="3">
        <v>276</v>
      </c>
      <c r="LM24" s="3">
        <v>140</v>
      </c>
      <c r="LN24" s="17">
        <v>0.50724637681159424</v>
      </c>
      <c r="LO24" s="17">
        <v>0.44857125889871413</v>
      </c>
      <c r="LP24" s="17">
        <v>0.56572254880532213</v>
      </c>
      <c r="LQ24" s="3">
        <v>276</v>
      </c>
      <c r="LR24" s="3">
        <v>34</v>
      </c>
      <c r="LS24" s="3">
        <v>55</v>
      </c>
      <c r="LT24" s="293">
        <v>22.472727272727269</v>
      </c>
      <c r="LU24" s="18">
        <v>0.33903743315508034</v>
      </c>
      <c r="LV24" s="42">
        <v>247</v>
      </c>
      <c r="LW24" s="42">
        <v>160</v>
      </c>
      <c r="LX24" s="18">
        <v>0.64777327935222673</v>
      </c>
      <c r="LY24" s="18">
        <v>0.5863555530334208</v>
      </c>
      <c r="LZ24" s="18">
        <v>0.7046649199904651</v>
      </c>
      <c r="MA24" s="337">
        <v>34</v>
      </c>
      <c r="MB24" s="337">
        <v>49</v>
      </c>
      <c r="MC24" s="294">
        <v>24.6</v>
      </c>
      <c r="MD24" s="393">
        <v>0.27500000000000002</v>
      </c>
      <c r="ME24" s="337">
        <v>266</v>
      </c>
      <c r="MF24" s="337">
        <v>180</v>
      </c>
      <c r="MG24" s="393">
        <v>0.67669172932330823</v>
      </c>
      <c r="MH24" s="393">
        <v>0.61831154490881324</v>
      </c>
      <c r="MI24" s="393">
        <v>0.73004115230389222</v>
      </c>
      <c r="MJ24" s="337">
        <v>34</v>
      </c>
      <c r="MK24" s="337">
        <v>53</v>
      </c>
      <c r="ML24" s="294">
        <v>23</v>
      </c>
      <c r="MM24" s="93">
        <v>0.3235294117647059</v>
      </c>
      <c r="MN24" s="17">
        <v>0.89145702782066427</v>
      </c>
      <c r="MO24" s="17">
        <v>0.1085429721793358</v>
      </c>
      <c r="MP24" s="17">
        <v>6.5066148885121536E-2</v>
      </c>
      <c r="MQ24" s="17">
        <v>0.16697738327579825</v>
      </c>
      <c r="MR24" s="17">
        <v>0.94403778040141684</v>
      </c>
      <c r="MS24" s="17">
        <v>5.5962219598583232E-2</v>
      </c>
      <c r="MT24" s="17">
        <v>2.8820370601525466E-2</v>
      </c>
      <c r="MU24" s="17">
        <v>0.10722860307950929</v>
      </c>
      <c r="MV24" s="17">
        <v>0.88092210819483541</v>
      </c>
      <c r="MW24" s="17">
        <v>0.1190778918051645</v>
      </c>
      <c r="MX24" s="17">
        <v>7.6104144741722793E-2</v>
      </c>
      <c r="MY24" s="17">
        <v>0.18336640412773555</v>
      </c>
      <c r="MZ24" s="17">
        <v>0.72868041049859233</v>
      </c>
      <c r="NA24" s="17">
        <v>0.27131958950140767</v>
      </c>
      <c r="NB24" s="17">
        <v>0.20122466904115702</v>
      </c>
      <c r="NC24" s="93">
        <v>0.34756778676870415</v>
      </c>
      <c r="ND24" s="337">
        <v>16</v>
      </c>
      <c r="NE24" s="337">
        <v>128</v>
      </c>
      <c r="NF24" s="393">
        <v>0.125</v>
      </c>
      <c r="NG24" s="393">
        <v>7.842644638761663E-2</v>
      </c>
      <c r="NH24" s="393">
        <v>0.19342627081751462</v>
      </c>
      <c r="NI24" s="337">
        <v>13</v>
      </c>
      <c r="NJ24" s="337">
        <v>128</v>
      </c>
      <c r="NK24" s="393">
        <v>0.1015625</v>
      </c>
      <c r="NL24" s="393">
        <v>6.0318648726840854E-2</v>
      </c>
      <c r="NM24" s="393">
        <v>0.16602486330361113</v>
      </c>
      <c r="NN24" s="337">
        <v>15</v>
      </c>
      <c r="NO24" s="337">
        <v>127</v>
      </c>
      <c r="NP24" s="393">
        <v>0.11811023622047244</v>
      </c>
      <c r="NQ24" s="393">
        <v>7.2897043882521564E-2</v>
      </c>
      <c r="NR24" s="393">
        <v>0.18574772457019531</v>
      </c>
      <c r="NS24" s="337">
        <v>31</v>
      </c>
      <c r="NT24" s="337">
        <v>122</v>
      </c>
      <c r="NU24" s="393">
        <v>0.25409836065573771</v>
      </c>
      <c r="NV24" s="393">
        <v>0.18517152014351645</v>
      </c>
      <c r="NW24" s="93">
        <v>0.33803807578550626</v>
      </c>
      <c r="NX24" s="3">
        <v>73</v>
      </c>
      <c r="NY24" s="3">
        <v>71</v>
      </c>
      <c r="NZ24" s="3">
        <v>70</v>
      </c>
      <c r="OA24" s="3">
        <v>72</v>
      </c>
      <c r="OB24" s="3">
        <v>71</v>
      </c>
      <c r="OC24" s="3">
        <v>56</v>
      </c>
      <c r="OD24" s="3">
        <v>55</v>
      </c>
      <c r="OE24" s="3">
        <v>53</v>
      </c>
      <c r="OF24" s="3">
        <v>55</v>
      </c>
      <c r="OG24" s="3">
        <v>54</v>
      </c>
      <c r="OH24" s="3">
        <v>53</v>
      </c>
      <c r="OI24" s="3">
        <v>56</v>
      </c>
      <c r="OJ24" s="3">
        <v>56</v>
      </c>
      <c r="OK24" s="3">
        <v>66</v>
      </c>
      <c r="OL24" s="3">
        <v>64</v>
      </c>
      <c r="OM24" s="3">
        <v>60</v>
      </c>
      <c r="ON24" s="3">
        <v>64</v>
      </c>
      <c r="OO24" s="3">
        <v>59</v>
      </c>
      <c r="OP24" s="3">
        <v>61</v>
      </c>
      <c r="OQ24" s="3">
        <v>64</v>
      </c>
      <c r="OR24" s="3">
        <v>65</v>
      </c>
      <c r="OS24" s="3">
        <v>63</v>
      </c>
      <c r="OT24" s="6">
        <v>60</v>
      </c>
      <c r="OU24" s="3">
        <v>383</v>
      </c>
      <c r="OV24" s="22">
        <v>0.95599999999999996</v>
      </c>
      <c r="OW24" s="22">
        <v>0.01</v>
      </c>
      <c r="OX24" s="22">
        <v>0.96099999999999997</v>
      </c>
      <c r="OY24" s="3">
        <v>366</v>
      </c>
      <c r="OZ24" s="3">
        <v>4</v>
      </c>
      <c r="PA24" s="3">
        <v>368</v>
      </c>
      <c r="PB24" s="3">
        <v>368</v>
      </c>
      <c r="PC24" s="22">
        <v>0.96699999999999997</v>
      </c>
      <c r="PD24" s="22">
        <v>0.94599999999999995</v>
      </c>
      <c r="PE24" s="22">
        <v>0.95899999999999996</v>
      </c>
      <c r="PF24" s="22">
        <v>0.96499999999999997</v>
      </c>
      <c r="PG24" s="22">
        <v>0.95699999999999996</v>
      </c>
      <c r="PH24" s="3">
        <v>356</v>
      </c>
      <c r="PI24" s="3">
        <v>348</v>
      </c>
      <c r="PJ24" s="3">
        <v>353</v>
      </c>
      <c r="PK24" s="3">
        <v>355</v>
      </c>
      <c r="PL24" s="3">
        <v>352</v>
      </c>
      <c r="PM24" s="3">
        <v>409</v>
      </c>
      <c r="PN24" s="22">
        <v>0.96299999999999997</v>
      </c>
      <c r="PO24" s="22">
        <v>0.92400000000000004</v>
      </c>
      <c r="PP24" s="22">
        <v>0.96299999999999997</v>
      </c>
      <c r="PQ24" s="22">
        <v>0.95799999999999996</v>
      </c>
      <c r="PR24" s="22">
        <v>0.95099999999999996</v>
      </c>
      <c r="PS24" s="22">
        <v>0.89200000000000002</v>
      </c>
      <c r="PT24" s="22">
        <v>0.94099999999999995</v>
      </c>
      <c r="PU24" s="22">
        <v>0.91200000000000003</v>
      </c>
      <c r="PV24" s="22">
        <v>0.95399999999999996</v>
      </c>
      <c r="PW24" s="22">
        <v>0.92200000000000004</v>
      </c>
      <c r="PX24" s="3">
        <v>394</v>
      </c>
      <c r="PY24" s="3">
        <v>378</v>
      </c>
      <c r="PZ24" s="3">
        <v>394</v>
      </c>
      <c r="QA24" s="3">
        <v>392</v>
      </c>
      <c r="QB24" s="3">
        <v>389</v>
      </c>
      <c r="QC24" s="3">
        <v>365</v>
      </c>
      <c r="QD24" s="3">
        <v>385</v>
      </c>
      <c r="QE24" s="3">
        <v>373</v>
      </c>
      <c r="QF24" s="3">
        <v>390</v>
      </c>
      <c r="QG24" s="6">
        <v>377</v>
      </c>
      <c r="QH24" s="37">
        <v>406</v>
      </c>
      <c r="QI24" s="17">
        <v>0.93103448275862066</v>
      </c>
      <c r="QJ24" s="17">
        <v>0.23399014778325122</v>
      </c>
      <c r="QK24" s="17">
        <v>0.93596059113300489</v>
      </c>
      <c r="QL24" s="37">
        <v>378</v>
      </c>
      <c r="QM24" s="37">
        <v>95</v>
      </c>
      <c r="QN24" s="37">
        <v>380</v>
      </c>
      <c r="QO24" s="37">
        <v>388</v>
      </c>
      <c r="QP24" s="17">
        <v>0.95618556701030932</v>
      </c>
      <c r="QQ24" s="17">
        <v>0.92783505154639179</v>
      </c>
      <c r="QR24" s="17">
        <v>0.69587628865979378</v>
      </c>
      <c r="QS24" s="17">
        <v>0.93041237113402064</v>
      </c>
      <c r="QT24" s="17">
        <v>0.68556701030927836</v>
      </c>
      <c r="QU24" s="37">
        <v>371</v>
      </c>
      <c r="QV24" s="37">
        <v>360</v>
      </c>
      <c r="QW24" s="37">
        <v>270</v>
      </c>
      <c r="QX24" s="37">
        <v>361</v>
      </c>
      <c r="QY24" s="37">
        <v>266</v>
      </c>
      <c r="QZ24" s="3">
        <v>422</v>
      </c>
      <c r="RA24" s="17">
        <v>0.95497630331753558</v>
      </c>
      <c r="RB24" s="17">
        <v>0.87677725118483407</v>
      </c>
      <c r="RC24" s="17">
        <v>0.95497630331753558</v>
      </c>
      <c r="RD24" s="17">
        <v>0.95734597156398105</v>
      </c>
      <c r="RE24" s="17">
        <v>0.71800947867298581</v>
      </c>
      <c r="RF24" s="17">
        <v>0.92417061611374407</v>
      </c>
      <c r="RG24" s="17">
        <v>0.93838862559241709</v>
      </c>
      <c r="RH24" s="17">
        <v>0.88625592417061616</v>
      </c>
      <c r="RI24" s="17">
        <v>0.71563981042654023</v>
      </c>
      <c r="RJ24" s="17">
        <v>0.67061611374407581</v>
      </c>
      <c r="RK24" s="37">
        <v>403</v>
      </c>
      <c r="RL24" s="37">
        <v>370</v>
      </c>
      <c r="RM24" s="37">
        <v>403</v>
      </c>
      <c r="RN24" s="37">
        <v>404</v>
      </c>
      <c r="RO24" s="37">
        <v>303</v>
      </c>
      <c r="RP24" s="37">
        <v>390</v>
      </c>
      <c r="RQ24" s="37">
        <v>396</v>
      </c>
      <c r="RR24" s="37">
        <v>374</v>
      </c>
      <c r="RS24" s="37">
        <v>302</v>
      </c>
      <c r="RT24" s="38">
        <v>283</v>
      </c>
    </row>
    <row r="25" spans="1:488" s="3" customFormat="1" ht="12.75" x14ac:dyDescent="0.2">
      <c r="A25" s="9" t="s">
        <v>55</v>
      </c>
      <c r="B25" s="6">
        <v>24</v>
      </c>
      <c r="C25" s="9" t="s">
        <v>209</v>
      </c>
      <c r="D25" s="9" t="s">
        <v>210</v>
      </c>
      <c r="E25" s="9" t="s">
        <v>286</v>
      </c>
      <c r="F25" s="9" t="s">
        <v>286</v>
      </c>
      <c r="G25" s="9" t="s">
        <v>211</v>
      </c>
      <c r="H25" s="9" t="s">
        <v>267</v>
      </c>
      <c r="I25" s="9" t="s">
        <v>83</v>
      </c>
      <c r="J25" s="9" t="s">
        <v>268</v>
      </c>
      <c r="K25" s="9" t="s">
        <v>382</v>
      </c>
      <c r="L25" s="9" t="s">
        <v>271</v>
      </c>
      <c r="M25" s="9" t="s">
        <v>348</v>
      </c>
      <c r="N25" s="3" t="s">
        <v>401</v>
      </c>
      <c r="O25" s="9">
        <v>508603</v>
      </c>
      <c r="P25" s="9">
        <v>114354</v>
      </c>
      <c r="Q25" s="109" t="s">
        <v>286</v>
      </c>
      <c r="R25" s="109" t="s">
        <v>286</v>
      </c>
      <c r="S25" s="109" t="s">
        <v>286</v>
      </c>
      <c r="T25" s="36">
        <v>12260</v>
      </c>
      <c r="U25" s="37">
        <v>12325</v>
      </c>
      <c r="V25" s="37">
        <v>12385</v>
      </c>
      <c r="W25" s="37">
        <v>12470</v>
      </c>
      <c r="X25" s="37">
        <v>12475</v>
      </c>
      <c r="Y25" s="37">
        <v>12705</v>
      </c>
      <c r="Z25" s="37">
        <v>12710</v>
      </c>
      <c r="AA25" s="37">
        <v>12795</v>
      </c>
      <c r="AB25" s="37">
        <v>12795</v>
      </c>
      <c r="AC25" s="42">
        <v>12437</v>
      </c>
      <c r="AD25" s="42">
        <v>12923</v>
      </c>
      <c r="AE25" s="36">
        <v>595</v>
      </c>
      <c r="AF25" s="37">
        <v>560</v>
      </c>
      <c r="AG25" s="37">
        <v>605</v>
      </c>
      <c r="AH25" s="37">
        <v>610</v>
      </c>
      <c r="AI25" s="37">
        <v>600</v>
      </c>
      <c r="AJ25" s="37">
        <v>615</v>
      </c>
      <c r="AK25" s="37">
        <v>600</v>
      </c>
      <c r="AL25" s="37">
        <v>605</v>
      </c>
      <c r="AM25" s="37">
        <v>590</v>
      </c>
      <c r="AN25" s="42">
        <v>565</v>
      </c>
      <c r="AO25" s="42">
        <v>568</v>
      </c>
      <c r="AP25" s="13">
        <v>607</v>
      </c>
      <c r="AQ25" s="3">
        <v>565</v>
      </c>
      <c r="AR25" s="3">
        <v>20</v>
      </c>
      <c r="AS25" s="3">
        <v>16</v>
      </c>
      <c r="AT25" s="3">
        <v>6</v>
      </c>
      <c r="AU25" s="3">
        <v>0</v>
      </c>
      <c r="AV25" s="3">
        <v>0</v>
      </c>
      <c r="AW25" s="9">
        <v>42</v>
      </c>
      <c r="AX25" s="16">
        <v>0.93080724876441512</v>
      </c>
      <c r="AY25" s="17">
        <v>3.2948929159802305E-2</v>
      </c>
      <c r="AZ25" s="17">
        <v>2.6359143327841845E-2</v>
      </c>
      <c r="BA25" s="17">
        <v>9.8846787479406912E-3</v>
      </c>
      <c r="BB25" s="17">
        <v>0</v>
      </c>
      <c r="BC25" s="17">
        <v>0</v>
      </c>
      <c r="BD25" s="18">
        <v>6.9192751235584882E-2</v>
      </c>
      <c r="BE25" s="13">
        <v>1921</v>
      </c>
      <c r="BF25" s="3">
        <v>1896</v>
      </c>
      <c r="BG25" s="3">
        <v>25</v>
      </c>
      <c r="BH25" s="3">
        <v>21</v>
      </c>
      <c r="BI25" s="3">
        <v>4</v>
      </c>
      <c r="BJ25" s="17">
        <v>0.84</v>
      </c>
      <c r="BK25" s="18">
        <v>0.16</v>
      </c>
      <c r="BL25" s="13">
        <v>1244</v>
      </c>
      <c r="BM25" s="17">
        <v>0.68890675241157562</v>
      </c>
      <c r="BN25" s="17">
        <v>0.16157556270096463</v>
      </c>
      <c r="BO25" s="18">
        <v>0.14951768488745981</v>
      </c>
      <c r="BP25" s="36">
        <v>3898</v>
      </c>
      <c r="BQ25" s="37">
        <v>168</v>
      </c>
      <c r="BR25" s="37">
        <v>196</v>
      </c>
      <c r="BS25" s="37">
        <v>100</v>
      </c>
      <c r="BT25" s="37">
        <v>2423</v>
      </c>
      <c r="BU25" s="37">
        <v>1359</v>
      </c>
      <c r="BV25" s="18">
        <v>0.14716703458425312</v>
      </c>
      <c r="BW25" s="36">
        <v>903</v>
      </c>
      <c r="BX25" s="37">
        <v>1</v>
      </c>
      <c r="BY25" s="37">
        <v>162</v>
      </c>
      <c r="BZ25" s="37">
        <v>213</v>
      </c>
      <c r="CA25" s="37">
        <v>86</v>
      </c>
      <c r="CB25" s="38">
        <v>1365</v>
      </c>
      <c r="CC25" s="37">
        <v>465</v>
      </c>
      <c r="CD25" s="37">
        <v>409</v>
      </c>
      <c r="CE25" s="37">
        <v>55</v>
      </c>
      <c r="CF25" s="37">
        <v>56</v>
      </c>
      <c r="CG25" s="17">
        <v>0.11827956989247312</v>
      </c>
      <c r="CH25" s="93">
        <v>0.12043010752688173</v>
      </c>
      <c r="CI25" s="37">
        <v>45</v>
      </c>
      <c r="CJ25" s="37">
        <v>25</v>
      </c>
      <c r="CK25" s="37">
        <v>55</v>
      </c>
      <c r="CL25" s="37">
        <v>35</v>
      </c>
      <c r="CM25" s="42">
        <v>45</v>
      </c>
      <c r="CN25" s="42">
        <v>25</v>
      </c>
      <c r="CO25" s="36">
        <v>209</v>
      </c>
      <c r="CP25" s="37">
        <v>51</v>
      </c>
      <c r="CQ25" s="17">
        <v>0.24401913875598086</v>
      </c>
      <c r="CR25" s="38">
        <v>15</v>
      </c>
      <c r="CS25" s="37">
        <v>109</v>
      </c>
      <c r="CT25" s="37">
        <v>102</v>
      </c>
      <c r="CU25" s="37">
        <v>98</v>
      </c>
      <c r="CV25" s="37">
        <v>111</v>
      </c>
      <c r="CW25" s="37">
        <v>96</v>
      </c>
      <c r="CX25" s="526" t="s">
        <v>471</v>
      </c>
      <c r="CY25" s="568">
        <v>100</v>
      </c>
      <c r="CZ25" s="37">
        <v>5</v>
      </c>
      <c r="DA25" s="37">
        <v>5</v>
      </c>
      <c r="DB25" s="37">
        <v>2</v>
      </c>
      <c r="DC25" s="37">
        <v>1</v>
      </c>
      <c r="DD25" s="37">
        <v>5</v>
      </c>
      <c r="DE25" s="528" t="s">
        <v>471</v>
      </c>
      <c r="DF25" s="716">
        <v>2</v>
      </c>
      <c r="DG25" s="13">
        <v>7</v>
      </c>
      <c r="DH25" s="13">
        <v>8</v>
      </c>
      <c r="DI25" s="17">
        <v>8.3333333333333329E-2</v>
      </c>
      <c r="DJ25" s="17">
        <v>4.2830624150967216E-2</v>
      </c>
      <c r="DK25" s="18">
        <v>0.15589903239709582</v>
      </c>
      <c r="DL25" s="425" t="s">
        <v>286</v>
      </c>
      <c r="DM25" s="258" t="s">
        <v>286</v>
      </c>
      <c r="DN25" s="258" t="s">
        <v>286</v>
      </c>
      <c r="DO25" s="258" t="s">
        <v>286</v>
      </c>
      <c r="DP25" s="337">
        <v>5</v>
      </c>
      <c r="DQ25" s="393">
        <v>0.05</v>
      </c>
      <c r="DR25" s="393">
        <v>2.154367915436798E-2</v>
      </c>
      <c r="DS25" s="393">
        <v>0.11175046923191911</v>
      </c>
      <c r="DT25" s="13">
        <v>14</v>
      </c>
      <c r="DU25" s="18">
        <v>2.3102310231023101E-2</v>
      </c>
      <c r="DV25" s="328">
        <v>7</v>
      </c>
      <c r="DW25" s="333">
        <v>7</v>
      </c>
      <c r="DX25" s="337">
        <v>7</v>
      </c>
      <c r="DY25" s="393">
        <v>9.2008316008316007E-2</v>
      </c>
      <c r="DZ25" s="337">
        <v>9</v>
      </c>
      <c r="EA25" s="93">
        <v>7.3803249890206424E-2</v>
      </c>
      <c r="EB25" s="3">
        <v>132</v>
      </c>
      <c r="EC25" s="18">
        <v>2.4242424242424242E-2</v>
      </c>
      <c r="ED25" s="13">
        <v>65</v>
      </c>
      <c r="EE25" s="3">
        <v>50</v>
      </c>
      <c r="EF25" s="3">
        <v>70</v>
      </c>
      <c r="EG25" s="3">
        <v>90</v>
      </c>
      <c r="EH25" s="9">
        <v>55</v>
      </c>
      <c r="EI25" s="9">
        <v>55</v>
      </c>
      <c r="EJ25" s="13">
        <v>50</v>
      </c>
      <c r="EK25" s="17">
        <v>8.6956521739130432E-2</v>
      </c>
      <c r="EL25" s="17">
        <v>6.6580223356730778E-2</v>
      </c>
      <c r="EM25" s="17">
        <v>0.11281511406822856</v>
      </c>
      <c r="EN25" s="3">
        <v>65</v>
      </c>
      <c r="EO25" s="17">
        <v>0.11711711711711711</v>
      </c>
      <c r="EP25" s="17">
        <v>9.295911468192429E-2</v>
      </c>
      <c r="EQ25" s="17">
        <v>0.14653896962831214</v>
      </c>
      <c r="ER25" s="3">
        <v>80</v>
      </c>
      <c r="ES25" s="17">
        <v>0.13793103448275862</v>
      </c>
      <c r="ET25" s="17">
        <v>0.11224139189275814</v>
      </c>
      <c r="EU25" s="17">
        <v>0.16838523430065874</v>
      </c>
      <c r="EV25" s="3">
        <v>55</v>
      </c>
      <c r="EW25" s="17">
        <v>9.7345132743362831E-2</v>
      </c>
      <c r="EX25" s="17">
        <v>7.5553398923058568E-2</v>
      </c>
      <c r="EY25" s="17">
        <v>0.12457522576739033</v>
      </c>
      <c r="EZ25" s="3">
        <v>70</v>
      </c>
      <c r="FA25" s="18">
        <v>0.11864406779661017</v>
      </c>
      <c r="FB25" s="18">
        <v>9.4985987179072681E-2</v>
      </c>
      <c r="FC25" s="18">
        <v>0.14723600100334211</v>
      </c>
      <c r="FD25" s="337">
        <v>70</v>
      </c>
      <c r="FE25" s="18">
        <v>0.13861386138613863</v>
      </c>
      <c r="FF25" s="18">
        <v>0.11119506496186198</v>
      </c>
      <c r="FG25" s="393">
        <v>0.17148917062315761</v>
      </c>
      <c r="FH25" s="425" t="s">
        <v>286</v>
      </c>
      <c r="FI25" s="258" t="s">
        <v>286</v>
      </c>
      <c r="FJ25" s="258" t="s">
        <v>286</v>
      </c>
      <c r="FK25" s="258" t="s">
        <v>286</v>
      </c>
      <c r="FL25" s="36">
        <v>195</v>
      </c>
      <c r="FM25" s="18">
        <v>9.4660194174757281E-2</v>
      </c>
      <c r="FN25" s="42">
        <v>215</v>
      </c>
      <c r="FO25" s="18">
        <v>0.10643564356435643</v>
      </c>
      <c r="FP25" s="42">
        <v>195</v>
      </c>
      <c r="FQ25" s="18">
        <v>9.6059113300492605E-2</v>
      </c>
      <c r="FR25" s="42">
        <v>175</v>
      </c>
      <c r="FS25" s="18">
        <v>8.7499999999999994E-2</v>
      </c>
      <c r="FT25" s="42">
        <v>160</v>
      </c>
      <c r="FU25" s="18">
        <v>7.9800498753117205E-2</v>
      </c>
      <c r="FV25" s="42">
        <v>170</v>
      </c>
      <c r="FW25" s="393">
        <v>8.7179487179487175E-2</v>
      </c>
      <c r="FX25" s="114" t="s">
        <v>286</v>
      </c>
      <c r="FY25" s="259" t="s">
        <v>286</v>
      </c>
      <c r="FZ25" s="3">
        <v>122</v>
      </c>
      <c r="GA25" s="3">
        <v>4</v>
      </c>
      <c r="GB25" s="3">
        <v>118</v>
      </c>
      <c r="GC25" s="17">
        <v>0.96721311475409832</v>
      </c>
      <c r="GD25" s="3">
        <v>58</v>
      </c>
      <c r="GE25" s="3">
        <v>75</v>
      </c>
      <c r="GF25" s="17">
        <v>0.49152542372881358</v>
      </c>
      <c r="GG25" s="17">
        <v>0.63559322033898302</v>
      </c>
      <c r="GH25" s="17">
        <v>0.40302228798677547</v>
      </c>
      <c r="GI25" s="17">
        <v>0.5805629571183446</v>
      </c>
      <c r="GJ25" s="17">
        <v>0.54575544867159853</v>
      </c>
      <c r="GK25" s="93">
        <v>0.71688062964648003</v>
      </c>
      <c r="GL25" s="337">
        <v>110</v>
      </c>
      <c r="GM25" s="337">
        <v>49</v>
      </c>
      <c r="GN25" s="337">
        <v>20</v>
      </c>
      <c r="GO25" s="337">
        <v>69</v>
      </c>
      <c r="GP25" s="393">
        <v>0.44545454545454544</v>
      </c>
      <c r="GQ25" s="393">
        <v>0.62727272727272732</v>
      </c>
      <c r="GR25" s="393">
        <v>0.35597712785236785</v>
      </c>
      <c r="GS25" s="393">
        <v>0.5386131196347046</v>
      </c>
      <c r="GT25" s="393">
        <v>0.53405205207045159</v>
      </c>
      <c r="GU25" s="93">
        <v>0.7119040371263794</v>
      </c>
      <c r="GV25" s="42">
        <v>99</v>
      </c>
      <c r="GW25" s="42">
        <v>23</v>
      </c>
      <c r="GX25" s="42">
        <v>76</v>
      </c>
      <c r="GY25" s="393">
        <f t="shared" si="2"/>
        <v>0.76767676767676762</v>
      </c>
      <c r="GZ25" s="42">
        <v>36</v>
      </c>
      <c r="HA25" s="42">
        <v>8</v>
      </c>
      <c r="HB25" s="42">
        <v>44</v>
      </c>
      <c r="HC25" s="393">
        <v>0.47368421052631576</v>
      </c>
      <c r="HD25" s="393">
        <v>0.57894736842105265</v>
      </c>
      <c r="HE25" s="393">
        <v>0.36542100190605514</v>
      </c>
      <c r="HF25" s="393">
        <v>0.58447971309737312</v>
      </c>
      <c r="HG25" s="393">
        <v>0.46678404617010277</v>
      </c>
      <c r="HH25" s="93">
        <v>0.68351380881961243</v>
      </c>
      <c r="HI25" s="696">
        <v>82</v>
      </c>
      <c r="HJ25" s="696">
        <v>1</v>
      </c>
      <c r="HK25" s="696">
        <v>81</v>
      </c>
      <c r="HL25" s="697">
        <v>0.98780487804878048</v>
      </c>
      <c r="HM25" s="696">
        <v>35</v>
      </c>
      <c r="HN25" s="696">
        <v>12</v>
      </c>
      <c r="HO25" s="696">
        <v>47</v>
      </c>
      <c r="HP25" s="697">
        <v>0.43209876543209874</v>
      </c>
      <c r="HQ25" s="697">
        <v>0.58024691358024694</v>
      </c>
      <c r="HR25" s="697">
        <v>0.32972077141341088</v>
      </c>
      <c r="HS25" s="697">
        <v>0.54062563525025042</v>
      </c>
      <c r="HT25" s="697">
        <v>0.47153660142593201</v>
      </c>
      <c r="HU25" s="698">
        <v>0.6816903725170137</v>
      </c>
      <c r="HV25" s="3">
        <v>106</v>
      </c>
      <c r="HW25" s="3">
        <v>7</v>
      </c>
      <c r="HX25" s="17">
        <v>6.6000000000000003E-2</v>
      </c>
      <c r="HY25" s="17">
        <v>3.2000000000000001E-2</v>
      </c>
      <c r="HZ25" s="17">
        <v>0.13</v>
      </c>
      <c r="IA25" s="267" t="s">
        <v>707</v>
      </c>
      <c r="IB25" s="3">
        <v>96</v>
      </c>
      <c r="IC25" s="3">
        <v>11</v>
      </c>
      <c r="ID25" s="17">
        <v>0.115</v>
      </c>
      <c r="IE25" s="17">
        <v>6.5000000000000002E-2</v>
      </c>
      <c r="IF25" s="17">
        <v>0.19400000000000001</v>
      </c>
      <c r="IG25" s="3" t="s">
        <v>707</v>
      </c>
      <c r="IH25" s="3">
        <v>91</v>
      </c>
      <c r="II25" s="3">
        <v>11</v>
      </c>
      <c r="IJ25" s="17">
        <v>0.12087912087912088</v>
      </c>
      <c r="IK25" s="17">
        <v>6.885508485107264E-2</v>
      </c>
      <c r="IL25" s="17">
        <v>0.20361498406203427</v>
      </c>
      <c r="IM25" s="3" t="s">
        <v>707</v>
      </c>
      <c r="IN25" s="3">
        <v>106</v>
      </c>
      <c r="IO25" s="3">
        <v>7</v>
      </c>
      <c r="IP25" s="17">
        <v>6.6037735849056603E-2</v>
      </c>
      <c r="IQ25" s="17">
        <v>3.2354147112036276E-2</v>
      </c>
      <c r="IR25" s="17">
        <v>0.13007503957437352</v>
      </c>
      <c r="IS25" s="3" t="s">
        <v>707</v>
      </c>
      <c r="IT25" s="3">
        <v>80</v>
      </c>
      <c r="IU25" s="3">
        <v>11</v>
      </c>
      <c r="IV25" s="17">
        <v>0.13750000000000001</v>
      </c>
      <c r="IW25" s="17">
        <v>7.8547143243391085E-2</v>
      </c>
      <c r="IX25" s="17">
        <v>0.22967100066986598</v>
      </c>
      <c r="IY25" s="9" t="s">
        <v>707</v>
      </c>
      <c r="IZ25" s="9">
        <v>113</v>
      </c>
      <c r="JA25" s="9">
        <v>10</v>
      </c>
      <c r="JB25" s="393">
        <v>8.8495575221238937E-2</v>
      </c>
      <c r="JC25" s="393">
        <v>4.8779380094718841E-2</v>
      </c>
      <c r="JD25" s="393">
        <v>0.15527027027194956</v>
      </c>
      <c r="JE25" s="9" t="str">
        <f t="shared" si="0"/>
        <v>No Sig diff</v>
      </c>
      <c r="JF25" s="9">
        <v>99</v>
      </c>
      <c r="JG25" s="109">
        <v>10</v>
      </c>
      <c r="JH25" s="258">
        <v>0.10101010101010101</v>
      </c>
      <c r="JI25" s="258">
        <v>5.579667502880499E-2</v>
      </c>
      <c r="JJ25" s="258">
        <v>0.17603063561117843</v>
      </c>
      <c r="JK25" s="662" t="str">
        <f t="shared" si="3"/>
        <v>No Sig diff</v>
      </c>
      <c r="JL25" s="3">
        <v>120</v>
      </c>
      <c r="JM25" s="3">
        <v>21</v>
      </c>
      <c r="JN25" s="17">
        <v>0.17499999999999999</v>
      </c>
      <c r="JO25" s="17">
        <v>0.11700000000000001</v>
      </c>
      <c r="JP25" s="17">
        <v>0.253</v>
      </c>
      <c r="JQ25" s="3" t="s">
        <v>707</v>
      </c>
      <c r="JR25" s="3">
        <v>112</v>
      </c>
      <c r="JS25" s="3">
        <v>22</v>
      </c>
      <c r="JT25" s="17">
        <v>0.19600000000000001</v>
      </c>
      <c r="JU25" s="17">
        <v>0.13300000000000001</v>
      </c>
      <c r="JV25" s="17">
        <v>0.28000000000000003</v>
      </c>
      <c r="JW25" s="3" t="s">
        <v>707</v>
      </c>
      <c r="JX25" s="3">
        <v>104</v>
      </c>
      <c r="JY25" s="3">
        <v>13</v>
      </c>
      <c r="JZ25" s="17">
        <v>0.125</v>
      </c>
      <c r="KA25" s="17">
        <v>7.4526025237809115E-2</v>
      </c>
      <c r="KB25" s="17">
        <v>0.20218999054152978</v>
      </c>
      <c r="KC25" s="3" t="s">
        <v>707</v>
      </c>
      <c r="KD25" s="3">
        <v>94</v>
      </c>
      <c r="KE25" s="3">
        <v>14</v>
      </c>
      <c r="KF25" s="17">
        <v>0.14893617021276595</v>
      </c>
      <c r="KG25" s="17">
        <v>9.0840479586594094E-2</v>
      </c>
      <c r="KH25" s="17">
        <v>0.23459885057555427</v>
      </c>
      <c r="KI25" s="3" t="s">
        <v>707</v>
      </c>
      <c r="KJ25" s="3">
        <v>101</v>
      </c>
      <c r="KK25" s="3">
        <v>21</v>
      </c>
      <c r="KL25" s="17">
        <v>0.20792079207920791</v>
      </c>
      <c r="KM25" s="17">
        <v>0.14020802862382939</v>
      </c>
      <c r="KN25" s="17">
        <v>0.297037497490938</v>
      </c>
      <c r="KO25" s="465" t="s">
        <v>707</v>
      </c>
      <c r="KP25" s="465">
        <v>113</v>
      </c>
      <c r="KQ25" s="465">
        <v>15</v>
      </c>
      <c r="KR25" s="393">
        <v>0.13274336283185842</v>
      </c>
      <c r="KS25" s="393">
        <v>8.2122247990653138E-2</v>
      </c>
      <c r="KT25" s="393">
        <v>0.20751346147637351</v>
      </c>
      <c r="KU25" s="465" t="s">
        <v>772</v>
      </c>
      <c r="KV25" s="465">
        <v>109</v>
      </c>
      <c r="KW25" s="465">
        <v>14</v>
      </c>
      <c r="KX25" s="393">
        <v>0.12844036697247707</v>
      </c>
      <c r="KY25" s="393">
        <v>7.8074406205798044E-2</v>
      </c>
      <c r="KZ25" s="393">
        <v>0.20410431740757196</v>
      </c>
      <c r="LA25" s="660" t="str">
        <f t="shared" si="4"/>
        <v>No Sig diff</v>
      </c>
      <c r="LB25" s="3">
        <v>117</v>
      </c>
      <c r="LC25" s="3">
        <v>64</v>
      </c>
      <c r="LD25" s="17">
        <v>0.54700854700854706</v>
      </c>
      <c r="LE25" s="17">
        <v>0.45674877894037469</v>
      </c>
      <c r="LF25" s="17">
        <v>0.63427958257851358</v>
      </c>
      <c r="LG25" s="3">
        <v>117</v>
      </c>
      <c r="LH25" s="3">
        <v>34</v>
      </c>
      <c r="LI25" s="3">
        <v>23</v>
      </c>
      <c r="LJ25" s="293">
        <v>28.869565217391305</v>
      </c>
      <c r="LK25" s="17">
        <v>0.15089514066496162</v>
      </c>
      <c r="LL25" s="3">
        <v>134</v>
      </c>
      <c r="LM25" s="3">
        <v>83</v>
      </c>
      <c r="LN25" s="17">
        <v>0.61940298507462688</v>
      </c>
      <c r="LO25" s="17">
        <v>0.53495253716790758</v>
      </c>
      <c r="LP25" s="17">
        <v>0.69719822700548961</v>
      </c>
      <c r="LQ25" s="3">
        <v>134</v>
      </c>
      <c r="LR25" s="3">
        <v>34</v>
      </c>
      <c r="LS25" s="3">
        <v>26</v>
      </c>
      <c r="LT25" s="293">
        <v>26.192307692307693</v>
      </c>
      <c r="LU25" s="18">
        <v>0.22963800904977372</v>
      </c>
      <c r="LV25" s="42">
        <v>132</v>
      </c>
      <c r="LW25" s="42">
        <v>95</v>
      </c>
      <c r="LX25" s="18">
        <v>0.71969696969696972</v>
      </c>
      <c r="LY25" s="18">
        <v>0.63769886887324589</v>
      </c>
      <c r="LZ25" s="18">
        <v>0.78926945510918367</v>
      </c>
      <c r="MA25" s="337">
        <v>34</v>
      </c>
      <c r="MB25" s="337">
        <v>26</v>
      </c>
      <c r="MC25" s="294">
        <v>28.4</v>
      </c>
      <c r="MD25" s="393">
        <v>0.16500000000000001</v>
      </c>
      <c r="ME25" s="337">
        <v>112</v>
      </c>
      <c r="MF25" s="337">
        <v>74</v>
      </c>
      <c r="MG25" s="393">
        <v>0.6607142857142857</v>
      </c>
      <c r="MH25" s="393">
        <v>0.56900068068677867</v>
      </c>
      <c r="MI25" s="393">
        <v>0.74176888632741789</v>
      </c>
      <c r="MJ25" s="337">
        <v>34</v>
      </c>
      <c r="MK25" s="337">
        <v>22</v>
      </c>
      <c r="ML25" s="294">
        <v>27.40909090909091</v>
      </c>
      <c r="MM25" s="93">
        <v>0.19385026737967911</v>
      </c>
      <c r="MN25" s="17">
        <v>0.923408189033189</v>
      </c>
      <c r="MO25" s="17">
        <v>7.6591810966810961E-2</v>
      </c>
      <c r="MP25" s="17">
        <v>4.2492043037232537E-2</v>
      </c>
      <c r="MQ25" s="17">
        <v>0.16780102074279987</v>
      </c>
      <c r="MR25" s="17">
        <v>0.93233676046176039</v>
      </c>
      <c r="MS25" s="17">
        <v>6.7663239538239536E-2</v>
      </c>
      <c r="MT25" s="17">
        <v>3.4389161893526081E-2</v>
      </c>
      <c r="MU25" s="17">
        <v>0.15233056050680582</v>
      </c>
      <c r="MV25" s="17">
        <v>0.923408189033189</v>
      </c>
      <c r="MW25" s="17">
        <v>7.6591810966810961E-2</v>
      </c>
      <c r="MX25" s="17">
        <v>4.2492043037232537E-2</v>
      </c>
      <c r="MY25" s="17">
        <v>0.16780102074279987</v>
      </c>
      <c r="MZ25" s="17">
        <v>0.85197961760461771</v>
      </c>
      <c r="NA25" s="17">
        <v>0.1480203823953824</v>
      </c>
      <c r="NB25" s="17">
        <v>0.11556188621286038</v>
      </c>
      <c r="NC25" s="93">
        <v>0.28331790860477624</v>
      </c>
      <c r="ND25" s="337">
        <v>9</v>
      </c>
      <c r="NE25" s="337">
        <v>64</v>
      </c>
      <c r="NF25" s="393">
        <v>0.140625</v>
      </c>
      <c r="NG25" s="393">
        <v>7.5785725560308589E-2</v>
      </c>
      <c r="NH25" s="393">
        <v>0.2461628174157702</v>
      </c>
      <c r="NI25" s="337">
        <v>9</v>
      </c>
      <c r="NJ25" s="337">
        <v>64</v>
      </c>
      <c r="NK25" s="393">
        <v>0.140625</v>
      </c>
      <c r="NL25" s="393">
        <v>7.5785725560308589E-2</v>
      </c>
      <c r="NM25" s="393">
        <v>0.2461628174157702</v>
      </c>
      <c r="NN25" s="337">
        <v>8</v>
      </c>
      <c r="NO25" s="337">
        <v>64</v>
      </c>
      <c r="NP25" s="393">
        <v>0.125</v>
      </c>
      <c r="NQ25" s="393">
        <v>6.4722426633304547E-2</v>
      </c>
      <c r="NR25" s="393">
        <v>0.22774561821129938</v>
      </c>
      <c r="NS25" s="337">
        <v>10</v>
      </c>
      <c r="NT25" s="337">
        <v>64</v>
      </c>
      <c r="NU25" s="393">
        <v>0.15625</v>
      </c>
      <c r="NV25" s="393">
        <v>8.7148423382065868E-2</v>
      </c>
      <c r="NW25" s="93">
        <v>0.26428061772548772</v>
      </c>
      <c r="NX25" s="3">
        <v>35</v>
      </c>
      <c r="NY25" s="3">
        <v>35</v>
      </c>
      <c r="NZ25" s="3">
        <v>35</v>
      </c>
      <c r="OA25" s="3">
        <v>35</v>
      </c>
      <c r="OB25" s="3">
        <v>35</v>
      </c>
      <c r="OC25" s="3">
        <v>18</v>
      </c>
      <c r="OD25" s="3">
        <v>16</v>
      </c>
      <c r="OE25" s="3">
        <v>18</v>
      </c>
      <c r="OF25" s="3">
        <v>16</v>
      </c>
      <c r="OG25" s="3">
        <v>18</v>
      </c>
      <c r="OH25" s="3">
        <v>18</v>
      </c>
      <c r="OI25" s="3">
        <v>16</v>
      </c>
      <c r="OJ25" s="3">
        <v>18</v>
      </c>
      <c r="OK25" s="3">
        <v>30</v>
      </c>
      <c r="OL25" s="3">
        <v>30</v>
      </c>
      <c r="OM25" s="3">
        <v>30</v>
      </c>
      <c r="ON25" s="3">
        <v>29</v>
      </c>
      <c r="OO25" s="3">
        <v>30</v>
      </c>
      <c r="OP25" s="3">
        <v>30</v>
      </c>
      <c r="OQ25" s="3">
        <v>29</v>
      </c>
      <c r="OR25" s="3">
        <v>29</v>
      </c>
      <c r="OS25" s="3">
        <v>29</v>
      </c>
      <c r="OT25" s="6">
        <v>30</v>
      </c>
      <c r="OU25" s="3">
        <v>92</v>
      </c>
      <c r="OV25" s="22">
        <v>0.95699999999999996</v>
      </c>
      <c r="OW25" s="22">
        <v>0</v>
      </c>
      <c r="OX25" s="22">
        <v>0.95699999999999996</v>
      </c>
      <c r="OY25" s="3">
        <v>88</v>
      </c>
      <c r="OZ25" s="3">
        <v>0</v>
      </c>
      <c r="PA25" s="3">
        <v>88</v>
      </c>
      <c r="PB25" s="3">
        <v>83</v>
      </c>
      <c r="PC25" s="22">
        <v>1</v>
      </c>
      <c r="PD25" s="22">
        <v>0.91600000000000004</v>
      </c>
      <c r="PE25" s="22">
        <v>0.98799999999999999</v>
      </c>
      <c r="PF25" s="22">
        <v>0.92800000000000005</v>
      </c>
      <c r="PG25" s="22">
        <v>0.92800000000000005</v>
      </c>
      <c r="PH25" s="3">
        <v>83</v>
      </c>
      <c r="PI25" s="3">
        <v>76</v>
      </c>
      <c r="PJ25" s="3">
        <v>82</v>
      </c>
      <c r="PK25" s="3">
        <v>77</v>
      </c>
      <c r="PL25" s="3">
        <v>77</v>
      </c>
      <c r="PM25" s="3">
        <v>111</v>
      </c>
      <c r="PN25" s="22">
        <v>0.95499999999999996</v>
      </c>
      <c r="PO25" s="22">
        <v>0.92800000000000005</v>
      </c>
      <c r="PP25" s="22">
        <v>0.95499999999999996</v>
      </c>
      <c r="PQ25" s="22">
        <v>0.95499999999999996</v>
      </c>
      <c r="PR25" s="22">
        <v>0.96399999999999997</v>
      </c>
      <c r="PS25" s="22">
        <v>0.72099999999999997</v>
      </c>
      <c r="PT25" s="22">
        <v>0.91900000000000004</v>
      </c>
      <c r="PU25" s="22">
        <v>0.90100000000000002</v>
      </c>
      <c r="PV25" s="22">
        <v>0.95499999999999996</v>
      </c>
      <c r="PW25" s="22">
        <v>0.89200000000000002</v>
      </c>
      <c r="PX25" s="3">
        <v>106</v>
      </c>
      <c r="PY25" s="3">
        <v>103</v>
      </c>
      <c r="PZ25" s="3">
        <v>106</v>
      </c>
      <c r="QA25" s="3">
        <v>106</v>
      </c>
      <c r="QB25" s="3">
        <v>107</v>
      </c>
      <c r="QC25" s="3">
        <v>80</v>
      </c>
      <c r="QD25" s="3">
        <v>102</v>
      </c>
      <c r="QE25" s="3">
        <v>100</v>
      </c>
      <c r="QF25" s="3">
        <v>106</v>
      </c>
      <c r="QG25" s="6">
        <v>99</v>
      </c>
      <c r="QH25" s="37">
        <v>84</v>
      </c>
      <c r="QI25" s="17">
        <v>0.9285714285714286</v>
      </c>
      <c r="QJ25" s="17">
        <v>0.23809523809523808</v>
      </c>
      <c r="QK25" s="17">
        <v>0.94047619047619047</v>
      </c>
      <c r="QL25" s="37">
        <v>78</v>
      </c>
      <c r="QM25" s="37">
        <v>20</v>
      </c>
      <c r="QN25" s="37">
        <v>79</v>
      </c>
      <c r="QO25" s="37">
        <v>100</v>
      </c>
      <c r="QP25" s="17">
        <v>0.99</v>
      </c>
      <c r="QQ25" s="17">
        <v>0.95</v>
      </c>
      <c r="QR25" s="17">
        <v>0.72</v>
      </c>
      <c r="QS25" s="17">
        <v>0.96</v>
      </c>
      <c r="QT25" s="17">
        <v>0.71</v>
      </c>
      <c r="QU25" s="37">
        <v>99</v>
      </c>
      <c r="QV25" s="37">
        <v>95</v>
      </c>
      <c r="QW25" s="37">
        <v>72</v>
      </c>
      <c r="QX25" s="37">
        <v>96</v>
      </c>
      <c r="QY25" s="37">
        <v>71</v>
      </c>
      <c r="QZ25" s="3">
        <v>110</v>
      </c>
      <c r="RA25" s="17">
        <v>0.99090909090909096</v>
      </c>
      <c r="RB25" s="17">
        <v>0.9363636363636364</v>
      </c>
      <c r="RC25" s="17">
        <v>0.99090909090909096</v>
      </c>
      <c r="RD25" s="17">
        <v>0.99090909090909096</v>
      </c>
      <c r="RE25" s="17">
        <v>0.73636363636363633</v>
      </c>
      <c r="RF25" s="17">
        <v>0.8</v>
      </c>
      <c r="RG25" s="17">
        <v>0.86363636363636365</v>
      </c>
      <c r="RH25" s="17">
        <v>0.95454545454545459</v>
      </c>
      <c r="RI25" s="17">
        <v>0.72727272727272729</v>
      </c>
      <c r="RJ25" s="17">
        <v>0.5636363636363636</v>
      </c>
      <c r="RK25" s="37">
        <v>109</v>
      </c>
      <c r="RL25" s="37">
        <v>103</v>
      </c>
      <c r="RM25" s="37">
        <v>109</v>
      </c>
      <c r="RN25" s="37">
        <v>109</v>
      </c>
      <c r="RO25" s="37">
        <v>81</v>
      </c>
      <c r="RP25" s="37">
        <v>88</v>
      </c>
      <c r="RQ25" s="37">
        <v>95</v>
      </c>
      <c r="RR25" s="37">
        <v>105</v>
      </c>
      <c r="RS25" s="37">
        <v>80</v>
      </c>
      <c r="RT25" s="38">
        <v>61.999999999999993</v>
      </c>
    </row>
    <row r="26" spans="1:488" s="3" customFormat="1" ht="12.75" x14ac:dyDescent="0.2">
      <c r="A26" s="9" t="s">
        <v>39</v>
      </c>
      <c r="B26" s="6">
        <v>7</v>
      </c>
      <c r="C26" s="9" t="s">
        <v>157</v>
      </c>
      <c r="D26" s="9" t="s">
        <v>158</v>
      </c>
      <c r="E26" s="9" t="s">
        <v>286</v>
      </c>
      <c r="F26" s="9" t="s">
        <v>286</v>
      </c>
      <c r="G26" s="9" t="s">
        <v>159</v>
      </c>
      <c r="H26" s="9" t="s">
        <v>75</v>
      </c>
      <c r="I26" s="9" t="s">
        <v>82</v>
      </c>
      <c r="J26" s="9" t="s">
        <v>268</v>
      </c>
      <c r="K26" s="9" t="s">
        <v>367</v>
      </c>
      <c r="L26" s="9" t="s">
        <v>271</v>
      </c>
      <c r="M26" s="9" t="s">
        <v>865</v>
      </c>
      <c r="N26" s="3" t="s">
        <v>403</v>
      </c>
      <c r="O26" s="9">
        <v>502458</v>
      </c>
      <c r="P26" s="9">
        <v>102632</v>
      </c>
      <c r="Q26" s="109">
        <v>21834</v>
      </c>
      <c r="R26" s="109">
        <v>80206</v>
      </c>
      <c r="S26" s="310" t="s">
        <v>797</v>
      </c>
      <c r="T26" s="36">
        <v>18535</v>
      </c>
      <c r="U26" s="37">
        <v>18740</v>
      </c>
      <c r="V26" s="37">
        <v>18880</v>
      </c>
      <c r="W26" s="37">
        <v>19110</v>
      </c>
      <c r="X26" s="37">
        <v>19395</v>
      </c>
      <c r="Y26" s="37">
        <v>19645</v>
      </c>
      <c r="Z26" s="37">
        <v>19930</v>
      </c>
      <c r="AA26" s="37">
        <v>20235</v>
      </c>
      <c r="AB26" s="37">
        <v>20490</v>
      </c>
      <c r="AC26" s="42">
        <v>20867</v>
      </c>
      <c r="AD26" s="42">
        <v>21076</v>
      </c>
      <c r="AE26" s="36">
        <v>995</v>
      </c>
      <c r="AF26" s="37">
        <v>1000</v>
      </c>
      <c r="AG26" s="37">
        <v>1025</v>
      </c>
      <c r="AH26" s="37">
        <v>1065</v>
      </c>
      <c r="AI26" s="37">
        <v>1165</v>
      </c>
      <c r="AJ26" s="37">
        <v>1225</v>
      </c>
      <c r="AK26" s="37">
        <v>1320</v>
      </c>
      <c r="AL26" s="37">
        <v>1410</v>
      </c>
      <c r="AM26" s="37">
        <v>1430</v>
      </c>
      <c r="AN26" s="42">
        <v>1446</v>
      </c>
      <c r="AO26" s="42">
        <v>1451</v>
      </c>
      <c r="AP26" s="13">
        <v>1280</v>
      </c>
      <c r="AQ26" s="3">
        <v>1068</v>
      </c>
      <c r="AR26" s="3">
        <v>97</v>
      </c>
      <c r="AS26" s="3">
        <v>59</v>
      </c>
      <c r="AT26" s="3">
        <v>44</v>
      </c>
      <c r="AU26" s="3">
        <v>6</v>
      </c>
      <c r="AV26" s="3">
        <v>6</v>
      </c>
      <c r="AW26" s="9">
        <v>212</v>
      </c>
      <c r="AX26" s="16">
        <v>0.83437499999999998</v>
      </c>
      <c r="AY26" s="17">
        <v>7.5781249999999994E-2</v>
      </c>
      <c r="AZ26" s="17">
        <v>4.6093750000000003E-2</v>
      </c>
      <c r="BA26" s="17">
        <v>3.4375000000000003E-2</v>
      </c>
      <c r="BB26" s="17">
        <v>4.6874999999999998E-3</v>
      </c>
      <c r="BC26" s="17">
        <v>4.6874999999999998E-3</v>
      </c>
      <c r="BD26" s="18">
        <v>0.16562500000000002</v>
      </c>
      <c r="BE26" s="13">
        <v>2884</v>
      </c>
      <c r="BF26" s="3">
        <v>2719</v>
      </c>
      <c r="BG26" s="3">
        <v>165</v>
      </c>
      <c r="BH26" s="3">
        <v>134</v>
      </c>
      <c r="BI26" s="3">
        <v>31</v>
      </c>
      <c r="BJ26" s="17">
        <v>0.81212121212121213</v>
      </c>
      <c r="BK26" s="18">
        <v>0.18787878787878787</v>
      </c>
      <c r="BL26" s="13">
        <v>2345</v>
      </c>
      <c r="BM26" s="17">
        <v>0.4166311300639659</v>
      </c>
      <c r="BN26" s="17">
        <v>0.2298507462686567</v>
      </c>
      <c r="BO26" s="18">
        <v>0.35351812366737739</v>
      </c>
      <c r="BP26" s="36">
        <v>5509</v>
      </c>
      <c r="BQ26" s="37">
        <v>464</v>
      </c>
      <c r="BR26" s="37">
        <v>346</v>
      </c>
      <c r="BS26" s="37">
        <v>223</v>
      </c>
      <c r="BT26" s="37">
        <v>4123</v>
      </c>
      <c r="BU26" s="37">
        <v>2358</v>
      </c>
      <c r="BV26" s="18">
        <v>0.15903307888040713</v>
      </c>
      <c r="BW26" s="36">
        <v>1004</v>
      </c>
      <c r="BX26" s="37">
        <v>2</v>
      </c>
      <c r="BY26" s="37">
        <v>421</v>
      </c>
      <c r="BZ26" s="37">
        <v>698</v>
      </c>
      <c r="CA26" s="37">
        <v>245</v>
      </c>
      <c r="CB26" s="38">
        <v>2370</v>
      </c>
      <c r="CC26" s="37">
        <v>1047</v>
      </c>
      <c r="CD26" s="37">
        <v>766</v>
      </c>
      <c r="CE26" s="37">
        <v>277</v>
      </c>
      <c r="CF26" s="37">
        <v>281</v>
      </c>
      <c r="CG26" s="17">
        <v>0.26456542502387775</v>
      </c>
      <c r="CH26" s="93">
        <v>0.26838586437440304</v>
      </c>
      <c r="CI26" s="37">
        <v>275</v>
      </c>
      <c r="CJ26" s="37">
        <v>270</v>
      </c>
      <c r="CK26" s="37">
        <v>235</v>
      </c>
      <c r="CL26" s="37">
        <v>225</v>
      </c>
      <c r="CM26" s="42">
        <v>185</v>
      </c>
      <c r="CN26" s="42">
        <v>205</v>
      </c>
      <c r="CO26" s="36">
        <v>697</v>
      </c>
      <c r="CP26" s="37">
        <v>280</v>
      </c>
      <c r="CQ26" s="17">
        <v>0.40172166427546629</v>
      </c>
      <c r="CR26" s="38">
        <v>56</v>
      </c>
      <c r="CS26" s="37">
        <v>274</v>
      </c>
      <c r="CT26" s="37">
        <v>269</v>
      </c>
      <c r="CU26" s="37">
        <v>294</v>
      </c>
      <c r="CV26" s="37">
        <v>320</v>
      </c>
      <c r="CW26" s="37">
        <v>285</v>
      </c>
      <c r="CX26" s="526" t="s">
        <v>471</v>
      </c>
      <c r="CY26" s="568">
        <v>240</v>
      </c>
      <c r="CZ26" s="37">
        <v>30</v>
      </c>
      <c r="DA26" s="37">
        <v>21</v>
      </c>
      <c r="DB26" s="37">
        <v>30</v>
      </c>
      <c r="DC26" s="37">
        <v>19</v>
      </c>
      <c r="DD26" s="37">
        <v>17</v>
      </c>
      <c r="DE26" s="528" t="s">
        <v>471</v>
      </c>
      <c r="DF26" s="716">
        <v>13</v>
      </c>
      <c r="DG26" s="13">
        <v>35</v>
      </c>
      <c r="DH26" s="13">
        <v>18</v>
      </c>
      <c r="DI26" s="17">
        <v>6.3157894736842107E-2</v>
      </c>
      <c r="DJ26" s="17">
        <v>4.0320286324222479E-2</v>
      </c>
      <c r="DK26" s="18">
        <v>9.7615102118150499E-2</v>
      </c>
      <c r="DL26" s="425" t="s">
        <v>286</v>
      </c>
      <c r="DM26" s="258" t="s">
        <v>286</v>
      </c>
      <c r="DN26" s="258" t="s">
        <v>286</v>
      </c>
      <c r="DO26" s="258" t="s">
        <v>286</v>
      </c>
      <c r="DP26" s="337">
        <v>24</v>
      </c>
      <c r="DQ26" s="393">
        <v>0.1</v>
      </c>
      <c r="DR26" s="393">
        <v>6.8123530393422616E-2</v>
      </c>
      <c r="DS26" s="393">
        <v>0.14447960555982442</v>
      </c>
      <c r="DT26" s="13">
        <v>17</v>
      </c>
      <c r="DU26" s="18">
        <v>1.328125E-2</v>
      </c>
      <c r="DV26" s="328">
        <v>1</v>
      </c>
      <c r="DW26" s="333">
        <v>1</v>
      </c>
      <c r="DX26" s="337">
        <v>1</v>
      </c>
      <c r="DY26" s="393">
        <v>0.29221021897810218</v>
      </c>
      <c r="DZ26" s="337">
        <v>1</v>
      </c>
      <c r="EA26" s="93">
        <v>0.2784550929562713</v>
      </c>
      <c r="EB26" s="3">
        <v>653</v>
      </c>
      <c r="EC26" s="18">
        <v>7.3927318012000448E-2</v>
      </c>
      <c r="ED26" s="13">
        <v>380</v>
      </c>
      <c r="EE26" s="3">
        <v>445</v>
      </c>
      <c r="EF26" s="3">
        <v>420</v>
      </c>
      <c r="EG26" s="3">
        <v>390</v>
      </c>
      <c r="EH26" s="9">
        <v>345</v>
      </c>
      <c r="EI26" s="9">
        <v>310</v>
      </c>
      <c r="EJ26" s="13">
        <v>340</v>
      </c>
      <c r="EK26" s="17">
        <v>0.29565217391304349</v>
      </c>
      <c r="EL26" s="17">
        <v>0.26999321425261008</v>
      </c>
      <c r="EM26" s="17">
        <v>0.32267179495899123</v>
      </c>
      <c r="EN26" s="3">
        <v>395</v>
      </c>
      <c r="EO26" s="17">
        <v>0.32644628099173556</v>
      </c>
      <c r="EP26" s="17">
        <v>0.30061076487427069</v>
      </c>
      <c r="EQ26" s="17">
        <v>0.35338029223787448</v>
      </c>
      <c r="ER26" s="3">
        <v>395</v>
      </c>
      <c r="ES26" s="17">
        <v>0.30739299610894943</v>
      </c>
      <c r="ET26" s="17">
        <v>0.28276991603411777</v>
      </c>
      <c r="EU26" s="17">
        <v>0.33316422651516747</v>
      </c>
      <c r="EV26" s="3">
        <v>415</v>
      </c>
      <c r="EW26" s="17">
        <v>0.31800766283524906</v>
      </c>
      <c r="EX26" s="17">
        <v>0.29330639848982759</v>
      </c>
      <c r="EY26" s="17">
        <v>0.34377722474137007</v>
      </c>
      <c r="EZ26" s="3">
        <v>380</v>
      </c>
      <c r="FA26" s="18">
        <v>0.27737226277372262</v>
      </c>
      <c r="FB26" s="18">
        <v>0.25431274451357455</v>
      </c>
      <c r="FC26" s="18">
        <v>0.30167677954430028</v>
      </c>
      <c r="FD26" s="337">
        <v>370</v>
      </c>
      <c r="FE26" s="18">
        <v>0.26714801444043323</v>
      </c>
      <c r="FF26" s="18">
        <v>0.24451265112423481</v>
      </c>
      <c r="FG26" s="393">
        <v>0.29107148923712201</v>
      </c>
      <c r="FH26" s="425" t="s">
        <v>286</v>
      </c>
      <c r="FI26" s="258" t="s">
        <v>286</v>
      </c>
      <c r="FJ26" s="258" t="s">
        <v>286</v>
      </c>
      <c r="FK26" s="258" t="s">
        <v>286</v>
      </c>
      <c r="FL26" s="36">
        <v>970</v>
      </c>
      <c r="FM26" s="18">
        <v>0.27323943661971833</v>
      </c>
      <c r="FN26" s="42">
        <v>1095</v>
      </c>
      <c r="FO26" s="18">
        <v>0.29554655870445345</v>
      </c>
      <c r="FP26" s="42">
        <v>1035</v>
      </c>
      <c r="FQ26" s="18">
        <v>0.27094240837696337</v>
      </c>
      <c r="FR26" s="42">
        <v>1070</v>
      </c>
      <c r="FS26" s="18">
        <v>0.27973856209150327</v>
      </c>
      <c r="FT26" s="42">
        <v>1010</v>
      </c>
      <c r="FU26" s="18">
        <v>0.25602027883396705</v>
      </c>
      <c r="FV26" s="42">
        <v>975</v>
      </c>
      <c r="FW26" s="393">
        <v>0.24253731343283583</v>
      </c>
      <c r="FX26" s="114" t="s">
        <v>286</v>
      </c>
      <c r="FY26" s="259" t="s">
        <v>286</v>
      </c>
      <c r="FZ26" s="3">
        <v>282</v>
      </c>
      <c r="GA26" s="3">
        <v>14</v>
      </c>
      <c r="GB26" s="3">
        <v>268</v>
      </c>
      <c r="GC26" s="17">
        <v>0.95035460992907805</v>
      </c>
      <c r="GD26" s="3">
        <v>87</v>
      </c>
      <c r="GE26" s="3">
        <v>115</v>
      </c>
      <c r="GF26" s="17">
        <v>0.32462686567164178</v>
      </c>
      <c r="GG26" s="17">
        <v>0.42910447761194032</v>
      </c>
      <c r="GH26" s="17">
        <v>0.2713876119009872</v>
      </c>
      <c r="GI26" s="17">
        <v>0.38282278121029534</v>
      </c>
      <c r="GJ26" s="17">
        <v>0.37125981974450212</v>
      </c>
      <c r="GK26" s="93">
        <v>0.48895289236431427</v>
      </c>
      <c r="GL26" s="337">
        <v>259</v>
      </c>
      <c r="GM26" s="337">
        <v>81</v>
      </c>
      <c r="GN26" s="337">
        <v>23</v>
      </c>
      <c r="GO26" s="337">
        <v>104</v>
      </c>
      <c r="GP26" s="393">
        <v>0.31274131274131273</v>
      </c>
      <c r="GQ26" s="393">
        <v>0.40154440154440152</v>
      </c>
      <c r="GR26" s="393">
        <v>0.25936414284982529</v>
      </c>
      <c r="GS26" s="393">
        <v>0.37159209809018673</v>
      </c>
      <c r="GT26" s="393">
        <v>0.34370283708818516</v>
      </c>
      <c r="GU26" s="93">
        <v>0.46226384629264589</v>
      </c>
      <c r="GV26" s="42">
        <v>262</v>
      </c>
      <c r="GW26" s="42">
        <v>28</v>
      </c>
      <c r="GX26" s="42">
        <v>234</v>
      </c>
      <c r="GY26" s="393">
        <f t="shared" si="2"/>
        <v>0.89312977099236646</v>
      </c>
      <c r="GZ26" s="42">
        <v>71</v>
      </c>
      <c r="HA26" s="42">
        <v>29</v>
      </c>
      <c r="HB26" s="42">
        <v>100</v>
      </c>
      <c r="HC26" s="393">
        <v>0.3034188034188034</v>
      </c>
      <c r="HD26" s="393">
        <v>0.42735042735042733</v>
      </c>
      <c r="HE26" s="393">
        <v>0.24808093745949228</v>
      </c>
      <c r="HF26" s="393">
        <v>0.36510676977973339</v>
      </c>
      <c r="HG26" s="393">
        <v>0.36564324393893594</v>
      </c>
      <c r="HH26" s="93">
        <v>0.49140438699729966</v>
      </c>
      <c r="HI26" s="696">
        <v>203</v>
      </c>
      <c r="HJ26" s="696">
        <v>19</v>
      </c>
      <c r="HK26" s="696">
        <v>184</v>
      </c>
      <c r="HL26" s="697">
        <v>0.90640394088669951</v>
      </c>
      <c r="HM26" s="696">
        <v>65</v>
      </c>
      <c r="HN26" s="696">
        <v>16</v>
      </c>
      <c r="HO26" s="696">
        <v>81</v>
      </c>
      <c r="HP26" s="697">
        <v>0.35326086956521741</v>
      </c>
      <c r="HQ26" s="697">
        <v>0.44021739130434784</v>
      </c>
      <c r="HR26" s="697">
        <v>0.28784180182542746</v>
      </c>
      <c r="HS26" s="697">
        <v>0.42468172552033162</v>
      </c>
      <c r="HT26" s="697">
        <v>0.37043969811897332</v>
      </c>
      <c r="HU26" s="698">
        <v>0.51244025746633592</v>
      </c>
      <c r="HV26" s="3">
        <v>155</v>
      </c>
      <c r="HW26" s="3">
        <v>7</v>
      </c>
      <c r="HX26" s="17">
        <v>4.5161290322580643E-2</v>
      </c>
      <c r="HY26" s="17">
        <v>2.2045753492620307E-2</v>
      </c>
      <c r="HZ26" s="17">
        <v>9.0276677648195372E-2</v>
      </c>
      <c r="IA26" s="267" t="s">
        <v>708</v>
      </c>
      <c r="IB26" s="3">
        <v>201</v>
      </c>
      <c r="IC26" s="3">
        <v>20</v>
      </c>
      <c r="ID26" s="17">
        <v>9.950248756218906E-2</v>
      </c>
      <c r="IE26" s="17">
        <v>6.5338926232430275E-2</v>
      </c>
      <c r="IF26" s="17">
        <v>0.14868737036346685</v>
      </c>
      <c r="IG26" s="3" t="s">
        <v>707</v>
      </c>
      <c r="IH26" s="3">
        <v>151</v>
      </c>
      <c r="II26" s="3">
        <v>12</v>
      </c>
      <c r="IJ26" s="17">
        <v>7.9470198675496692E-2</v>
      </c>
      <c r="IK26" s="17">
        <v>4.604266587121892E-2</v>
      </c>
      <c r="IL26" s="17">
        <v>0.13376356324041994</v>
      </c>
      <c r="IM26" s="3" t="s">
        <v>707</v>
      </c>
      <c r="IN26" s="3">
        <v>218</v>
      </c>
      <c r="IO26" s="3">
        <v>21</v>
      </c>
      <c r="IP26" s="17">
        <v>9.6330275229357804E-2</v>
      </c>
      <c r="IQ26" s="17">
        <v>6.3870955682172159E-2</v>
      </c>
      <c r="IR26" s="17">
        <v>0.14276967436230478</v>
      </c>
      <c r="IS26" s="3" t="s">
        <v>707</v>
      </c>
      <c r="IT26" s="3">
        <v>152</v>
      </c>
      <c r="IU26" s="3">
        <v>20</v>
      </c>
      <c r="IV26" s="17">
        <v>0.13157894736842105</v>
      </c>
      <c r="IW26" s="17">
        <v>8.6817115241413903E-2</v>
      </c>
      <c r="IX26" s="17">
        <v>0.19450378070282009</v>
      </c>
      <c r="IY26" s="9" t="s">
        <v>707</v>
      </c>
      <c r="IZ26" s="9">
        <v>226</v>
      </c>
      <c r="JA26" s="9">
        <v>27</v>
      </c>
      <c r="JB26" s="393">
        <v>0.11946902654867257</v>
      </c>
      <c r="JC26" s="393">
        <v>8.3418570013079674E-2</v>
      </c>
      <c r="JD26" s="393">
        <v>0.16823950384999084</v>
      </c>
      <c r="JE26" s="9" t="str">
        <f t="shared" si="0"/>
        <v>No Sig diff</v>
      </c>
      <c r="JF26" s="9">
        <v>239</v>
      </c>
      <c r="JG26" s="109">
        <v>25</v>
      </c>
      <c r="JH26" s="258">
        <v>0.10460251046025104</v>
      </c>
      <c r="JI26" s="258">
        <v>7.1860777665584366E-2</v>
      </c>
      <c r="JJ26" s="258">
        <v>0.14985366550307089</v>
      </c>
      <c r="JK26" s="662" t="str">
        <f t="shared" si="3"/>
        <v>No Sig diff</v>
      </c>
      <c r="JL26" s="3">
        <v>168</v>
      </c>
      <c r="JM26" s="3">
        <v>28</v>
      </c>
      <c r="JN26" s="17">
        <v>0.16666666666666666</v>
      </c>
      <c r="JO26" s="17">
        <v>0.11790131485380641</v>
      </c>
      <c r="JP26" s="17">
        <v>0.23033513071277231</v>
      </c>
      <c r="JQ26" s="3" t="s">
        <v>707</v>
      </c>
      <c r="JR26" s="3">
        <v>185</v>
      </c>
      <c r="JS26" s="3">
        <v>34</v>
      </c>
      <c r="JT26" s="17">
        <v>0.18378378378378379</v>
      </c>
      <c r="JU26" s="17">
        <v>0.13460281913919561</v>
      </c>
      <c r="JV26" s="17">
        <v>0.2458298425725948</v>
      </c>
      <c r="JW26" s="3" t="s">
        <v>707</v>
      </c>
      <c r="JX26" s="3">
        <v>192</v>
      </c>
      <c r="JY26" s="3">
        <v>57</v>
      </c>
      <c r="JZ26" s="17">
        <v>0.296875</v>
      </c>
      <c r="KA26" s="17">
        <v>0.23674735383073847</v>
      </c>
      <c r="KB26" s="17">
        <v>0.36497129925888039</v>
      </c>
      <c r="KC26" s="3" t="s">
        <v>709</v>
      </c>
      <c r="KD26" s="3">
        <v>188</v>
      </c>
      <c r="KE26" s="3">
        <v>39</v>
      </c>
      <c r="KF26" s="17">
        <v>0.20744680851063829</v>
      </c>
      <c r="KG26" s="17">
        <v>0.15562878542840139</v>
      </c>
      <c r="KH26" s="17">
        <v>0.27098107942457483</v>
      </c>
      <c r="KI26" s="3" t="s">
        <v>707</v>
      </c>
      <c r="KJ26" s="3">
        <v>177</v>
      </c>
      <c r="KK26" s="3">
        <v>46</v>
      </c>
      <c r="KL26" s="17">
        <v>0.25988700564971751</v>
      </c>
      <c r="KM26" s="17">
        <v>0.20086381173797546</v>
      </c>
      <c r="KN26" s="17">
        <v>0.32911122521260433</v>
      </c>
      <c r="KO26" s="465" t="s">
        <v>709</v>
      </c>
      <c r="KP26" s="465">
        <v>211</v>
      </c>
      <c r="KQ26" s="465">
        <v>39</v>
      </c>
      <c r="KR26" s="393">
        <v>0.18483412322274881</v>
      </c>
      <c r="KS26" s="393">
        <v>0.13826013360781605</v>
      </c>
      <c r="KT26" s="393">
        <v>0.24267871902303814</v>
      </c>
      <c r="KU26" s="465" t="s">
        <v>772</v>
      </c>
      <c r="KV26" s="465">
        <v>200</v>
      </c>
      <c r="KW26" s="465">
        <v>33</v>
      </c>
      <c r="KX26" s="393">
        <v>0.16500000000000001</v>
      </c>
      <c r="KY26" s="393">
        <v>0.11996855328217311</v>
      </c>
      <c r="KZ26" s="393">
        <v>0.22265781539059551</v>
      </c>
      <c r="LA26" s="660" t="str">
        <f t="shared" si="4"/>
        <v>No Sig diff</v>
      </c>
      <c r="LB26" s="3">
        <v>250</v>
      </c>
      <c r="LC26" s="3">
        <v>132</v>
      </c>
      <c r="LD26" s="17">
        <v>0.52800000000000002</v>
      </c>
      <c r="LE26" s="17">
        <v>0.46616258903849139</v>
      </c>
      <c r="LF26" s="17">
        <v>0.58898994618976364</v>
      </c>
      <c r="LG26" s="3">
        <v>250</v>
      </c>
      <c r="LH26" s="3">
        <v>34</v>
      </c>
      <c r="LI26" s="3">
        <v>50</v>
      </c>
      <c r="LJ26" s="293">
        <v>22.36</v>
      </c>
      <c r="LK26" s="17">
        <v>0.34235294117647058</v>
      </c>
      <c r="LL26" s="3">
        <v>253</v>
      </c>
      <c r="LM26" s="3">
        <v>137</v>
      </c>
      <c r="LN26" s="17">
        <v>0.54150197628458496</v>
      </c>
      <c r="LO26" s="17">
        <v>0.47994063804216835</v>
      </c>
      <c r="LP26" s="17">
        <v>0.6018218628267451</v>
      </c>
      <c r="LQ26" s="3">
        <v>253</v>
      </c>
      <c r="LR26" s="3">
        <v>34</v>
      </c>
      <c r="LS26" s="3">
        <v>50</v>
      </c>
      <c r="LT26" s="293">
        <v>24.740000000000006</v>
      </c>
      <c r="LU26" s="18">
        <v>0.27235294117647041</v>
      </c>
      <c r="LV26" s="42">
        <v>262</v>
      </c>
      <c r="LW26" s="42">
        <v>148</v>
      </c>
      <c r="LX26" s="18">
        <v>0.56488549618320616</v>
      </c>
      <c r="LY26" s="18">
        <v>0.50434429181150175</v>
      </c>
      <c r="LZ26" s="18">
        <v>0.62355148543418537</v>
      </c>
      <c r="MA26" s="337">
        <v>34</v>
      </c>
      <c r="MB26" s="337">
        <v>52</v>
      </c>
      <c r="MC26" s="294">
        <v>23</v>
      </c>
      <c r="MD26" s="393">
        <v>0.32200000000000001</v>
      </c>
      <c r="ME26" s="337">
        <v>274</v>
      </c>
      <c r="MF26" s="337">
        <v>161</v>
      </c>
      <c r="MG26" s="393">
        <v>0.58759124087591241</v>
      </c>
      <c r="MH26" s="393">
        <v>0.52848451226539706</v>
      </c>
      <c r="MI26" s="393">
        <v>0.64427588211108422</v>
      </c>
      <c r="MJ26" s="337">
        <v>34</v>
      </c>
      <c r="MK26" s="337">
        <v>54</v>
      </c>
      <c r="ML26" s="294">
        <v>22.537037037037038</v>
      </c>
      <c r="MM26" s="93">
        <v>0.33714596949891062</v>
      </c>
      <c r="MN26" s="17">
        <v>0.83216741591741583</v>
      </c>
      <c r="MO26" s="17">
        <v>0.16783258408258406</v>
      </c>
      <c r="MP26" s="17">
        <v>0.13481123375916229</v>
      </c>
      <c r="MQ26" s="17">
        <v>0.24417148861634683</v>
      </c>
      <c r="MR26" s="17">
        <v>0.84033272283272276</v>
      </c>
      <c r="MS26" s="17">
        <v>0.15966727716727719</v>
      </c>
      <c r="MT26" s="17">
        <v>0.12060131558197143</v>
      </c>
      <c r="MU26" s="17">
        <v>0.22580925295913523</v>
      </c>
      <c r="MV26" s="17">
        <v>0.81671092796092803</v>
      </c>
      <c r="MW26" s="17">
        <v>0.18328907203907199</v>
      </c>
      <c r="MX26" s="17">
        <v>0.14772594103731715</v>
      </c>
      <c r="MY26" s="17">
        <v>0.2599586367030608</v>
      </c>
      <c r="MZ26" s="17">
        <v>0.6699114774114775</v>
      </c>
      <c r="NA26" s="17">
        <v>0.33008852258852261</v>
      </c>
      <c r="NB26" s="17">
        <v>0.27049843060050693</v>
      </c>
      <c r="NC26" s="93">
        <v>0.40270685367004644</v>
      </c>
      <c r="ND26" s="337">
        <v>37</v>
      </c>
      <c r="NE26" s="337">
        <v>140</v>
      </c>
      <c r="NF26" s="393">
        <v>0.26428571428571429</v>
      </c>
      <c r="NG26" s="393">
        <v>0.19824577409710045</v>
      </c>
      <c r="NH26" s="393">
        <v>0.34291572036276569</v>
      </c>
      <c r="NI26" s="337">
        <v>29</v>
      </c>
      <c r="NJ26" s="337">
        <v>139</v>
      </c>
      <c r="NK26" s="393">
        <v>0.20863309352517986</v>
      </c>
      <c r="NL26" s="393">
        <v>0.14937487730698981</v>
      </c>
      <c r="NM26" s="393">
        <v>0.28356286591728236</v>
      </c>
      <c r="NN26" s="337">
        <v>34</v>
      </c>
      <c r="NO26" s="337">
        <v>139</v>
      </c>
      <c r="NP26" s="393">
        <v>0.2446043165467626</v>
      </c>
      <c r="NQ26" s="393">
        <v>0.1806468242590869</v>
      </c>
      <c r="NR26" s="393">
        <v>0.32229860498688012</v>
      </c>
      <c r="NS26" s="337">
        <v>45</v>
      </c>
      <c r="NT26" s="337">
        <v>139</v>
      </c>
      <c r="NU26" s="393">
        <v>0.32374100719424459</v>
      </c>
      <c r="NV26" s="393">
        <v>0.25160292771019682</v>
      </c>
      <c r="NW26" s="93">
        <v>0.40535941078349874</v>
      </c>
      <c r="NX26" s="3">
        <v>93</v>
      </c>
      <c r="NY26" s="3">
        <v>90</v>
      </c>
      <c r="NZ26" s="3">
        <v>90</v>
      </c>
      <c r="OA26" s="3">
        <v>92</v>
      </c>
      <c r="OB26" s="3">
        <v>90</v>
      </c>
      <c r="OC26" s="3">
        <v>66</v>
      </c>
      <c r="OD26" s="3">
        <v>56</v>
      </c>
      <c r="OE26" s="3">
        <v>60</v>
      </c>
      <c r="OF26" s="3">
        <v>58</v>
      </c>
      <c r="OG26" s="3">
        <v>60</v>
      </c>
      <c r="OH26" s="3">
        <v>64</v>
      </c>
      <c r="OI26" s="3">
        <v>57</v>
      </c>
      <c r="OJ26" s="3">
        <v>61</v>
      </c>
      <c r="OK26" s="3">
        <v>50</v>
      </c>
      <c r="OL26" s="3">
        <v>45</v>
      </c>
      <c r="OM26" s="3">
        <v>41</v>
      </c>
      <c r="ON26" s="3">
        <v>41</v>
      </c>
      <c r="OO26" s="3">
        <v>41</v>
      </c>
      <c r="OP26" s="3">
        <v>41</v>
      </c>
      <c r="OQ26" s="3">
        <v>41</v>
      </c>
      <c r="OR26" s="3">
        <v>44</v>
      </c>
      <c r="OS26" s="3">
        <v>40</v>
      </c>
      <c r="OT26" s="6">
        <v>45</v>
      </c>
      <c r="OU26" s="3">
        <v>240</v>
      </c>
      <c r="OV26" s="22">
        <v>0.95</v>
      </c>
      <c r="OW26" s="22">
        <v>0</v>
      </c>
      <c r="OX26" s="22">
        <v>0.94199999999999995</v>
      </c>
      <c r="OY26" s="3">
        <v>228</v>
      </c>
      <c r="OZ26" s="3">
        <v>0</v>
      </c>
      <c r="PA26" s="3">
        <v>226</v>
      </c>
      <c r="PB26" s="3">
        <v>269</v>
      </c>
      <c r="PC26" s="22">
        <v>0.96299999999999997</v>
      </c>
      <c r="PD26" s="22">
        <v>0.93700000000000006</v>
      </c>
      <c r="PE26" s="22">
        <v>0.95199999999999996</v>
      </c>
      <c r="PF26" s="22">
        <v>0.94399999999999995</v>
      </c>
      <c r="PG26" s="22">
        <v>0.94399999999999995</v>
      </c>
      <c r="PH26" s="3">
        <v>259</v>
      </c>
      <c r="PI26" s="3">
        <v>252</v>
      </c>
      <c r="PJ26" s="3">
        <v>256</v>
      </c>
      <c r="PK26" s="3">
        <v>254</v>
      </c>
      <c r="PL26" s="3">
        <v>254</v>
      </c>
      <c r="PM26" s="3">
        <v>265</v>
      </c>
      <c r="PN26" s="22">
        <v>0.94699999999999995</v>
      </c>
      <c r="PO26" s="22">
        <v>0.872</v>
      </c>
      <c r="PP26" s="22">
        <v>0.94699999999999995</v>
      </c>
      <c r="PQ26" s="22">
        <v>0.93600000000000005</v>
      </c>
      <c r="PR26" s="22">
        <v>0.93600000000000005</v>
      </c>
      <c r="PS26" s="22">
        <v>0.92100000000000004</v>
      </c>
      <c r="PT26" s="22">
        <v>0.92800000000000005</v>
      </c>
      <c r="PU26" s="22">
        <v>0.88700000000000001</v>
      </c>
      <c r="PV26" s="22">
        <v>0.94</v>
      </c>
      <c r="PW26" s="22">
        <v>0.89100000000000001</v>
      </c>
      <c r="PX26" s="3">
        <v>251</v>
      </c>
      <c r="PY26" s="3">
        <v>231</v>
      </c>
      <c r="PZ26" s="3">
        <v>251</v>
      </c>
      <c r="QA26" s="3">
        <v>248</v>
      </c>
      <c r="QB26" s="3">
        <v>248</v>
      </c>
      <c r="QC26" s="3">
        <v>244</v>
      </c>
      <c r="QD26" s="3">
        <v>246</v>
      </c>
      <c r="QE26" s="3">
        <v>235</v>
      </c>
      <c r="QF26" s="3">
        <v>249</v>
      </c>
      <c r="QG26" s="6">
        <v>236</v>
      </c>
      <c r="QH26" s="37">
        <v>212</v>
      </c>
      <c r="QI26" s="17">
        <v>0.94339622641509435</v>
      </c>
      <c r="QJ26" s="17">
        <v>0.21698113207547171</v>
      </c>
      <c r="QK26" s="17">
        <v>0.94339622641509435</v>
      </c>
      <c r="QL26" s="37">
        <v>200</v>
      </c>
      <c r="QM26" s="37">
        <v>46</v>
      </c>
      <c r="QN26" s="37">
        <v>200</v>
      </c>
      <c r="QO26" s="37">
        <v>230</v>
      </c>
      <c r="QP26" s="17">
        <v>0.9652173913043478</v>
      </c>
      <c r="QQ26" s="17">
        <v>0.92608695652173911</v>
      </c>
      <c r="QR26" s="17">
        <v>0.74782608695652175</v>
      </c>
      <c r="QS26" s="17">
        <v>0.93043478260869561</v>
      </c>
      <c r="QT26" s="17">
        <v>0.73478260869565215</v>
      </c>
      <c r="QU26" s="37">
        <v>222</v>
      </c>
      <c r="QV26" s="37">
        <v>213</v>
      </c>
      <c r="QW26" s="37">
        <v>172</v>
      </c>
      <c r="QX26" s="37">
        <v>214</v>
      </c>
      <c r="QY26" s="37">
        <v>169</v>
      </c>
      <c r="QZ26" s="3">
        <v>225</v>
      </c>
      <c r="RA26" s="17">
        <v>0.96</v>
      </c>
      <c r="RB26" s="17">
        <v>0.81333333333333335</v>
      </c>
      <c r="RC26" s="17">
        <v>0.96</v>
      </c>
      <c r="RD26" s="17">
        <v>0.96</v>
      </c>
      <c r="RE26" s="17">
        <v>0.70666666666666667</v>
      </c>
      <c r="RF26" s="17">
        <v>0.9244444444444444</v>
      </c>
      <c r="RG26" s="17">
        <v>0.94666666666666666</v>
      </c>
      <c r="RH26" s="17">
        <v>0.85777777777777775</v>
      </c>
      <c r="RI26" s="17">
        <v>0.70666666666666667</v>
      </c>
      <c r="RJ26" s="17">
        <v>0.68444444444444441</v>
      </c>
      <c r="RK26" s="37">
        <v>216</v>
      </c>
      <c r="RL26" s="37">
        <v>183</v>
      </c>
      <c r="RM26" s="37">
        <v>216</v>
      </c>
      <c r="RN26" s="37">
        <v>216</v>
      </c>
      <c r="RO26" s="37">
        <v>159</v>
      </c>
      <c r="RP26" s="37">
        <v>208</v>
      </c>
      <c r="RQ26" s="37">
        <v>213</v>
      </c>
      <c r="RR26" s="37">
        <v>193</v>
      </c>
      <c r="RS26" s="37">
        <v>159</v>
      </c>
      <c r="RT26" s="38">
        <v>154</v>
      </c>
    </row>
    <row r="27" spans="1:488" s="3" customFormat="1" ht="12.75" x14ac:dyDescent="0.2">
      <c r="A27" s="9" t="s">
        <v>950</v>
      </c>
      <c r="B27" s="6">
        <v>42</v>
      </c>
      <c r="C27" s="9" t="s">
        <v>258</v>
      </c>
      <c r="D27" s="9" t="s">
        <v>259</v>
      </c>
      <c r="E27" s="9" t="s">
        <v>1049</v>
      </c>
      <c r="F27" s="9" t="s">
        <v>1050</v>
      </c>
      <c r="G27" s="9" t="s">
        <v>260</v>
      </c>
      <c r="H27" s="9" t="s">
        <v>81</v>
      </c>
      <c r="I27" s="9" t="s">
        <v>81</v>
      </c>
      <c r="J27" s="9" t="s">
        <v>268</v>
      </c>
      <c r="K27" s="9" t="s">
        <v>394</v>
      </c>
      <c r="L27" s="9" t="s">
        <v>271</v>
      </c>
      <c r="M27" s="9" t="s">
        <v>364</v>
      </c>
      <c r="N27" s="3" t="s">
        <v>402</v>
      </c>
      <c r="O27" s="9">
        <v>511356</v>
      </c>
      <c r="P27" s="9">
        <v>103328</v>
      </c>
      <c r="Q27" s="109">
        <v>21960</v>
      </c>
      <c r="R27" s="109" t="s">
        <v>286</v>
      </c>
      <c r="S27" s="310" t="s">
        <v>797</v>
      </c>
      <c r="T27" s="36">
        <v>36380</v>
      </c>
      <c r="U27" s="37">
        <v>36545</v>
      </c>
      <c r="V27" s="37">
        <v>36860</v>
      </c>
      <c r="W27" s="37">
        <v>37095</v>
      </c>
      <c r="X27" s="37">
        <v>37005</v>
      </c>
      <c r="Y27" s="37">
        <v>37095</v>
      </c>
      <c r="Z27" s="37">
        <v>37245</v>
      </c>
      <c r="AA27" s="37">
        <v>37360</v>
      </c>
      <c r="AB27" s="37">
        <v>37490</v>
      </c>
      <c r="AC27" s="42">
        <v>37733</v>
      </c>
      <c r="AD27" s="42">
        <v>38176</v>
      </c>
      <c r="AE27" s="36">
        <v>1730</v>
      </c>
      <c r="AF27" s="37">
        <v>1745</v>
      </c>
      <c r="AG27" s="37">
        <v>1785</v>
      </c>
      <c r="AH27" s="37">
        <v>1875</v>
      </c>
      <c r="AI27" s="37">
        <v>1880</v>
      </c>
      <c r="AJ27" s="37">
        <v>1905</v>
      </c>
      <c r="AK27" s="37">
        <v>1940</v>
      </c>
      <c r="AL27" s="37">
        <v>1900</v>
      </c>
      <c r="AM27" s="37">
        <v>1850</v>
      </c>
      <c r="AN27" s="42">
        <v>1791</v>
      </c>
      <c r="AO27" s="42">
        <v>1818</v>
      </c>
      <c r="AP27" s="13">
        <v>1940</v>
      </c>
      <c r="AQ27" s="3">
        <v>1707</v>
      </c>
      <c r="AR27" s="3">
        <v>38</v>
      </c>
      <c r="AS27" s="3">
        <v>115</v>
      </c>
      <c r="AT27" s="3">
        <v>66</v>
      </c>
      <c r="AU27" s="3">
        <v>10</v>
      </c>
      <c r="AV27" s="3">
        <v>4</v>
      </c>
      <c r="AW27" s="9">
        <v>233</v>
      </c>
      <c r="AX27" s="16">
        <v>0.87989690721649483</v>
      </c>
      <c r="AY27" s="17">
        <v>1.9587628865979381E-2</v>
      </c>
      <c r="AZ27" s="17">
        <v>5.9278350515463915E-2</v>
      </c>
      <c r="BA27" s="17">
        <v>3.4020618556701028E-2</v>
      </c>
      <c r="BB27" s="17">
        <v>5.1546391752577319E-3</v>
      </c>
      <c r="BC27" s="17">
        <v>2.0618556701030928E-3</v>
      </c>
      <c r="BD27" s="18">
        <v>0.12010309278350517</v>
      </c>
      <c r="BE27" s="13">
        <v>4906</v>
      </c>
      <c r="BF27" s="9">
        <v>4805</v>
      </c>
      <c r="BG27" s="9">
        <v>101</v>
      </c>
      <c r="BH27" s="9">
        <v>84</v>
      </c>
      <c r="BI27" s="9">
        <v>17</v>
      </c>
      <c r="BJ27" s="393">
        <v>0.83168316831683164</v>
      </c>
      <c r="BK27" s="18">
        <v>0.16831683168316833</v>
      </c>
      <c r="BL27" s="36">
        <v>3734</v>
      </c>
      <c r="BM27" s="17">
        <v>0.69389394750937328</v>
      </c>
      <c r="BN27" s="17">
        <v>9.9892876272094269E-2</v>
      </c>
      <c r="BO27" s="18">
        <v>0.20621317621853241</v>
      </c>
      <c r="BP27" s="36">
        <v>10951</v>
      </c>
      <c r="BQ27" s="37">
        <v>577</v>
      </c>
      <c r="BR27" s="37">
        <v>654</v>
      </c>
      <c r="BS27" s="37">
        <v>271</v>
      </c>
      <c r="BT27" s="37">
        <v>6943</v>
      </c>
      <c r="BU27" s="37">
        <v>3960</v>
      </c>
      <c r="BV27" s="18">
        <v>0.13181818181818181</v>
      </c>
      <c r="BW27" s="36">
        <v>2298</v>
      </c>
      <c r="BX27" s="37">
        <v>7</v>
      </c>
      <c r="BY27" s="37">
        <v>549</v>
      </c>
      <c r="BZ27" s="37">
        <v>827</v>
      </c>
      <c r="CA27" s="37">
        <v>296</v>
      </c>
      <c r="CB27" s="38">
        <v>3977</v>
      </c>
      <c r="CC27" s="37">
        <v>1516</v>
      </c>
      <c r="CD27" s="37">
        <v>1264</v>
      </c>
      <c r="CE27" s="37">
        <v>249</v>
      </c>
      <c r="CF27" s="37">
        <v>252</v>
      </c>
      <c r="CG27" s="17">
        <v>0.16424802110817943</v>
      </c>
      <c r="CH27" s="93">
        <v>0.16622691292875991</v>
      </c>
      <c r="CI27" s="37">
        <v>210</v>
      </c>
      <c r="CJ27" s="37">
        <v>210</v>
      </c>
      <c r="CK27" s="37">
        <v>160</v>
      </c>
      <c r="CL27" s="37">
        <v>155</v>
      </c>
      <c r="CM27" s="42">
        <v>160</v>
      </c>
      <c r="CN27" s="42">
        <v>145</v>
      </c>
      <c r="CO27" s="36">
        <v>827</v>
      </c>
      <c r="CP27" s="37">
        <v>258</v>
      </c>
      <c r="CQ27" s="17">
        <v>0.31197097944377267</v>
      </c>
      <c r="CR27" s="38">
        <v>88</v>
      </c>
      <c r="CS27" s="37">
        <v>349</v>
      </c>
      <c r="CT27" s="37">
        <v>363</v>
      </c>
      <c r="CU27" s="37">
        <v>364</v>
      </c>
      <c r="CV27" s="37">
        <v>364</v>
      </c>
      <c r="CW27" s="37">
        <v>344</v>
      </c>
      <c r="CX27" s="526" t="s">
        <v>471</v>
      </c>
      <c r="CY27" s="568">
        <v>363</v>
      </c>
      <c r="CZ27" s="37">
        <v>17</v>
      </c>
      <c r="DA27" s="37">
        <v>20</v>
      </c>
      <c r="DB27" s="37">
        <v>10</v>
      </c>
      <c r="DC27" s="37">
        <v>16</v>
      </c>
      <c r="DD27" s="37">
        <v>12</v>
      </c>
      <c r="DE27" s="528" t="s">
        <v>471</v>
      </c>
      <c r="DF27" s="716">
        <v>9</v>
      </c>
      <c r="DG27" s="13">
        <v>27</v>
      </c>
      <c r="DH27" s="13">
        <v>20</v>
      </c>
      <c r="DI27" s="17">
        <v>5.8139534883720929E-2</v>
      </c>
      <c r="DJ27" s="17">
        <v>3.7948249747884216E-2</v>
      </c>
      <c r="DK27" s="18">
        <v>8.8090374196864094E-2</v>
      </c>
      <c r="DL27" s="425" t="s">
        <v>286</v>
      </c>
      <c r="DM27" s="258" t="s">
        <v>286</v>
      </c>
      <c r="DN27" s="258" t="s">
        <v>286</v>
      </c>
      <c r="DO27" s="258" t="s">
        <v>286</v>
      </c>
      <c r="DP27" s="337">
        <v>25</v>
      </c>
      <c r="DQ27" s="393">
        <v>6.8870523415977963E-2</v>
      </c>
      <c r="DR27" s="393">
        <v>4.7081087202452652E-2</v>
      </c>
      <c r="DS27" s="393">
        <v>9.9689288735374249E-2</v>
      </c>
      <c r="DT27" s="13">
        <v>38</v>
      </c>
      <c r="DU27" s="18">
        <v>1.9587628865979381E-2</v>
      </c>
      <c r="DV27" s="328">
        <v>5</v>
      </c>
      <c r="DW27" s="333">
        <v>6</v>
      </c>
      <c r="DX27" s="337">
        <v>5</v>
      </c>
      <c r="DY27" s="393">
        <v>0.12897816302717119</v>
      </c>
      <c r="DZ27" s="337">
        <v>5</v>
      </c>
      <c r="EA27" s="93">
        <v>0.12973949304987734</v>
      </c>
      <c r="EB27" s="3">
        <v>624</v>
      </c>
      <c r="EC27" s="18">
        <v>3.6777273530971884E-2</v>
      </c>
      <c r="ED27" s="13">
        <v>290</v>
      </c>
      <c r="EE27" s="3">
        <v>290</v>
      </c>
      <c r="EF27" s="3">
        <v>305</v>
      </c>
      <c r="EG27" s="3">
        <v>255</v>
      </c>
      <c r="EH27" s="9">
        <v>230</v>
      </c>
      <c r="EI27" s="9">
        <v>230</v>
      </c>
      <c r="EJ27" s="13">
        <v>275</v>
      </c>
      <c r="EK27" s="17">
        <v>0.15193370165745856</v>
      </c>
      <c r="EL27" s="17">
        <v>0.13613516499069683</v>
      </c>
      <c r="EM27" s="17">
        <v>0.16920654838087062</v>
      </c>
      <c r="EN27" s="3">
        <v>285</v>
      </c>
      <c r="EO27" s="17">
        <v>0.15531335149863759</v>
      </c>
      <c r="EP27" s="17">
        <v>0.13946281066331118</v>
      </c>
      <c r="EQ27" s="17">
        <v>0.17260403776891661</v>
      </c>
      <c r="ER27" s="3">
        <v>280</v>
      </c>
      <c r="ES27" s="17">
        <v>0.15013404825737264</v>
      </c>
      <c r="ET27" s="17">
        <v>0.13464240770214631</v>
      </c>
      <c r="EU27" s="17">
        <v>0.16706400840898722</v>
      </c>
      <c r="EV27" s="3">
        <v>275</v>
      </c>
      <c r="EW27" s="17">
        <v>0.14397905759162305</v>
      </c>
      <c r="EX27" s="17">
        <v>0.12894894909951848</v>
      </c>
      <c r="EY27" s="17">
        <v>0.16043837515772189</v>
      </c>
      <c r="EZ27" s="3">
        <v>260</v>
      </c>
      <c r="FA27" s="18">
        <v>0.13978494623655913</v>
      </c>
      <c r="FB27" s="18">
        <v>0.12476723734807266</v>
      </c>
      <c r="FC27" s="18">
        <v>0.15628749310745849</v>
      </c>
      <c r="FD27" s="337">
        <v>235</v>
      </c>
      <c r="FE27" s="18">
        <v>0.13128491620111732</v>
      </c>
      <c r="FF27" s="18">
        <v>0.11642661934886994</v>
      </c>
      <c r="FG27" s="393">
        <v>0.14772239810789387</v>
      </c>
      <c r="FH27" s="425" t="s">
        <v>286</v>
      </c>
      <c r="FI27" s="258" t="s">
        <v>286</v>
      </c>
      <c r="FJ27" s="258" t="s">
        <v>286</v>
      </c>
      <c r="FK27" s="258" t="s">
        <v>286</v>
      </c>
      <c r="FL27" s="36">
        <v>765</v>
      </c>
      <c r="FM27" s="18">
        <v>0.12900505902192244</v>
      </c>
      <c r="FN27" s="42">
        <v>785</v>
      </c>
      <c r="FO27" s="18">
        <v>0.13138075313807532</v>
      </c>
      <c r="FP27" s="42">
        <v>795</v>
      </c>
      <c r="FQ27" s="18">
        <v>0.13338926174496643</v>
      </c>
      <c r="FR27" s="42">
        <v>785</v>
      </c>
      <c r="FS27" s="18">
        <v>0.13039867109634551</v>
      </c>
      <c r="FT27" s="42">
        <v>740</v>
      </c>
      <c r="FU27" s="18">
        <v>0.12271973466003316</v>
      </c>
      <c r="FV27" s="42">
        <v>700</v>
      </c>
      <c r="FW27" s="393">
        <v>0.115990057995029</v>
      </c>
      <c r="FX27" s="114" t="s">
        <v>286</v>
      </c>
      <c r="FY27" s="259" t="s">
        <v>286</v>
      </c>
      <c r="FZ27" s="3">
        <v>360</v>
      </c>
      <c r="GA27" s="3">
        <v>14</v>
      </c>
      <c r="GB27" s="3">
        <v>346</v>
      </c>
      <c r="GC27" s="17">
        <v>0.96111111111111114</v>
      </c>
      <c r="GD27" s="3">
        <v>146</v>
      </c>
      <c r="GE27" s="3">
        <v>181</v>
      </c>
      <c r="GF27" s="17">
        <v>0.42196531791907516</v>
      </c>
      <c r="GG27" s="17">
        <v>0.52312138728323698</v>
      </c>
      <c r="GH27" s="17">
        <v>0.379</v>
      </c>
      <c r="GI27" s="17">
        <v>0.48277199999999998</v>
      </c>
      <c r="GJ27" s="17">
        <v>0.48</v>
      </c>
      <c r="GK27" s="93">
        <v>0.58459000000000005</v>
      </c>
      <c r="GL27" s="337">
        <v>323</v>
      </c>
      <c r="GM27" s="337">
        <v>137</v>
      </c>
      <c r="GN27" s="337">
        <v>56</v>
      </c>
      <c r="GO27" s="337">
        <v>193</v>
      </c>
      <c r="GP27" s="393">
        <v>0.42414860681114552</v>
      </c>
      <c r="GQ27" s="393">
        <v>0.5975232198142415</v>
      </c>
      <c r="GR27" s="393">
        <v>0.37145379781223742</v>
      </c>
      <c r="GS27" s="393">
        <v>0.47862642096783631</v>
      </c>
      <c r="GT27" s="393">
        <v>0.54319946270602504</v>
      </c>
      <c r="GU27" s="93">
        <v>0.64955454171959437</v>
      </c>
      <c r="GV27" s="42">
        <v>376</v>
      </c>
      <c r="GW27" s="42">
        <v>68</v>
      </c>
      <c r="GX27" s="42">
        <v>308</v>
      </c>
      <c r="GY27" s="393">
        <f t="shared" si="2"/>
        <v>0.81914893617021278</v>
      </c>
      <c r="GZ27" s="42">
        <v>144</v>
      </c>
      <c r="HA27" s="42">
        <v>39</v>
      </c>
      <c r="HB27" s="42">
        <v>183</v>
      </c>
      <c r="HC27" s="393">
        <v>0.46753246753246752</v>
      </c>
      <c r="HD27" s="393">
        <v>0.5941558441558441</v>
      </c>
      <c r="HE27" s="393">
        <v>0.41255344399092214</v>
      </c>
      <c r="HF27" s="393">
        <v>0.52331140196113646</v>
      </c>
      <c r="HG27" s="393">
        <v>0.53848181371655912</v>
      </c>
      <c r="HH27" s="93">
        <v>0.64751013302247107</v>
      </c>
      <c r="HI27" s="696">
        <v>237</v>
      </c>
      <c r="HJ27" s="696">
        <v>25</v>
      </c>
      <c r="HK27" s="696">
        <v>212</v>
      </c>
      <c r="HL27" s="697">
        <v>0.89451476793248941</v>
      </c>
      <c r="HM27" s="696">
        <v>78</v>
      </c>
      <c r="HN27" s="696">
        <v>36</v>
      </c>
      <c r="HO27" s="696">
        <v>114</v>
      </c>
      <c r="HP27" s="697">
        <v>0.36792452830188677</v>
      </c>
      <c r="HQ27" s="697">
        <v>0.53773584905660377</v>
      </c>
      <c r="HR27" s="697">
        <v>0.30589764138004744</v>
      </c>
      <c r="HS27" s="697">
        <v>0.43465266667489927</v>
      </c>
      <c r="HT27" s="697">
        <v>0.47054728087912667</v>
      </c>
      <c r="HU27" s="698">
        <v>0.6035812025337457</v>
      </c>
      <c r="HV27" s="3">
        <v>267</v>
      </c>
      <c r="HW27" s="3">
        <v>16</v>
      </c>
      <c r="HX27" s="17">
        <v>5.9925093632958802E-2</v>
      </c>
      <c r="HY27" s="17">
        <v>3.7219155984259546E-2</v>
      </c>
      <c r="HZ27" s="17">
        <v>9.5114567873070349E-2</v>
      </c>
      <c r="IA27" s="292" t="s">
        <v>708</v>
      </c>
      <c r="IB27" s="3">
        <v>339</v>
      </c>
      <c r="IC27" s="3">
        <v>20</v>
      </c>
      <c r="ID27" s="17">
        <v>5.8997050147492625E-2</v>
      </c>
      <c r="IE27" s="17">
        <v>3.8512707119586639E-2</v>
      </c>
      <c r="IF27" s="17">
        <v>8.936406417726861E-2</v>
      </c>
      <c r="IG27" s="3" t="s">
        <v>708</v>
      </c>
      <c r="IH27" s="3">
        <v>316</v>
      </c>
      <c r="II27" s="3">
        <v>22</v>
      </c>
      <c r="IJ27" s="17">
        <v>6.9620253164556958E-2</v>
      </c>
      <c r="IK27" s="17">
        <v>4.6422461731342048E-2</v>
      </c>
      <c r="IL27" s="17">
        <v>0.10315620451503239</v>
      </c>
      <c r="IM27" s="3" t="s">
        <v>707</v>
      </c>
      <c r="IN27" s="3">
        <v>378</v>
      </c>
      <c r="IO27" s="3">
        <v>25</v>
      </c>
      <c r="IP27" s="17">
        <v>6.6137566137566134E-2</v>
      </c>
      <c r="IQ27" s="17">
        <v>4.519599414500295E-2</v>
      </c>
      <c r="IR27" s="17">
        <v>9.5808754231409221E-2</v>
      </c>
      <c r="IS27" s="3" t="s">
        <v>707</v>
      </c>
      <c r="IT27" s="3">
        <v>240</v>
      </c>
      <c r="IU27" s="3">
        <v>19</v>
      </c>
      <c r="IV27" s="17">
        <v>7.9166666666666663E-2</v>
      </c>
      <c r="IW27" s="17">
        <v>5.1265241860673161E-2</v>
      </c>
      <c r="IX27" s="17">
        <v>0.12032764075680549</v>
      </c>
      <c r="IY27" s="9" t="s">
        <v>707</v>
      </c>
      <c r="IZ27" s="9">
        <v>360</v>
      </c>
      <c r="JA27" s="9">
        <v>28</v>
      </c>
      <c r="JB27" s="393">
        <v>7.7777777777777779E-2</v>
      </c>
      <c r="JC27" s="393">
        <v>5.4357588423295286E-2</v>
      </c>
      <c r="JD27" s="393">
        <v>0.11011365961604588</v>
      </c>
      <c r="JE27" s="9" t="str">
        <f t="shared" si="0"/>
        <v>No Sig diff</v>
      </c>
      <c r="JF27" s="9">
        <v>368</v>
      </c>
      <c r="JG27" s="109">
        <v>21</v>
      </c>
      <c r="JH27" s="258">
        <v>5.7065217391304345E-2</v>
      </c>
      <c r="JI27" s="258">
        <v>3.7623799174578781E-2</v>
      </c>
      <c r="JJ27" s="258">
        <v>8.565847001100807E-2</v>
      </c>
      <c r="JK27" s="662" t="str">
        <f t="shared" si="3"/>
        <v>Sig better than Eng.</v>
      </c>
      <c r="JL27" s="3">
        <v>315</v>
      </c>
      <c r="JM27" s="3">
        <v>42</v>
      </c>
      <c r="JN27" s="17">
        <v>0.13333333333333333</v>
      </c>
      <c r="JO27" s="17">
        <v>0.10017774058878838</v>
      </c>
      <c r="JP27" s="17">
        <v>0.17532425700460882</v>
      </c>
      <c r="JQ27" s="3" t="s">
        <v>708</v>
      </c>
      <c r="JR27" s="3">
        <v>308</v>
      </c>
      <c r="JS27" s="3">
        <v>42</v>
      </c>
      <c r="JT27" s="17">
        <v>0.13636363636363635</v>
      </c>
      <c r="JU27" s="17">
        <v>0.10249195219368433</v>
      </c>
      <c r="JV27" s="17">
        <v>0.17919432246937173</v>
      </c>
      <c r="JW27" s="3" t="s">
        <v>708</v>
      </c>
      <c r="JX27" s="3">
        <v>326</v>
      </c>
      <c r="JY27" s="3">
        <v>47</v>
      </c>
      <c r="JZ27" s="17">
        <v>0.14417177914110429</v>
      </c>
      <c r="KA27" s="17">
        <v>0.11018221598092334</v>
      </c>
      <c r="KB27" s="17">
        <v>0.1864495633306093</v>
      </c>
      <c r="KC27" s="3" t="s">
        <v>708</v>
      </c>
      <c r="KD27" s="3">
        <v>315</v>
      </c>
      <c r="KE27" s="3">
        <v>55</v>
      </c>
      <c r="KF27" s="17">
        <v>0.17460317460317459</v>
      </c>
      <c r="KG27" s="17">
        <v>0.13667010655521844</v>
      </c>
      <c r="KH27" s="17">
        <v>0.22037712074628124</v>
      </c>
      <c r="KI27" s="3" t="s">
        <v>707</v>
      </c>
      <c r="KJ27" s="3">
        <v>293</v>
      </c>
      <c r="KK27" s="3">
        <v>57</v>
      </c>
      <c r="KL27" s="17">
        <v>0.19453924914675769</v>
      </c>
      <c r="KM27" s="17">
        <v>0.15328807588387311</v>
      </c>
      <c r="KN27" s="17">
        <v>0.24369642651299653</v>
      </c>
      <c r="KO27" s="465" t="s">
        <v>707</v>
      </c>
      <c r="KP27" s="465">
        <v>329</v>
      </c>
      <c r="KQ27" s="465">
        <v>50</v>
      </c>
      <c r="KR27" s="393">
        <v>0.1519756838905775</v>
      </c>
      <c r="KS27" s="393">
        <v>0.11721635466889055</v>
      </c>
      <c r="KT27" s="393">
        <v>0.1947683938315504</v>
      </c>
      <c r="KU27" s="465" t="s">
        <v>772</v>
      </c>
      <c r="KV27" s="465">
        <v>334</v>
      </c>
      <c r="KW27" s="465">
        <v>50</v>
      </c>
      <c r="KX27" s="393">
        <v>0.1497005988023952</v>
      </c>
      <c r="KY27" s="393">
        <v>0.11543149451391033</v>
      </c>
      <c r="KZ27" s="393">
        <v>0.19193592919771565</v>
      </c>
      <c r="LA27" s="660" t="str">
        <f t="shared" si="4"/>
        <v>Sig better than Eng.</v>
      </c>
      <c r="LB27" s="3">
        <v>414</v>
      </c>
      <c r="LC27" s="3">
        <v>225</v>
      </c>
      <c r="LD27" s="17">
        <v>0.54347826086956519</v>
      </c>
      <c r="LE27" s="17">
        <v>0.49531688620393644</v>
      </c>
      <c r="LF27" s="17">
        <v>0.59084019380819441</v>
      </c>
      <c r="LG27" s="3">
        <v>414</v>
      </c>
      <c r="LH27" s="3">
        <v>34</v>
      </c>
      <c r="LI27" s="3">
        <v>82</v>
      </c>
      <c r="LJ27" s="293">
        <v>25.341460000000001</v>
      </c>
      <c r="LK27" s="17">
        <v>0.25466294117647054</v>
      </c>
      <c r="LL27" s="3">
        <v>409</v>
      </c>
      <c r="LM27" s="3">
        <v>237</v>
      </c>
      <c r="LN27" s="17">
        <v>0.5794621026894865</v>
      </c>
      <c r="LO27" s="17">
        <v>0.53109893238651684</v>
      </c>
      <c r="LP27" s="17">
        <v>0.62634649517707219</v>
      </c>
      <c r="LQ27" s="3">
        <v>409</v>
      </c>
      <c r="LR27" s="3">
        <v>34</v>
      </c>
      <c r="LS27" s="3">
        <v>81</v>
      </c>
      <c r="LT27" s="293">
        <v>24.654319999999998</v>
      </c>
      <c r="LU27" s="18">
        <v>0.27487294117647065</v>
      </c>
      <c r="LV27" s="42">
        <v>409</v>
      </c>
      <c r="LW27" s="42">
        <v>245</v>
      </c>
      <c r="LX27" s="18">
        <v>0.59902200488997559</v>
      </c>
      <c r="LY27" s="18">
        <v>0.55081592049420358</v>
      </c>
      <c r="LZ27" s="18">
        <v>0.64538530462349952</v>
      </c>
      <c r="MA27" s="337">
        <v>34</v>
      </c>
      <c r="MB27" s="337">
        <v>81</v>
      </c>
      <c r="MC27" s="294">
        <v>22.5</v>
      </c>
      <c r="MD27" s="393">
        <v>0.33900000000000002</v>
      </c>
      <c r="ME27" s="337">
        <v>418</v>
      </c>
      <c r="MF27" s="337">
        <v>288</v>
      </c>
      <c r="MG27" s="393">
        <v>0.68899521531100483</v>
      </c>
      <c r="MH27" s="393">
        <v>0.64306679932650135</v>
      </c>
      <c r="MI27" s="393">
        <v>0.73148149766096648</v>
      </c>
      <c r="MJ27" s="337">
        <v>34</v>
      </c>
      <c r="MK27" s="337">
        <v>83</v>
      </c>
      <c r="ML27" s="294">
        <v>23.373493975903614</v>
      </c>
      <c r="MM27" s="93">
        <v>0.31254429482636431</v>
      </c>
      <c r="MN27" s="17"/>
      <c r="MO27" s="17"/>
      <c r="MP27" s="17"/>
      <c r="MQ27" s="17"/>
      <c r="MR27" s="17"/>
      <c r="MS27" s="17"/>
      <c r="MT27" s="17"/>
      <c r="MU27" s="17"/>
      <c r="MV27" s="17"/>
      <c r="MW27" s="17"/>
      <c r="MX27" s="17"/>
      <c r="MY27" s="17"/>
      <c r="MZ27" s="17"/>
      <c r="NA27" s="17"/>
      <c r="NB27" s="17"/>
      <c r="NC27" s="93"/>
      <c r="ND27" s="337">
        <v>9</v>
      </c>
      <c r="NE27" s="337">
        <v>133</v>
      </c>
      <c r="NF27" s="393">
        <v>6.7669172932330823E-2</v>
      </c>
      <c r="NG27" s="393">
        <v>3.6006387177108239E-2</v>
      </c>
      <c r="NH27" s="393">
        <v>0.12360502744039729</v>
      </c>
      <c r="NI27" s="337">
        <v>5</v>
      </c>
      <c r="NJ27" s="337">
        <v>133</v>
      </c>
      <c r="NK27" s="393">
        <v>3.7593984962406013E-2</v>
      </c>
      <c r="NL27" s="393">
        <v>1.6162919317876417E-2</v>
      </c>
      <c r="NM27" s="393">
        <v>8.4986680664325187E-2</v>
      </c>
      <c r="NN27" s="337">
        <v>8</v>
      </c>
      <c r="NO27" s="337">
        <v>132</v>
      </c>
      <c r="NP27" s="393">
        <v>6.0606060606060608E-2</v>
      </c>
      <c r="NQ27" s="393">
        <v>3.1026884470063115E-2</v>
      </c>
      <c r="NR27" s="393">
        <v>0.11503646756507763</v>
      </c>
      <c r="NS27" s="337">
        <v>18</v>
      </c>
      <c r="NT27" s="337">
        <v>131</v>
      </c>
      <c r="NU27" s="393">
        <v>0.13740458015267176</v>
      </c>
      <c r="NV27" s="393">
        <v>8.8714815543127615E-2</v>
      </c>
      <c r="NW27" s="93">
        <v>0.20675409416121956</v>
      </c>
      <c r="NX27" s="3">
        <v>85</v>
      </c>
      <c r="NY27" s="3">
        <v>82</v>
      </c>
      <c r="NZ27" s="3">
        <v>82</v>
      </c>
      <c r="OA27" s="3">
        <v>84</v>
      </c>
      <c r="OB27" s="3">
        <v>83</v>
      </c>
      <c r="OC27" s="3">
        <v>97</v>
      </c>
      <c r="OD27" s="3">
        <v>94</v>
      </c>
      <c r="OE27" s="3">
        <v>95</v>
      </c>
      <c r="OF27" s="3">
        <v>94</v>
      </c>
      <c r="OG27" s="3">
        <v>95</v>
      </c>
      <c r="OH27" s="3">
        <v>97</v>
      </c>
      <c r="OI27" s="3">
        <v>94</v>
      </c>
      <c r="OJ27" s="3">
        <v>96</v>
      </c>
      <c r="OK27" s="3">
        <v>112</v>
      </c>
      <c r="OL27" s="3">
        <v>106</v>
      </c>
      <c r="OM27" s="3">
        <v>102</v>
      </c>
      <c r="ON27" s="3">
        <v>98</v>
      </c>
      <c r="OO27" s="3">
        <v>105</v>
      </c>
      <c r="OP27" s="3">
        <v>107</v>
      </c>
      <c r="OQ27" s="3">
        <v>105</v>
      </c>
      <c r="OR27" s="3">
        <v>107</v>
      </c>
      <c r="OS27" s="3">
        <v>105</v>
      </c>
      <c r="OT27" s="6">
        <v>108</v>
      </c>
      <c r="OU27" s="3">
        <v>235</v>
      </c>
      <c r="OV27" s="22">
        <v>0.86799999999999999</v>
      </c>
      <c r="OW27" s="22">
        <v>8.9999999999999993E-3</v>
      </c>
      <c r="OX27" s="22">
        <v>0.877</v>
      </c>
      <c r="OY27" s="3">
        <v>204</v>
      </c>
      <c r="OZ27" s="3">
        <v>2</v>
      </c>
      <c r="PA27" s="3">
        <v>206</v>
      </c>
      <c r="PB27" s="3">
        <v>250</v>
      </c>
      <c r="PC27" s="22">
        <v>0.97199999999999998</v>
      </c>
      <c r="PD27" s="22">
        <v>0.93200000000000005</v>
      </c>
      <c r="PE27" s="22">
        <v>0.96</v>
      </c>
      <c r="PF27" s="22">
        <v>0.94399999999999995</v>
      </c>
      <c r="PG27" s="22">
        <v>0.93600000000000005</v>
      </c>
      <c r="PH27" s="3">
        <v>243</v>
      </c>
      <c r="PI27" s="3">
        <v>233</v>
      </c>
      <c r="PJ27" s="3">
        <v>240</v>
      </c>
      <c r="PK27" s="3">
        <v>236</v>
      </c>
      <c r="PL27" s="3">
        <v>234</v>
      </c>
      <c r="PM27" s="3">
        <v>283</v>
      </c>
      <c r="PN27" s="22">
        <v>0.98199999999999998</v>
      </c>
      <c r="PO27" s="22">
        <v>0.91900000000000004</v>
      </c>
      <c r="PP27" s="22">
        <v>0.98199999999999998</v>
      </c>
      <c r="PQ27" s="22">
        <v>0.97899999999999998</v>
      </c>
      <c r="PR27" s="22">
        <v>0.97899999999999998</v>
      </c>
      <c r="PS27" s="22">
        <v>0.85199999999999998</v>
      </c>
      <c r="PT27" s="22">
        <v>0.95799999999999996</v>
      </c>
      <c r="PU27" s="22">
        <v>0.92900000000000005</v>
      </c>
      <c r="PV27" s="22">
        <v>0.98199999999999998</v>
      </c>
      <c r="PW27" s="22">
        <v>0.94299999999999995</v>
      </c>
      <c r="PX27" s="3">
        <v>278</v>
      </c>
      <c r="PY27" s="3">
        <v>260</v>
      </c>
      <c r="PZ27" s="3">
        <v>278</v>
      </c>
      <c r="QA27" s="3">
        <v>277</v>
      </c>
      <c r="QB27" s="3">
        <v>277</v>
      </c>
      <c r="QC27" s="3">
        <v>241</v>
      </c>
      <c r="QD27" s="3">
        <v>271</v>
      </c>
      <c r="QE27" s="3">
        <v>263</v>
      </c>
      <c r="QF27" s="3">
        <v>278</v>
      </c>
      <c r="QG27" s="6">
        <v>267</v>
      </c>
      <c r="QH27" s="37">
        <v>250</v>
      </c>
      <c r="QI27" s="17">
        <v>0.73599999999999999</v>
      </c>
      <c r="QJ27" s="17">
        <v>0.22800000000000001</v>
      </c>
      <c r="QK27" s="17">
        <v>0.74399999999999999</v>
      </c>
      <c r="QL27" s="37">
        <v>184</v>
      </c>
      <c r="QM27" s="37">
        <v>57</v>
      </c>
      <c r="QN27" s="37">
        <v>186</v>
      </c>
      <c r="QO27" s="37">
        <v>249</v>
      </c>
      <c r="QP27" s="17">
        <v>0.89959839357429716</v>
      </c>
      <c r="QQ27" s="17">
        <v>0.75502008032128509</v>
      </c>
      <c r="QR27" s="17">
        <v>0.67469879518072284</v>
      </c>
      <c r="QS27" s="17">
        <v>0.76305220883534142</v>
      </c>
      <c r="QT27" s="17">
        <v>0.55020080321285136</v>
      </c>
      <c r="QU27" s="37">
        <v>224</v>
      </c>
      <c r="QV27" s="37">
        <v>188</v>
      </c>
      <c r="QW27" s="37">
        <v>168</v>
      </c>
      <c r="QX27" s="37">
        <v>190</v>
      </c>
      <c r="QY27" s="37">
        <v>137</v>
      </c>
      <c r="QZ27" s="3">
        <v>266</v>
      </c>
      <c r="RA27" s="17">
        <v>0.97744360902255634</v>
      </c>
      <c r="RB27" s="17">
        <v>0.87969924812030076</v>
      </c>
      <c r="RC27" s="17">
        <v>0.97744360902255634</v>
      </c>
      <c r="RD27" s="17">
        <v>0.97744360902255634</v>
      </c>
      <c r="RE27" s="17">
        <v>0.77067669172932329</v>
      </c>
      <c r="RF27" s="17">
        <v>0.93233082706766912</v>
      </c>
      <c r="RG27" s="17">
        <v>0.93984962406015038</v>
      </c>
      <c r="RH27" s="17">
        <v>0.88345864661654139</v>
      </c>
      <c r="RI27" s="17">
        <v>0.76691729323308266</v>
      </c>
      <c r="RJ27" s="17">
        <v>0.72932330827067671</v>
      </c>
      <c r="RK27" s="37">
        <v>260</v>
      </c>
      <c r="RL27" s="37">
        <v>234</v>
      </c>
      <c r="RM27" s="37">
        <v>260</v>
      </c>
      <c r="RN27" s="37">
        <v>260</v>
      </c>
      <c r="RO27" s="37">
        <v>205</v>
      </c>
      <c r="RP27" s="37">
        <v>248</v>
      </c>
      <c r="RQ27" s="37">
        <v>250</v>
      </c>
      <c r="RR27" s="37">
        <v>235</v>
      </c>
      <c r="RS27" s="37">
        <v>204</v>
      </c>
      <c r="RT27" s="38">
        <v>194</v>
      </c>
    </row>
    <row r="28" spans="1:488" s="3" customFormat="1" ht="12.75" x14ac:dyDescent="0.2">
      <c r="A28" s="9" t="s">
        <v>64</v>
      </c>
      <c r="B28" s="6">
        <v>34</v>
      </c>
      <c r="C28" s="9" t="s">
        <v>238</v>
      </c>
      <c r="D28" s="9" t="s">
        <v>239</v>
      </c>
      <c r="E28" s="9" t="s">
        <v>286</v>
      </c>
      <c r="F28" s="9" t="s">
        <v>286</v>
      </c>
      <c r="G28" s="9" t="s">
        <v>240</v>
      </c>
      <c r="H28" s="9" t="s">
        <v>80</v>
      </c>
      <c r="I28" s="9" t="s">
        <v>80</v>
      </c>
      <c r="J28" s="9" t="s">
        <v>270</v>
      </c>
      <c r="K28" s="9" t="s">
        <v>389</v>
      </c>
      <c r="L28" s="9" t="s">
        <v>275</v>
      </c>
      <c r="M28" s="9" t="s">
        <v>357</v>
      </c>
      <c r="N28" s="3" t="s">
        <v>80</v>
      </c>
      <c r="O28" s="9">
        <v>526677</v>
      </c>
      <c r="P28" s="9">
        <v>123233</v>
      </c>
      <c r="Q28" s="109">
        <v>22580</v>
      </c>
      <c r="R28" s="109" t="s">
        <v>286</v>
      </c>
      <c r="S28" s="310" t="s">
        <v>797</v>
      </c>
      <c r="T28" s="36">
        <v>23530</v>
      </c>
      <c r="U28" s="37">
        <v>23810</v>
      </c>
      <c r="V28" s="37">
        <v>24125</v>
      </c>
      <c r="W28" s="37">
        <v>24555</v>
      </c>
      <c r="X28" s="37">
        <v>24770</v>
      </c>
      <c r="Y28" s="37">
        <v>25010</v>
      </c>
      <c r="Z28" s="37">
        <v>25180</v>
      </c>
      <c r="AA28" s="37">
        <v>25165</v>
      </c>
      <c r="AB28" s="37">
        <v>25335</v>
      </c>
      <c r="AC28" s="42">
        <v>25572</v>
      </c>
      <c r="AD28" s="42">
        <v>25490</v>
      </c>
      <c r="AE28" s="36">
        <v>1180</v>
      </c>
      <c r="AF28" s="37">
        <v>1200</v>
      </c>
      <c r="AG28" s="37">
        <v>1260</v>
      </c>
      <c r="AH28" s="37">
        <v>1290</v>
      </c>
      <c r="AI28" s="37">
        <v>1300</v>
      </c>
      <c r="AJ28" s="37">
        <v>1280</v>
      </c>
      <c r="AK28" s="37">
        <v>1265</v>
      </c>
      <c r="AL28" s="37">
        <v>1230</v>
      </c>
      <c r="AM28" s="37">
        <v>1220</v>
      </c>
      <c r="AN28" s="42">
        <v>1269</v>
      </c>
      <c r="AO28" s="42">
        <v>1234</v>
      </c>
      <c r="AP28" s="13">
        <v>1279</v>
      </c>
      <c r="AQ28" s="3">
        <v>1156</v>
      </c>
      <c r="AR28" s="3">
        <v>64</v>
      </c>
      <c r="AS28" s="3">
        <v>44</v>
      </c>
      <c r="AT28" s="3">
        <v>12</v>
      </c>
      <c r="AU28" s="3">
        <v>3</v>
      </c>
      <c r="AV28" s="3">
        <v>0</v>
      </c>
      <c r="AW28" s="9">
        <v>123</v>
      </c>
      <c r="AX28" s="16">
        <v>0.90383111806098515</v>
      </c>
      <c r="AY28" s="17">
        <v>5.0039093041438623E-2</v>
      </c>
      <c r="AZ28" s="17">
        <v>3.4401876465989051E-2</v>
      </c>
      <c r="BA28" s="17">
        <v>9.3823299452697427E-3</v>
      </c>
      <c r="BB28" s="17">
        <v>2.3455824863174357E-3</v>
      </c>
      <c r="BC28" s="17">
        <v>0</v>
      </c>
      <c r="BD28" s="18">
        <v>9.616888193901485E-2</v>
      </c>
      <c r="BE28" s="13">
        <v>4108</v>
      </c>
      <c r="BF28" s="3">
        <v>4023</v>
      </c>
      <c r="BG28" s="3">
        <v>85</v>
      </c>
      <c r="BH28" s="3">
        <v>80</v>
      </c>
      <c r="BI28" s="3">
        <v>5</v>
      </c>
      <c r="BJ28" s="17">
        <v>0.94117647058823528</v>
      </c>
      <c r="BK28" s="18">
        <v>5.8823529411764705E-2</v>
      </c>
      <c r="BL28" s="13">
        <v>2738</v>
      </c>
      <c r="BM28" s="17">
        <v>0.72023374726077427</v>
      </c>
      <c r="BN28" s="17">
        <v>8.8020452885317749E-2</v>
      </c>
      <c r="BO28" s="18">
        <v>0.19174579985390797</v>
      </c>
      <c r="BP28" s="36">
        <v>7297</v>
      </c>
      <c r="BQ28" s="37">
        <v>356</v>
      </c>
      <c r="BR28" s="37">
        <v>433</v>
      </c>
      <c r="BS28" s="37">
        <v>209</v>
      </c>
      <c r="BT28" s="37">
        <v>5302</v>
      </c>
      <c r="BU28" s="37">
        <v>2911</v>
      </c>
      <c r="BV28" s="18">
        <v>0.15905187220886294</v>
      </c>
      <c r="BW28" s="36">
        <v>2011</v>
      </c>
      <c r="BX28" s="37">
        <v>2</v>
      </c>
      <c r="BY28" s="37">
        <v>291</v>
      </c>
      <c r="BZ28" s="37">
        <v>382</v>
      </c>
      <c r="CA28" s="37">
        <v>235</v>
      </c>
      <c r="CB28" s="38">
        <v>2921</v>
      </c>
      <c r="CC28" s="37">
        <v>1002</v>
      </c>
      <c r="CD28" s="37">
        <v>902</v>
      </c>
      <c r="CE28" s="37">
        <v>98</v>
      </c>
      <c r="CF28" s="37">
        <v>100</v>
      </c>
      <c r="CG28" s="17">
        <v>9.7804391217564873E-2</v>
      </c>
      <c r="CH28" s="93">
        <v>9.9800399201596807E-2</v>
      </c>
      <c r="CI28" s="37">
        <v>85</v>
      </c>
      <c r="CJ28" s="37">
        <v>70</v>
      </c>
      <c r="CK28" s="37">
        <v>70</v>
      </c>
      <c r="CL28" s="37">
        <v>55</v>
      </c>
      <c r="CM28" s="42">
        <v>50</v>
      </c>
      <c r="CN28" s="42">
        <v>60</v>
      </c>
      <c r="CO28" s="36">
        <v>379</v>
      </c>
      <c r="CP28" s="37">
        <v>91</v>
      </c>
      <c r="CQ28" s="17">
        <v>0.24010554089709762</v>
      </c>
      <c r="CR28" s="38">
        <v>49</v>
      </c>
      <c r="CS28" s="37">
        <v>212</v>
      </c>
      <c r="CT28" s="37">
        <v>224</v>
      </c>
      <c r="CU28" s="37">
        <v>200</v>
      </c>
      <c r="CV28" s="37">
        <v>208</v>
      </c>
      <c r="CW28" s="37">
        <v>187</v>
      </c>
      <c r="CX28" s="526" t="s">
        <v>471</v>
      </c>
      <c r="CY28" s="568">
        <v>213</v>
      </c>
      <c r="CZ28" s="37">
        <v>5</v>
      </c>
      <c r="DA28" s="37">
        <v>6</v>
      </c>
      <c r="DB28" s="37">
        <v>7</v>
      </c>
      <c r="DC28" s="37">
        <v>5</v>
      </c>
      <c r="DD28" s="37">
        <v>3</v>
      </c>
      <c r="DE28" s="528" t="s">
        <v>471</v>
      </c>
      <c r="DF28" s="716">
        <v>6</v>
      </c>
      <c r="DG28" s="13">
        <v>8</v>
      </c>
      <c r="DH28" s="13">
        <v>12</v>
      </c>
      <c r="DI28" s="17">
        <v>6.4171122994652413E-2</v>
      </c>
      <c r="DJ28" s="17">
        <v>3.7086220493424561E-2</v>
      </c>
      <c r="DK28" s="18">
        <v>0.10880167510714658</v>
      </c>
      <c r="DL28" s="425" t="s">
        <v>286</v>
      </c>
      <c r="DM28" s="258" t="s">
        <v>286</v>
      </c>
      <c r="DN28" s="258" t="s">
        <v>286</v>
      </c>
      <c r="DO28" s="258" t="s">
        <v>286</v>
      </c>
      <c r="DP28" s="337">
        <v>14</v>
      </c>
      <c r="DQ28" s="393">
        <v>6.5727699530516437E-2</v>
      </c>
      <c r="DR28" s="393">
        <v>3.9552862684974772E-2</v>
      </c>
      <c r="DS28" s="393">
        <v>0.10728925410332711</v>
      </c>
      <c r="DT28" s="13">
        <v>33</v>
      </c>
      <c r="DU28" s="18">
        <v>2.5923016496465043E-2</v>
      </c>
      <c r="DV28" s="328">
        <v>10</v>
      </c>
      <c r="DW28" s="333">
        <v>9</v>
      </c>
      <c r="DX28" s="337">
        <v>10</v>
      </c>
      <c r="DY28" s="393">
        <v>5.006096279167542E-2</v>
      </c>
      <c r="DZ28" s="337">
        <v>10</v>
      </c>
      <c r="EA28" s="93">
        <v>5.82979313286415E-2</v>
      </c>
      <c r="EB28" s="3">
        <v>165</v>
      </c>
      <c r="EC28" s="18">
        <v>1.7013817281913798E-2</v>
      </c>
      <c r="ED28" s="13">
        <v>85</v>
      </c>
      <c r="EE28" s="3">
        <v>80</v>
      </c>
      <c r="EF28" s="3">
        <v>100</v>
      </c>
      <c r="EG28" s="3">
        <v>95</v>
      </c>
      <c r="EH28" s="9">
        <v>80</v>
      </c>
      <c r="EI28" s="9">
        <v>80</v>
      </c>
      <c r="EJ28" s="13">
        <v>70</v>
      </c>
      <c r="EK28" s="17">
        <v>5.9574468085106386E-2</v>
      </c>
      <c r="EL28" s="17">
        <v>4.7421878387910295E-2</v>
      </c>
      <c r="EM28" s="17">
        <v>7.4597463351726415E-2</v>
      </c>
      <c r="EN28" s="3">
        <v>100</v>
      </c>
      <c r="EO28" s="17">
        <v>8.4745762711864403E-2</v>
      </c>
      <c r="EP28" s="17">
        <v>7.0171429561680224E-2</v>
      </c>
      <c r="EQ28" s="17">
        <v>0.10201502099881514</v>
      </c>
      <c r="ER28" s="3">
        <v>80</v>
      </c>
      <c r="ES28" s="17">
        <v>6.7796610169491525E-2</v>
      </c>
      <c r="ET28" s="17">
        <v>5.4809980002718722E-2</v>
      </c>
      <c r="EU28" s="17">
        <v>8.3588162417388687E-2</v>
      </c>
      <c r="EV28" s="3">
        <v>90</v>
      </c>
      <c r="EW28" s="17">
        <v>7.8260869565217397E-2</v>
      </c>
      <c r="EX28" s="17">
        <v>6.4104345798656454E-2</v>
      </c>
      <c r="EY28" s="17">
        <v>9.5225566829541919E-2</v>
      </c>
      <c r="EZ28" s="3">
        <v>90</v>
      </c>
      <c r="FA28" s="18">
        <v>8.1447963800904979E-2</v>
      </c>
      <c r="FB28" s="18">
        <v>6.6733582950996073E-2</v>
      </c>
      <c r="FC28" s="18">
        <v>9.906239929539136E-2</v>
      </c>
      <c r="FD28" s="337">
        <v>80</v>
      </c>
      <c r="FE28" s="18">
        <v>9.1428571428571428E-2</v>
      </c>
      <c r="FF28" s="18">
        <v>7.4075759928512064E-2</v>
      </c>
      <c r="FG28" s="393">
        <v>0.11235315415634556</v>
      </c>
      <c r="FH28" s="425" t="s">
        <v>286</v>
      </c>
      <c r="FI28" s="258" t="s">
        <v>286</v>
      </c>
      <c r="FJ28" s="258" t="s">
        <v>286</v>
      </c>
      <c r="FK28" s="258" t="s">
        <v>286</v>
      </c>
      <c r="FL28" s="36">
        <v>215</v>
      </c>
      <c r="FM28" s="18">
        <v>5.0058207217694994E-2</v>
      </c>
      <c r="FN28" s="42">
        <v>270</v>
      </c>
      <c r="FO28" s="18">
        <v>6.2937062937062943E-2</v>
      </c>
      <c r="FP28" s="42">
        <v>270</v>
      </c>
      <c r="FQ28" s="18">
        <v>6.323185011709602E-2</v>
      </c>
      <c r="FR28" s="42">
        <v>250</v>
      </c>
      <c r="FS28" s="18">
        <v>5.9031877213695398E-2</v>
      </c>
      <c r="FT28" s="42">
        <v>245</v>
      </c>
      <c r="FU28" s="18">
        <v>5.9178743961352656E-2</v>
      </c>
      <c r="FV28" s="42">
        <v>220</v>
      </c>
      <c r="FW28" s="393">
        <v>5.4388133498145856E-2</v>
      </c>
      <c r="FX28" s="114" t="s">
        <v>286</v>
      </c>
      <c r="FY28" s="259" t="s">
        <v>286</v>
      </c>
      <c r="FZ28" s="3">
        <v>187</v>
      </c>
      <c r="GA28" s="3">
        <v>5</v>
      </c>
      <c r="GB28" s="3">
        <v>182</v>
      </c>
      <c r="GC28" s="17">
        <v>0.9732620320855615</v>
      </c>
      <c r="GD28" s="3">
        <v>95</v>
      </c>
      <c r="GE28" s="3">
        <v>118</v>
      </c>
      <c r="GF28" s="17">
        <v>0.52197802197802201</v>
      </c>
      <c r="GG28" s="17">
        <v>0.64835164835164838</v>
      </c>
      <c r="GH28" s="17">
        <v>0.44970404802433445</v>
      </c>
      <c r="GI28" s="17">
        <v>0.59334336439570501</v>
      </c>
      <c r="GJ28" s="17">
        <v>0.57656597835294798</v>
      </c>
      <c r="GK28" s="93">
        <v>0.71400405548231827</v>
      </c>
      <c r="GL28" s="337">
        <v>193</v>
      </c>
      <c r="GM28" s="337">
        <v>89</v>
      </c>
      <c r="GN28" s="337">
        <v>38</v>
      </c>
      <c r="GO28" s="337">
        <v>127</v>
      </c>
      <c r="GP28" s="393">
        <v>0.46113989637305697</v>
      </c>
      <c r="GQ28" s="393">
        <v>0.65803108808290156</v>
      </c>
      <c r="GR28" s="393">
        <v>0.39225648155038884</v>
      </c>
      <c r="GS28" s="393">
        <v>0.53154005963627382</v>
      </c>
      <c r="GT28" s="393">
        <v>0.58860693227501248</v>
      </c>
      <c r="GU28" s="93">
        <v>0.72128713356589258</v>
      </c>
      <c r="GV28" s="42">
        <v>225</v>
      </c>
      <c r="GW28" s="42">
        <v>20</v>
      </c>
      <c r="GX28" s="42">
        <v>205</v>
      </c>
      <c r="GY28" s="393">
        <f t="shared" si="2"/>
        <v>0.91111111111111109</v>
      </c>
      <c r="GZ28" s="42">
        <v>92</v>
      </c>
      <c r="HA28" s="42">
        <v>49</v>
      </c>
      <c r="HB28" s="42">
        <v>141</v>
      </c>
      <c r="HC28" s="393">
        <v>0.44878048780487806</v>
      </c>
      <c r="HD28" s="393">
        <v>0.68780487804878043</v>
      </c>
      <c r="HE28" s="393">
        <v>0.38226029282723289</v>
      </c>
      <c r="HF28" s="393">
        <v>0.51718496043529072</v>
      </c>
      <c r="HG28" s="393">
        <v>0.62140837402845439</v>
      </c>
      <c r="HH28" s="93">
        <v>0.74729236400895904</v>
      </c>
      <c r="HI28" s="696">
        <v>146</v>
      </c>
      <c r="HJ28" s="696">
        <v>11</v>
      </c>
      <c r="HK28" s="696">
        <v>135</v>
      </c>
      <c r="HL28" s="697">
        <v>0.92465753424657537</v>
      </c>
      <c r="HM28" s="696">
        <v>72</v>
      </c>
      <c r="HN28" s="696">
        <v>24</v>
      </c>
      <c r="HO28" s="696">
        <v>96</v>
      </c>
      <c r="HP28" s="697">
        <v>0.53333333333333333</v>
      </c>
      <c r="HQ28" s="697">
        <v>0.71111111111111114</v>
      </c>
      <c r="HR28" s="697">
        <v>0.44942253647808705</v>
      </c>
      <c r="HS28" s="697">
        <v>0.6153996000540779</v>
      </c>
      <c r="HT28" s="697">
        <v>0.62965262171487812</v>
      </c>
      <c r="HU28" s="698">
        <v>0.78088757632216699</v>
      </c>
      <c r="HV28" s="3">
        <v>181</v>
      </c>
      <c r="HW28" s="3">
        <v>12</v>
      </c>
      <c r="HX28" s="17">
        <v>6.6000000000000003E-2</v>
      </c>
      <c r="HY28" s="17">
        <v>3.7999999999999999E-2</v>
      </c>
      <c r="HZ28" s="17">
        <v>0.112</v>
      </c>
      <c r="IA28" s="267" t="s">
        <v>707</v>
      </c>
      <c r="IB28" s="3">
        <v>207</v>
      </c>
      <c r="IC28" s="3">
        <v>18</v>
      </c>
      <c r="ID28" s="17">
        <v>8.6999999999999994E-2</v>
      </c>
      <c r="IE28" s="17">
        <v>5.6000000000000001E-2</v>
      </c>
      <c r="IF28" s="17">
        <v>0.13300000000000001</v>
      </c>
      <c r="IG28" s="3" t="s">
        <v>707</v>
      </c>
      <c r="IH28" s="3">
        <v>189</v>
      </c>
      <c r="II28" s="3">
        <v>9</v>
      </c>
      <c r="IJ28" s="17">
        <v>4.7619047619047616E-2</v>
      </c>
      <c r="IK28" s="17">
        <v>2.5251906693033909E-2</v>
      </c>
      <c r="IL28" s="17">
        <v>8.8009312934030443E-2</v>
      </c>
      <c r="IM28" s="3" t="s">
        <v>708</v>
      </c>
      <c r="IN28" s="3">
        <v>190</v>
      </c>
      <c r="IO28" s="3">
        <v>15</v>
      </c>
      <c r="IP28" s="17">
        <v>7.8947368421052627E-2</v>
      </c>
      <c r="IQ28" s="17">
        <v>4.8424492181179869E-2</v>
      </c>
      <c r="IR28" s="17">
        <v>0.12615869052174186</v>
      </c>
      <c r="IS28" s="3" t="s">
        <v>707</v>
      </c>
      <c r="IT28" s="3">
        <v>121</v>
      </c>
      <c r="IU28" s="3">
        <v>6</v>
      </c>
      <c r="IV28" s="17">
        <v>4.9586776859504134E-2</v>
      </c>
      <c r="IW28" s="17">
        <v>2.2921674071323391E-2</v>
      </c>
      <c r="IX28" s="17">
        <v>0.10397093812929752</v>
      </c>
      <c r="IY28" s="9" t="s">
        <v>707</v>
      </c>
      <c r="IZ28" s="9">
        <v>198</v>
      </c>
      <c r="JA28" s="9">
        <v>10</v>
      </c>
      <c r="JB28" s="393">
        <v>5.0505050505050504E-2</v>
      </c>
      <c r="JC28" s="393">
        <v>2.7661556517076861E-2</v>
      </c>
      <c r="JD28" s="393">
        <v>9.0458174483647236E-2</v>
      </c>
      <c r="JE28" s="9" t="str">
        <f t="shared" si="0"/>
        <v>No Sig diff</v>
      </c>
      <c r="JF28" s="9">
        <v>211</v>
      </c>
      <c r="JG28" s="109">
        <v>12</v>
      </c>
      <c r="JH28" s="258">
        <v>5.6872037914691941E-2</v>
      </c>
      <c r="JI28" s="258">
        <v>3.2829082522818465E-2</v>
      </c>
      <c r="JJ28" s="258">
        <v>9.6761635085976488E-2</v>
      </c>
      <c r="JK28" s="662" t="str">
        <f t="shared" si="3"/>
        <v>No Sig diff</v>
      </c>
      <c r="JL28" s="3">
        <v>175</v>
      </c>
      <c r="JM28" s="3">
        <v>23</v>
      </c>
      <c r="JN28" s="17">
        <v>0.13100000000000001</v>
      </c>
      <c r="JO28" s="17">
        <v>8.8999999999999996E-2</v>
      </c>
      <c r="JP28" s="17">
        <v>0.189</v>
      </c>
      <c r="JQ28" s="3" t="s">
        <v>707</v>
      </c>
      <c r="JR28" s="3">
        <v>189</v>
      </c>
      <c r="JS28" s="3">
        <v>21</v>
      </c>
      <c r="JT28" s="17">
        <v>0.111</v>
      </c>
      <c r="JU28" s="17">
        <v>7.3999999999999996E-2</v>
      </c>
      <c r="JV28" s="17">
        <v>0.16400000000000001</v>
      </c>
      <c r="JW28" s="3" t="s">
        <v>708</v>
      </c>
      <c r="JX28" s="3">
        <v>183</v>
      </c>
      <c r="JY28" s="3">
        <v>28</v>
      </c>
      <c r="JZ28" s="17">
        <v>0.15300546448087432</v>
      </c>
      <c r="KA28" s="17">
        <v>0.10803050767038307</v>
      </c>
      <c r="KB28" s="17">
        <v>0.21224883075055107</v>
      </c>
      <c r="KC28" s="3" t="s">
        <v>707</v>
      </c>
      <c r="KD28" s="3">
        <v>174</v>
      </c>
      <c r="KE28" s="3">
        <v>14</v>
      </c>
      <c r="KF28" s="17">
        <v>8.0459770114942528E-2</v>
      </c>
      <c r="KG28" s="17">
        <v>4.8531099813854901E-2</v>
      </c>
      <c r="KH28" s="17">
        <v>0.13051297141589011</v>
      </c>
      <c r="KI28" s="3" t="s">
        <v>708</v>
      </c>
      <c r="KJ28" s="3">
        <v>197</v>
      </c>
      <c r="KK28" s="3">
        <v>25</v>
      </c>
      <c r="KL28" s="17">
        <v>0.12690355329949238</v>
      </c>
      <c r="KM28" s="17">
        <v>8.7454746190626445E-2</v>
      </c>
      <c r="KN28" s="17">
        <v>0.18062465901207292</v>
      </c>
      <c r="KO28" s="465" t="s">
        <v>708</v>
      </c>
      <c r="KP28" s="465">
        <v>189</v>
      </c>
      <c r="KQ28" s="465">
        <v>16</v>
      </c>
      <c r="KR28" s="393">
        <v>8.4656084656084651E-2</v>
      </c>
      <c r="KS28" s="393">
        <v>5.2779295230983916E-2</v>
      </c>
      <c r="KT28" s="393">
        <v>0.13308042103480028</v>
      </c>
      <c r="KU28" s="465" t="s">
        <v>708</v>
      </c>
      <c r="KV28" s="465">
        <v>182</v>
      </c>
      <c r="KW28" s="465">
        <v>26</v>
      </c>
      <c r="KX28" s="393">
        <v>0.14285714285714285</v>
      </c>
      <c r="KY28" s="393">
        <v>9.9390751540712766E-2</v>
      </c>
      <c r="KZ28" s="393">
        <v>0.20108826522471079</v>
      </c>
      <c r="LA28" s="660" t="str">
        <f t="shared" si="4"/>
        <v>No Sig diff</v>
      </c>
      <c r="LB28" s="3">
        <v>238</v>
      </c>
      <c r="LC28" s="3">
        <v>133</v>
      </c>
      <c r="LD28" s="17">
        <v>0.55882352941176472</v>
      </c>
      <c r="LE28" s="17">
        <v>0.49530353405154642</v>
      </c>
      <c r="LF28" s="17">
        <v>0.62047479500972391</v>
      </c>
      <c r="LG28" s="3">
        <v>238</v>
      </c>
      <c r="LH28" s="3">
        <v>34</v>
      </c>
      <c r="LI28" s="3">
        <v>47</v>
      </c>
      <c r="LJ28" s="293">
        <v>25.106382978723406</v>
      </c>
      <c r="LK28" s="17">
        <v>0.26157697121401746</v>
      </c>
      <c r="LL28" s="3">
        <v>203</v>
      </c>
      <c r="LM28" s="3">
        <v>114</v>
      </c>
      <c r="LN28" s="17">
        <v>0.56157635467980294</v>
      </c>
      <c r="LO28" s="17">
        <v>0.49280222994584766</v>
      </c>
      <c r="LP28" s="17">
        <v>0.62806328774358189</v>
      </c>
      <c r="LQ28" s="3">
        <v>203</v>
      </c>
      <c r="LR28" s="3">
        <v>34</v>
      </c>
      <c r="LS28" s="3">
        <v>40</v>
      </c>
      <c r="LT28" s="293">
        <v>23.924999999999997</v>
      </c>
      <c r="LU28" s="18">
        <v>0.29632352941176476</v>
      </c>
      <c r="LV28" s="42">
        <v>267</v>
      </c>
      <c r="LW28" s="42">
        <v>179</v>
      </c>
      <c r="LX28" s="18">
        <v>0.67041198501872656</v>
      </c>
      <c r="LY28" s="18">
        <v>0.61196097409092154</v>
      </c>
      <c r="LZ28" s="18">
        <v>0.72402894560687836</v>
      </c>
      <c r="MA28" s="337">
        <v>34</v>
      </c>
      <c r="MB28" s="337">
        <v>53</v>
      </c>
      <c r="MC28" s="294">
        <v>26</v>
      </c>
      <c r="MD28" s="393">
        <v>0.23599999999999999</v>
      </c>
      <c r="ME28" s="337">
        <v>241</v>
      </c>
      <c r="MF28" s="337">
        <v>149</v>
      </c>
      <c r="MG28" s="393">
        <v>0.61825726141078841</v>
      </c>
      <c r="MH28" s="393">
        <v>0.55552146900202004</v>
      </c>
      <c r="MI28" s="393">
        <v>0.67728224109898483</v>
      </c>
      <c r="MJ28" s="337">
        <v>34</v>
      </c>
      <c r="MK28" s="337">
        <v>48</v>
      </c>
      <c r="ML28" s="294">
        <v>26.041666666666668</v>
      </c>
      <c r="MM28" s="93">
        <v>0.23406862745098037</v>
      </c>
      <c r="MN28" s="17">
        <v>0.89808802308802316</v>
      </c>
      <c r="MO28" s="17">
        <v>0.10191197691197691</v>
      </c>
      <c r="MP28" s="17">
        <v>5.4673224147554787E-2</v>
      </c>
      <c r="MQ28" s="17">
        <v>0.15135598293107455</v>
      </c>
      <c r="MR28" s="17">
        <v>0.93512506012506003</v>
      </c>
      <c r="MS28" s="17">
        <v>6.4874939874939877E-2</v>
      </c>
      <c r="MT28" s="17">
        <v>3.3940885823589673E-2</v>
      </c>
      <c r="MU28" s="17">
        <v>0.11685557044311824</v>
      </c>
      <c r="MV28" s="17">
        <v>0.92475468975468966</v>
      </c>
      <c r="MW28" s="17">
        <v>7.5245310245310254E-2</v>
      </c>
      <c r="MX28" s="17">
        <v>4.411767148383796E-2</v>
      </c>
      <c r="MY28" s="17">
        <v>0.13429516018883067</v>
      </c>
      <c r="MZ28" s="17">
        <v>0.84827894327894338</v>
      </c>
      <c r="NA28" s="17">
        <v>0.15172105672105671</v>
      </c>
      <c r="NB28" s="17">
        <v>0.12307779859865452</v>
      </c>
      <c r="NC28" s="93">
        <v>0.24864966091573915</v>
      </c>
      <c r="ND28" s="337">
        <v>6</v>
      </c>
      <c r="NE28" s="337">
        <v>94</v>
      </c>
      <c r="NF28" s="393">
        <v>6.3829787234042548E-2</v>
      </c>
      <c r="NG28" s="393">
        <v>2.9579735297574038E-2</v>
      </c>
      <c r="NH28" s="393">
        <v>0.13232973550994367</v>
      </c>
      <c r="NI28" s="337">
        <v>5</v>
      </c>
      <c r="NJ28" s="337">
        <v>94</v>
      </c>
      <c r="NK28" s="393">
        <v>5.3191489361702128E-2</v>
      </c>
      <c r="NL28" s="393">
        <v>2.2931748685590017E-2</v>
      </c>
      <c r="NM28" s="393">
        <v>0.11853648970259888</v>
      </c>
      <c r="NN28" s="337">
        <v>5</v>
      </c>
      <c r="NO28" s="337">
        <v>90</v>
      </c>
      <c r="NP28" s="393">
        <v>5.5555555555555552E-2</v>
      </c>
      <c r="NQ28" s="393">
        <v>2.3960971616961969E-2</v>
      </c>
      <c r="NR28" s="393">
        <v>0.12353736221799515</v>
      </c>
      <c r="NS28" s="337">
        <v>10</v>
      </c>
      <c r="NT28" s="337">
        <v>90</v>
      </c>
      <c r="NU28" s="393">
        <v>0.1111111111111111</v>
      </c>
      <c r="NV28" s="393">
        <v>6.1483191892977122E-2</v>
      </c>
      <c r="NW28" s="93">
        <v>0.19257785021261034</v>
      </c>
      <c r="NX28" s="3">
        <v>41</v>
      </c>
      <c r="NY28" s="3">
        <v>37</v>
      </c>
      <c r="NZ28" s="3">
        <v>37</v>
      </c>
      <c r="OA28" s="3">
        <v>37</v>
      </c>
      <c r="OB28" s="3">
        <v>37</v>
      </c>
      <c r="OC28" s="3">
        <v>58</v>
      </c>
      <c r="OD28" s="3">
        <v>54</v>
      </c>
      <c r="OE28" s="3">
        <v>56</v>
      </c>
      <c r="OF28" s="3">
        <v>55</v>
      </c>
      <c r="OG28" s="3">
        <v>56</v>
      </c>
      <c r="OH28" s="3">
        <v>56</v>
      </c>
      <c r="OI28" s="3">
        <v>55</v>
      </c>
      <c r="OJ28" s="3">
        <v>56</v>
      </c>
      <c r="OK28" s="3">
        <v>61</v>
      </c>
      <c r="OL28" s="3">
        <v>57</v>
      </c>
      <c r="OM28" s="3">
        <v>57</v>
      </c>
      <c r="ON28" s="3">
        <v>56</v>
      </c>
      <c r="OO28" s="3">
        <v>58</v>
      </c>
      <c r="OP28" s="3">
        <v>58</v>
      </c>
      <c r="OQ28" s="3">
        <v>54</v>
      </c>
      <c r="OR28" s="3">
        <v>57</v>
      </c>
      <c r="OS28" s="3">
        <v>57</v>
      </c>
      <c r="OT28" s="6">
        <v>58</v>
      </c>
      <c r="OU28" s="3">
        <v>136</v>
      </c>
      <c r="OV28" s="22">
        <v>0.96299999999999997</v>
      </c>
      <c r="OW28" s="22">
        <v>1.4999999999999999E-2</v>
      </c>
      <c r="OX28" s="22">
        <v>0.95599999999999996</v>
      </c>
      <c r="OY28" s="3">
        <v>131</v>
      </c>
      <c r="OZ28" s="3">
        <v>2</v>
      </c>
      <c r="PA28" s="3">
        <v>130</v>
      </c>
      <c r="PB28" s="3">
        <v>141</v>
      </c>
      <c r="PC28" s="22">
        <v>0.98599999999999999</v>
      </c>
      <c r="PD28" s="22">
        <v>0.95699999999999996</v>
      </c>
      <c r="PE28" s="22">
        <v>0.94299999999999995</v>
      </c>
      <c r="PF28" s="22">
        <v>0.95699999999999996</v>
      </c>
      <c r="PG28" s="22">
        <v>0.96499999999999997</v>
      </c>
      <c r="PH28" s="3">
        <v>139</v>
      </c>
      <c r="PI28" s="3">
        <v>135</v>
      </c>
      <c r="PJ28" s="3">
        <v>133</v>
      </c>
      <c r="PK28" s="3">
        <v>135</v>
      </c>
      <c r="PL28" s="3">
        <v>136</v>
      </c>
      <c r="PM28" s="3">
        <v>165</v>
      </c>
      <c r="PN28" s="22">
        <v>0.97</v>
      </c>
      <c r="PO28" s="22">
        <v>0.92700000000000005</v>
      </c>
      <c r="PP28" s="22">
        <v>0.97</v>
      </c>
      <c r="PQ28" s="22">
        <v>0.97</v>
      </c>
      <c r="PR28" s="22">
        <v>0.96399999999999997</v>
      </c>
      <c r="PS28" s="22">
        <v>0.89700000000000002</v>
      </c>
      <c r="PT28" s="22">
        <v>0.96399999999999997</v>
      </c>
      <c r="PU28" s="22">
        <v>0.92700000000000005</v>
      </c>
      <c r="PV28" s="22">
        <v>0.95799999999999996</v>
      </c>
      <c r="PW28" s="22">
        <v>0.95199999999999996</v>
      </c>
      <c r="PX28" s="3">
        <v>160</v>
      </c>
      <c r="PY28" s="3">
        <v>153</v>
      </c>
      <c r="PZ28" s="3">
        <v>160</v>
      </c>
      <c r="QA28" s="3">
        <v>160</v>
      </c>
      <c r="QB28" s="3">
        <v>159</v>
      </c>
      <c r="QC28" s="3">
        <v>148</v>
      </c>
      <c r="QD28" s="3">
        <v>159</v>
      </c>
      <c r="QE28" s="3">
        <v>153</v>
      </c>
      <c r="QF28" s="3">
        <v>158</v>
      </c>
      <c r="QG28" s="6">
        <v>157</v>
      </c>
      <c r="QH28" s="37">
        <v>153</v>
      </c>
      <c r="QI28" s="17">
        <v>0.934640522875817</v>
      </c>
      <c r="QJ28" s="17">
        <v>0.26143790849673204</v>
      </c>
      <c r="QK28" s="17">
        <v>0.94117647058823528</v>
      </c>
      <c r="QL28" s="37">
        <v>143</v>
      </c>
      <c r="QM28" s="37">
        <v>40</v>
      </c>
      <c r="QN28" s="37">
        <v>144</v>
      </c>
      <c r="QO28" s="37">
        <v>144</v>
      </c>
      <c r="QP28" s="17">
        <v>0.95833333333333337</v>
      </c>
      <c r="QQ28" s="17">
        <v>0.95138888888888884</v>
      </c>
      <c r="QR28" s="17">
        <v>0.71527777777777779</v>
      </c>
      <c r="QS28" s="17">
        <v>0.94444444444444442</v>
      </c>
      <c r="QT28" s="17">
        <v>0.71527777777777779</v>
      </c>
      <c r="QU28" s="37">
        <v>138</v>
      </c>
      <c r="QV28" s="37">
        <v>137</v>
      </c>
      <c r="QW28" s="37">
        <v>103</v>
      </c>
      <c r="QX28" s="37">
        <v>136</v>
      </c>
      <c r="QY28" s="37">
        <v>103</v>
      </c>
      <c r="QZ28" s="3">
        <v>191</v>
      </c>
      <c r="RA28" s="17">
        <v>0.96335078534031415</v>
      </c>
      <c r="RB28" s="17">
        <v>0.82722513089005234</v>
      </c>
      <c r="RC28" s="17">
        <v>0.96335078534031415</v>
      </c>
      <c r="RD28" s="17">
        <v>0.96335078534031415</v>
      </c>
      <c r="RE28" s="17">
        <v>0.69633507853403143</v>
      </c>
      <c r="RF28" s="17">
        <v>0.95287958115183247</v>
      </c>
      <c r="RG28" s="17">
        <v>0.95811518324607325</v>
      </c>
      <c r="RH28" s="17">
        <v>0.87958115183246077</v>
      </c>
      <c r="RI28" s="17">
        <v>0.69633507853403143</v>
      </c>
      <c r="RJ28" s="17">
        <v>0.68586387434554974</v>
      </c>
      <c r="RK28" s="37">
        <v>184</v>
      </c>
      <c r="RL28" s="37">
        <v>158</v>
      </c>
      <c r="RM28" s="37">
        <v>184</v>
      </c>
      <c r="RN28" s="37">
        <v>184</v>
      </c>
      <c r="RO28" s="37">
        <v>133</v>
      </c>
      <c r="RP28" s="37">
        <v>182</v>
      </c>
      <c r="RQ28" s="37">
        <v>183</v>
      </c>
      <c r="RR28" s="37">
        <v>168</v>
      </c>
      <c r="RS28" s="37">
        <v>133</v>
      </c>
      <c r="RT28" s="38">
        <v>131</v>
      </c>
    </row>
    <row r="29" spans="1:488" s="3" customFormat="1" ht="12.75" x14ac:dyDescent="0.2">
      <c r="A29" s="9" t="s">
        <v>45</v>
      </c>
      <c r="B29" s="6">
        <v>13</v>
      </c>
      <c r="C29" s="9" t="s">
        <v>175</v>
      </c>
      <c r="D29" s="9" t="s">
        <v>176</v>
      </c>
      <c r="E29" s="9" t="s">
        <v>286</v>
      </c>
      <c r="F29" s="9" t="s">
        <v>286</v>
      </c>
      <c r="G29" s="9" t="s">
        <v>177</v>
      </c>
      <c r="H29" s="9" t="s">
        <v>266</v>
      </c>
      <c r="I29" s="9" t="s">
        <v>44</v>
      </c>
      <c r="J29" s="9" t="s">
        <v>268</v>
      </c>
      <c r="K29" s="9" t="s">
        <v>374</v>
      </c>
      <c r="L29" s="9" t="s">
        <v>274</v>
      </c>
      <c r="M29" s="9" t="s">
        <v>337</v>
      </c>
      <c r="N29" s="3" t="s">
        <v>44</v>
      </c>
      <c r="O29" s="9">
        <v>488285</v>
      </c>
      <c r="P29" s="9">
        <v>121355</v>
      </c>
      <c r="Q29" s="109">
        <v>22003</v>
      </c>
      <c r="R29" s="109" t="s">
        <v>286</v>
      </c>
      <c r="S29" s="310" t="s">
        <v>797</v>
      </c>
      <c r="T29" s="36">
        <v>15990</v>
      </c>
      <c r="U29" s="37">
        <v>15980</v>
      </c>
      <c r="V29" s="37">
        <v>16045</v>
      </c>
      <c r="W29" s="37">
        <v>16120</v>
      </c>
      <c r="X29" s="37">
        <v>16080</v>
      </c>
      <c r="Y29" s="37">
        <v>16020</v>
      </c>
      <c r="Z29" s="37">
        <v>16095</v>
      </c>
      <c r="AA29" s="37">
        <v>16150</v>
      </c>
      <c r="AB29" s="37">
        <v>16255</v>
      </c>
      <c r="AC29" s="42">
        <v>16145</v>
      </c>
      <c r="AD29" s="42">
        <v>16424</v>
      </c>
      <c r="AE29" s="36">
        <v>770</v>
      </c>
      <c r="AF29" s="37">
        <v>810</v>
      </c>
      <c r="AG29" s="37">
        <v>830</v>
      </c>
      <c r="AH29" s="37">
        <v>830</v>
      </c>
      <c r="AI29" s="37">
        <v>815</v>
      </c>
      <c r="AJ29" s="37">
        <v>815</v>
      </c>
      <c r="AK29" s="37">
        <v>790</v>
      </c>
      <c r="AL29" s="37">
        <v>785</v>
      </c>
      <c r="AM29" s="37">
        <v>815</v>
      </c>
      <c r="AN29" s="42">
        <v>754</v>
      </c>
      <c r="AO29" s="42">
        <v>790</v>
      </c>
      <c r="AP29" s="13">
        <v>814</v>
      </c>
      <c r="AQ29" s="3">
        <v>756</v>
      </c>
      <c r="AR29" s="3">
        <v>14</v>
      </c>
      <c r="AS29" s="3">
        <v>34</v>
      </c>
      <c r="AT29" s="3">
        <v>6</v>
      </c>
      <c r="AU29" s="3">
        <v>1</v>
      </c>
      <c r="AV29" s="3">
        <v>3</v>
      </c>
      <c r="AW29" s="9">
        <v>58</v>
      </c>
      <c r="AX29" s="16">
        <v>0.92874692874692877</v>
      </c>
      <c r="AY29" s="17">
        <v>1.7199017199017199E-2</v>
      </c>
      <c r="AZ29" s="17">
        <v>4.1769041769041768E-2</v>
      </c>
      <c r="BA29" s="17">
        <v>7.3710073710073713E-3</v>
      </c>
      <c r="BB29" s="17">
        <v>1.2285012285012285E-3</v>
      </c>
      <c r="BC29" s="17">
        <v>3.6855036855036856E-3</v>
      </c>
      <c r="BD29" s="18">
        <v>7.1253071253071232E-2</v>
      </c>
      <c r="BE29" s="13">
        <v>2199</v>
      </c>
      <c r="BF29" s="3">
        <v>2181</v>
      </c>
      <c r="BG29" s="3">
        <v>18</v>
      </c>
      <c r="BH29" s="3">
        <v>15</v>
      </c>
      <c r="BI29" s="3">
        <v>3</v>
      </c>
      <c r="BJ29" s="17">
        <v>0.83333333333333337</v>
      </c>
      <c r="BK29" s="18">
        <v>0.16666666666666666</v>
      </c>
      <c r="BL29" s="13">
        <v>1649</v>
      </c>
      <c r="BM29" s="17">
        <v>0.60097028502122496</v>
      </c>
      <c r="BN29" s="17">
        <v>0.1952698605215282</v>
      </c>
      <c r="BO29" s="18">
        <v>0.20375985445724681</v>
      </c>
      <c r="BP29" s="36">
        <v>4811</v>
      </c>
      <c r="BQ29" s="37">
        <v>198</v>
      </c>
      <c r="BR29" s="37">
        <v>277</v>
      </c>
      <c r="BS29" s="37">
        <v>134</v>
      </c>
      <c r="BT29" s="37">
        <v>3061</v>
      </c>
      <c r="BU29" s="37">
        <v>1708</v>
      </c>
      <c r="BV29" s="18">
        <v>0.15690866510538642</v>
      </c>
      <c r="BW29" s="36">
        <v>1116</v>
      </c>
      <c r="BX29" s="37">
        <v>0</v>
      </c>
      <c r="BY29" s="37">
        <v>206</v>
      </c>
      <c r="BZ29" s="37">
        <v>308</v>
      </c>
      <c r="CA29" s="37">
        <v>86</v>
      </c>
      <c r="CB29" s="38">
        <v>1716</v>
      </c>
      <c r="CC29" s="37">
        <v>612</v>
      </c>
      <c r="CD29" s="37">
        <v>532</v>
      </c>
      <c r="CE29" s="37">
        <v>78</v>
      </c>
      <c r="CF29" s="37">
        <v>80</v>
      </c>
      <c r="CG29" s="17">
        <v>0.12745098039215685</v>
      </c>
      <c r="CH29" s="93">
        <v>0.13071895424836602</v>
      </c>
      <c r="CI29" s="37">
        <v>70</v>
      </c>
      <c r="CJ29" s="37">
        <v>65</v>
      </c>
      <c r="CK29" s="37">
        <v>50</v>
      </c>
      <c r="CL29" s="37">
        <v>60</v>
      </c>
      <c r="CM29" s="42">
        <v>55</v>
      </c>
      <c r="CN29" s="42">
        <v>50</v>
      </c>
      <c r="CO29" s="36">
        <v>308</v>
      </c>
      <c r="CP29" s="37">
        <v>98</v>
      </c>
      <c r="CQ29" s="17">
        <v>0.31818181818181818</v>
      </c>
      <c r="CR29" s="38">
        <v>26</v>
      </c>
      <c r="CS29" s="37">
        <v>121</v>
      </c>
      <c r="CT29" s="37">
        <v>126</v>
      </c>
      <c r="CU29" s="37">
        <v>99</v>
      </c>
      <c r="CV29" s="37">
        <v>127</v>
      </c>
      <c r="CW29" s="37">
        <v>97</v>
      </c>
      <c r="CX29" s="526" t="s">
        <v>471</v>
      </c>
      <c r="CY29" s="568">
        <v>134</v>
      </c>
      <c r="CZ29" s="37">
        <v>5</v>
      </c>
      <c r="DA29" s="37">
        <v>7</v>
      </c>
      <c r="DB29" s="37">
        <v>1</v>
      </c>
      <c r="DC29" s="37">
        <v>5</v>
      </c>
      <c r="DD29" s="37">
        <v>3</v>
      </c>
      <c r="DE29" s="528" t="s">
        <v>471</v>
      </c>
      <c r="DF29" s="716">
        <v>3</v>
      </c>
      <c r="DG29" s="13">
        <v>7</v>
      </c>
      <c r="DH29" s="13">
        <v>13</v>
      </c>
      <c r="DI29" s="17">
        <v>0.13402061855670103</v>
      </c>
      <c r="DJ29" s="17">
        <v>8.002456680409932E-2</v>
      </c>
      <c r="DK29" s="18">
        <v>0.21589993854994483</v>
      </c>
      <c r="DL29" s="425" t="s">
        <v>286</v>
      </c>
      <c r="DM29" s="258" t="s">
        <v>286</v>
      </c>
      <c r="DN29" s="258" t="s">
        <v>286</v>
      </c>
      <c r="DO29" s="258" t="s">
        <v>286</v>
      </c>
      <c r="DP29" s="337">
        <v>5</v>
      </c>
      <c r="DQ29" s="393">
        <v>3.7313432835820892E-2</v>
      </c>
      <c r="DR29" s="393">
        <v>1.6041511340777796E-2</v>
      </c>
      <c r="DS29" s="393">
        <v>8.4374277487308136E-2</v>
      </c>
      <c r="DT29" s="13">
        <v>12</v>
      </c>
      <c r="DU29" s="18">
        <v>1.4742014742014743E-2</v>
      </c>
      <c r="DV29" s="328">
        <v>6</v>
      </c>
      <c r="DW29" s="333">
        <v>6</v>
      </c>
      <c r="DX29" s="337">
        <v>6</v>
      </c>
      <c r="DY29" s="393">
        <v>0.10501461988304094</v>
      </c>
      <c r="DZ29" s="337">
        <v>6</v>
      </c>
      <c r="EA29" s="93">
        <v>9.6980201718341416E-2</v>
      </c>
      <c r="EB29" s="3">
        <v>207</v>
      </c>
      <c r="EC29" s="18">
        <v>2.8618830360846122E-2</v>
      </c>
      <c r="ED29" s="13">
        <v>85</v>
      </c>
      <c r="EE29" s="3">
        <v>95</v>
      </c>
      <c r="EF29" s="3">
        <v>95</v>
      </c>
      <c r="EG29" s="3">
        <v>80</v>
      </c>
      <c r="EH29" s="9">
        <v>70</v>
      </c>
      <c r="EI29" s="9">
        <v>75</v>
      </c>
      <c r="EJ29" s="13">
        <v>70</v>
      </c>
      <c r="EK29" s="17">
        <v>8.5365853658536592E-2</v>
      </c>
      <c r="EL29" s="17">
        <v>6.812093171674348E-2</v>
      </c>
      <c r="EM29" s="17">
        <v>0.10647753899702604</v>
      </c>
      <c r="EN29" s="3">
        <v>75</v>
      </c>
      <c r="EO29" s="17">
        <v>9.4339622641509441E-2</v>
      </c>
      <c r="EP29" s="17">
        <v>7.5926994854083177E-2</v>
      </c>
      <c r="EQ29" s="17">
        <v>0.11665371953172962</v>
      </c>
      <c r="ER29" s="3">
        <v>85</v>
      </c>
      <c r="ES29" s="17">
        <v>0.10493827160493827</v>
      </c>
      <c r="ET29" s="17">
        <v>8.5664817895442877E-2</v>
      </c>
      <c r="EU29" s="17">
        <v>0.127941231460412</v>
      </c>
      <c r="EV29" s="3">
        <v>110</v>
      </c>
      <c r="EW29" s="17">
        <v>0.13836477987421383</v>
      </c>
      <c r="EX29" s="17">
        <v>0.11609698059816681</v>
      </c>
      <c r="EY29" s="17">
        <v>0.16411063300158879</v>
      </c>
      <c r="EZ29" s="3">
        <v>80</v>
      </c>
      <c r="FA29" s="18">
        <v>0.10457516339869281</v>
      </c>
      <c r="FB29" s="18">
        <v>8.4830729401685165E-2</v>
      </c>
      <c r="FC29" s="18">
        <v>0.12827101861279661</v>
      </c>
      <c r="FD29" s="337">
        <v>95</v>
      </c>
      <c r="FE29" s="18">
        <v>0.14285714285714285</v>
      </c>
      <c r="FF29" s="18">
        <v>0.1183097405244007</v>
      </c>
      <c r="FG29" s="393">
        <v>0.1715070109109495</v>
      </c>
      <c r="FH29" s="425" t="s">
        <v>286</v>
      </c>
      <c r="FI29" s="258" t="s">
        <v>286</v>
      </c>
      <c r="FJ29" s="258" t="s">
        <v>286</v>
      </c>
      <c r="FK29" s="258" t="s">
        <v>286</v>
      </c>
      <c r="FL29" s="36">
        <v>280</v>
      </c>
      <c r="FM29" s="18">
        <v>0.10294117647058823</v>
      </c>
      <c r="FN29" s="42">
        <v>250</v>
      </c>
      <c r="FO29" s="18">
        <v>9.3109869646182494E-2</v>
      </c>
      <c r="FP29" s="42">
        <v>240</v>
      </c>
      <c r="FQ29" s="18">
        <v>9.0737240075614373E-2</v>
      </c>
      <c r="FR29" s="42">
        <v>245</v>
      </c>
      <c r="FS29" s="18">
        <v>9.0909090909090912E-2</v>
      </c>
      <c r="FT29" s="42">
        <v>235</v>
      </c>
      <c r="FU29" s="18">
        <v>8.7850467289719625E-2</v>
      </c>
      <c r="FV29" s="42">
        <v>245</v>
      </c>
      <c r="FW29" s="393">
        <v>9.2979127134724851E-2</v>
      </c>
      <c r="FX29" s="114" t="s">
        <v>286</v>
      </c>
      <c r="FY29" s="259" t="s">
        <v>286</v>
      </c>
      <c r="FZ29" s="3">
        <v>138</v>
      </c>
      <c r="GA29" s="3">
        <v>4</v>
      </c>
      <c r="GB29" s="3">
        <v>134</v>
      </c>
      <c r="GC29" s="17">
        <v>0.97101449275362317</v>
      </c>
      <c r="GD29" s="3">
        <v>67</v>
      </c>
      <c r="GE29" s="3">
        <v>83</v>
      </c>
      <c r="GF29" s="17">
        <v>0.5</v>
      </c>
      <c r="GG29" s="17">
        <v>0.61940298507462688</v>
      </c>
      <c r="GH29" s="17">
        <v>0.41652894110160354</v>
      </c>
      <c r="GI29" s="17">
        <v>0.58347105889839646</v>
      </c>
      <c r="GJ29" s="17">
        <v>0.53495096670916298</v>
      </c>
      <c r="GK29" s="93">
        <v>0.69719955969215563</v>
      </c>
      <c r="GL29" s="337">
        <v>90</v>
      </c>
      <c r="GM29" s="337">
        <v>33</v>
      </c>
      <c r="GN29" s="337">
        <v>13</v>
      </c>
      <c r="GO29" s="337">
        <v>46</v>
      </c>
      <c r="GP29" s="393">
        <v>0.36666666666666664</v>
      </c>
      <c r="GQ29" s="393">
        <v>0.51111111111111107</v>
      </c>
      <c r="GR29" s="393">
        <v>0.27447254779029895</v>
      </c>
      <c r="GS29" s="393">
        <v>0.46977695236018824</v>
      </c>
      <c r="GT29" s="393">
        <v>0.40951745785285504</v>
      </c>
      <c r="GU29" s="93">
        <v>0.61179508380127101</v>
      </c>
      <c r="GV29" s="42">
        <v>153</v>
      </c>
      <c r="GW29" s="42">
        <v>42</v>
      </c>
      <c r="GX29" s="42">
        <v>111</v>
      </c>
      <c r="GY29" s="393">
        <f t="shared" si="2"/>
        <v>0.72549019607843135</v>
      </c>
      <c r="GZ29" s="42">
        <v>49</v>
      </c>
      <c r="HA29" s="42">
        <v>18</v>
      </c>
      <c r="HB29" s="42">
        <v>67</v>
      </c>
      <c r="HC29" s="393">
        <v>0.44144144144144143</v>
      </c>
      <c r="HD29" s="393">
        <v>0.60360360360360366</v>
      </c>
      <c r="HE29" s="393">
        <v>0.35256158805161703</v>
      </c>
      <c r="HF29" s="393">
        <v>0.53423887466022169</v>
      </c>
      <c r="HG29" s="393">
        <v>0.51060876869657323</v>
      </c>
      <c r="HH29" s="93">
        <v>0.68966733573632744</v>
      </c>
      <c r="HI29" s="696">
        <v>91</v>
      </c>
      <c r="HJ29" s="696">
        <v>0</v>
      </c>
      <c r="HK29" s="696">
        <v>91</v>
      </c>
      <c r="HL29" s="697">
        <v>1</v>
      </c>
      <c r="HM29" s="696">
        <v>34</v>
      </c>
      <c r="HN29" s="696">
        <v>13</v>
      </c>
      <c r="HO29" s="696">
        <v>47</v>
      </c>
      <c r="HP29" s="697">
        <v>0.37362637362637363</v>
      </c>
      <c r="HQ29" s="697">
        <v>0.51648351648351654</v>
      </c>
      <c r="HR29" s="697">
        <v>0.2812496751488513</v>
      </c>
      <c r="HS29" s="697">
        <v>0.47624034782218433</v>
      </c>
      <c r="HT29" s="697">
        <v>0.41524031664952332</v>
      </c>
      <c r="HU29" s="698">
        <v>0.61639141948468945</v>
      </c>
      <c r="HV29" s="3">
        <v>114</v>
      </c>
      <c r="HW29" s="3">
        <v>10</v>
      </c>
      <c r="HX29" s="17">
        <v>8.771929824561403E-2</v>
      </c>
      <c r="HY29" s="17">
        <v>4.8345105411009885E-2</v>
      </c>
      <c r="HZ29" s="17">
        <v>0.15397298415856125</v>
      </c>
      <c r="IA29" s="267" t="s">
        <v>707</v>
      </c>
      <c r="IB29" s="3">
        <v>133</v>
      </c>
      <c r="IC29" s="3">
        <v>9</v>
      </c>
      <c r="ID29" s="17">
        <v>6.7669172932330823E-2</v>
      </c>
      <c r="IE29" s="17">
        <v>3.6006387177108239E-2</v>
      </c>
      <c r="IF29" s="17">
        <v>0.12360502744039735</v>
      </c>
      <c r="IG29" s="3" t="s">
        <v>707</v>
      </c>
      <c r="IH29" s="3">
        <v>141</v>
      </c>
      <c r="II29" s="3">
        <v>7</v>
      </c>
      <c r="IJ29" s="17">
        <v>4.9645390070921988E-2</v>
      </c>
      <c r="IK29" s="17">
        <v>2.4253530324488033E-2</v>
      </c>
      <c r="IL29" s="17">
        <v>9.8925695885742834E-2</v>
      </c>
      <c r="IM29" s="3" t="s">
        <v>707</v>
      </c>
      <c r="IN29" s="3">
        <v>123</v>
      </c>
      <c r="IO29" s="3">
        <v>6</v>
      </c>
      <c r="IP29" s="17">
        <v>4.878048780487805E-2</v>
      </c>
      <c r="IQ29" s="17">
        <v>2.2545774253251705E-2</v>
      </c>
      <c r="IR29" s="17">
        <v>0.10234603137544228</v>
      </c>
      <c r="IS29" s="3" t="s">
        <v>707</v>
      </c>
      <c r="IT29" s="3">
        <v>112</v>
      </c>
      <c r="IU29" s="3">
        <v>8</v>
      </c>
      <c r="IV29" s="17">
        <v>7.1428571428571425E-2</v>
      </c>
      <c r="IW29" s="17">
        <v>3.663590189789058E-2</v>
      </c>
      <c r="IX29" s="17">
        <v>0.13464525273091843</v>
      </c>
      <c r="IY29" s="9" t="s">
        <v>707</v>
      </c>
      <c r="IZ29" s="9">
        <v>120</v>
      </c>
      <c r="JA29" s="9">
        <v>6</v>
      </c>
      <c r="JB29" s="393">
        <v>0.05</v>
      </c>
      <c r="JC29" s="393">
        <v>2.3114364414465797E-2</v>
      </c>
      <c r="JD29" s="393">
        <v>0.10480288536236732</v>
      </c>
      <c r="JE29" s="9" t="str">
        <f t="shared" si="0"/>
        <v>No Sig diff</v>
      </c>
      <c r="JF29" s="9">
        <v>127</v>
      </c>
      <c r="JG29" s="109">
        <v>8</v>
      </c>
      <c r="JH29" s="258">
        <v>6.2992125984251968E-2</v>
      </c>
      <c r="JI29" s="258">
        <v>3.2261688421997947E-2</v>
      </c>
      <c r="JJ29" s="258">
        <v>0.11938335588987393</v>
      </c>
      <c r="JK29" s="662" t="str">
        <f t="shared" si="3"/>
        <v>No Sig diff</v>
      </c>
      <c r="JL29" s="3">
        <v>88</v>
      </c>
      <c r="JM29" s="3">
        <v>10</v>
      </c>
      <c r="JN29" s="17">
        <v>0.11363636363636363</v>
      </c>
      <c r="JO29" s="17">
        <v>6.2908003751013547E-2</v>
      </c>
      <c r="JP29" s="17">
        <v>0.1966856386718577</v>
      </c>
      <c r="JQ29" s="3" t="s">
        <v>707</v>
      </c>
      <c r="JR29" s="3">
        <v>88</v>
      </c>
      <c r="JS29" s="3">
        <v>17</v>
      </c>
      <c r="JT29" s="17">
        <v>0.19318181818181818</v>
      </c>
      <c r="JU29" s="17">
        <v>0.12425957732106709</v>
      </c>
      <c r="JV29" s="17">
        <v>0.2877706681323895</v>
      </c>
      <c r="JW29" s="3" t="s">
        <v>707</v>
      </c>
      <c r="JX29" s="3">
        <v>91</v>
      </c>
      <c r="JY29" s="3">
        <v>13</v>
      </c>
      <c r="JZ29" s="17">
        <v>0.14285714285714285</v>
      </c>
      <c r="KA29" s="17">
        <v>8.542758136548774E-2</v>
      </c>
      <c r="KB29" s="17">
        <v>0.22921813572656949</v>
      </c>
      <c r="KC29" s="3" t="s">
        <v>707</v>
      </c>
      <c r="KD29" s="3">
        <v>100</v>
      </c>
      <c r="KE29" s="3">
        <v>6</v>
      </c>
      <c r="KF29" s="17">
        <v>0.06</v>
      </c>
      <c r="KG29" s="17">
        <v>2.7786123963188188E-2</v>
      </c>
      <c r="KH29" s="17">
        <v>0.1247681544589592</v>
      </c>
      <c r="KI29" s="3" t="s">
        <v>708</v>
      </c>
      <c r="KJ29" s="3">
        <v>106</v>
      </c>
      <c r="KK29" s="3">
        <v>17</v>
      </c>
      <c r="KL29" s="17">
        <v>0.16037735849056603</v>
      </c>
      <c r="KM29" s="17">
        <v>0.10261020166712782</v>
      </c>
      <c r="KN29" s="17">
        <v>0.24189959660919289</v>
      </c>
      <c r="KO29" s="465" t="s">
        <v>707</v>
      </c>
      <c r="KP29" s="465">
        <v>114</v>
      </c>
      <c r="KQ29" s="465">
        <v>15</v>
      </c>
      <c r="KR29" s="393">
        <v>0.13157894736842105</v>
      </c>
      <c r="KS29" s="393">
        <v>8.138650983774752E-2</v>
      </c>
      <c r="KT29" s="393">
        <v>0.20579135743718838</v>
      </c>
      <c r="KU29" s="465" t="s">
        <v>772</v>
      </c>
      <c r="KV29" s="465">
        <v>83</v>
      </c>
      <c r="KW29" s="465">
        <v>14</v>
      </c>
      <c r="KX29" s="393">
        <v>0.16867469879518071</v>
      </c>
      <c r="KY29" s="393">
        <v>0.10322081202109416</v>
      </c>
      <c r="KZ29" s="393">
        <v>0.2634411401512981</v>
      </c>
      <c r="LA29" s="660" t="str">
        <f t="shared" si="4"/>
        <v>No Sig diff</v>
      </c>
      <c r="LB29" s="3">
        <v>150</v>
      </c>
      <c r="LC29" s="3">
        <v>80</v>
      </c>
      <c r="LD29" s="17">
        <v>0.53333333333333333</v>
      </c>
      <c r="LE29" s="17">
        <v>0.45366249130807695</v>
      </c>
      <c r="LF29" s="17">
        <v>0.61133949240071794</v>
      </c>
      <c r="LG29" s="3">
        <v>150</v>
      </c>
      <c r="LH29" s="3">
        <v>34</v>
      </c>
      <c r="LI29" s="3">
        <v>30</v>
      </c>
      <c r="LJ29" s="293">
        <v>25.433333333333334</v>
      </c>
      <c r="LK29" s="17">
        <v>0.25196078431372548</v>
      </c>
      <c r="LL29" s="3">
        <v>166</v>
      </c>
      <c r="LM29" s="3">
        <v>90</v>
      </c>
      <c r="LN29" s="17">
        <v>0.54216867469879515</v>
      </c>
      <c r="LO29" s="17">
        <v>0.46628048237198927</v>
      </c>
      <c r="LP29" s="17">
        <v>0.61614933245184689</v>
      </c>
      <c r="LQ29" s="3">
        <v>166</v>
      </c>
      <c r="LR29" s="3">
        <v>34</v>
      </c>
      <c r="LS29" s="3">
        <v>33</v>
      </c>
      <c r="LT29" s="293">
        <v>25.515151515151519</v>
      </c>
      <c r="LU29" s="18">
        <v>0.2495543672014259</v>
      </c>
      <c r="LV29" s="42">
        <v>149</v>
      </c>
      <c r="LW29" s="42">
        <v>93</v>
      </c>
      <c r="LX29" s="18">
        <v>0.62416107382550334</v>
      </c>
      <c r="LY29" s="18">
        <v>0.54419201143024809</v>
      </c>
      <c r="LZ29" s="18">
        <v>0.69788890225303812</v>
      </c>
      <c r="MA29" s="337">
        <v>34</v>
      </c>
      <c r="MB29" s="337">
        <v>29</v>
      </c>
      <c r="MC29" s="294">
        <v>23.9</v>
      </c>
      <c r="MD29" s="393">
        <v>0.29599999999999999</v>
      </c>
      <c r="ME29" s="337">
        <v>159</v>
      </c>
      <c r="MF29" s="337">
        <v>111</v>
      </c>
      <c r="MG29" s="393">
        <v>0.69811320754716977</v>
      </c>
      <c r="MH29" s="393">
        <v>0.62277498836217104</v>
      </c>
      <c r="MI29" s="393">
        <v>0.76410437550652122</v>
      </c>
      <c r="MJ29" s="337">
        <v>34</v>
      </c>
      <c r="MK29" s="337">
        <v>31</v>
      </c>
      <c r="ML29" s="294">
        <v>25.612903225806452</v>
      </c>
      <c r="MM29" s="93">
        <v>0.24667931688804554</v>
      </c>
      <c r="MN29" s="17"/>
      <c r="MO29" s="17">
        <v>0.15909090909090909</v>
      </c>
      <c r="MP29" s="17">
        <v>9.71981376163292E-2</v>
      </c>
      <c r="MQ29" s="17">
        <v>0.24950313936490803</v>
      </c>
      <c r="MR29" s="17"/>
      <c r="MS29" s="17">
        <v>0.125</v>
      </c>
      <c r="MT29" s="17">
        <v>7.1252008979545867E-2</v>
      </c>
      <c r="MU29" s="17">
        <v>0.21011939569981511</v>
      </c>
      <c r="MV29" s="17"/>
      <c r="MW29" s="17">
        <v>0.12643678160919541</v>
      </c>
      <c r="MX29" s="17">
        <v>7.2088787763500334E-2</v>
      </c>
      <c r="MY29" s="17">
        <v>0.21238000186592054</v>
      </c>
      <c r="MZ29" s="17"/>
      <c r="NA29" s="17">
        <v>0.29545454545454547</v>
      </c>
      <c r="NB29" s="17">
        <v>0.21030723719315755</v>
      </c>
      <c r="NC29" s="93">
        <v>0.39771352899558482</v>
      </c>
      <c r="ND29" s="337">
        <v>10</v>
      </c>
      <c r="NE29" s="337">
        <v>56</v>
      </c>
      <c r="NF29" s="393">
        <v>0.17857142857142858</v>
      </c>
      <c r="NG29" s="393">
        <v>9.9998567524123047E-2</v>
      </c>
      <c r="NH29" s="393">
        <v>0.29841182036651054</v>
      </c>
      <c r="NI29" s="337">
        <v>7</v>
      </c>
      <c r="NJ29" s="337">
        <v>56</v>
      </c>
      <c r="NK29" s="393">
        <v>0.125</v>
      </c>
      <c r="NL29" s="393">
        <v>6.1890686957171197E-2</v>
      </c>
      <c r="NM29" s="393">
        <v>0.23625476558190131</v>
      </c>
      <c r="NN29" s="337">
        <v>11</v>
      </c>
      <c r="NO29" s="337">
        <v>56</v>
      </c>
      <c r="NP29" s="393">
        <v>0.19642857142857142</v>
      </c>
      <c r="NQ29" s="393">
        <v>0.11338595674323659</v>
      </c>
      <c r="NR29" s="393">
        <v>0.31844607626458404</v>
      </c>
      <c r="NS29" s="337">
        <v>15</v>
      </c>
      <c r="NT29" s="337">
        <v>56</v>
      </c>
      <c r="NU29" s="393">
        <v>0.26785714285714285</v>
      </c>
      <c r="NV29" s="393">
        <v>0.1695730541850172</v>
      </c>
      <c r="NW29" s="93">
        <v>0.39594555929155151</v>
      </c>
      <c r="NX29" s="3">
        <v>29</v>
      </c>
      <c r="NY29" s="3">
        <v>27</v>
      </c>
      <c r="NZ29" s="3">
        <v>27</v>
      </c>
      <c r="OA29" s="3">
        <v>28</v>
      </c>
      <c r="OB29" s="3">
        <v>27</v>
      </c>
      <c r="OC29" s="3">
        <v>22</v>
      </c>
      <c r="OD29" s="3">
        <v>22</v>
      </c>
      <c r="OE29" s="3">
        <v>22</v>
      </c>
      <c r="OF29" s="3">
        <v>22</v>
      </c>
      <c r="OG29" s="3">
        <v>22</v>
      </c>
      <c r="OH29" s="3">
        <v>22</v>
      </c>
      <c r="OI29" s="3">
        <v>22</v>
      </c>
      <c r="OJ29" s="3">
        <v>22</v>
      </c>
      <c r="OK29" s="3">
        <v>39</v>
      </c>
      <c r="OL29" s="3">
        <v>33</v>
      </c>
      <c r="OM29" s="3">
        <v>33</v>
      </c>
      <c r="ON29" s="3">
        <v>33</v>
      </c>
      <c r="OO29" s="3">
        <v>33</v>
      </c>
      <c r="OP29" s="3">
        <v>34</v>
      </c>
      <c r="OQ29" s="3">
        <v>33</v>
      </c>
      <c r="OR29" s="3">
        <v>34</v>
      </c>
      <c r="OS29" s="3">
        <v>31</v>
      </c>
      <c r="OT29" s="6">
        <v>33</v>
      </c>
      <c r="OU29" s="3">
        <v>99</v>
      </c>
      <c r="OV29" s="22">
        <v>0.94899999999999995</v>
      </c>
      <c r="OW29" s="22">
        <v>0.03</v>
      </c>
      <c r="OX29" s="22">
        <v>0.94899999999999995</v>
      </c>
      <c r="OY29" s="3">
        <v>94</v>
      </c>
      <c r="OZ29" s="3">
        <v>3</v>
      </c>
      <c r="PA29" s="3">
        <v>94</v>
      </c>
      <c r="PB29" s="3">
        <v>121</v>
      </c>
      <c r="PC29" s="22">
        <v>0.99199999999999999</v>
      </c>
      <c r="PD29" s="22">
        <v>0.96699999999999997</v>
      </c>
      <c r="PE29" s="22">
        <v>0.98299999999999998</v>
      </c>
      <c r="PF29" s="22">
        <v>0.96699999999999997</v>
      </c>
      <c r="PG29" s="22">
        <v>0.97499999999999998</v>
      </c>
      <c r="PH29" s="3">
        <v>120</v>
      </c>
      <c r="PI29" s="3">
        <v>117</v>
      </c>
      <c r="PJ29" s="3">
        <v>119</v>
      </c>
      <c r="PK29" s="3">
        <v>117</v>
      </c>
      <c r="PL29" s="3">
        <v>118</v>
      </c>
      <c r="PM29" s="3">
        <v>115</v>
      </c>
      <c r="PN29" s="22">
        <v>0.98299999999999998</v>
      </c>
      <c r="PO29" s="22">
        <v>0.94799999999999995</v>
      </c>
      <c r="PP29" s="22">
        <v>0.98299999999999998</v>
      </c>
      <c r="PQ29" s="22">
        <v>0.97399999999999998</v>
      </c>
      <c r="PR29" s="22">
        <v>0.96499999999999997</v>
      </c>
      <c r="PS29" s="22">
        <v>0.94799999999999995</v>
      </c>
      <c r="PT29" s="22">
        <v>0.96499999999999997</v>
      </c>
      <c r="PU29" s="22">
        <v>0.94799999999999995</v>
      </c>
      <c r="PV29" s="22">
        <v>0.97399999999999998</v>
      </c>
      <c r="PW29" s="22">
        <v>0.95699999999999996</v>
      </c>
      <c r="PX29" s="3">
        <v>113</v>
      </c>
      <c r="PY29" s="3">
        <v>109</v>
      </c>
      <c r="PZ29" s="3">
        <v>113</v>
      </c>
      <c r="QA29" s="3">
        <v>112</v>
      </c>
      <c r="QB29" s="3">
        <v>111</v>
      </c>
      <c r="QC29" s="3">
        <v>109</v>
      </c>
      <c r="QD29" s="3">
        <v>111</v>
      </c>
      <c r="QE29" s="3">
        <v>109</v>
      </c>
      <c r="QF29" s="3">
        <v>112</v>
      </c>
      <c r="QG29" s="6">
        <v>110</v>
      </c>
      <c r="QH29" s="37">
        <v>99</v>
      </c>
      <c r="QI29" s="17">
        <v>0.97979797979797978</v>
      </c>
      <c r="QJ29" s="17">
        <v>0.28282828282828282</v>
      </c>
      <c r="QK29" s="17">
        <v>0.97979797979797978</v>
      </c>
      <c r="QL29" s="37">
        <v>97</v>
      </c>
      <c r="QM29" s="37">
        <v>28</v>
      </c>
      <c r="QN29" s="37">
        <v>97</v>
      </c>
      <c r="QO29" s="37">
        <v>105</v>
      </c>
      <c r="QP29" s="17">
        <v>0.95238095238095233</v>
      </c>
      <c r="QQ29" s="17">
        <v>0.93333333333333335</v>
      </c>
      <c r="QR29" s="17">
        <v>0.79047619047619044</v>
      </c>
      <c r="QS29" s="17">
        <v>0.93333333333333335</v>
      </c>
      <c r="QT29" s="17">
        <v>0.76190476190476186</v>
      </c>
      <c r="QU29" s="37">
        <v>100</v>
      </c>
      <c r="QV29" s="37">
        <v>98</v>
      </c>
      <c r="QW29" s="37">
        <v>83</v>
      </c>
      <c r="QX29" s="37">
        <v>98</v>
      </c>
      <c r="QY29" s="37">
        <v>80</v>
      </c>
      <c r="QZ29" s="3">
        <v>121</v>
      </c>
      <c r="RA29" s="17">
        <v>0.98347107438016534</v>
      </c>
      <c r="RB29" s="17">
        <v>0.94214876033057848</v>
      </c>
      <c r="RC29" s="17">
        <v>0.98347107438016534</v>
      </c>
      <c r="RD29" s="17">
        <v>0.98347107438016534</v>
      </c>
      <c r="RE29" s="17">
        <v>0.74380165289256195</v>
      </c>
      <c r="RF29" s="17">
        <v>0.95041322314049592</v>
      </c>
      <c r="RG29" s="17">
        <v>0.95041322314049592</v>
      </c>
      <c r="RH29" s="17">
        <v>0.92561983471074383</v>
      </c>
      <c r="RI29" s="17">
        <v>0.75206611570247939</v>
      </c>
      <c r="RJ29" s="17">
        <v>0.72727272727272729</v>
      </c>
      <c r="RK29" s="37">
        <v>119</v>
      </c>
      <c r="RL29" s="37">
        <v>114</v>
      </c>
      <c r="RM29" s="37">
        <v>119</v>
      </c>
      <c r="RN29" s="37">
        <v>119</v>
      </c>
      <c r="RO29" s="37">
        <v>90</v>
      </c>
      <c r="RP29" s="37">
        <v>115</v>
      </c>
      <c r="RQ29" s="37">
        <v>115</v>
      </c>
      <c r="RR29" s="37">
        <v>112</v>
      </c>
      <c r="RS29" s="37">
        <v>91</v>
      </c>
      <c r="RT29" s="38">
        <v>88</v>
      </c>
    </row>
    <row r="30" spans="1:488" s="3" customFormat="1" ht="12.75" x14ac:dyDescent="0.2">
      <c r="A30" s="9" t="s">
        <v>51</v>
      </c>
      <c r="B30" s="6">
        <v>20</v>
      </c>
      <c r="C30" s="9" t="s">
        <v>196</v>
      </c>
      <c r="D30" s="9" t="s">
        <v>197</v>
      </c>
      <c r="E30" s="9" t="s">
        <v>286</v>
      </c>
      <c r="F30" s="9" t="s">
        <v>286</v>
      </c>
      <c r="G30" s="9" t="s">
        <v>198</v>
      </c>
      <c r="H30" s="9" t="s">
        <v>79</v>
      </c>
      <c r="I30" s="9" t="s">
        <v>79</v>
      </c>
      <c r="J30" s="9" t="s">
        <v>269</v>
      </c>
      <c r="K30" s="9" t="s">
        <v>378</v>
      </c>
      <c r="L30" s="9" t="s">
        <v>272</v>
      </c>
      <c r="M30" s="9" t="s">
        <v>344</v>
      </c>
      <c r="N30" s="3" t="s">
        <v>79</v>
      </c>
      <c r="O30" s="9">
        <v>527182</v>
      </c>
      <c r="P30" s="9">
        <v>137360</v>
      </c>
      <c r="Q30" s="109">
        <v>22206</v>
      </c>
      <c r="R30" s="109">
        <v>80266</v>
      </c>
      <c r="S30" s="310" t="s">
        <v>797</v>
      </c>
      <c r="T30" s="36">
        <v>14925</v>
      </c>
      <c r="U30" s="37">
        <v>15190</v>
      </c>
      <c r="V30" s="37">
        <v>15405</v>
      </c>
      <c r="W30" s="37">
        <v>15880</v>
      </c>
      <c r="X30" s="37">
        <v>16250</v>
      </c>
      <c r="Y30" s="37">
        <v>17140</v>
      </c>
      <c r="Z30" s="37">
        <v>17785</v>
      </c>
      <c r="AA30" s="37">
        <v>18270</v>
      </c>
      <c r="AB30" s="37">
        <v>18550</v>
      </c>
      <c r="AC30" s="42">
        <v>18794</v>
      </c>
      <c r="AD30" s="42">
        <v>19023</v>
      </c>
      <c r="AE30" s="36">
        <v>810</v>
      </c>
      <c r="AF30" s="37">
        <v>830</v>
      </c>
      <c r="AG30" s="37">
        <v>825</v>
      </c>
      <c r="AH30" s="37">
        <v>895</v>
      </c>
      <c r="AI30" s="37">
        <v>980</v>
      </c>
      <c r="AJ30" s="37">
        <v>1180</v>
      </c>
      <c r="AK30" s="37">
        <v>1340</v>
      </c>
      <c r="AL30" s="37">
        <v>1425</v>
      </c>
      <c r="AM30" s="37">
        <v>1455</v>
      </c>
      <c r="AN30" s="42">
        <v>1484</v>
      </c>
      <c r="AO30" s="42">
        <v>1448</v>
      </c>
      <c r="AP30" s="13">
        <v>1320</v>
      </c>
      <c r="AQ30" s="3">
        <v>679</v>
      </c>
      <c r="AR30" s="3">
        <v>105</v>
      </c>
      <c r="AS30" s="3">
        <v>117</v>
      </c>
      <c r="AT30" s="3">
        <v>346</v>
      </c>
      <c r="AU30" s="3">
        <v>43</v>
      </c>
      <c r="AV30" s="3">
        <v>30</v>
      </c>
      <c r="AW30" s="9">
        <v>641</v>
      </c>
      <c r="AX30" s="16">
        <v>0.5143939393939394</v>
      </c>
      <c r="AY30" s="17">
        <v>7.9545454545454544E-2</v>
      </c>
      <c r="AZ30" s="17">
        <v>8.8636363636363638E-2</v>
      </c>
      <c r="BA30" s="17">
        <v>0.26212121212121214</v>
      </c>
      <c r="BB30" s="17">
        <v>3.2575757575757577E-2</v>
      </c>
      <c r="BC30" s="17">
        <v>2.2727272727272728E-2</v>
      </c>
      <c r="BD30" s="18">
        <v>0.4856060606060606</v>
      </c>
      <c r="BE30" s="13">
        <v>2322</v>
      </c>
      <c r="BF30" s="3">
        <v>2018</v>
      </c>
      <c r="BG30" s="3">
        <v>304</v>
      </c>
      <c r="BH30" s="3">
        <v>255</v>
      </c>
      <c r="BI30" s="3">
        <v>49</v>
      </c>
      <c r="BJ30" s="17">
        <v>0.83881578947368418</v>
      </c>
      <c r="BK30" s="18">
        <v>0.16118421052631579</v>
      </c>
      <c r="BL30" s="13">
        <v>2204</v>
      </c>
      <c r="BM30" s="17">
        <v>0.37431941923774953</v>
      </c>
      <c r="BN30" s="17">
        <v>0.37749546279491836</v>
      </c>
      <c r="BO30" s="18">
        <v>0.24818511796733211</v>
      </c>
      <c r="BP30" s="36">
        <v>4796</v>
      </c>
      <c r="BQ30" s="37">
        <v>514</v>
      </c>
      <c r="BR30" s="37">
        <v>330</v>
      </c>
      <c r="BS30" s="37">
        <v>171</v>
      </c>
      <c r="BT30" s="37">
        <v>3595</v>
      </c>
      <c r="BU30" s="37">
        <v>2102</v>
      </c>
      <c r="BV30" s="18">
        <v>0.14319695528068507</v>
      </c>
      <c r="BW30" s="36">
        <v>1072</v>
      </c>
      <c r="BX30" s="37">
        <v>2</v>
      </c>
      <c r="BY30" s="37">
        <v>278</v>
      </c>
      <c r="BZ30" s="37">
        <v>510</v>
      </c>
      <c r="CA30" s="37">
        <v>253</v>
      </c>
      <c r="CB30" s="38">
        <v>2115</v>
      </c>
      <c r="CC30" s="37">
        <v>1030</v>
      </c>
      <c r="CD30" s="37">
        <v>797</v>
      </c>
      <c r="CE30" s="37">
        <v>227</v>
      </c>
      <c r="CF30" s="37">
        <v>233</v>
      </c>
      <c r="CG30" s="17">
        <v>0.2203883495145631</v>
      </c>
      <c r="CH30" s="93">
        <v>0.22621359223300971</v>
      </c>
      <c r="CI30" s="37">
        <v>195</v>
      </c>
      <c r="CJ30" s="37">
        <v>170</v>
      </c>
      <c r="CK30" s="37">
        <v>155</v>
      </c>
      <c r="CL30" s="37">
        <v>145</v>
      </c>
      <c r="CM30" s="42">
        <v>140</v>
      </c>
      <c r="CN30" s="42">
        <v>125</v>
      </c>
      <c r="CO30" s="36">
        <v>507</v>
      </c>
      <c r="CP30" s="37">
        <v>211</v>
      </c>
      <c r="CQ30" s="17">
        <v>0.41617357001972388</v>
      </c>
      <c r="CR30" s="38">
        <v>30</v>
      </c>
      <c r="CS30" s="37">
        <v>207</v>
      </c>
      <c r="CT30" s="37">
        <v>314</v>
      </c>
      <c r="CU30" s="37">
        <v>314</v>
      </c>
      <c r="CV30" s="37">
        <v>298</v>
      </c>
      <c r="CW30" s="37">
        <v>307</v>
      </c>
      <c r="CX30" s="526" t="s">
        <v>471</v>
      </c>
      <c r="CY30" s="568">
        <v>227</v>
      </c>
      <c r="CZ30" s="37">
        <v>8</v>
      </c>
      <c r="DA30" s="37">
        <v>13</v>
      </c>
      <c r="DB30" s="37">
        <v>16</v>
      </c>
      <c r="DC30" s="37">
        <v>7</v>
      </c>
      <c r="DD30" s="37">
        <v>9</v>
      </c>
      <c r="DE30" s="528" t="s">
        <v>471</v>
      </c>
      <c r="DF30" s="716">
        <v>4</v>
      </c>
      <c r="DG30" s="13">
        <v>20</v>
      </c>
      <c r="DH30" s="13">
        <v>21</v>
      </c>
      <c r="DI30" s="17">
        <v>6.8403908794788276E-2</v>
      </c>
      <c r="DJ30" s="17">
        <v>4.517237630442774E-2</v>
      </c>
      <c r="DK30" s="18">
        <v>0.1023029926332059</v>
      </c>
      <c r="DL30" s="425" t="s">
        <v>286</v>
      </c>
      <c r="DM30" s="258" t="s">
        <v>286</v>
      </c>
      <c r="DN30" s="258" t="s">
        <v>286</v>
      </c>
      <c r="DO30" s="258" t="s">
        <v>286</v>
      </c>
      <c r="DP30" s="337">
        <v>13</v>
      </c>
      <c r="DQ30" s="393">
        <v>5.7268722466960353E-2</v>
      </c>
      <c r="DR30" s="393">
        <v>3.3770133693800865E-2</v>
      </c>
      <c r="DS30" s="393">
        <v>9.550239375055844E-2</v>
      </c>
      <c r="DT30" s="13">
        <v>29</v>
      </c>
      <c r="DU30" s="18">
        <v>2.2137404580152672E-2</v>
      </c>
      <c r="DV30" s="328">
        <v>3</v>
      </c>
      <c r="DW30" s="333">
        <v>3</v>
      </c>
      <c r="DX30" s="337">
        <v>2</v>
      </c>
      <c r="DY30" s="393">
        <v>0.20708317508545385</v>
      </c>
      <c r="DZ30" s="337">
        <v>3.0000000000000009</v>
      </c>
      <c r="EA30" s="93">
        <v>0.17087544589774076</v>
      </c>
      <c r="EB30" s="3">
        <v>422</v>
      </c>
      <c r="EC30" s="18">
        <v>5.5687516495117446E-2</v>
      </c>
      <c r="ED30" s="13">
        <v>290</v>
      </c>
      <c r="EE30" s="3">
        <v>295</v>
      </c>
      <c r="EF30" s="3">
        <v>235</v>
      </c>
      <c r="EG30" s="3">
        <v>210</v>
      </c>
      <c r="EH30" s="9">
        <v>210</v>
      </c>
      <c r="EI30" s="9">
        <v>215</v>
      </c>
      <c r="EJ30" s="13">
        <v>200</v>
      </c>
      <c r="EK30" s="17">
        <v>0.23668639053254437</v>
      </c>
      <c r="EL30" s="17">
        <v>0.20925933452290713</v>
      </c>
      <c r="EM30" s="17">
        <v>0.26649671464763647</v>
      </c>
      <c r="EN30" s="3">
        <v>230</v>
      </c>
      <c r="EO30" s="17">
        <v>0.24864864864864866</v>
      </c>
      <c r="EP30" s="17">
        <v>0.22187213149084864</v>
      </c>
      <c r="EQ30" s="17">
        <v>0.27750422000148417</v>
      </c>
      <c r="ER30" s="3">
        <v>280</v>
      </c>
      <c r="ES30" s="17">
        <v>0.25454545454545452</v>
      </c>
      <c r="ET30" s="17">
        <v>0.22968813348312137</v>
      </c>
      <c r="EU30" s="17">
        <v>0.28111117951159326</v>
      </c>
      <c r="EV30" s="3">
        <v>280</v>
      </c>
      <c r="EW30" s="17">
        <v>0.22222222222222221</v>
      </c>
      <c r="EX30" s="17">
        <v>0.20013052670499473</v>
      </c>
      <c r="EY30" s="17">
        <v>0.24600253443609291</v>
      </c>
      <c r="EZ30" s="3">
        <v>225</v>
      </c>
      <c r="FA30" s="18">
        <v>0.1744186046511628</v>
      </c>
      <c r="FB30" s="18">
        <v>0.15468585504133678</v>
      </c>
      <c r="FC30" s="18">
        <v>0.19608467849401609</v>
      </c>
      <c r="FD30" s="337">
        <v>225</v>
      </c>
      <c r="FE30" s="18">
        <v>0.16791044776119404</v>
      </c>
      <c r="FF30" s="18">
        <v>0.14885249832756262</v>
      </c>
      <c r="FG30" s="393">
        <v>0.18886699666328904</v>
      </c>
      <c r="FH30" s="425" t="s">
        <v>286</v>
      </c>
      <c r="FI30" s="258" t="s">
        <v>286</v>
      </c>
      <c r="FJ30" s="258" t="s">
        <v>286</v>
      </c>
      <c r="FK30" s="258" t="s">
        <v>286</v>
      </c>
      <c r="FL30" s="36">
        <v>535</v>
      </c>
      <c r="FM30" s="18">
        <v>0.20537428023032631</v>
      </c>
      <c r="FN30" s="42">
        <v>580</v>
      </c>
      <c r="FO30" s="18">
        <v>0.21129326047358835</v>
      </c>
      <c r="FP30" s="42">
        <v>635</v>
      </c>
      <c r="FQ30" s="18">
        <v>0.21783876500857632</v>
      </c>
      <c r="FR30" s="42">
        <v>610</v>
      </c>
      <c r="FS30" s="18">
        <v>0.19395866454689983</v>
      </c>
      <c r="FT30" s="42">
        <v>555</v>
      </c>
      <c r="FU30" s="18">
        <v>0.17182662538699692</v>
      </c>
      <c r="FV30" s="42">
        <v>525</v>
      </c>
      <c r="FW30" s="393">
        <v>0.15625</v>
      </c>
      <c r="FX30" s="114" t="s">
        <v>286</v>
      </c>
      <c r="FY30" s="259" t="s">
        <v>286</v>
      </c>
      <c r="FZ30" s="3">
        <v>258</v>
      </c>
      <c r="GA30" s="3">
        <v>8</v>
      </c>
      <c r="GB30" s="3">
        <v>250</v>
      </c>
      <c r="GC30" s="17">
        <v>0.96899224806201545</v>
      </c>
      <c r="GD30" s="3">
        <v>108</v>
      </c>
      <c r="GE30" s="3">
        <v>155</v>
      </c>
      <c r="GF30" s="17">
        <v>0.432</v>
      </c>
      <c r="GG30" s="17">
        <v>0.62</v>
      </c>
      <c r="GH30" s="17">
        <v>0.37208205941359102</v>
      </c>
      <c r="GI30" s="17">
        <v>0.49397614381235777</v>
      </c>
      <c r="GJ30" s="17">
        <v>0.55844423217073813</v>
      </c>
      <c r="GK30" s="93">
        <v>0.67792364448935216</v>
      </c>
      <c r="GL30" s="337">
        <v>284</v>
      </c>
      <c r="GM30" s="337">
        <v>115</v>
      </c>
      <c r="GN30" s="337">
        <v>63</v>
      </c>
      <c r="GO30" s="337">
        <v>178</v>
      </c>
      <c r="GP30" s="393">
        <v>0.40492957746478875</v>
      </c>
      <c r="GQ30" s="393">
        <v>0.62676056338028174</v>
      </c>
      <c r="GR30" s="393">
        <v>0.34947603792560156</v>
      </c>
      <c r="GS30" s="393">
        <v>0.46292068830959177</v>
      </c>
      <c r="GT30" s="393">
        <v>0.56916844132762412</v>
      </c>
      <c r="GU30" s="93">
        <v>0.68096925702545141</v>
      </c>
      <c r="GV30" s="42">
        <v>279</v>
      </c>
      <c r="GW30" s="42">
        <v>34</v>
      </c>
      <c r="GX30" s="42">
        <v>245</v>
      </c>
      <c r="GY30" s="393">
        <f t="shared" si="2"/>
        <v>0.87813620071684584</v>
      </c>
      <c r="GZ30" s="42">
        <v>93</v>
      </c>
      <c r="HA30" s="42">
        <v>67</v>
      </c>
      <c r="HB30" s="42">
        <v>160</v>
      </c>
      <c r="HC30" s="393">
        <v>0.37959183673469388</v>
      </c>
      <c r="HD30" s="393">
        <v>0.65306122448979587</v>
      </c>
      <c r="HE30" s="393">
        <v>0.32112661631718925</v>
      </c>
      <c r="HF30" s="393">
        <v>0.4417746289993591</v>
      </c>
      <c r="HG30" s="393">
        <v>0.59150998375801389</v>
      </c>
      <c r="HH30" s="93">
        <v>0.70988673829722138</v>
      </c>
      <c r="HI30" s="696">
        <v>125</v>
      </c>
      <c r="HJ30" s="696">
        <v>1</v>
      </c>
      <c r="HK30" s="696">
        <v>124</v>
      </c>
      <c r="HL30" s="697">
        <v>0.99199999999999999</v>
      </c>
      <c r="HM30" s="696">
        <v>48</v>
      </c>
      <c r="HN30" s="696">
        <v>31</v>
      </c>
      <c r="HO30" s="696">
        <v>79</v>
      </c>
      <c r="HP30" s="697">
        <v>0.38709677419354838</v>
      </c>
      <c r="HQ30" s="697">
        <v>0.63709677419354838</v>
      </c>
      <c r="HR30" s="697">
        <v>0.30598711359063119</v>
      </c>
      <c r="HS30" s="697">
        <v>0.47499160600242507</v>
      </c>
      <c r="HT30" s="697">
        <v>0.54952455374535258</v>
      </c>
      <c r="HU30" s="698">
        <v>0.71642985817736482</v>
      </c>
      <c r="HV30" s="3">
        <v>129</v>
      </c>
      <c r="HW30" s="3">
        <v>15</v>
      </c>
      <c r="HX30" s="17">
        <v>0.11627906976744186</v>
      </c>
      <c r="HY30" s="17">
        <v>7.1745771694535582E-2</v>
      </c>
      <c r="HZ30" s="17">
        <v>0.18300495990027799</v>
      </c>
      <c r="IA30" s="267" t="s">
        <v>707</v>
      </c>
      <c r="IB30" s="3">
        <v>154</v>
      </c>
      <c r="IC30" s="3">
        <v>16</v>
      </c>
      <c r="ID30" s="17">
        <v>0.1038961038961039</v>
      </c>
      <c r="IE30" s="17">
        <v>6.4968878575839786E-2</v>
      </c>
      <c r="IF30" s="17">
        <v>0.1621036477963953</v>
      </c>
      <c r="IG30" s="3" t="s">
        <v>707</v>
      </c>
      <c r="IH30" s="3">
        <v>132</v>
      </c>
      <c r="II30" s="3">
        <v>8</v>
      </c>
      <c r="IJ30" s="17">
        <v>6.0606060606060608E-2</v>
      </c>
      <c r="IK30" s="17">
        <v>3.1026884470063115E-2</v>
      </c>
      <c r="IL30" s="17">
        <v>0.11503646756507763</v>
      </c>
      <c r="IM30" s="3" t="s">
        <v>707</v>
      </c>
      <c r="IN30" s="3">
        <v>183</v>
      </c>
      <c r="IO30" s="3">
        <v>14</v>
      </c>
      <c r="IP30" s="17">
        <v>7.650273224043716E-2</v>
      </c>
      <c r="IQ30" s="17">
        <v>4.6115353092286537E-2</v>
      </c>
      <c r="IR30" s="17">
        <v>0.12430431190964095</v>
      </c>
      <c r="IS30" s="3" t="s">
        <v>707</v>
      </c>
      <c r="IT30" s="3">
        <v>120</v>
      </c>
      <c r="IU30" s="3">
        <v>12</v>
      </c>
      <c r="IV30" s="17">
        <v>0.1</v>
      </c>
      <c r="IW30" s="17">
        <v>5.8133592026010775E-2</v>
      </c>
      <c r="IX30" s="17">
        <v>0.16668174110895198</v>
      </c>
      <c r="IY30" s="9" t="s">
        <v>707</v>
      </c>
      <c r="IZ30" s="9">
        <v>236</v>
      </c>
      <c r="JA30" s="9">
        <v>9</v>
      </c>
      <c r="JB30" s="393">
        <v>3.8135593220338986E-2</v>
      </c>
      <c r="JC30" s="393">
        <v>2.0190766857484808E-2</v>
      </c>
      <c r="JD30" s="393">
        <v>7.0875468847088813E-2</v>
      </c>
      <c r="JE30" s="9" t="str">
        <f t="shared" si="0"/>
        <v>Sig better than Eng.</v>
      </c>
      <c r="JF30" s="9">
        <v>231</v>
      </c>
      <c r="JG30" s="109">
        <v>14</v>
      </c>
      <c r="JH30" s="258">
        <v>6.0606060606060608E-2</v>
      </c>
      <c r="JI30" s="258">
        <v>3.644148462672727E-2</v>
      </c>
      <c r="JJ30" s="258">
        <v>9.9145557714913415E-2</v>
      </c>
      <c r="JK30" s="662" t="str">
        <f t="shared" si="3"/>
        <v>No Sig diff</v>
      </c>
      <c r="JL30" s="3">
        <v>114</v>
      </c>
      <c r="JM30" s="3">
        <v>23</v>
      </c>
      <c r="JN30" s="17">
        <v>0.20175438596491227</v>
      </c>
      <c r="JO30" s="17">
        <v>0.13837064215120354</v>
      </c>
      <c r="JP30" s="17">
        <v>0.28458286945231603</v>
      </c>
      <c r="JQ30" s="3" t="s">
        <v>707</v>
      </c>
      <c r="JR30" s="3">
        <v>119</v>
      </c>
      <c r="JS30" s="3">
        <v>17</v>
      </c>
      <c r="JT30" s="17">
        <v>0.14285714285714285</v>
      </c>
      <c r="JU30" s="17">
        <v>9.1145398332360461E-2</v>
      </c>
      <c r="JV30" s="17">
        <v>0.21690580184045349</v>
      </c>
      <c r="JW30" s="3" t="s">
        <v>707</v>
      </c>
      <c r="JX30" s="3">
        <v>158</v>
      </c>
      <c r="JY30" s="3">
        <v>28</v>
      </c>
      <c r="JZ30" s="17">
        <v>0.17721518987341772</v>
      </c>
      <c r="KA30" s="17">
        <v>0.12555026627158597</v>
      </c>
      <c r="KB30" s="17">
        <v>0.24420331390957831</v>
      </c>
      <c r="KC30" s="3" t="s">
        <v>707</v>
      </c>
      <c r="KD30" s="3">
        <v>146</v>
      </c>
      <c r="KE30" s="3">
        <v>35</v>
      </c>
      <c r="KF30" s="17">
        <v>0.23972602739726026</v>
      </c>
      <c r="KG30" s="17">
        <v>0.17771801912998342</v>
      </c>
      <c r="KH30" s="17">
        <v>0.31507923072231259</v>
      </c>
      <c r="KI30" s="3" t="s">
        <v>707</v>
      </c>
      <c r="KJ30" s="3">
        <v>165</v>
      </c>
      <c r="KK30" s="3">
        <v>33</v>
      </c>
      <c r="KL30" s="17">
        <v>0.2</v>
      </c>
      <c r="KM30" s="17">
        <v>0.14610581621633328</v>
      </c>
      <c r="KN30" s="17">
        <v>0.26754530542473359</v>
      </c>
      <c r="KO30" s="465" t="s">
        <v>707</v>
      </c>
      <c r="KP30" s="465">
        <v>172</v>
      </c>
      <c r="KQ30" s="465">
        <v>35</v>
      </c>
      <c r="KR30" s="393">
        <v>0.20348837209302326</v>
      </c>
      <c r="KS30" s="393">
        <v>0.15010949449807984</v>
      </c>
      <c r="KT30" s="393">
        <v>0.26982252446901944</v>
      </c>
      <c r="KU30" s="465" t="s">
        <v>772</v>
      </c>
      <c r="KV30" s="465">
        <v>160</v>
      </c>
      <c r="KW30" s="465">
        <v>43</v>
      </c>
      <c r="KX30" s="393">
        <v>0.26874999999999999</v>
      </c>
      <c r="KY30" s="393">
        <v>0.20607549935764097</v>
      </c>
      <c r="KZ30" s="393">
        <v>0.34226836590918019</v>
      </c>
      <c r="LA30" s="660" t="str">
        <f t="shared" si="4"/>
        <v>Sig worse than Eng.</v>
      </c>
      <c r="LB30" s="3">
        <v>230</v>
      </c>
      <c r="LC30" s="3">
        <v>112</v>
      </c>
      <c r="LD30" s="17">
        <v>0.48695652173913045</v>
      </c>
      <c r="LE30" s="17">
        <v>0.42310710602431456</v>
      </c>
      <c r="LF30" s="17">
        <v>0.55123448408438924</v>
      </c>
      <c r="LG30" s="3">
        <v>230</v>
      </c>
      <c r="LH30" s="3">
        <v>34</v>
      </c>
      <c r="LI30" s="3">
        <v>46</v>
      </c>
      <c r="LJ30" s="293">
        <v>21.304347826086961</v>
      </c>
      <c r="LK30" s="17">
        <v>0.3734015345268541</v>
      </c>
      <c r="LL30" s="3">
        <v>236</v>
      </c>
      <c r="LM30" s="3">
        <v>118</v>
      </c>
      <c r="LN30" s="17">
        <v>0.5</v>
      </c>
      <c r="LO30" s="17">
        <v>0.43672153044647821</v>
      </c>
      <c r="LP30" s="17">
        <v>0.56327846955352179</v>
      </c>
      <c r="LQ30" s="3">
        <v>236</v>
      </c>
      <c r="LR30" s="3">
        <v>34</v>
      </c>
      <c r="LS30" s="3">
        <v>47</v>
      </c>
      <c r="LT30" s="293">
        <v>20.936170212765962</v>
      </c>
      <c r="LU30" s="18">
        <v>0.38423028785982466</v>
      </c>
      <c r="LV30" s="42">
        <v>260</v>
      </c>
      <c r="LW30" s="42">
        <v>153</v>
      </c>
      <c r="LX30" s="18">
        <v>0.58846153846153848</v>
      </c>
      <c r="LY30" s="18">
        <v>0.52777950947191454</v>
      </c>
      <c r="LZ30" s="18">
        <v>0.64656761628159143</v>
      </c>
      <c r="MA30" s="337">
        <v>34</v>
      </c>
      <c r="MB30" s="337">
        <v>52</v>
      </c>
      <c r="MC30" s="294">
        <v>24.6</v>
      </c>
      <c r="MD30" s="393">
        <v>0.27500000000000002</v>
      </c>
      <c r="ME30" s="337">
        <v>260</v>
      </c>
      <c r="MF30" s="337">
        <v>170</v>
      </c>
      <c r="MG30" s="393">
        <v>0.65384615384615385</v>
      </c>
      <c r="MH30" s="393">
        <v>0.59415761444378778</v>
      </c>
      <c r="MI30" s="393">
        <v>0.70905477817100504</v>
      </c>
      <c r="MJ30" s="337">
        <v>34</v>
      </c>
      <c r="MK30" s="337">
        <v>52</v>
      </c>
      <c r="ML30" s="294">
        <v>20.25</v>
      </c>
      <c r="MM30" s="93">
        <v>0.40441176470588236</v>
      </c>
      <c r="MN30" s="17">
        <v>0.82305193716958425</v>
      </c>
      <c r="MO30" s="17">
        <v>9.3614729497082438E-2</v>
      </c>
      <c r="MP30" s="17">
        <v>5.5187336060682587E-2</v>
      </c>
      <c r="MQ30" s="17">
        <v>0.14290024916446165</v>
      </c>
      <c r="MR30" s="17">
        <v>0.83183684507213929</v>
      </c>
      <c r="MS30" s="17">
        <v>8.4829821594527469E-2</v>
      </c>
      <c r="MT30" s="17">
        <v>4.6054075596845066E-2</v>
      </c>
      <c r="MU30" s="17">
        <v>0.12862000846698951</v>
      </c>
      <c r="MV30" s="17">
        <v>0.81074801560095677</v>
      </c>
      <c r="MW30" s="17">
        <v>0.1059186510657099</v>
      </c>
      <c r="MX30" s="17">
        <v>6.927290603446952E-2</v>
      </c>
      <c r="MY30" s="17">
        <v>0.16393493093263919</v>
      </c>
      <c r="MZ30" s="17">
        <v>0.66120358807858803</v>
      </c>
      <c r="NA30" s="17">
        <v>0.25546307858807854</v>
      </c>
      <c r="NB30" s="17">
        <v>0.19418660232856491</v>
      </c>
      <c r="NC30" s="93">
        <v>0.3260738074282723</v>
      </c>
      <c r="ND30" s="337">
        <v>15</v>
      </c>
      <c r="NE30" s="337">
        <v>153</v>
      </c>
      <c r="NF30" s="393">
        <v>9.8039215686274508E-2</v>
      </c>
      <c r="NG30" s="393">
        <v>6.0315942800075413E-2</v>
      </c>
      <c r="NH30" s="393">
        <v>0.15545263698202605</v>
      </c>
      <c r="NI30" s="337">
        <v>9</v>
      </c>
      <c r="NJ30" s="337">
        <v>153</v>
      </c>
      <c r="NK30" s="393">
        <v>5.8823529411764705E-2</v>
      </c>
      <c r="NL30" s="393">
        <v>3.1252630211971909E-2</v>
      </c>
      <c r="NM30" s="393">
        <v>0.10800556710984675</v>
      </c>
      <c r="NN30" s="337">
        <v>12</v>
      </c>
      <c r="NO30" s="337">
        <v>152</v>
      </c>
      <c r="NP30" s="393">
        <v>7.8947368421052627E-2</v>
      </c>
      <c r="NQ30" s="393">
        <v>4.5735835972808198E-2</v>
      </c>
      <c r="NR30" s="393">
        <v>0.13291661653488782</v>
      </c>
      <c r="NS30" s="337">
        <v>30</v>
      </c>
      <c r="NT30" s="337">
        <v>147</v>
      </c>
      <c r="NU30" s="393">
        <v>0.20408163265306123</v>
      </c>
      <c r="NV30" s="393">
        <v>0.14686101058220166</v>
      </c>
      <c r="NW30" s="93">
        <v>0.27637447997734488</v>
      </c>
      <c r="NX30" s="3">
        <v>67</v>
      </c>
      <c r="NY30" s="3">
        <v>59</v>
      </c>
      <c r="NZ30" s="3">
        <v>60</v>
      </c>
      <c r="OA30" s="3">
        <v>65</v>
      </c>
      <c r="OB30" s="3">
        <v>62</v>
      </c>
      <c r="OC30" s="3">
        <v>76</v>
      </c>
      <c r="OD30" s="3">
        <v>72</v>
      </c>
      <c r="OE30" s="3">
        <v>69</v>
      </c>
      <c r="OF30" s="3">
        <v>72</v>
      </c>
      <c r="OG30" s="3">
        <v>70</v>
      </c>
      <c r="OH30" s="3">
        <v>73</v>
      </c>
      <c r="OI30" s="3">
        <v>73</v>
      </c>
      <c r="OJ30" s="3">
        <v>74</v>
      </c>
      <c r="OK30" s="3">
        <v>63</v>
      </c>
      <c r="OL30" s="3">
        <v>60</v>
      </c>
      <c r="OM30" s="3">
        <v>55</v>
      </c>
      <c r="ON30" s="3">
        <v>56</v>
      </c>
      <c r="OO30" s="3">
        <v>56</v>
      </c>
      <c r="OP30" s="3">
        <v>59</v>
      </c>
      <c r="OQ30" s="3">
        <v>57</v>
      </c>
      <c r="OR30" s="3">
        <v>60</v>
      </c>
      <c r="OS30" s="3">
        <v>59</v>
      </c>
      <c r="OT30" s="6">
        <v>57</v>
      </c>
      <c r="OU30" s="3">
        <v>130</v>
      </c>
      <c r="OV30" s="22">
        <v>0.99199999999999999</v>
      </c>
      <c r="OW30" s="22">
        <v>0</v>
      </c>
      <c r="OX30" s="22">
        <v>0.98499999999999999</v>
      </c>
      <c r="OY30" s="3">
        <v>129</v>
      </c>
      <c r="OZ30" s="3">
        <v>0</v>
      </c>
      <c r="PA30" s="3">
        <v>128</v>
      </c>
      <c r="PB30" s="3">
        <v>116</v>
      </c>
      <c r="PC30" s="22">
        <v>0.99099999999999999</v>
      </c>
      <c r="PD30" s="22">
        <v>0.98299999999999998</v>
      </c>
      <c r="PE30" s="22">
        <v>0.97399999999999998</v>
      </c>
      <c r="PF30" s="22">
        <v>0.99099999999999999</v>
      </c>
      <c r="PG30" s="22">
        <v>0.98299999999999998</v>
      </c>
      <c r="PH30" s="3">
        <v>115</v>
      </c>
      <c r="PI30" s="3">
        <v>114</v>
      </c>
      <c r="PJ30" s="3">
        <v>113</v>
      </c>
      <c r="PK30" s="3">
        <v>115</v>
      </c>
      <c r="PL30" s="3">
        <v>114</v>
      </c>
      <c r="PM30" s="3">
        <v>137</v>
      </c>
      <c r="PN30" s="22">
        <v>0.98499999999999999</v>
      </c>
      <c r="PO30" s="22">
        <v>0.94199999999999995</v>
      </c>
      <c r="PP30" s="22">
        <v>0.98499999999999999</v>
      </c>
      <c r="PQ30" s="22">
        <v>0.97799999999999998</v>
      </c>
      <c r="PR30" s="22">
        <v>0.96399999999999997</v>
      </c>
      <c r="PS30" s="22">
        <v>0.92700000000000005</v>
      </c>
      <c r="PT30" s="22">
        <v>0.97799999999999998</v>
      </c>
      <c r="PU30" s="22">
        <v>0.94199999999999995</v>
      </c>
      <c r="PV30" s="22">
        <v>0.97099999999999997</v>
      </c>
      <c r="PW30" s="22">
        <v>0.97099999999999997</v>
      </c>
      <c r="PX30" s="3">
        <v>135</v>
      </c>
      <c r="PY30" s="3">
        <v>129</v>
      </c>
      <c r="PZ30" s="3">
        <v>135</v>
      </c>
      <c r="QA30" s="3">
        <v>134</v>
      </c>
      <c r="QB30" s="3">
        <v>132</v>
      </c>
      <c r="QC30" s="3">
        <v>127</v>
      </c>
      <c r="QD30" s="3">
        <v>134</v>
      </c>
      <c r="QE30" s="3">
        <v>129</v>
      </c>
      <c r="QF30" s="3">
        <v>133</v>
      </c>
      <c r="QG30" s="6">
        <v>133</v>
      </c>
      <c r="QH30" s="37">
        <v>140</v>
      </c>
      <c r="QI30" s="17">
        <v>0.9642857142857143</v>
      </c>
      <c r="QJ30" s="17">
        <v>0.18571428571428572</v>
      </c>
      <c r="QK30" s="17">
        <v>0.94285714285714284</v>
      </c>
      <c r="QL30" s="37">
        <v>135</v>
      </c>
      <c r="QM30" s="37">
        <v>26</v>
      </c>
      <c r="QN30" s="37">
        <v>132</v>
      </c>
      <c r="QO30" s="37">
        <v>130</v>
      </c>
      <c r="QP30" s="17">
        <v>0.99230769230769234</v>
      </c>
      <c r="QQ30" s="17">
        <v>0.96153846153846156</v>
      </c>
      <c r="QR30" s="17">
        <v>0.7153846153846154</v>
      </c>
      <c r="QS30" s="17">
        <v>0.96923076923076923</v>
      </c>
      <c r="QT30" s="17">
        <v>0.73076923076923073</v>
      </c>
      <c r="QU30" s="37">
        <v>129</v>
      </c>
      <c r="QV30" s="37">
        <v>125</v>
      </c>
      <c r="QW30" s="37">
        <v>93</v>
      </c>
      <c r="QX30" s="37">
        <v>126</v>
      </c>
      <c r="QY30" s="37">
        <v>95</v>
      </c>
      <c r="QZ30" s="3">
        <v>139</v>
      </c>
      <c r="RA30" s="17">
        <v>0.95683453237410077</v>
      </c>
      <c r="RB30" s="17">
        <v>0.91366906474820142</v>
      </c>
      <c r="RC30" s="17">
        <v>0.95683453237410077</v>
      </c>
      <c r="RD30" s="17">
        <v>0.95683453237410077</v>
      </c>
      <c r="RE30" s="17">
        <v>0.72661870503597126</v>
      </c>
      <c r="RF30" s="17">
        <v>0.93525179856115104</v>
      </c>
      <c r="RG30" s="17">
        <v>0.96402877697841727</v>
      </c>
      <c r="RH30" s="17">
        <v>0.92086330935251803</v>
      </c>
      <c r="RI30" s="17">
        <v>0.71223021582733814</v>
      </c>
      <c r="RJ30" s="17">
        <v>0.71942446043165464</v>
      </c>
      <c r="RK30" s="37">
        <v>133</v>
      </c>
      <c r="RL30" s="37">
        <v>127</v>
      </c>
      <c r="RM30" s="37">
        <v>133</v>
      </c>
      <c r="RN30" s="37">
        <v>133</v>
      </c>
      <c r="RO30" s="37">
        <v>101</v>
      </c>
      <c r="RP30" s="37">
        <v>130</v>
      </c>
      <c r="RQ30" s="37">
        <v>134</v>
      </c>
      <c r="RR30" s="37">
        <v>128</v>
      </c>
      <c r="RS30" s="37">
        <v>99</v>
      </c>
      <c r="RT30" s="38">
        <v>100</v>
      </c>
    </row>
    <row r="31" spans="1:488" s="3" customFormat="1" ht="12.75" x14ac:dyDescent="0.2">
      <c r="A31" s="9" t="s">
        <v>46</v>
      </c>
      <c r="B31" s="6">
        <v>14</v>
      </c>
      <c r="C31" s="9" t="s">
        <v>178</v>
      </c>
      <c r="D31" s="9" t="s">
        <v>179</v>
      </c>
      <c r="E31" s="9" t="s">
        <v>286</v>
      </c>
      <c r="F31" s="9" t="s">
        <v>286</v>
      </c>
      <c r="G31" s="9" t="s">
        <v>180</v>
      </c>
      <c r="H31" s="9" t="s">
        <v>266</v>
      </c>
      <c r="I31" s="9" t="s">
        <v>44</v>
      </c>
      <c r="J31" s="9" t="s">
        <v>268</v>
      </c>
      <c r="K31" s="9" t="s">
        <v>374</v>
      </c>
      <c r="L31" s="9" t="s">
        <v>274</v>
      </c>
      <c r="M31" s="9" t="s">
        <v>338</v>
      </c>
      <c r="N31" s="3" t="s">
        <v>401</v>
      </c>
      <c r="O31" s="9">
        <v>497644</v>
      </c>
      <c r="P31" s="9">
        <v>121052</v>
      </c>
      <c r="Q31" s="109">
        <v>22371</v>
      </c>
      <c r="R31" s="109" t="s">
        <v>286</v>
      </c>
      <c r="S31" s="310" t="s">
        <v>797</v>
      </c>
      <c r="T31" s="36">
        <v>11265</v>
      </c>
      <c r="U31" s="37">
        <v>11190</v>
      </c>
      <c r="V31" s="37">
        <v>11230</v>
      </c>
      <c r="W31" s="37">
        <v>11395</v>
      </c>
      <c r="X31" s="37">
        <v>11450</v>
      </c>
      <c r="Y31" s="37">
        <v>11565</v>
      </c>
      <c r="Z31" s="37">
        <v>11620</v>
      </c>
      <c r="AA31" s="37">
        <v>11600</v>
      </c>
      <c r="AB31" s="37">
        <v>11620</v>
      </c>
      <c r="AC31" s="42">
        <v>11624</v>
      </c>
      <c r="AD31" s="42">
        <v>11695</v>
      </c>
      <c r="AE31" s="36">
        <v>585</v>
      </c>
      <c r="AF31" s="37">
        <v>580</v>
      </c>
      <c r="AG31" s="37">
        <v>590</v>
      </c>
      <c r="AH31" s="37">
        <v>610</v>
      </c>
      <c r="AI31" s="37">
        <v>605</v>
      </c>
      <c r="AJ31" s="37">
        <v>620</v>
      </c>
      <c r="AK31" s="37">
        <v>635</v>
      </c>
      <c r="AL31" s="37">
        <v>630</v>
      </c>
      <c r="AM31" s="37">
        <v>605</v>
      </c>
      <c r="AN31" s="42">
        <v>587</v>
      </c>
      <c r="AO31" s="42">
        <v>609</v>
      </c>
      <c r="AP31" s="13">
        <v>634</v>
      </c>
      <c r="AQ31" s="3">
        <v>589</v>
      </c>
      <c r="AR31" s="3">
        <v>18</v>
      </c>
      <c r="AS31" s="3">
        <v>19</v>
      </c>
      <c r="AT31" s="3">
        <v>3</v>
      </c>
      <c r="AU31" s="3">
        <v>4</v>
      </c>
      <c r="AV31" s="3">
        <v>1</v>
      </c>
      <c r="AW31" s="9">
        <v>45</v>
      </c>
      <c r="AX31" s="16">
        <v>0.92902208201892744</v>
      </c>
      <c r="AY31" s="17">
        <v>2.8391167192429023E-2</v>
      </c>
      <c r="AZ31" s="17">
        <v>2.996845425867508E-2</v>
      </c>
      <c r="BA31" s="17">
        <v>4.7318611987381704E-3</v>
      </c>
      <c r="BB31" s="17">
        <v>6.3091482649842269E-3</v>
      </c>
      <c r="BC31" s="17">
        <v>1.5772870662460567E-3</v>
      </c>
      <c r="BD31" s="18">
        <v>7.0977917981072558E-2</v>
      </c>
      <c r="BE31" s="13">
        <v>1918</v>
      </c>
      <c r="BF31" s="3">
        <v>1907</v>
      </c>
      <c r="BG31" s="3">
        <v>11</v>
      </c>
      <c r="BH31" s="3">
        <v>10</v>
      </c>
      <c r="BI31" s="3">
        <v>1</v>
      </c>
      <c r="BJ31" s="17">
        <v>0.90909090909090906</v>
      </c>
      <c r="BK31" s="18">
        <v>9.0909090909090912E-2</v>
      </c>
      <c r="BL31" s="13">
        <v>1327</v>
      </c>
      <c r="BM31" s="17">
        <v>0.63903541823662391</v>
      </c>
      <c r="BN31" s="17">
        <v>0.1680482290881688</v>
      </c>
      <c r="BO31" s="18">
        <v>0.19291635267520724</v>
      </c>
      <c r="BP31" s="36">
        <v>3412</v>
      </c>
      <c r="BQ31" s="37">
        <v>168</v>
      </c>
      <c r="BR31" s="37">
        <v>209</v>
      </c>
      <c r="BS31" s="37">
        <v>102</v>
      </c>
      <c r="BT31" s="37">
        <v>2364</v>
      </c>
      <c r="BU31" s="37">
        <v>1297</v>
      </c>
      <c r="BV31" s="18">
        <v>0.17270624518118735</v>
      </c>
      <c r="BW31" s="36">
        <v>905</v>
      </c>
      <c r="BX31" s="37">
        <v>0</v>
      </c>
      <c r="BY31" s="37">
        <v>129</v>
      </c>
      <c r="BZ31" s="37">
        <v>202</v>
      </c>
      <c r="CA31" s="37">
        <v>71</v>
      </c>
      <c r="CB31" s="38">
        <v>1307</v>
      </c>
      <c r="CC31" s="37">
        <v>482</v>
      </c>
      <c r="CD31" s="37">
        <v>436</v>
      </c>
      <c r="CE31" s="37">
        <v>45</v>
      </c>
      <c r="CF31" s="37">
        <v>46</v>
      </c>
      <c r="CG31" s="17">
        <v>9.3360995850622408E-2</v>
      </c>
      <c r="CH31" s="93">
        <v>9.5435684647302899E-2</v>
      </c>
      <c r="CI31" s="37">
        <v>45</v>
      </c>
      <c r="CJ31" s="37">
        <v>30</v>
      </c>
      <c r="CK31" s="37">
        <v>30</v>
      </c>
      <c r="CL31" s="37">
        <v>35</v>
      </c>
      <c r="CM31" s="42">
        <v>20</v>
      </c>
      <c r="CN31" s="42">
        <v>20</v>
      </c>
      <c r="CO31" s="36">
        <v>201</v>
      </c>
      <c r="CP31" s="37">
        <v>60</v>
      </c>
      <c r="CQ31" s="17">
        <v>0.29850746268656714</v>
      </c>
      <c r="CR31" s="38">
        <v>20</v>
      </c>
      <c r="CS31" s="37">
        <v>96</v>
      </c>
      <c r="CT31" s="37">
        <v>96</v>
      </c>
      <c r="CU31" s="37">
        <v>81</v>
      </c>
      <c r="CV31" s="37">
        <v>61</v>
      </c>
      <c r="CW31" s="37">
        <v>55</v>
      </c>
      <c r="CX31" s="526" t="s">
        <v>471</v>
      </c>
      <c r="CY31" s="568">
        <v>93</v>
      </c>
      <c r="CZ31" s="37">
        <v>4</v>
      </c>
      <c r="DA31" s="37">
        <v>5</v>
      </c>
      <c r="DB31" s="37">
        <v>3</v>
      </c>
      <c r="DC31" s="37">
        <v>2</v>
      </c>
      <c r="DD31" s="37">
        <v>4</v>
      </c>
      <c r="DE31" s="528" t="s">
        <v>471</v>
      </c>
      <c r="DF31" s="716">
        <v>2</v>
      </c>
      <c r="DG31" s="13">
        <v>5</v>
      </c>
      <c r="DH31" s="13">
        <v>3</v>
      </c>
      <c r="DI31" s="17">
        <v>5.4545454545454543E-2</v>
      </c>
      <c r="DJ31" s="17">
        <v>1.8723215554684484E-2</v>
      </c>
      <c r="DK31" s="18">
        <v>0.14853060544053792</v>
      </c>
      <c r="DL31" s="425" t="s">
        <v>286</v>
      </c>
      <c r="DM31" s="258" t="s">
        <v>286</v>
      </c>
      <c r="DN31" s="258" t="s">
        <v>286</v>
      </c>
      <c r="DO31" s="258" t="s">
        <v>286</v>
      </c>
      <c r="DP31" s="337">
        <v>4</v>
      </c>
      <c r="DQ31" s="393">
        <v>4.3010752688172046E-2</v>
      </c>
      <c r="DR31" s="393">
        <v>1.6851153993758482E-2</v>
      </c>
      <c r="DS31" s="393">
        <v>0.10542559570513921</v>
      </c>
      <c r="DT31" s="13">
        <v>2</v>
      </c>
      <c r="DU31" s="18">
        <v>3.1645569620253164E-3</v>
      </c>
      <c r="DV31" s="328">
        <v>5</v>
      </c>
      <c r="DW31" s="333">
        <v>5</v>
      </c>
      <c r="DX31" s="337">
        <v>9</v>
      </c>
      <c r="DY31" s="393">
        <v>7.873942093541203E-2</v>
      </c>
      <c r="DZ31" s="337">
        <v>8</v>
      </c>
      <c r="EA31" s="93">
        <v>7.694030520646318E-2</v>
      </c>
      <c r="EB31" s="3">
        <v>104</v>
      </c>
      <c r="EC31" s="18">
        <v>2.2029231095106967E-2</v>
      </c>
      <c r="ED31" s="13">
        <v>60</v>
      </c>
      <c r="EE31" s="3">
        <v>60</v>
      </c>
      <c r="EF31" s="3">
        <v>50</v>
      </c>
      <c r="EG31" s="3">
        <v>55</v>
      </c>
      <c r="EH31" s="9">
        <v>45</v>
      </c>
      <c r="EI31" s="9">
        <v>25</v>
      </c>
      <c r="EJ31" s="13">
        <v>40</v>
      </c>
      <c r="EK31" s="17">
        <v>7.0796460176991149E-2</v>
      </c>
      <c r="EL31" s="17">
        <v>5.2419329831462934E-2</v>
      </c>
      <c r="EM31" s="17">
        <v>9.4970522860554005E-2</v>
      </c>
      <c r="EN31" s="3">
        <v>45</v>
      </c>
      <c r="EO31" s="17">
        <v>7.8260869565217397E-2</v>
      </c>
      <c r="EP31" s="17">
        <v>5.9001573315813488E-2</v>
      </c>
      <c r="EQ31" s="17">
        <v>0.10311787647598709</v>
      </c>
      <c r="ER31" s="3">
        <v>60</v>
      </c>
      <c r="ES31" s="17">
        <v>0.10169491525423729</v>
      </c>
      <c r="ET31" s="17">
        <v>7.9825910200960387E-2</v>
      </c>
      <c r="EU31" s="17">
        <v>0.12871705523400614</v>
      </c>
      <c r="EV31" s="3">
        <v>60</v>
      </c>
      <c r="EW31" s="17">
        <v>0.10256410256410256</v>
      </c>
      <c r="EX31" s="17">
        <v>8.0515452963804385E-2</v>
      </c>
      <c r="EY31" s="17">
        <v>0.12979830291323316</v>
      </c>
      <c r="EZ31" s="3">
        <v>50</v>
      </c>
      <c r="FA31" s="18">
        <v>8.6206896551724144E-2</v>
      </c>
      <c r="FB31" s="18">
        <v>6.6000819456146734E-2</v>
      </c>
      <c r="FC31" s="18">
        <v>0.11185818190775827</v>
      </c>
      <c r="FD31" s="337">
        <v>40</v>
      </c>
      <c r="FE31" s="18">
        <v>8.6956521739130432E-2</v>
      </c>
      <c r="FF31" s="18">
        <v>6.4507632774906926E-2</v>
      </c>
      <c r="FG31" s="393">
        <v>0.11624692727209501</v>
      </c>
      <c r="FH31" s="425" t="s">
        <v>286</v>
      </c>
      <c r="FI31" s="258" t="s">
        <v>286</v>
      </c>
      <c r="FJ31" s="258" t="s">
        <v>286</v>
      </c>
      <c r="FK31" s="258" t="s">
        <v>286</v>
      </c>
      <c r="FL31" s="36">
        <v>180</v>
      </c>
      <c r="FM31" s="18">
        <v>8.8452088452088448E-2</v>
      </c>
      <c r="FN31" s="42">
        <v>180</v>
      </c>
      <c r="FO31" s="18">
        <v>8.7167070217917669E-2</v>
      </c>
      <c r="FP31" s="42">
        <v>200</v>
      </c>
      <c r="FQ31" s="18">
        <v>9.7087378640776698E-2</v>
      </c>
      <c r="FR31" s="42">
        <v>175</v>
      </c>
      <c r="FS31" s="18">
        <v>8.4541062801932368E-2</v>
      </c>
      <c r="FT31" s="42">
        <v>155</v>
      </c>
      <c r="FU31" s="18">
        <v>7.5609756097560973E-2</v>
      </c>
      <c r="FV31" s="42">
        <v>120</v>
      </c>
      <c r="FW31" s="393">
        <v>5.9405940594059403E-2</v>
      </c>
      <c r="FX31" s="114" t="s">
        <v>286</v>
      </c>
      <c r="FY31" s="259" t="s">
        <v>286</v>
      </c>
      <c r="FZ31" s="3">
        <v>61</v>
      </c>
      <c r="GA31" s="3">
        <v>0</v>
      </c>
      <c r="GB31" s="3">
        <v>61</v>
      </c>
      <c r="GC31" s="17">
        <v>1</v>
      </c>
      <c r="GD31" s="3">
        <v>22</v>
      </c>
      <c r="GE31" s="3">
        <v>28</v>
      </c>
      <c r="GF31" s="17">
        <v>0.36065573770491804</v>
      </c>
      <c r="GG31" s="17">
        <v>0.45901639344262296</v>
      </c>
      <c r="GH31" s="17">
        <v>0.25173936505814554</v>
      </c>
      <c r="GI31" s="17">
        <v>0.48608326732600293</v>
      </c>
      <c r="GJ31" s="17">
        <v>0.34012730888289117</v>
      </c>
      <c r="GK31" s="93">
        <v>0.58276170064185839</v>
      </c>
      <c r="GL31" s="337">
        <v>62</v>
      </c>
      <c r="GM31" s="337">
        <v>20</v>
      </c>
      <c r="GN31" s="337">
        <v>11</v>
      </c>
      <c r="GO31" s="337">
        <v>31</v>
      </c>
      <c r="GP31" s="393">
        <v>0.32258064516129031</v>
      </c>
      <c r="GQ31" s="393">
        <v>0.5</v>
      </c>
      <c r="GR31" s="393">
        <v>0.21954490651283892</v>
      </c>
      <c r="GS31" s="393">
        <v>0.44631911907151894</v>
      </c>
      <c r="GT31" s="393">
        <v>0.37922741194566084</v>
      </c>
      <c r="GU31" s="93">
        <v>0.6207725880543391</v>
      </c>
      <c r="GV31" s="42">
        <v>102</v>
      </c>
      <c r="GW31" s="42">
        <v>34</v>
      </c>
      <c r="GX31" s="42">
        <v>68</v>
      </c>
      <c r="GY31" s="393">
        <f t="shared" si="2"/>
        <v>0.66666666666666663</v>
      </c>
      <c r="GZ31" s="42">
        <v>36</v>
      </c>
      <c r="HA31" s="42">
        <v>7</v>
      </c>
      <c r="HB31" s="42">
        <v>43</v>
      </c>
      <c r="HC31" s="393">
        <v>0.52941176470588236</v>
      </c>
      <c r="HD31" s="393">
        <v>0.63235294117647056</v>
      </c>
      <c r="HE31" s="393">
        <v>0.41240922088727938</v>
      </c>
      <c r="HF31" s="393">
        <v>0.64326893578801059</v>
      </c>
      <c r="HG31" s="393">
        <v>0.51355635639116159</v>
      </c>
      <c r="HH31" s="93">
        <v>0.73699534864764327</v>
      </c>
      <c r="HI31" s="696">
        <v>54</v>
      </c>
      <c r="HJ31" s="696">
        <v>3</v>
      </c>
      <c r="HK31" s="696">
        <v>51</v>
      </c>
      <c r="HL31" s="697">
        <v>0.94444444444444442</v>
      </c>
      <c r="HM31" s="696">
        <v>15</v>
      </c>
      <c r="HN31" s="696">
        <v>9</v>
      </c>
      <c r="HO31" s="696">
        <v>24</v>
      </c>
      <c r="HP31" s="697">
        <v>0.29411764705882354</v>
      </c>
      <c r="HQ31" s="697">
        <v>0.47058823529411764</v>
      </c>
      <c r="HR31" s="697">
        <v>0.18708726420135471</v>
      </c>
      <c r="HS31" s="697">
        <v>0.42999075575686413</v>
      </c>
      <c r="HT31" s="697">
        <v>0.34052990209499595</v>
      </c>
      <c r="HU31" s="698">
        <v>0.60476695789903534</v>
      </c>
      <c r="HV31" s="3">
        <v>83</v>
      </c>
      <c r="HW31" s="3">
        <v>5</v>
      </c>
      <c r="HX31" s="17">
        <v>6.0240963855421686E-2</v>
      </c>
      <c r="HY31" s="17">
        <v>2.6003401041882011E-2</v>
      </c>
      <c r="HZ31" s="17">
        <v>0.13338428093238414</v>
      </c>
      <c r="IA31" s="267" t="s">
        <v>707</v>
      </c>
      <c r="IB31" s="3">
        <v>89</v>
      </c>
      <c r="IC31" s="3">
        <v>8</v>
      </c>
      <c r="ID31" s="17">
        <v>8.98876404494382E-2</v>
      </c>
      <c r="IE31" s="17">
        <v>4.6252429145950645E-2</v>
      </c>
      <c r="IF31" s="17">
        <v>0.1674609169467059</v>
      </c>
      <c r="IG31" s="3" t="s">
        <v>707</v>
      </c>
      <c r="IH31" s="3">
        <v>82</v>
      </c>
      <c r="II31" s="3">
        <v>5</v>
      </c>
      <c r="IJ31" s="17">
        <v>6.097560975609756E-2</v>
      </c>
      <c r="IK31" s="17">
        <v>2.6323955067816089E-2</v>
      </c>
      <c r="IL31" s="17">
        <v>0.13492049500154024</v>
      </c>
      <c r="IM31" s="3" t="s">
        <v>707</v>
      </c>
      <c r="IN31" s="3">
        <v>100</v>
      </c>
      <c r="IO31" s="3">
        <v>7</v>
      </c>
      <c r="IP31" s="17">
        <v>7.0000000000000007E-2</v>
      </c>
      <c r="IQ31" s="17">
        <v>3.4319261067272677E-2</v>
      </c>
      <c r="IR31" s="17">
        <v>0.13749514739073496</v>
      </c>
      <c r="IS31" s="3" t="s">
        <v>707</v>
      </c>
      <c r="IT31" s="3">
        <v>97</v>
      </c>
      <c r="IU31" s="3">
        <v>6</v>
      </c>
      <c r="IV31" s="17">
        <v>6.1855670103092786E-2</v>
      </c>
      <c r="IW31" s="17">
        <v>2.8654885715718274E-2</v>
      </c>
      <c r="IX31" s="17">
        <v>0.12843783196165856</v>
      </c>
      <c r="IY31" s="9" t="s">
        <v>707</v>
      </c>
      <c r="IZ31" s="9">
        <v>91</v>
      </c>
      <c r="JA31" s="9">
        <v>1</v>
      </c>
      <c r="JB31" s="393">
        <v>1.098901098901099E-2</v>
      </c>
      <c r="JC31" s="393">
        <v>1.9424713318492146E-3</v>
      </c>
      <c r="JD31" s="393">
        <v>5.964935668650613E-2</v>
      </c>
      <c r="JE31" s="9" t="str">
        <f t="shared" si="0"/>
        <v>Sig better than Eng.</v>
      </c>
      <c r="JF31" s="9">
        <v>101</v>
      </c>
      <c r="JG31" s="109">
        <v>6</v>
      </c>
      <c r="JH31" s="258">
        <v>5.9405940594059403E-2</v>
      </c>
      <c r="JI31" s="258">
        <v>2.7508127513887776E-2</v>
      </c>
      <c r="JJ31" s="258">
        <v>0.12359105594737152</v>
      </c>
      <c r="JK31" s="662" t="str">
        <f t="shared" si="3"/>
        <v>No Sig diff</v>
      </c>
      <c r="JL31" s="3">
        <v>65</v>
      </c>
      <c r="JM31" s="3">
        <v>13</v>
      </c>
      <c r="JN31" s="17">
        <v>0.2</v>
      </c>
      <c r="JO31" s="17">
        <v>0.12077959241205476</v>
      </c>
      <c r="JP31" s="17">
        <v>0.31270132638165932</v>
      </c>
      <c r="JQ31" s="3" t="s">
        <v>707</v>
      </c>
      <c r="JR31" s="3">
        <v>61</v>
      </c>
      <c r="JS31" s="3">
        <v>12</v>
      </c>
      <c r="JT31" s="17">
        <v>0.19672131147540983</v>
      </c>
      <c r="JU31" s="17">
        <v>0.11627802231427166</v>
      </c>
      <c r="JV31" s="17">
        <v>0.31309940575507544</v>
      </c>
      <c r="JW31" s="3" t="s">
        <v>707</v>
      </c>
      <c r="JX31" s="3">
        <v>64</v>
      </c>
      <c r="JY31" s="3">
        <v>8</v>
      </c>
      <c r="JZ31" s="17">
        <v>0.125</v>
      </c>
      <c r="KA31" s="17">
        <v>6.4722426633304547E-2</v>
      </c>
      <c r="KB31" s="17">
        <v>0.22774561821129938</v>
      </c>
      <c r="KC31" s="3" t="s">
        <v>707</v>
      </c>
      <c r="KD31" s="3">
        <v>63</v>
      </c>
      <c r="KE31" s="3">
        <v>12</v>
      </c>
      <c r="KF31" s="17">
        <v>0.19047619047619047</v>
      </c>
      <c r="KG31" s="17">
        <v>0.11246191872292463</v>
      </c>
      <c r="KH31" s="17">
        <v>0.30406787149874537</v>
      </c>
      <c r="KI31" s="3" t="s">
        <v>707</v>
      </c>
      <c r="KJ31" s="3">
        <v>71</v>
      </c>
      <c r="KK31" s="3">
        <v>8</v>
      </c>
      <c r="KL31" s="17">
        <v>0.11267605633802817</v>
      </c>
      <c r="KM31" s="17">
        <v>5.8212717297928721E-2</v>
      </c>
      <c r="KN31" s="17">
        <v>0.20690048510811301</v>
      </c>
      <c r="KO31" s="465" t="s">
        <v>707</v>
      </c>
      <c r="KP31" s="465">
        <v>64</v>
      </c>
      <c r="KQ31" s="465">
        <v>15</v>
      </c>
      <c r="KR31" s="393">
        <v>0.234375</v>
      </c>
      <c r="KS31" s="393">
        <v>0.14749895593924134</v>
      </c>
      <c r="KT31" s="393">
        <v>0.35133257582568639</v>
      </c>
      <c r="KU31" s="465" t="s">
        <v>772</v>
      </c>
      <c r="KV31" s="465">
        <v>69</v>
      </c>
      <c r="KW31" s="465">
        <v>10</v>
      </c>
      <c r="KX31" s="393">
        <v>0.14492753623188406</v>
      </c>
      <c r="KY31" s="393">
        <v>8.0670952806757054E-2</v>
      </c>
      <c r="KZ31" s="393">
        <v>0.2466352160521347</v>
      </c>
      <c r="LA31" s="660" t="str">
        <f t="shared" si="4"/>
        <v>No Sig diff</v>
      </c>
      <c r="LB31" s="3">
        <v>121</v>
      </c>
      <c r="LC31" s="3">
        <v>66</v>
      </c>
      <c r="LD31" s="17">
        <v>0.54545454545454541</v>
      </c>
      <c r="LE31" s="17">
        <v>0.45669996779439898</v>
      </c>
      <c r="LF31" s="17">
        <v>0.63141178693764843</v>
      </c>
      <c r="LG31" s="3">
        <v>121</v>
      </c>
      <c r="LH31" s="3">
        <v>35</v>
      </c>
      <c r="LI31" s="3">
        <v>24</v>
      </c>
      <c r="LJ31" s="293">
        <v>25.541666666666664</v>
      </c>
      <c r="LK31" s="17">
        <v>0.27023809523809533</v>
      </c>
      <c r="LL31" s="3">
        <v>114</v>
      </c>
      <c r="LM31" s="3">
        <v>69</v>
      </c>
      <c r="LN31" s="17">
        <v>0.60526315789473684</v>
      </c>
      <c r="LO31" s="17">
        <v>0.51351296049528616</v>
      </c>
      <c r="LP31" s="17">
        <v>0.6901505059975892</v>
      </c>
      <c r="LQ31" s="3">
        <v>114</v>
      </c>
      <c r="LR31" s="3">
        <v>34</v>
      </c>
      <c r="LS31" s="3">
        <v>22</v>
      </c>
      <c r="LT31" s="293">
        <v>24.863636363636363</v>
      </c>
      <c r="LU31" s="18">
        <v>0.26871657754010697</v>
      </c>
      <c r="LV31" s="42">
        <v>119</v>
      </c>
      <c r="LW31" s="42">
        <v>81</v>
      </c>
      <c r="LX31" s="18">
        <v>0.68067226890756305</v>
      </c>
      <c r="LY31" s="18">
        <v>0.59238423561390174</v>
      </c>
      <c r="LZ31" s="18">
        <v>0.75766045135749827</v>
      </c>
      <c r="MA31" s="337">
        <v>35</v>
      </c>
      <c r="MB31" s="337">
        <v>23</v>
      </c>
      <c r="MC31" s="294">
        <v>25.2</v>
      </c>
      <c r="MD31" s="393">
        <v>0.27900000000000003</v>
      </c>
      <c r="ME31" s="337">
        <v>119</v>
      </c>
      <c r="MF31" s="337">
        <v>71</v>
      </c>
      <c r="MG31" s="393">
        <v>0.59663865546218486</v>
      </c>
      <c r="MH31" s="393">
        <v>0.50681219164583324</v>
      </c>
      <c r="MI31" s="393">
        <v>0.68042101301328761</v>
      </c>
      <c r="MJ31" s="337">
        <v>34</v>
      </c>
      <c r="MK31" s="337">
        <v>23</v>
      </c>
      <c r="ML31" s="294">
        <v>24.652173913043477</v>
      </c>
      <c r="MM31" s="93">
        <v>0.27493606138107424</v>
      </c>
      <c r="MN31" s="17"/>
      <c r="MO31" s="17">
        <v>0.1111111111111111</v>
      </c>
      <c r="MP31" s="17">
        <v>4.4065689087418335E-2</v>
      </c>
      <c r="MQ31" s="17">
        <v>0.25315129015036325</v>
      </c>
      <c r="MR31" s="17"/>
      <c r="MS31" s="17">
        <v>5.5555555555555552E-2</v>
      </c>
      <c r="MT31" s="17">
        <v>1.5369663767066871E-2</v>
      </c>
      <c r="MU31" s="17">
        <v>0.18144974107611211</v>
      </c>
      <c r="MV31" s="17"/>
      <c r="MW31" s="17">
        <v>8.3333333333333329E-2</v>
      </c>
      <c r="MX31" s="17">
        <v>2.8748089271291792E-2</v>
      </c>
      <c r="MY31" s="17">
        <v>0.21827010276918851</v>
      </c>
      <c r="MZ31" s="17"/>
      <c r="NA31" s="17">
        <v>0.14285714285714285</v>
      </c>
      <c r="NB31" s="17">
        <v>6.2601388048534976E-2</v>
      </c>
      <c r="NC31" s="93">
        <v>0.29375880308674268</v>
      </c>
      <c r="ND31" s="337">
        <v>2</v>
      </c>
      <c r="NE31" s="337">
        <v>28</v>
      </c>
      <c r="NF31" s="393">
        <v>7.1428571428571425E-2</v>
      </c>
      <c r="NG31" s="393">
        <v>1.9812064115305748E-2</v>
      </c>
      <c r="NH31" s="393">
        <v>0.22645362568399049</v>
      </c>
      <c r="NI31" s="337">
        <v>0</v>
      </c>
      <c r="NJ31" s="337">
        <v>28</v>
      </c>
      <c r="NK31" s="393">
        <v>0</v>
      </c>
      <c r="NL31" s="393">
        <v>0</v>
      </c>
      <c r="NM31" s="393">
        <v>0.1206433047658456</v>
      </c>
      <c r="NN31" s="337">
        <v>2</v>
      </c>
      <c r="NO31" s="337">
        <v>28</v>
      </c>
      <c r="NP31" s="393">
        <v>7.1428571428571425E-2</v>
      </c>
      <c r="NQ31" s="393">
        <v>1.9812064115305748E-2</v>
      </c>
      <c r="NR31" s="393">
        <v>0.22645362568399049</v>
      </c>
      <c r="NS31" s="337">
        <v>4</v>
      </c>
      <c r="NT31" s="337">
        <v>28</v>
      </c>
      <c r="NU31" s="393">
        <v>0.14285714285714285</v>
      </c>
      <c r="NV31" s="393">
        <v>5.6990053197493958E-2</v>
      </c>
      <c r="NW31" s="93">
        <v>0.31489802163525293</v>
      </c>
      <c r="NX31" s="3">
        <v>12</v>
      </c>
      <c r="NY31" s="3">
        <v>12</v>
      </c>
      <c r="NZ31" s="3">
        <v>12</v>
      </c>
      <c r="OA31" s="3">
        <v>12</v>
      </c>
      <c r="OB31" s="3">
        <v>12</v>
      </c>
      <c r="OC31" s="3">
        <v>22</v>
      </c>
      <c r="OD31" s="3">
        <v>21</v>
      </c>
      <c r="OE31" s="3">
        <v>21</v>
      </c>
      <c r="OF31" s="3">
        <v>21</v>
      </c>
      <c r="OG31" s="3">
        <v>21</v>
      </c>
      <c r="OH31" s="3">
        <v>20</v>
      </c>
      <c r="OI31" s="3">
        <v>20</v>
      </c>
      <c r="OJ31" s="3">
        <v>21</v>
      </c>
      <c r="OK31" s="3">
        <v>21</v>
      </c>
      <c r="OL31" s="3">
        <v>20</v>
      </c>
      <c r="OM31" s="3">
        <v>17</v>
      </c>
      <c r="ON31" s="3">
        <v>20</v>
      </c>
      <c r="OO31" s="3">
        <v>17</v>
      </c>
      <c r="OP31" s="3">
        <v>17</v>
      </c>
      <c r="OQ31" s="3">
        <v>17</v>
      </c>
      <c r="OR31" s="3">
        <v>20</v>
      </c>
      <c r="OS31" s="3">
        <v>17</v>
      </c>
      <c r="OT31" s="6">
        <v>20</v>
      </c>
      <c r="OU31" s="3">
        <v>48</v>
      </c>
      <c r="OV31" s="22">
        <v>1</v>
      </c>
      <c r="OW31" s="22">
        <v>2.1000000000000001E-2</v>
      </c>
      <c r="OX31" s="22">
        <v>1</v>
      </c>
      <c r="OY31" s="3">
        <v>48</v>
      </c>
      <c r="OZ31" s="3">
        <v>1</v>
      </c>
      <c r="PA31" s="3">
        <v>48</v>
      </c>
      <c r="PB31" s="3">
        <v>52</v>
      </c>
      <c r="PC31" s="22">
        <v>1</v>
      </c>
      <c r="PD31" s="22">
        <v>0.94199999999999995</v>
      </c>
      <c r="PE31" s="22">
        <v>0.98099999999999998</v>
      </c>
      <c r="PF31" s="22">
        <v>0.98099999999999998</v>
      </c>
      <c r="PG31" s="22">
        <v>0.98099999999999998</v>
      </c>
      <c r="PH31" s="3">
        <v>52</v>
      </c>
      <c r="PI31" s="3">
        <v>49</v>
      </c>
      <c r="PJ31" s="3">
        <v>51</v>
      </c>
      <c r="PK31" s="3">
        <v>51</v>
      </c>
      <c r="PL31" s="3">
        <v>51</v>
      </c>
      <c r="PM31" s="3">
        <v>58</v>
      </c>
      <c r="PN31" s="22">
        <v>0.98299999999999998</v>
      </c>
      <c r="PO31" s="22">
        <v>0.98299999999999998</v>
      </c>
      <c r="PP31" s="22">
        <v>0.98299999999999998</v>
      </c>
      <c r="PQ31" s="22">
        <v>0.98299999999999998</v>
      </c>
      <c r="PR31" s="22">
        <v>0.96599999999999997</v>
      </c>
      <c r="PS31" s="22">
        <v>0.82799999999999996</v>
      </c>
      <c r="PT31" s="22">
        <v>0.879</v>
      </c>
      <c r="PU31" s="22">
        <v>0.96599999999999997</v>
      </c>
      <c r="PV31" s="22">
        <v>0.96599999999999997</v>
      </c>
      <c r="PW31" s="22">
        <v>0.91400000000000003</v>
      </c>
      <c r="PX31" s="3">
        <v>57</v>
      </c>
      <c r="PY31" s="3">
        <v>57</v>
      </c>
      <c r="PZ31" s="3">
        <v>57</v>
      </c>
      <c r="QA31" s="3">
        <v>57</v>
      </c>
      <c r="QB31" s="3">
        <v>56</v>
      </c>
      <c r="QC31" s="3">
        <v>48</v>
      </c>
      <c r="QD31" s="3">
        <v>51</v>
      </c>
      <c r="QE31" s="3">
        <v>56</v>
      </c>
      <c r="QF31" s="3">
        <v>56</v>
      </c>
      <c r="QG31" s="6">
        <v>53</v>
      </c>
      <c r="QH31" s="37">
        <v>46</v>
      </c>
      <c r="QI31" s="17">
        <v>0.97826086956521741</v>
      </c>
      <c r="QJ31" s="17">
        <v>0.28260869565217389</v>
      </c>
      <c r="QK31" s="17">
        <v>0.97826086956521741</v>
      </c>
      <c r="QL31" s="37">
        <v>45</v>
      </c>
      <c r="QM31" s="37">
        <v>12.999999999999998</v>
      </c>
      <c r="QN31" s="37">
        <v>45</v>
      </c>
      <c r="QO31" s="37">
        <v>48</v>
      </c>
      <c r="QP31" s="17">
        <v>1</v>
      </c>
      <c r="QQ31" s="17">
        <v>0.95833333333333337</v>
      </c>
      <c r="QR31" s="17">
        <v>0.75</v>
      </c>
      <c r="QS31" s="17">
        <v>0.97916666666666663</v>
      </c>
      <c r="QT31" s="17">
        <v>0.77083333333333337</v>
      </c>
      <c r="QU31" s="37">
        <v>48</v>
      </c>
      <c r="QV31" s="37">
        <v>46</v>
      </c>
      <c r="QW31" s="37">
        <v>36</v>
      </c>
      <c r="QX31" s="37">
        <v>47</v>
      </c>
      <c r="QY31" s="37">
        <v>37</v>
      </c>
      <c r="QZ31" s="3">
        <v>59</v>
      </c>
      <c r="RA31" s="17">
        <v>1</v>
      </c>
      <c r="RB31" s="17">
        <v>1</v>
      </c>
      <c r="RC31" s="17">
        <v>1</v>
      </c>
      <c r="RD31" s="17">
        <v>1</v>
      </c>
      <c r="RE31" s="17">
        <v>0.69491525423728817</v>
      </c>
      <c r="RF31" s="17">
        <v>0.9152542372881356</v>
      </c>
      <c r="RG31" s="17">
        <v>0.89830508474576276</v>
      </c>
      <c r="RH31" s="17">
        <v>0.96610169491525422</v>
      </c>
      <c r="RI31" s="17">
        <v>0.69491525423728817</v>
      </c>
      <c r="RJ31" s="17">
        <v>0.57627118644067798</v>
      </c>
      <c r="RK31" s="37">
        <v>59</v>
      </c>
      <c r="RL31" s="37">
        <v>59</v>
      </c>
      <c r="RM31" s="37">
        <v>59</v>
      </c>
      <c r="RN31" s="37">
        <v>59</v>
      </c>
      <c r="RO31" s="37">
        <v>41</v>
      </c>
      <c r="RP31" s="37">
        <v>54</v>
      </c>
      <c r="RQ31" s="37">
        <v>53</v>
      </c>
      <c r="RR31" s="37">
        <v>57</v>
      </c>
      <c r="RS31" s="37">
        <v>41</v>
      </c>
      <c r="RT31" s="38">
        <v>34</v>
      </c>
    </row>
    <row r="32" spans="1:488" s="3" customFormat="1" ht="12.75" x14ac:dyDescent="0.2">
      <c r="A32" s="9" t="s">
        <v>52</v>
      </c>
      <c r="B32" s="6">
        <v>21</v>
      </c>
      <c r="C32" s="9" t="s">
        <v>199</v>
      </c>
      <c r="D32" s="9" t="s">
        <v>200</v>
      </c>
      <c r="E32" s="9" t="s">
        <v>855</v>
      </c>
      <c r="F32" s="9" t="s">
        <v>859</v>
      </c>
      <c r="G32" s="9" t="s">
        <v>201</v>
      </c>
      <c r="H32" s="9" t="s">
        <v>79</v>
      </c>
      <c r="I32" s="9" t="s">
        <v>79</v>
      </c>
      <c r="J32" s="9" t="s">
        <v>269</v>
      </c>
      <c r="K32" s="9" t="s">
        <v>379</v>
      </c>
      <c r="L32" s="9" t="s">
        <v>272</v>
      </c>
      <c r="M32" s="9" t="s">
        <v>345</v>
      </c>
      <c r="N32" s="3" t="s">
        <v>79</v>
      </c>
      <c r="O32" s="9">
        <v>529498</v>
      </c>
      <c r="P32" s="9">
        <v>135882</v>
      </c>
      <c r="Q32" s="109">
        <v>22412</v>
      </c>
      <c r="R32" s="109">
        <v>80266</v>
      </c>
      <c r="S32" s="310" t="s">
        <v>797</v>
      </c>
      <c r="T32" s="36">
        <v>22820</v>
      </c>
      <c r="U32" s="37">
        <v>22870</v>
      </c>
      <c r="V32" s="37">
        <v>23175</v>
      </c>
      <c r="W32" s="37">
        <v>23725</v>
      </c>
      <c r="X32" s="37">
        <v>24090</v>
      </c>
      <c r="Y32" s="37">
        <v>24460</v>
      </c>
      <c r="Z32" s="37">
        <v>24445</v>
      </c>
      <c r="AA32" s="37">
        <v>24605</v>
      </c>
      <c r="AB32" s="37">
        <v>24745</v>
      </c>
      <c r="AC32" s="42">
        <v>24718</v>
      </c>
      <c r="AD32" s="42">
        <v>24658</v>
      </c>
      <c r="AE32" s="36">
        <v>1550</v>
      </c>
      <c r="AF32" s="37">
        <v>1525</v>
      </c>
      <c r="AG32" s="37">
        <v>1580</v>
      </c>
      <c r="AH32" s="37">
        <v>1705</v>
      </c>
      <c r="AI32" s="37">
        <v>1710</v>
      </c>
      <c r="AJ32" s="37">
        <v>1820</v>
      </c>
      <c r="AK32" s="37">
        <v>1840</v>
      </c>
      <c r="AL32" s="37">
        <v>1825</v>
      </c>
      <c r="AM32" s="37">
        <v>1825</v>
      </c>
      <c r="AN32" s="42">
        <v>1840</v>
      </c>
      <c r="AO32" s="42">
        <v>1745</v>
      </c>
      <c r="AP32" s="13">
        <v>1827</v>
      </c>
      <c r="AQ32" s="3">
        <v>1360</v>
      </c>
      <c r="AR32" s="3">
        <v>80</v>
      </c>
      <c r="AS32" s="3">
        <v>124</v>
      </c>
      <c r="AT32" s="3">
        <v>192</v>
      </c>
      <c r="AU32" s="3">
        <v>58</v>
      </c>
      <c r="AV32" s="3">
        <v>13</v>
      </c>
      <c r="AW32" s="9">
        <v>467</v>
      </c>
      <c r="AX32" s="16">
        <v>0.7443897099069513</v>
      </c>
      <c r="AY32" s="17">
        <v>4.3787629994526546E-2</v>
      </c>
      <c r="AZ32" s="17">
        <v>6.7870826491516142E-2</v>
      </c>
      <c r="BA32" s="17">
        <v>0.10509031198686371</v>
      </c>
      <c r="BB32" s="17">
        <v>3.1746031746031744E-2</v>
      </c>
      <c r="BC32" s="17">
        <v>7.1154898741105635E-3</v>
      </c>
      <c r="BD32" s="18">
        <v>0.2556102900930487</v>
      </c>
      <c r="BE32" s="13">
        <v>4161</v>
      </c>
      <c r="BF32" s="3">
        <v>3991</v>
      </c>
      <c r="BG32" s="3">
        <v>170</v>
      </c>
      <c r="BH32" s="3">
        <v>147</v>
      </c>
      <c r="BI32" s="3">
        <v>23</v>
      </c>
      <c r="BJ32" s="17">
        <v>0.86470588235294121</v>
      </c>
      <c r="BK32" s="18">
        <v>0.13529411764705881</v>
      </c>
      <c r="BL32" s="13">
        <v>3423</v>
      </c>
      <c r="BM32" s="17">
        <v>0.67952088810984512</v>
      </c>
      <c r="BN32" s="17">
        <v>0.12795793163891322</v>
      </c>
      <c r="BO32" s="18">
        <v>0.1925211802512416</v>
      </c>
      <c r="BP32" s="36">
        <v>7125</v>
      </c>
      <c r="BQ32" s="37">
        <v>664</v>
      </c>
      <c r="BR32" s="37">
        <v>570</v>
      </c>
      <c r="BS32" s="37">
        <v>221</v>
      </c>
      <c r="BT32" s="37">
        <v>5931</v>
      </c>
      <c r="BU32" s="37">
        <v>3454</v>
      </c>
      <c r="BV32" s="18">
        <v>0.12854661262304573</v>
      </c>
      <c r="BW32" s="36">
        <v>2234</v>
      </c>
      <c r="BX32" s="37">
        <v>2</v>
      </c>
      <c r="BY32" s="37">
        <v>421</v>
      </c>
      <c r="BZ32" s="37">
        <v>602</v>
      </c>
      <c r="CA32" s="37">
        <v>212</v>
      </c>
      <c r="CB32" s="38">
        <v>3471</v>
      </c>
      <c r="CC32" s="37">
        <v>1467</v>
      </c>
      <c r="CD32" s="37">
        <v>1266</v>
      </c>
      <c r="CE32" s="37">
        <v>198</v>
      </c>
      <c r="CF32" s="37">
        <v>201</v>
      </c>
      <c r="CG32" s="17">
        <v>0.13496932515337423</v>
      </c>
      <c r="CH32" s="93">
        <v>0.13701431492842536</v>
      </c>
      <c r="CI32" s="37">
        <v>150</v>
      </c>
      <c r="CJ32" s="37">
        <v>130</v>
      </c>
      <c r="CK32" s="37">
        <v>100</v>
      </c>
      <c r="CL32" s="37">
        <v>115</v>
      </c>
      <c r="CM32" s="42">
        <v>110</v>
      </c>
      <c r="CN32" s="42">
        <v>80</v>
      </c>
      <c r="CO32" s="36">
        <v>602</v>
      </c>
      <c r="CP32" s="37">
        <v>174</v>
      </c>
      <c r="CQ32" s="17">
        <v>0.28903654485049834</v>
      </c>
      <c r="CR32" s="38">
        <v>48</v>
      </c>
      <c r="CS32" s="37">
        <v>321</v>
      </c>
      <c r="CT32" s="37">
        <v>353</v>
      </c>
      <c r="CU32" s="37">
        <v>348</v>
      </c>
      <c r="CV32" s="37">
        <v>329</v>
      </c>
      <c r="CW32" s="37">
        <v>332</v>
      </c>
      <c r="CX32" s="526" t="s">
        <v>471</v>
      </c>
      <c r="CY32" s="568">
        <v>299</v>
      </c>
      <c r="CZ32" s="37">
        <v>7</v>
      </c>
      <c r="DA32" s="37">
        <v>10</v>
      </c>
      <c r="DB32" s="37">
        <v>9</v>
      </c>
      <c r="DC32" s="37">
        <v>5</v>
      </c>
      <c r="DD32" s="37">
        <v>8</v>
      </c>
      <c r="DE32" s="528" t="s">
        <v>471</v>
      </c>
      <c r="DF32" s="716">
        <v>4</v>
      </c>
      <c r="DG32" s="13">
        <v>10</v>
      </c>
      <c r="DH32" s="13">
        <v>23</v>
      </c>
      <c r="DI32" s="17">
        <v>6.9277108433734941E-2</v>
      </c>
      <c r="DJ32" s="17">
        <v>4.6603311300102486E-2</v>
      </c>
      <c r="DK32" s="18">
        <v>0.10180438974941115</v>
      </c>
      <c r="DL32" s="425" t="s">
        <v>286</v>
      </c>
      <c r="DM32" s="258" t="s">
        <v>286</v>
      </c>
      <c r="DN32" s="258" t="s">
        <v>286</v>
      </c>
      <c r="DO32" s="258" t="s">
        <v>286</v>
      </c>
      <c r="DP32" s="337">
        <v>25</v>
      </c>
      <c r="DQ32" s="393">
        <v>8.3612040133779264E-2</v>
      </c>
      <c r="DR32" s="393">
        <v>5.7273972978191028E-2</v>
      </c>
      <c r="DS32" s="393">
        <v>0.12051363585964806</v>
      </c>
      <c r="DT32" s="13">
        <v>25</v>
      </c>
      <c r="DU32" s="18">
        <v>1.3683634373289545E-2</v>
      </c>
      <c r="DV32" s="328">
        <v>9</v>
      </c>
      <c r="DW32" s="333">
        <v>9</v>
      </c>
      <c r="DX32" s="337">
        <v>8</v>
      </c>
      <c r="DY32" s="393">
        <v>8.0471905618876224E-2</v>
      </c>
      <c r="DZ32" s="337">
        <v>8</v>
      </c>
      <c r="EA32" s="93">
        <v>8.3875589956579191E-2</v>
      </c>
      <c r="EB32" s="3">
        <v>211</v>
      </c>
      <c r="EC32" s="18">
        <v>2.1561414265276926E-2</v>
      </c>
      <c r="ED32" s="13">
        <v>220</v>
      </c>
      <c r="EE32" s="3">
        <v>200</v>
      </c>
      <c r="EF32" s="3">
        <v>185</v>
      </c>
      <c r="EG32" s="3">
        <v>170</v>
      </c>
      <c r="EH32" s="9">
        <v>170</v>
      </c>
      <c r="EI32" s="9">
        <v>135</v>
      </c>
      <c r="EJ32" s="13">
        <v>175</v>
      </c>
      <c r="EK32" s="17">
        <v>0.10869565217391304</v>
      </c>
      <c r="EL32" s="17">
        <v>9.4412775722351794E-2</v>
      </c>
      <c r="EM32" s="17">
        <v>0.12484138761985276</v>
      </c>
      <c r="EN32" s="3">
        <v>180</v>
      </c>
      <c r="EO32" s="17">
        <v>0.11180124223602485</v>
      </c>
      <c r="EP32" s="17">
        <v>9.732321112404678E-2</v>
      </c>
      <c r="EQ32" s="17">
        <v>0.1281273477471879</v>
      </c>
      <c r="ER32" s="3">
        <v>205</v>
      </c>
      <c r="ES32" s="17">
        <v>0.11849710982658959</v>
      </c>
      <c r="ET32" s="17">
        <v>0.10410609537284093</v>
      </c>
      <c r="EU32" s="17">
        <v>0.13457862214578181</v>
      </c>
      <c r="EV32" s="3">
        <v>185</v>
      </c>
      <c r="EW32" s="17">
        <v>0.10601719197707736</v>
      </c>
      <c r="EX32" s="17">
        <v>9.2428027487026776E-2</v>
      </c>
      <c r="EY32" s="17">
        <v>0.12133718086570104</v>
      </c>
      <c r="EZ32" s="3">
        <v>170</v>
      </c>
      <c r="FA32" s="18">
        <v>9.7982708933717577E-2</v>
      </c>
      <c r="FB32" s="18">
        <v>8.486931074054721E-2</v>
      </c>
      <c r="FC32" s="18">
        <v>0.11287238507448821</v>
      </c>
      <c r="FD32" s="337">
        <v>180</v>
      </c>
      <c r="FE32" s="18">
        <v>0.11650485436893204</v>
      </c>
      <c r="FF32" s="18">
        <v>0.10144985558155037</v>
      </c>
      <c r="FG32" s="393">
        <v>0.13346215348729731</v>
      </c>
      <c r="FH32" s="425" t="s">
        <v>286</v>
      </c>
      <c r="FI32" s="258" t="s">
        <v>286</v>
      </c>
      <c r="FJ32" s="258" t="s">
        <v>286</v>
      </c>
      <c r="FK32" s="258" t="s">
        <v>286</v>
      </c>
      <c r="FL32" s="36">
        <v>405</v>
      </c>
      <c r="FM32" s="18">
        <v>8.4728033472803346E-2</v>
      </c>
      <c r="FN32" s="42">
        <v>450</v>
      </c>
      <c r="FO32" s="18">
        <v>9.202453987730061E-2</v>
      </c>
      <c r="FP32" s="42">
        <v>485</v>
      </c>
      <c r="FQ32" s="18">
        <v>9.6325719960278056E-2</v>
      </c>
      <c r="FR32" s="42">
        <v>445</v>
      </c>
      <c r="FS32" s="18">
        <v>8.7426326129666013E-2</v>
      </c>
      <c r="FT32" s="42">
        <v>410</v>
      </c>
      <c r="FU32" s="18">
        <v>8.0313418217433888E-2</v>
      </c>
      <c r="FV32" s="42">
        <v>440</v>
      </c>
      <c r="FW32" s="393">
        <v>8.59375E-2</v>
      </c>
      <c r="FX32" s="114" t="s">
        <v>286</v>
      </c>
      <c r="FY32" s="259" t="s">
        <v>286</v>
      </c>
      <c r="FZ32" s="3">
        <v>337</v>
      </c>
      <c r="GA32" s="3">
        <v>7</v>
      </c>
      <c r="GB32" s="3">
        <v>330</v>
      </c>
      <c r="GC32" s="17">
        <v>0.97922848664688422</v>
      </c>
      <c r="GD32" s="3">
        <v>122</v>
      </c>
      <c r="GE32" s="3">
        <v>194</v>
      </c>
      <c r="GF32" s="17">
        <v>0.36969696969696969</v>
      </c>
      <c r="GG32" s="17">
        <v>0.58787878787878789</v>
      </c>
      <c r="GH32" s="17">
        <v>0.31939213882089795</v>
      </c>
      <c r="GI32" s="17">
        <v>0.4230006606384864</v>
      </c>
      <c r="GJ32" s="17">
        <v>0.53405685232247369</v>
      </c>
      <c r="GK32" s="93">
        <v>0.63967823641422061</v>
      </c>
      <c r="GL32" s="337">
        <v>305</v>
      </c>
      <c r="GM32" s="337">
        <v>119</v>
      </c>
      <c r="GN32" s="337">
        <v>75</v>
      </c>
      <c r="GO32" s="337">
        <v>194</v>
      </c>
      <c r="GP32" s="393">
        <v>0.39016393442622949</v>
      </c>
      <c r="GQ32" s="393">
        <v>0.63606557377049178</v>
      </c>
      <c r="GR32" s="393">
        <v>0.3371115140527825</v>
      </c>
      <c r="GS32" s="393">
        <v>0.44594869989699493</v>
      </c>
      <c r="GT32" s="393">
        <v>0.58068743905653675</v>
      </c>
      <c r="GU32" s="93">
        <v>0.68805886306538078</v>
      </c>
      <c r="GV32" s="42">
        <v>340</v>
      </c>
      <c r="GW32" s="42">
        <v>31</v>
      </c>
      <c r="GX32" s="42">
        <v>309</v>
      </c>
      <c r="GY32" s="393">
        <f t="shared" si="2"/>
        <v>0.9088235294117647</v>
      </c>
      <c r="GZ32" s="42">
        <v>124</v>
      </c>
      <c r="HA32" s="42">
        <v>67</v>
      </c>
      <c r="HB32" s="42">
        <v>191</v>
      </c>
      <c r="HC32" s="393">
        <v>0.40129449838187703</v>
      </c>
      <c r="HD32" s="393">
        <v>0.6181229773462783</v>
      </c>
      <c r="HE32" s="393">
        <v>0.34817745852398246</v>
      </c>
      <c r="HF32" s="393">
        <v>0.45683559751421254</v>
      </c>
      <c r="HG32" s="393">
        <v>0.56281544782490178</v>
      </c>
      <c r="HH32" s="93">
        <v>0.67052958347365177</v>
      </c>
      <c r="HI32" s="696">
        <v>391</v>
      </c>
      <c r="HJ32" s="696">
        <v>33</v>
      </c>
      <c r="HK32" s="696">
        <v>358</v>
      </c>
      <c r="HL32" s="697">
        <v>0.9156010230179028</v>
      </c>
      <c r="HM32" s="696">
        <v>136</v>
      </c>
      <c r="HN32" s="696">
        <v>93</v>
      </c>
      <c r="HO32" s="696">
        <v>229</v>
      </c>
      <c r="HP32" s="697">
        <v>0.37988826815642457</v>
      </c>
      <c r="HQ32" s="697">
        <v>0.63966480446927376</v>
      </c>
      <c r="HR32" s="697">
        <v>0.33113774663120382</v>
      </c>
      <c r="HS32" s="697">
        <v>0.43118910148540135</v>
      </c>
      <c r="HT32" s="697">
        <v>0.58869251495841246</v>
      </c>
      <c r="HU32" s="698">
        <v>0.68767161513855835</v>
      </c>
      <c r="HV32" s="3">
        <v>267</v>
      </c>
      <c r="HW32" s="3">
        <v>21</v>
      </c>
      <c r="HX32" s="17">
        <v>7.9000000000000001E-2</v>
      </c>
      <c r="HY32" s="17">
        <v>5.1999999999999998E-2</v>
      </c>
      <c r="HZ32" s="17">
        <v>0.11700000000000001</v>
      </c>
      <c r="IA32" s="267" t="s">
        <v>707</v>
      </c>
      <c r="IB32" s="3">
        <v>276</v>
      </c>
      <c r="IC32" s="3">
        <v>23</v>
      </c>
      <c r="ID32" s="17">
        <v>8.3000000000000004E-2</v>
      </c>
      <c r="IE32" s="17">
        <v>5.6000000000000001E-2</v>
      </c>
      <c r="IF32" s="17">
        <v>0.122</v>
      </c>
      <c r="IG32" s="3" t="s">
        <v>707</v>
      </c>
      <c r="IH32" s="3">
        <v>239</v>
      </c>
      <c r="II32" s="3">
        <v>10</v>
      </c>
      <c r="IJ32" s="17">
        <v>4.1841004184100417E-2</v>
      </c>
      <c r="IK32" s="17">
        <v>2.2883426077391942E-2</v>
      </c>
      <c r="IL32" s="17">
        <v>7.5293627118033973E-2</v>
      </c>
      <c r="IM32" s="3" t="s">
        <v>708</v>
      </c>
      <c r="IN32" s="3">
        <v>265</v>
      </c>
      <c r="IO32" s="3">
        <v>23</v>
      </c>
      <c r="IP32" s="17">
        <v>8.6792452830188674E-2</v>
      </c>
      <c r="IQ32" s="17">
        <v>5.8529585664442121E-2</v>
      </c>
      <c r="IR32" s="17">
        <v>0.1268639136839462</v>
      </c>
      <c r="IS32" s="3" t="s">
        <v>707</v>
      </c>
      <c r="IT32" s="3">
        <v>208</v>
      </c>
      <c r="IU32" s="3">
        <v>17</v>
      </c>
      <c r="IV32" s="17">
        <v>8.1730769230769232E-2</v>
      </c>
      <c r="IW32" s="17">
        <v>5.165287981199955E-2</v>
      </c>
      <c r="IX32" s="17">
        <v>0.12697815412892377</v>
      </c>
      <c r="IY32" s="9" t="s">
        <v>707</v>
      </c>
      <c r="IZ32" s="9">
        <v>318</v>
      </c>
      <c r="JA32" s="9">
        <v>11</v>
      </c>
      <c r="JB32" s="393">
        <v>3.4591194968553458E-2</v>
      </c>
      <c r="JC32" s="393">
        <v>1.9423009220452678E-2</v>
      </c>
      <c r="JD32" s="393">
        <v>6.0869501618217858E-2</v>
      </c>
      <c r="JE32" s="9" t="str">
        <f t="shared" si="0"/>
        <v>Sig better than Eng.</v>
      </c>
      <c r="JF32" s="9">
        <v>310</v>
      </c>
      <c r="JG32" s="109">
        <v>23</v>
      </c>
      <c r="JH32" s="258">
        <v>7.4193548387096769E-2</v>
      </c>
      <c r="JI32" s="258">
        <v>4.9944914584173203E-2</v>
      </c>
      <c r="JJ32" s="258">
        <v>0.10886603094221073</v>
      </c>
      <c r="JK32" s="662" t="str">
        <f t="shared" si="3"/>
        <v>No Sig diff</v>
      </c>
      <c r="JL32" s="3">
        <v>252</v>
      </c>
      <c r="JM32" s="3">
        <v>37</v>
      </c>
      <c r="JN32" s="17">
        <v>0.14699999999999999</v>
      </c>
      <c r="JO32" s="17">
        <v>0.108</v>
      </c>
      <c r="JP32" s="17">
        <v>0.19600000000000001</v>
      </c>
      <c r="JQ32" s="3" t="s">
        <v>707</v>
      </c>
      <c r="JR32" s="3">
        <v>282</v>
      </c>
      <c r="JS32" s="3">
        <v>34</v>
      </c>
      <c r="JT32" s="17">
        <v>0.121</v>
      </c>
      <c r="JU32" s="17">
        <v>8.7999999999999995E-2</v>
      </c>
      <c r="JV32" s="17">
        <v>0.16400000000000001</v>
      </c>
      <c r="JW32" s="3" t="s">
        <v>708</v>
      </c>
      <c r="JX32" s="3">
        <v>263</v>
      </c>
      <c r="JY32" s="3">
        <v>38</v>
      </c>
      <c r="JZ32" s="17">
        <v>0.14448669201520911</v>
      </c>
      <c r="KA32" s="17">
        <v>0.10711124264128175</v>
      </c>
      <c r="KB32" s="17">
        <v>0.1920981050123905</v>
      </c>
      <c r="KC32" s="3" t="s">
        <v>707</v>
      </c>
      <c r="KD32" s="3">
        <v>249</v>
      </c>
      <c r="KE32" s="3">
        <v>34</v>
      </c>
      <c r="KF32" s="17">
        <v>0.13654618473895583</v>
      </c>
      <c r="KG32" s="17">
        <v>9.9385816160059939E-2</v>
      </c>
      <c r="KH32" s="17">
        <v>0.1847505717400014</v>
      </c>
      <c r="KI32" s="3" t="s">
        <v>708</v>
      </c>
      <c r="KJ32" s="3">
        <v>265</v>
      </c>
      <c r="KK32" s="3">
        <v>42</v>
      </c>
      <c r="KL32" s="17">
        <v>0.15849056603773584</v>
      </c>
      <c r="KM32" s="17">
        <v>0.11944376618064369</v>
      </c>
      <c r="KN32" s="17">
        <v>0.20729697985615217</v>
      </c>
      <c r="KO32" s="465" t="s">
        <v>707</v>
      </c>
      <c r="KP32" s="465">
        <v>278</v>
      </c>
      <c r="KQ32" s="465">
        <v>43</v>
      </c>
      <c r="KR32" s="393">
        <v>0.15467625899280577</v>
      </c>
      <c r="KS32" s="393">
        <v>0.11690618323216895</v>
      </c>
      <c r="KT32" s="393">
        <v>0.20185976126945504</v>
      </c>
      <c r="KU32" s="465" t="s">
        <v>772</v>
      </c>
      <c r="KV32" s="465">
        <v>268</v>
      </c>
      <c r="KW32" s="465">
        <v>41</v>
      </c>
      <c r="KX32" s="393">
        <v>0.15298507462686567</v>
      </c>
      <c r="KY32" s="393">
        <v>0.11481699452913173</v>
      </c>
      <c r="KZ32" s="393">
        <v>0.20096066202514284</v>
      </c>
      <c r="LA32" s="660" t="str">
        <f t="shared" si="4"/>
        <v>No Sig diff</v>
      </c>
      <c r="LB32" s="3">
        <v>324</v>
      </c>
      <c r="LC32" s="3">
        <v>210</v>
      </c>
      <c r="LD32" s="17">
        <v>0.64814814814814814</v>
      </c>
      <c r="LE32" s="17">
        <v>0.5946899178918934</v>
      </c>
      <c r="LF32" s="17">
        <v>0.69813454776699435</v>
      </c>
      <c r="LG32" s="3">
        <v>324</v>
      </c>
      <c r="LH32" s="3">
        <v>34</v>
      </c>
      <c r="LI32" s="3">
        <v>64</v>
      </c>
      <c r="LJ32" s="293">
        <v>26.765625000000004</v>
      </c>
      <c r="LK32" s="17">
        <v>0.21277573529411753</v>
      </c>
      <c r="LL32" s="3">
        <v>330</v>
      </c>
      <c r="LM32" s="3">
        <v>227</v>
      </c>
      <c r="LN32" s="17">
        <v>0.68787878787878787</v>
      </c>
      <c r="LO32" s="17">
        <v>0.63596542157199598</v>
      </c>
      <c r="LP32" s="17">
        <v>0.73546837349358407</v>
      </c>
      <c r="LQ32" s="3">
        <v>330</v>
      </c>
      <c r="LR32" s="3">
        <v>34</v>
      </c>
      <c r="LS32" s="3">
        <v>66</v>
      </c>
      <c r="LT32" s="293">
        <v>24.878787878787882</v>
      </c>
      <c r="LU32" s="18">
        <v>0.26827094474153285</v>
      </c>
      <c r="LV32" s="42">
        <v>344</v>
      </c>
      <c r="LW32" s="42">
        <v>238</v>
      </c>
      <c r="LX32" s="18">
        <v>0.69186046511627908</v>
      </c>
      <c r="LY32" s="18">
        <v>0.6411731846578187</v>
      </c>
      <c r="LZ32" s="18">
        <v>0.73831004441880377</v>
      </c>
      <c r="MA32" s="337">
        <v>34</v>
      </c>
      <c r="MB32" s="337">
        <v>68</v>
      </c>
      <c r="MC32" s="294">
        <v>25.6</v>
      </c>
      <c r="MD32" s="393">
        <v>0.248</v>
      </c>
      <c r="ME32" s="337">
        <v>355</v>
      </c>
      <c r="MF32" s="337">
        <v>258</v>
      </c>
      <c r="MG32" s="393">
        <v>0.72676056338028172</v>
      </c>
      <c r="MH32" s="393">
        <v>0.67816248135745971</v>
      </c>
      <c r="MI32" s="393">
        <v>0.77050362464131361</v>
      </c>
      <c r="MJ32" s="337">
        <v>34</v>
      </c>
      <c r="MK32" s="337">
        <v>71</v>
      </c>
      <c r="ML32" s="294">
        <v>25.323943661971832</v>
      </c>
      <c r="MM32" s="93">
        <v>0.25517812758906377</v>
      </c>
      <c r="MN32" s="17">
        <v>0.94883774022429479</v>
      </c>
      <c r="MO32" s="17">
        <v>5.1162259775705154E-2</v>
      </c>
      <c r="MP32" s="17">
        <v>3.5005301144816203E-2</v>
      </c>
      <c r="MQ32" s="17">
        <v>0.10293256696562286</v>
      </c>
      <c r="MR32" s="17">
        <v>0.98154979940694231</v>
      </c>
      <c r="MS32" s="17">
        <v>1.8450200593057735E-2</v>
      </c>
      <c r="MT32" s="17">
        <v>1.0833366500687466E-2</v>
      </c>
      <c r="MU32" s="17">
        <v>5.7743180653120271E-2</v>
      </c>
      <c r="MV32" s="17">
        <v>0.94172540811196281</v>
      </c>
      <c r="MW32" s="17">
        <v>5.8274591888037262E-2</v>
      </c>
      <c r="MX32" s="17">
        <v>3.8966557352548399E-2</v>
      </c>
      <c r="MY32" s="17">
        <v>0.10961620637767483</v>
      </c>
      <c r="MZ32" s="17">
        <v>0.85018930649182767</v>
      </c>
      <c r="NA32" s="17">
        <v>0.14981069350817247</v>
      </c>
      <c r="NB32" s="17">
        <v>0.10020126624456825</v>
      </c>
      <c r="NC32" s="93">
        <v>0.19775294244526492</v>
      </c>
      <c r="ND32" s="337">
        <v>6</v>
      </c>
      <c r="NE32" s="337">
        <v>144</v>
      </c>
      <c r="NF32" s="393">
        <v>4.1666666666666664E-2</v>
      </c>
      <c r="NG32" s="393">
        <v>1.9233886662494152E-2</v>
      </c>
      <c r="NH32" s="393">
        <v>8.7917780718622843E-2</v>
      </c>
      <c r="NI32" s="337">
        <v>5</v>
      </c>
      <c r="NJ32" s="337">
        <v>143</v>
      </c>
      <c r="NK32" s="393">
        <v>3.4965034965034968E-2</v>
      </c>
      <c r="NL32" s="393">
        <v>1.5025721955368148E-2</v>
      </c>
      <c r="NM32" s="393">
        <v>7.9235523689131462E-2</v>
      </c>
      <c r="NN32" s="337">
        <v>6</v>
      </c>
      <c r="NO32" s="337">
        <v>144</v>
      </c>
      <c r="NP32" s="393">
        <v>4.1666666666666664E-2</v>
      </c>
      <c r="NQ32" s="393">
        <v>1.9233886662494152E-2</v>
      </c>
      <c r="NR32" s="393">
        <v>8.7917780718622843E-2</v>
      </c>
      <c r="NS32" s="337">
        <v>15</v>
      </c>
      <c r="NT32" s="337">
        <v>121</v>
      </c>
      <c r="NU32" s="393">
        <v>0.12396694214876033</v>
      </c>
      <c r="NV32" s="393">
        <v>7.6583906289253614E-2</v>
      </c>
      <c r="NW32" s="93">
        <v>0.19449157729108124</v>
      </c>
      <c r="NX32" s="3">
        <v>97</v>
      </c>
      <c r="NY32" s="3">
        <v>96</v>
      </c>
      <c r="NZ32" s="3">
        <v>96</v>
      </c>
      <c r="OA32" s="3">
        <v>96</v>
      </c>
      <c r="OB32" s="3">
        <v>96</v>
      </c>
      <c r="OC32" s="3">
        <v>83</v>
      </c>
      <c r="OD32" s="3">
        <v>80</v>
      </c>
      <c r="OE32" s="3">
        <v>82</v>
      </c>
      <c r="OF32" s="3">
        <v>80</v>
      </c>
      <c r="OG32" s="3">
        <v>82</v>
      </c>
      <c r="OH32" s="3">
        <v>82</v>
      </c>
      <c r="OI32" s="3">
        <v>77</v>
      </c>
      <c r="OJ32" s="3">
        <v>82</v>
      </c>
      <c r="OK32" s="3">
        <v>96</v>
      </c>
      <c r="OL32" s="3">
        <v>91</v>
      </c>
      <c r="OM32" s="3">
        <v>90</v>
      </c>
      <c r="ON32" s="3">
        <v>88</v>
      </c>
      <c r="OO32" s="3">
        <v>90</v>
      </c>
      <c r="OP32" s="3">
        <v>93</v>
      </c>
      <c r="OQ32" s="3">
        <v>83</v>
      </c>
      <c r="OR32" s="3">
        <v>88</v>
      </c>
      <c r="OS32" s="3">
        <v>84</v>
      </c>
      <c r="OT32" s="6">
        <v>92</v>
      </c>
      <c r="OU32" s="3">
        <v>418</v>
      </c>
      <c r="OV32" s="22">
        <v>0.97099999999999997</v>
      </c>
      <c r="OW32" s="22">
        <v>1.7000000000000001E-2</v>
      </c>
      <c r="OX32" s="22">
        <v>0.97399999999999998</v>
      </c>
      <c r="OY32" s="3">
        <v>406</v>
      </c>
      <c r="OZ32" s="3">
        <v>7</v>
      </c>
      <c r="PA32" s="3">
        <v>407</v>
      </c>
      <c r="PB32" s="3">
        <v>379</v>
      </c>
      <c r="PC32" s="22">
        <v>0.98199999999999998</v>
      </c>
      <c r="PD32" s="22">
        <v>0.97099999999999997</v>
      </c>
      <c r="PE32" s="22">
        <v>0.96299999999999997</v>
      </c>
      <c r="PF32" s="22">
        <v>0.97399999999999998</v>
      </c>
      <c r="PG32" s="22">
        <v>0.97399999999999998</v>
      </c>
      <c r="PH32" s="3">
        <v>372</v>
      </c>
      <c r="PI32" s="3">
        <v>368</v>
      </c>
      <c r="PJ32" s="3">
        <v>365</v>
      </c>
      <c r="PK32" s="3">
        <v>369</v>
      </c>
      <c r="PL32" s="3">
        <v>369</v>
      </c>
      <c r="PM32" s="3">
        <v>465</v>
      </c>
      <c r="PN32" s="22">
        <v>0.96299999999999997</v>
      </c>
      <c r="PO32" s="22">
        <v>0.92900000000000005</v>
      </c>
      <c r="PP32" s="22">
        <v>0.96299999999999997</v>
      </c>
      <c r="PQ32" s="22">
        <v>0.96099999999999997</v>
      </c>
      <c r="PR32" s="22">
        <v>0.93500000000000005</v>
      </c>
      <c r="PS32" s="22">
        <v>0.84299999999999997</v>
      </c>
      <c r="PT32" s="22">
        <v>0.95099999999999996</v>
      </c>
      <c r="PU32" s="22">
        <v>0.92500000000000004</v>
      </c>
      <c r="PV32" s="22">
        <v>0.94</v>
      </c>
      <c r="PW32" s="22">
        <v>0.91600000000000004</v>
      </c>
      <c r="PX32" s="3">
        <v>448</v>
      </c>
      <c r="PY32" s="3">
        <v>432</v>
      </c>
      <c r="PZ32" s="3">
        <v>448</v>
      </c>
      <c r="QA32" s="3">
        <v>447</v>
      </c>
      <c r="QB32" s="3">
        <v>435</v>
      </c>
      <c r="QC32" s="3">
        <v>392</v>
      </c>
      <c r="QD32" s="3">
        <v>442</v>
      </c>
      <c r="QE32" s="3">
        <v>430</v>
      </c>
      <c r="QF32" s="3">
        <v>437</v>
      </c>
      <c r="QG32" s="6">
        <v>426</v>
      </c>
      <c r="QH32" s="37">
        <v>406</v>
      </c>
      <c r="QI32" s="17">
        <v>0.95073891625615758</v>
      </c>
      <c r="QJ32" s="17">
        <v>0.23891625615763548</v>
      </c>
      <c r="QK32" s="17">
        <v>0.94581280788177335</v>
      </c>
      <c r="QL32" s="37">
        <v>386</v>
      </c>
      <c r="QM32" s="37">
        <v>97</v>
      </c>
      <c r="QN32" s="37">
        <v>384</v>
      </c>
      <c r="QO32" s="37">
        <v>430</v>
      </c>
      <c r="QP32" s="17">
        <v>0.95581395348837206</v>
      </c>
      <c r="QQ32" s="17">
        <v>0.92325581395348832</v>
      </c>
      <c r="QR32" s="17">
        <v>0.74651162790697678</v>
      </c>
      <c r="QS32" s="17">
        <v>0.94186046511627908</v>
      </c>
      <c r="QT32" s="17">
        <v>0.72790697674418603</v>
      </c>
      <c r="QU32" s="37">
        <v>411</v>
      </c>
      <c r="QV32" s="37">
        <v>397</v>
      </c>
      <c r="QW32" s="37">
        <v>321</v>
      </c>
      <c r="QX32" s="37">
        <v>405</v>
      </c>
      <c r="QY32" s="37">
        <v>313</v>
      </c>
      <c r="QZ32" s="3">
        <v>461</v>
      </c>
      <c r="RA32" s="17">
        <v>0.97396963123644253</v>
      </c>
      <c r="RB32" s="17">
        <v>0.91323210412147504</v>
      </c>
      <c r="RC32" s="17">
        <v>0.97613882863340562</v>
      </c>
      <c r="RD32" s="17">
        <v>0.97180043383947934</v>
      </c>
      <c r="RE32" s="17">
        <v>0.70281995661605201</v>
      </c>
      <c r="RF32" s="17">
        <v>0.93926247288503251</v>
      </c>
      <c r="RG32" s="17">
        <v>0.96963123644251625</v>
      </c>
      <c r="RH32" s="17">
        <v>0.92407809110629069</v>
      </c>
      <c r="RI32" s="17">
        <v>0.70281995661605201</v>
      </c>
      <c r="RJ32" s="17">
        <v>0.67462039045553146</v>
      </c>
      <c r="RK32" s="37">
        <v>449</v>
      </c>
      <c r="RL32" s="37">
        <v>421</v>
      </c>
      <c r="RM32" s="37">
        <v>450</v>
      </c>
      <c r="RN32" s="37">
        <v>448</v>
      </c>
      <c r="RO32" s="37">
        <v>324</v>
      </c>
      <c r="RP32" s="37">
        <v>433</v>
      </c>
      <c r="RQ32" s="37">
        <v>447</v>
      </c>
      <c r="RR32" s="37">
        <v>426</v>
      </c>
      <c r="RS32" s="37">
        <v>324</v>
      </c>
      <c r="RT32" s="38">
        <v>311</v>
      </c>
    </row>
    <row r="33" spans="1:488" s="3" customFormat="1" ht="12.75" x14ac:dyDescent="0.2">
      <c r="A33" s="9" t="s">
        <v>59</v>
      </c>
      <c r="B33" s="6">
        <v>28</v>
      </c>
      <c r="C33" s="9" t="s">
        <v>220</v>
      </c>
      <c r="D33" s="9" t="s">
        <v>221</v>
      </c>
      <c r="E33" s="9" t="s">
        <v>286</v>
      </c>
      <c r="F33" s="9" t="s">
        <v>286</v>
      </c>
      <c r="G33" s="9" t="s">
        <v>222</v>
      </c>
      <c r="H33" s="9" t="s">
        <v>852</v>
      </c>
      <c r="I33" s="9" t="s">
        <v>83</v>
      </c>
      <c r="J33" s="9" t="s">
        <v>270</v>
      </c>
      <c r="K33" s="9" t="s">
        <v>385</v>
      </c>
      <c r="L33" s="9" t="s">
        <v>273</v>
      </c>
      <c r="M33" s="9" t="s">
        <v>352</v>
      </c>
      <c r="N33" s="3" t="s">
        <v>83</v>
      </c>
      <c r="O33" s="9">
        <v>518940</v>
      </c>
      <c r="P33" s="9">
        <v>131753</v>
      </c>
      <c r="Q33" s="109" t="s">
        <v>286</v>
      </c>
      <c r="R33" s="109" t="s">
        <v>286</v>
      </c>
      <c r="S33" s="109" t="s">
        <v>286</v>
      </c>
      <c r="T33" s="36">
        <v>15245</v>
      </c>
      <c r="U33" s="37">
        <v>15340</v>
      </c>
      <c r="V33" s="37">
        <v>15245</v>
      </c>
      <c r="W33" s="37">
        <v>15350</v>
      </c>
      <c r="X33" s="37">
        <v>15440</v>
      </c>
      <c r="Y33" s="37">
        <v>15490</v>
      </c>
      <c r="Z33" s="37">
        <v>15465</v>
      </c>
      <c r="AA33" s="37">
        <v>15390</v>
      </c>
      <c r="AB33" s="37">
        <v>15370</v>
      </c>
      <c r="AC33" s="42">
        <v>15420</v>
      </c>
      <c r="AD33" s="42">
        <v>15306</v>
      </c>
      <c r="AE33" s="36">
        <v>950</v>
      </c>
      <c r="AF33" s="37">
        <v>945</v>
      </c>
      <c r="AG33" s="37">
        <v>965</v>
      </c>
      <c r="AH33" s="37">
        <v>935</v>
      </c>
      <c r="AI33" s="37">
        <v>925</v>
      </c>
      <c r="AJ33" s="37">
        <v>950</v>
      </c>
      <c r="AK33" s="37">
        <v>945</v>
      </c>
      <c r="AL33" s="37">
        <v>960</v>
      </c>
      <c r="AM33" s="37">
        <v>945</v>
      </c>
      <c r="AN33" s="42">
        <v>887</v>
      </c>
      <c r="AO33" s="42">
        <v>837</v>
      </c>
      <c r="AP33" s="13">
        <v>948</v>
      </c>
      <c r="AQ33" s="3">
        <v>832</v>
      </c>
      <c r="AR33" s="3">
        <v>27</v>
      </c>
      <c r="AS33" s="3">
        <v>55</v>
      </c>
      <c r="AT33" s="3">
        <v>28</v>
      </c>
      <c r="AU33" s="3">
        <v>6</v>
      </c>
      <c r="AV33" s="3">
        <v>0</v>
      </c>
      <c r="AW33" s="9">
        <v>116</v>
      </c>
      <c r="AX33" s="16">
        <v>0.87763713080168781</v>
      </c>
      <c r="AY33" s="17">
        <v>2.8481012658227847E-2</v>
      </c>
      <c r="AZ33" s="17">
        <v>5.8016877637130801E-2</v>
      </c>
      <c r="BA33" s="17">
        <v>2.9535864978902954E-2</v>
      </c>
      <c r="BB33" s="17">
        <v>6.3291139240506328E-3</v>
      </c>
      <c r="BC33" s="17">
        <v>0</v>
      </c>
      <c r="BD33" s="18">
        <v>0.12236286919831219</v>
      </c>
      <c r="BE33" s="13">
        <v>2458</v>
      </c>
      <c r="BF33" s="3">
        <v>2411</v>
      </c>
      <c r="BG33" s="3">
        <v>47</v>
      </c>
      <c r="BH33" s="3">
        <v>44</v>
      </c>
      <c r="BI33" s="3">
        <v>3</v>
      </c>
      <c r="BJ33" s="17">
        <v>0.93617021276595747</v>
      </c>
      <c r="BK33" s="18">
        <v>6.3829787234042548E-2</v>
      </c>
      <c r="BL33" s="13">
        <v>1866</v>
      </c>
      <c r="BM33" s="17">
        <v>0.732583065380493</v>
      </c>
      <c r="BN33" s="17">
        <v>0.14094319399785638</v>
      </c>
      <c r="BO33" s="18">
        <v>0.12647374062165059</v>
      </c>
      <c r="BP33" s="36">
        <v>4586</v>
      </c>
      <c r="BQ33" s="37">
        <v>288</v>
      </c>
      <c r="BR33" s="37">
        <v>313</v>
      </c>
      <c r="BS33" s="37">
        <v>136</v>
      </c>
      <c r="BT33" s="37">
        <v>3549</v>
      </c>
      <c r="BU33" s="37">
        <v>2026</v>
      </c>
      <c r="BV33" s="18">
        <v>0.1357354392892399</v>
      </c>
      <c r="BW33" s="36">
        <v>1413</v>
      </c>
      <c r="BX33" s="37">
        <v>1</v>
      </c>
      <c r="BY33" s="37">
        <v>187</v>
      </c>
      <c r="BZ33" s="37">
        <v>324</v>
      </c>
      <c r="CA33" s="37">
        <v>108</v>
      </c>
      <c r="CB33" s="38">
        <v>2033</v>
      </c>
      <c r="CC33" s="37">
        <v>741</v>
      </c>
      <c r="CD33" s="37">
        <v>659</v>
      </c>
      <c r="CE33" s="37">
        <v>81</v>
      </c>
      <c r="CF33" s="37">
        <v>82</v>
      </c>
      <c r="CG33" s="17">
        <v>0.10931174089068826</v>
      </c>
      <c r="CH33" s="93">
        <v>0.1106612685560054</v>
      </c>
      <c r="CI33" s="37">
        <v>70</v>
      </c>
      <c r="CJ33" s="37">
        <v>70</v>
      </c>
      <c r="CK33" s="37">
        <v>50</v>
      </c>
      <c r="CL33" s="37">
        <v>60</v>
      </c>
      <c r="CM33" s="42">
        <v>55</v>
      </c>
      <c r="CN33" s="42">
        <v>50</v>
      </c>
      <c r="CO33" s="36">
        <v>323</v>
      </c>
      <c r="CP33" s="37">
        <v>88</v>
      </c>
      <c r="CQ33" s="17">
        <v>0.27244582043343651</v>
      </c>
      <c r="CR33" s="38">
        <v>31</v>
      </c>
      <c r="CS33" s="37">
        <v>202</v>
      </c>
      <c r="CT33" s="37">
        <v>177</v>
      </c>
      <c r="CU33" s="37">
        <v>175</v>
      </c>
      <c r="CV33" s="37">
        <v>195</v>
      </c>
      <c r="CW33" s="37">
        <v>159</v>
      </c>
      <c r="CX33" s="526" t="s">
        <v>471</v>
      </c>
      <c r="CY33" s="568">
        <v>139</v>
      </c>
      <c r="CZ33" s="37">
        <v>11</v>
      </c>
      <c r="DA33" s="37">
        <v>6</v>
      </c>
      <c r="DB33" s="37">
        <v>1</v>
      </c>
      <c r="DC33" s="37">
        <v>5</v>
      </c>
      <c r="DD33" s="37">
        <v>2</v>
      </c>
      <c r="DE33" s="528" t="s">
        <v>471</v>
      </c>
      <c r="DF33" s="716">
        <v>1</v>
      </c>
      <c r="DG33" s="13">
        <v>5</v>
      </c>
      <c r="DH33" s="13">
        <v>9</v>
      </c>
      <c r="DI33" s="17">
        <v>5.6603773584905662E-2</v>
      </c>
      <c r="DJ33" s="17">
        <v>3.006197811963247E-2</v>
      </c>
      <c r="DK33" s="18">
        <v>0.10406515988853231</v>
      </c>
      <c r="DL33" s="425" t="s">
        <v>286</v>
      </c>
      <c r="DM33" s="258" t="s">
        <v>286</v>
      </c>
      <c r="DN33" s="258" t="s">
        <v>286</v>
      </c>
      <c r="DO33" s="258" t="s">
        <v>286</v>
      </c>
      <c r="DP33" s="337">
        <v>12</v>
      </c>
      <c r="DQ33" s="393">
        <v>8.6330935251798566E-2</v>
      </c>
      <c r="DR33" s="393">
        <v>5.0073960851651174E-2</v>
      </c>
      <c r="DS33" s="393">
        <v>0.14483764989885872</v>
      </c>
      <c r="DT33" s="13">
        <v>19</v>
      </c>
      <c r="DU33" s="18">
        <v>2.0169851380042462E-2</v>
      </c>
      <c r="DV33" s="328">
        <v>10</v>
      </c>
      <c r="DW33" s="333">
        <v>9</v>
      </c>
      <c r="DX33" s="337">
        <v>9</v>
      </c>
      <c r="DY33" s="393">
        <v>7.2636059592581348E-2</v>
      </c>
      <c r="DZ33" s="337">
        <v>7</v>
      </c>
      <c r="EA33" s="93">
        <v>8.3937250996015927E-2</v>
      </c>
      <c r="EB33" s="3">
        <v>206</v>
      </c>
      <c r="EC33" s="18">
        <v>3.2258064516129031E-2</v>
      </c>
      <c r="ED33" s="13">
        <v>90</v>
      </c>
      <c r="EE33" s="3">
        <v>100</v>
      </c>
      <c r="EF33" s="3">
        <v>110</v>
      </c>
      <c r="EG33" s="3">
        <v>115</v>
      </c>
      <c r="EH33" s="9">
        <v>95</v>
      </c>
      <c r="EI33" s="9">
        <v>70</v>
      </c>
      <c r="EJ33" s="13">
        <v>60</v>
      </c>
      <c r="EK33" s="17">
        <v>6.6666666666666666E-2</v>
      </c>
      <c r="EL33" s="17">
        <v>5.214240948427367E-2</v>
      </c>
      <c r="EM33" s="17">
        <v>8.4874384348439899E-2</v>
      </c>
      <c r="EN33" s="3">
        <v>90</v>
      </c>
      <c r="EO33" s="17">
        <v>9.7297297297297303E-2</v>
      </c>
      <c r="EP33" s="17">
        <v>7.983114770947454E-2</v>
      </c>
      <c r="EQ33" s="17">
        <v>0.11809440468146729</v>
      </c>
      <c r="ER33" s="3">
        <v>95</v>
      </c>
      <c r="ES33" s="17">
        <v>0.10160427807486631</v>
      </c>
      <c r="ET33" s="17">
        <v>8.3839775349221296E-2</v>
      </c>
      <c r="EU33" s="17">
        <v>0.1226290133898103</v>
      </c>
      <c r="EV33" s="3">
        <v>105</v>
      </c>
      <c r="EW33" s="17">
        <v>0.11413043478260869</v>
      </c>
      <c r="EX33" s="17">
        <v>9.5168419961077527E-2</v>
      </c>
      <c r="EY33" s="17">
        <v>0.13630144619287046</v>
      </c>
      <c r="EZ33" s="3">
        <v>105</v>
      </c>
      <c r="FA33" s="18">
        <v>0.11290322580645161</v>
      </c>
      <c r="FB33" s="18">
        <v>9.4135368929881461E-2</v>
      </c>
      <c r="FC33" s="18">
        <v>0.13485581238985217</v>
      </c>
      <c r="FD33" s="337">
        <v>80</v>
      </c>
      <c r="FE33" s="18">
        <v>0.1</v>
      </c>
      <c r="FF33" s="18">
        <v>8.1084815650398406E-2</v>
      </c>
      <c r="FG33" s="393">
        <v>0.12273828531414242</v>
      </c>
      <c r="FH33" s="425" t="s">
        <v>286</v>
      </c>
      <c r="FI33" s="258" t="s">
        <v>286</v>
      </c>
      <c r="FJ33" s="258" t="s">
        <v>286</v>
      </c>
      <c r="FK33" s="258" t="s">
        <v>286</v>
      </c>
      <c r="FL33" s="36">
        <v>225</v>
      </c>
      <c r="FM33" s="18">
        <v>7.3529411764705885E-2</v>
      </c>
      <c r="FN33" s="42">
        <v>250</v>
      </c>
      <c r="FO33" s="18">
        <v>8.1300813008130079E-2</v>
      </c>
      <c r="FP33" s="42">
        <v>270</v>
      </c>
      <c r="FQ33" s="18">
        <v>8.8669950738916259E-2</v>
      </c>
      <c r="FR33" s="42">
        <v>265</v>
      </c>
      <c r="FS33" s="18">
        <v>8.7314662273476118E-2</v>
      </c>
      <c r="FT33" s="42">
        <v>240</v>
      </c>
      <c r="FU33" s="18">
        <v>8.067226890756303E-2</v>
      </c>
      <c r="FV33" s="42">
        <v>235</v>
      </c>
      <c r="FW33" s="393">
        <v>8.1597222222222224E-2</v>
      </c>
      <c r="FX33" s="114" t="s">
        <v>286</v>
      </c>
      <c r="FY33" s="259" t="s">
        <v>286</v>
      </c>
      <c r="FZ33" s="3">
        <v>176</v>
      </c>
      <c r="GA33" s="3">
        <v>3</v>
      </c>
      <c r="GB33" s="3">
        <v>173</v>
      </c>
      <c r="GC33" s="17">
        <v>0.98295454545454541</v>
      </c>
      <c r="GD33" s="3">
        <v>78</v>
      </c>
      <c r="GE33" s="3">
        <v>107</v>
      </c>
      <c r="GF33" s="17">
        <v>0.45086705202312138</v>
      </c>
      <c r="GG33" s="17">
        <v>0.61849710982658956</v>
      </c>
      <c r="GH33" s="17">
        <v>0.37858899286391479</v>
      </c>
      <c r="GI33" s="17">
        <v>0.52527978009448417</v>
      </c>
      <c r="GJ33" s="17">
        <v>0.54428186792058009</v>
      </c>
      <c r="GK33" s="93">
        <v>0.68756403259151666</v>
      </c>
      <c r="GL33" s="337">
        <v>131</v>
      </c>
      <c r="GM33" s="337">
        <v>50</v>
      </c>
      <c r="GN33" s="337">
        <v>22</v>
      </c>
      <c r="GO33" s="337">
        <v>72</v>
      </c>
      <c r="GP33" s="393">
        <v>0.38167938931297712</v>
      </c>
      <c r="GQ33" s="393">
        <v>0.54961832061068705</v>
      </c>
      <c r="GR33" s="393">
        <v>0.30298494935783832</v>
      </c>
      <c r="GS33" s="393">
        <v>0.46711543170358027</v>
      </c>
      <c r="GT33" s="393">
        <v>0.46421644795146721</v>
      </c>
      <c r="GU33" s="93">
        <v>0.63219306966793787</v>
      </c>
      <c r="GV33" s="42">
        <v>175</v>
      </c>
      <c r="GW33" s="42">
        <v>18</v>
      </c>
      <c r="GX33" s="42">
        <v>157</v>
      </c>
      <c r="GY33" s="393">
        <f t="shared" si="2"/>
        <v>0.89714285714285713</v>
      </c>
      <c r="GZ33" s="42">
        <v>63</v>
      </c>
      <c r="HA33" s="42">
        <v>26</v>
      </c>
      <c r="HB33" s="42">
        <v>89</v>
      </c>
      <c r="HC33" s="393">
        <v>0.40127388535031849</v>
      </c>
      <c r="HD33" s="393">
        <v>0.56687898089171973</v>
      </c>
      <c r="HE33" s="393">
        <v>0.32784494751489784</v>
      </c>
      <c r="HF33" s="393">
        <v>0.47941867576174274</v>
      </c>
      <c r="HG33" s="393">
        <v>0.4886879222136678</v>
      </c>
      <c r="HH33" s="93">
        <v>0.64187542976022083</v>
      </c>
      <c r="HI33" s="696">
        <v>144</v>
      </c>
      <c r="HJ33" s="696">
        <v>10</v>
      </c>
      <c r="HK33" s="696">
        <v>134</v>
      </c>
      <c r="HL33" s="697">
        <v>0.93055555555555558</v>
      </c>
      <c r="HM33" s="696">
        <v>60</v>
      </c>
      <c r="HN33" s="696">
        <v>22</v>
      </c>
      <c r="HO33" s="696">
        <v>82</v>
      </c>
      <c r="HP33" s="697">
        <v>0.44776119402985076</v>
      </c>
      <c r="HQ33" s="697">
        <v>0.61194029850746268</v>
      </c>
      <c r="HR33" s="697">
        <v>0.36619149680229973</v>
      </c>
      <c r="HS33" s="697">
        <v>0.532242543871839</v>
      </c>
      <c r="HT33" s="697">
        <v>0.5274100524412394</v>
      </c>
      <c r="HU33" s="698">
        <v>0.69023128897132047</v>
      </c>
      <c r="HV33" s="3">
        <v>156</v>
      </c>
      <c r="HW33" s="3">
        <v>13</v>
      </c>
      <c r="HX33" s="17">
        <v>8.3333333333333329E-2</v>
      </c>
      <c r="HY33" s="17">
        <v>4.9345650854239163E-2</v>
      </c>
      <c r="HZ33" s="17">
        <v>0.13734845867693996</v>
      </c>
      <c r="IA33" s="267" t="s">
        <v>707</v>
      </c>
      <c r="IB33" s="3">
        <v>181</v>
      </c>
      <c r="IC33" s="3">
        <v>10</v>
      </c>
      <c r="ID33" s="17">
        <v>5.5248618784530384E-2</v>
      </c>
      <c r="IE33" s="17">
        <v>3.0283475638943135E-2</v>
      </c>
      <c r="IF33" s="17">
        <v>9.8699810755813064E-2</v>
      </c>
      <c r="IG33" s="3" t="s">
        <v>707</v>
      </c>
      <c r="IH33" s="3">
        <v>108</v>
      </c>
      <c r="II33" s="3">
        <v>12</v>
      </c>
      <c r="IJ33" s="17">
        <v>0.1111111111111111</v>
      </c>
      <c r="IK33" s="17">
        <v>6.4712669289837363E-2</v>
      </c>
      <c r="IL33" s="17">
        <v>0.18422416606859585</v>
      </c>
      <c r="IM33" s="3" t="s">
        <v>707</v>
      </c>
      <c r="IN33" s="3">
        <v>153</v>
      </c>
      <c r="IO33" s="3">
        <v>15</v>
      </c>
      <c r="IP33" s="17">
        <v>9.8039215686274508E-2</v>
      </c>
      <c r="IQ33" s="17">
        <v>6.0315942800075413E-2</v>
      </c>
      <c r="IR33" s="17">
        <v>0.15545263698202605</v>
      </c>
      <c r="IS33" s="3" t="s">
        <v>707</v>
      </c>
      <c r="IT33" s="3">
        <v>91</v>
      </c>
      <c r="IU33" s="3">
        <v>10</v>
      </c>
      <c r="IV33" s="17">
        <v>0.10989010989010989</v>
      </c>
      <c r="IW33" s="17">
        <v>6.079473021268491E-2</v>
      </c>
      <c r="IX33" s="17">
        <v>0.19058751461094686</v>
      </c>
      <c r="IY33" s="9" t="s">
        <v>707</v>
      </c>
      <c r="IZ33" s="9">
        <v>148</v>
      </c>
      <c r="JA33" s="9">
        <v>5</v>
      </c>
      <c r="JB33" s="393">
        <v>3.3783783783783786E-2</v>
      </c>
      <c r="JC33" s="393">
        <v>1.4515094986352797E-2</v>
      </c>
      <c r="JD33" s="393">
        <v>7.664221427685157E-2</v>
      </c>
      <c r="JE33" s="9" t="str">
        <f t="shared" si="0"/>
        <v>Sig better than Eng.</v>
      </c>
      <c r="JF33" s="9">
        <v>162</v>
      </c>
      <c r="JG33" s="109">
        <v>8</v>
      </c>
      <c r="JH33" s="258">
        <v>4.9382716049382713E-2</v>
      </c>
      <c r="JI33" s="258">
        <v>2.5232491474310545E-2</v>
      </c>
      <c r="JJ33" s="258">
        <v>9.4408634223615673E-2</v>
      </c>
      <c r="JK33" s="662" t="str">
        <f t="shared" si="3"/>
        <v>No Sig diff</v>
      </c>
      <c r="JL33" s="3">
        <v>171</v>
      </c>
      <c r="JM33" s="3">
        <v>23</v>
      </c>
      <c r="JN33" s="17">
        <v>0.13450292397660818</v>
      </c>
      <c r="JO33" s="17">
        <v>9.1326032311684457E-2</v>
      </c>
      <c r="JP33" s="17">
        <v>0.19374055977050725</v>
      </c>
      <c r="JQ33" s="3" t="s">
        <v>707</v>
      </c>
      <c r="JR33" s="3">
        <v>177</v>
      </c>
      <c r="JS33" s="3">
        <v>23</v>
      </c>
      <c r="JT33" s="17">
        <v>0.12994350282485875</v>
      </c>
      <c r="JU33" s="17">
        <v>8.8171749186438317E-2</v>
      </c>
      <c r="JV33" s="17">
        <v>0.18743683717269055</v>
      </c>
      <c r="JW33" s="3" t="s">
        <v>708</v>
      </c>
      <c r="JX33" s="3">
        <v>183</v>
      </c>
      <c r="JY33" s="3">
        <v>21</v>
      </c>
      <c r="JZ33" s="17">
        <v>0.11475409836065574</v>
      </c>
      <c r="KA33" s="17">
        <v>7.6292257179258957E-2</v>
      </c>
      <c r="KB33" s="17">
        <v>0.16905724453217186</v>
      </c>
      <c r="KC33" s="3" t="s">
        <v>708</v>
      </c>
      <c r="KD33" s="3">
        <v>157</v>
      </c>
      <c r="KE33" s="3">
        <v>16</v>
      </c>
      <c r="KF33" s="17">
        <v>0.10191082802547771</v>
      </c>
      <c r="KG33" s="17">
        <v>6.3707629183896414E-2</v>
      </c>
      <c r="KH33" s="17">
        <v>0.15912956144771889</v>
      </c>
      <c r="KI33" s="3" t="s">
        <v>708</v>
      </c>
      <c r="KJ33" s="3">
        <v>171</v>
      </c>
      <c r="KK33" s="3">
        <v>24</v>
      </c>
      <c r="KL33" s="17">
        <v>0.14035087719298245</v>
      </c>
      <c r="KM33" s="17">
        <v>9.6163341271534919E-2</v>
      </c>
      <c r="KN33" s="17">
        <v>0.20034218533734166</v>
      </c>
      <c r="KO33" s="465" t="s">
        <v>707</v>
      </c>
      <c r="KP33" s="465">
        <v>164</v>
      </c>
      <c r="KQ33" s="465">
        <v>17</v>
      </c>
      <c r="KR33" s="393">
        <v>0.10365853658536585</v>
      </c>
      <c r="KS33" s="393">
        <v>6.573150818853768E-2</v>
      </c>
      <c r="KT33" s="393">
        <v>0.15972803611344755</v>
      </c>
      <c r="KU33" s="465" t="s">
        <v>708</v>
      </c>
      <c r="KV33" s="465">
        <v>156</v>
      </c>
      <c r="KW33" s="465">
        <v>13</v>
      </c>
      <c r="KX33" s="393">
        <v>8.3333333333333329E-2</v>
      </c>
      <c r="KY33" s="393">
        <v>4.9345650854239156E-2</v>
      </c>
      <c r="KZ33" s="393">
        <v>0.13734845867693993</v>
      </c>
      <c r="LA33" s="660" t="str">
        <f t="shared" si="4"/>
        <v>Sig better than Eng.</v>
      </c>
      <c r="LB33" s="3">
        <v>180</v>
      </c>
      <c r="LC33" s="3">
        <v>111</v>
      </c>
      <c r="LD33" s="17">
        <v>0.6166666666666667</v>
      </c>
      <c r="LE33" s="17">
        <v>0.54390527473114403</v>
      </c>
      <c r="LF33" s="17">
        <v>0.68455244242047963</v>
      </c>
      <c r="LG33" s="3">
        <v>180</v>
      </c>
      <c r="LH33" s="3">
        <v>34</v>
      </c>
      <c r="LI33" s="3">
        <v>36</v>
      </c>
      <c r="LJ33" s="293">
        <v>26.111111111111114</v>
      </c>
      <c r="LK33" s="17">
        <v>0.23202614379084957</v>
      </c>
      <c r="LL33" s="3">
        <v>216</v>
      </c>
      <c r="LM33" s="3">
        <v>130</v>
      </c>
      <c r="LN33" s="17">
        <v>0.60185185185185186</v>
      </c>
      <c r="LO33" s="17">
        <v>0.53533927843598739</v>
      </c>
      <c r="LP33" s="17">
        <v>0.66480495384863836</v>
      </c>
      <c r="LQ33" s="3">
        <v>216</v>
      </c>
      <c r="LR33" s="3">
        <v>34</v>
      </c>
      <c r="LS33" s="3">
        <v>43</v>
      </c>
      <c r="LT33" s="293">
        <v>24.302325581395348</v>
      </c>
      <c r="LU33" s="18">
        <v>0.28522571819425446</v>
      </c>
      <c r="LV33" s="42">
        <v>169</v>
      </c>
      <c r="LW33" s="42">
        <v>112</v>
      </c>
      <c r="LX33" s="18">
        <v>0.66272189349112431</v>
      </c>
      <c r="LY33" s="18">
        <v>0.58852970591911236</v>
      </c>
      <c r="LZ33" s="18">
        <v>0.72968098482179977</v>
      </c>
      <c r="MA33" s="337">
        <v>34</v>
      </c>
      <c r="MB33" s="337">
        <v>33</v>
      </c>
      <c r="MC33" s="294">
        <v>26.6</v>
      </c>
      <c r="MD33" s="393">
        <v>0.218</v>
      </c>
      <c r="ME33" s="337">
        <v>172</v>
      </c>
      <c r="MF33" s="337">
        <v>126</v>
      </c>
      <c r="MG33" s="393">
        <v>0.73255813953488369</v>
      </c>
      <c r="MH33" s="393">
        <v>0.66185876063659088</v>
      </c>
      <c r="MI33" s="393">
        <v>0.79309651860489983</v>
      </c>
      <c r="MJ33" s="337">
        <v>34</v>
      </c>
      <c r="MK33" s="337">
        <v>34</v>
      </c>
      <c r="ML33" s="294">
        <v>27.235294117647058</v>
      </c>
      <c r="MM33" s="93">
        <v>0.198961937716263</v>
      </c>
      <c r="MN33" s="17">
        <v>0.96952380952380945</v>
      </c>
      <c r="MO33" s="17">
        <v>3.047619047619048E-2</v>
      </c>
      <c r="MP33" s="17">
        <v>1.3974386294255415E-2</v>
      </c>
      <c r="MQ33" s="17">
        <v>8.8247958700979443E-2</v>
      </c>
      <c r="MR33" s="17">
        <v>0.96285714285714286</v>
      </c>
      <c r="MS33" s="17">
        <v>3.7142857142857144E-2</v>
      </c>
      <c r="MT33" s="17">
        <v>1.9216974525702958E-2</v>
      </c>
      <c r="MU33" s="17">
        <v>0.10027032537346971</v>
      </c>
      <c r="MV33" s="17">
        <v>0.94946428571428565</v>
      </c>
      <c r="MW33" s="17">
        <v>5.0535714285714281E-2</v>
      </c>
      <c r="MX33" s="17">
        <v>3.0601532803567904E-2</v>
      </c>
      <c r="MY33" s="17">
        <v>0.12341567690348033</v>
      </c>
      <c r="MZ33" s="17">
        <v>0.8962286324786326</v>
      </c>
      <c r="NA33" s="17">
        <v>0.10377136752136751</v>
      </c>
      <c r="NB33" s="17">
        <v>6.3513981388531537E-2</v>
      </c>
      <c r="NC33" s="93">
        <v>0.18105039578114984</v>
      </c>
      <c r="ND33" s="337">
        <v>6</v>
      </c>
      <c r="NE33" s="337">
        <v>51</v>
      </c>
      <c r="NF33" s="393">
        <v>0.11764705882352941</v>
      </c>
      <c r="NG33" s="393">
        <v>5.5050736779181757E-2</v>
      </c>
      <c r="NH33" s="393">
        <v>0.2338084431432246</v>
      </c>
      <c r="NI33" s="337">
        <v>4</v>
      </c>
      <c r="NJ33" s="337">
        <v>51</v>
      </c>
      <c r="NK33" s="393">
        <v>7.8431372549019607E-2</v>
      </c>
      <c r="NL33" s="393">
        <v>3.092219678848921E-2</v>
      </c>
      <c r="NM33" s="393">
        <v>0.18499946312595883</v>
      </c>
      <c r="NN33" s="337">
        <v>5</v>
      </c>
      <c r="NO33" s="337">
        <v>51</v>
      </c>
      <c r="NP33" s="393">
        <v>9.8039215686274508E-2</v>
      </c>
      <c r="NQ33" s="393">
        <v>4.2608073107618633E-2</v>
      </c>
      <c r="NR33" s="393">
        <v>0.20978234681080857</v>
      </c>
      <c r="NS33" s="337">
        <v>10</v>
      </c>
      <c r="NT33" s="337">
        <v>50</v>
      </c>
      <c r="NU33" s="393">
        <v>0.2</v>
      </c>
      <c r="NV33" s="393">
        <v>0.11243750015776111</v>
      </c>
      <c r="NW33" s="93">
        <v>0.33037105932225408</v>
      </c>
      <c r="NX33" s="3">
        <v>45</v>
      </c>
      <c r="NY33" s="3">
        <v>44</v>
      </c>
      <c r="NZ33" s="3">
        <v>43</v>
      </c>
      <c r="OA33" s="3">
        <v>43</v>
      </c>
      <c r="OB33" s="3">
        <v>44</v>
      </c>
      <c r="OC33" s="3">
        <v>36</v>
      </c>
      <c r="OD33" s="3">
        <v>33</v>
      </c>
      <c r="OE33" s="3">
        <v>32</v>
      </c>
      <c r="OF33" s="3">
        <v>35</v>
      </c>
      <c r="OG33" s="3">
        <v>32</v>
      </c>
      <c r="OH33" s="3">
        <v>33</v>
      </c>
      <c r="OI33" s="3">
        <v>36</v>
      </c>
      <c r="OJ33" s="3">
        <v>34</v>
      </c>
      <c r="OK33" s="3">
        <v>34</v>
      </c>
      <c r="OL33" s="3">
        <v>30</v>
      </c>
      <c r="OM33" s="3">
        <v>29</v>
      </c>
      <c r="ON33" s="3">
        <v>29</v>
      </c>
      <c r="OO33" s="3">
        <v>30</v>
      </c>
      <c r="OP33" s="3">
        <v>32</v>
      </c>
      <c r="OQ33" s="3">
        <v>30</v>
      </c>
      <c r="OR33" s="3">
        <v>33</v>
      </c>
      <c r="OS33" s="3">
        <v>31</v>
      </c>
      <c r="OT33" s="6">
        <v>31</v>
      </c>
      <c r="OU33" s="3">
        <v>162</v>
      </c>
      <c r="OV33" s="22">
        <v>0.98799999999999999</v>
      </c>
      <c r="OW33" s="22">
        <v>0</v>
      </c>
      <c r="OX33" s="22">
        <v>0.98799999999999999</v>
      </c>
      <c r="OY33" s="3">
        <v>160</v>
      </c>
      <c r="OZ33" s="3">
        <v>0</v>
      </c>
      <c r="PA33" s="3">
        <v>160</v>
      </c>
      <c r="PB33" s="3">
        <v>157</v>
      </c>
      <c r="PC33" s="22">
        <v>0.93600000000000005</v>
      </c>
      <c r="PD33" s="22">
        <v>0.94299999999999995</v>
      </c>
      <c r="PE33" s="22">
        <v>0.93</v>
      </c>
      <c r="PF33" s="22">
        <v>0.94899999999999995</v>
      </c>
      <c r="PG33" s="22">
        <v>0.94299999999999995</v>
      </c>
      <c r="PH33" s="3">
        <v>147</v>
      </c>
      <c r="PI33" s="3">
        <v>148</v>
      </c>
      <c r="PJ33" s="3">
        <v>146</v>
      </c>
      <c r="PK33" s="3">
        <v>149</v>
      </c>
      <c r="PL33" s="3">
        <v>148</v>
      </c>
      <c r="PM33" s="3">
        <v>195</v>
      </c>
      <c r="PN33" s="22">
        <v>0.97399999999999998</v>
      </c>
      <c r="PO33" s="22">
        <v>0.96899999999999997</v>
      </c>
      <c r="PP33" s="22">
        <v>0.97399999999999998</v>
      </c>
      <c r="PQ33" s="22">
        <v>0.97399999999999998</v>
      </c>
      <c r="PR33" s="22">
        <v>0.96899999999999997</v>
      </c>
      <c r="PS33" s="22">
        <v>0.73799999999999999</v>
      </c>
      <c r="PT33" s="22">
        <v>0.94399999999999995</v>
      </c>
      <c r="PU33" s="22">
        <v>0.96899999999999997</v>
      </c>
      <c r="PV33" s="22">
        <v>0.96899999999999997</v>
      </c>
      <c r="PW33" s="22">
        <v>0.93799999999999994</v>
      </c>
      <c r="PX33" s="3">
        <v>190</v>
      </c>
      <c r="PY33" s="3">
        <v>189</v>
      </c>
      <c r="PZ33" s="3">
        <v>190</v>
      </c>
      <c r="QA33" s="3">
        <v>190</v>
      </c>
      <c r="QB33" s="3">
        <v>189</v>
      </c>
      <c r="QC33" s="3">
        <v>144</v>
      </c>
      <c r="QD33" s="3">
        <v>184</v>
      </c>
      <c r="QE33" s="3">
        <v>189</v>
      </c>
      <c r="QF33" s="3">
        <v>189</v>
      </c>
      <c r="QG33" s="6">
        <v>183</v>
      </c>
      <c r="QH33" s="37">
        <v>152</v>
      </c>
      <c r="QI33" s="17">
        <v>0.97368421052631582</v>
      </c>
      <c r="QJ33" s="17">
        <v>0.20394736842105263</v>
      </c>
      <c r="QK33" s="17">
        <v>0.97368421052631582</v>
      </c>
      <c r="QL33" s="37">
        <v>148</v>
      </c>
      <c r="QM33" s="37">
        <v>31</v>
      </c>
      <c r="QN33" s="37">
        <v>148</v>
      </c>
      <c r="QO33" s="37">
        <v>177</v>
      </c>
      <c r="QP33" s="17">
        <v>0.97740112994350281</v>
      </c>
      <c r="QQ33" s="17">
        <v>0.97175141242937857</v>
      </c>
      <c r="QR33" s="17">
        <v>0.75141242937853103</v>
      </c>
      <c r="QS33" s="17">
        <v>0.97175141242937857</v>
      </c>
      <c r="QT33" s="17">
        <v>0.76271186440677963</v>
      </c>
      <c r="QU33" s="37">
        <v>173</v>
      </c>
      <c r="QV33" s="37">
        <v>172</v>
      </c>
      <c r="QW33" s="37">
        <v>133</v>
      </c>
      <c r="QX33" s="37">
        <v>172</v>
      </c>
      <c r="QY33" s="37">
        <v>135</v>
      </c>
      <c r="QZ33" s="3">
        <v>165</v>
      </c>
      <c r="RA33" s="17">
        <v>0.9939393939393939</v>
      </c>
      <c r="RB33" s="17">
        <v>0.96363636363636362</v>
      </c>
      <c r="RC33" s="17">
        <v>0.9939393939393939</v>
      </c>
      <c r="RD33" s="17">
        <v>0.9939393939393939</v>
      </c>
      <c r="RE33" s="17">
        <v>0.73939393939393938</v>
      </c>
      <c r="RF33" s="17">
        <v>0.90909090909090906</v>
      </c>
      <c r="RG33" s="17">
        <v>0.88484848484848488</v>
      </c>
      <c r="RH33" s="17">
        <v>0.95151515151515154</v>
      </c>
      <c r="RI33" s="17">
        <v>0.73939393939393938</v>
      </c>
      <c r="RJ33" s="17">
        <v>0.65454545454545454</v>
      </c>
      <c r="RK33" s="37">
        <v>164</v>
      </c>
      <c r="RL33" s="37">
        <v>159</v>
      </c>
      <c r="RM33" s="37">
        <v>164</v>
      </c>
      <c r="RN33" s="37">
        <v>164</v>
      </c>
      <c r="RO33" s="37">
        <v>122</v>
      </c>
      <c r="RP33" s="37">
        <v>150</v>
      </c>
      <c r="RQ33" s="37">
        <v>146</v>
      </c>
      <c r="RR33" s="37">
        <v>157</v>
      </c>
      <c r="RS33" s="37">
        <v>122</v>
      </c>
      <c r="RT33" s="38">
        <v>108</v>
      </c>
    </row>
    <row r="34" spans="1:488" s="3" customFormat="1" ht="12.75" x14ac:dyDescent="0.2">
      <c r="A34" s="9" t="s">
        <v>65</v>
      </c>
      <c r="B34" s="6">
        <v>35</v>
      </c>
      <c r="C34" s="9" t="s">
        <v>238</v>
      </c>
      <c r="D34" s="9" t="s">
        <v>239</v>
      </c>
      <c r="E34" s="9" t="s">
        <v>286</v>
      </c>
      <c r="F34" s="9" t="s">
        <v>286</v>
      </c>
      <c r="G34" s="9" t="s">
        <v>240</v>
      </c>
      <c r="H34" s="9" t="s">
        <v>80</v>
      </c>
      <c r="I34" s="9" t="s">
        <v>80</v>
      </c>
      <c r="J34" s="9" t="s">
        <v>270</v>
      </c>
      <c r="K34" s="9" t="s">
        <v>388</v>
      </c>
      <c r="L34" s="9" t="s">
        <v>275</v>
      </c>
      <c r="M34" s="9" t="s">
        <v>358</v>
      </c>
      <c r="N34" s="3" t="s">
        <v>80</v>
      </c>
      <c r="O34" s="9">
        <v>526677</v>
      </c>
      <c r="P34" s="9">
        <v>123233</v>
      </c>
      <c r="Q34" s="109">
        <v>22585</v>
      </c>
      <c r="R34" s="109" t="s">
        <v>286</v>
      </c>
      <c r="S34" s="310" t="s">
        <v>797</v>
      </c>
      <c r="T34" s="36">
        <v>18585</v>
      </c>
      <c r="U34" s="37">
        <v>19055</v>
      </c>
      <c r="V34" s="37">
        <v>19605</v>
      </c>
      <c r="W34" s="37">
        <v>19925</v>
      </c>
      <c r="X34" s="37">
        <v>20205</v>
      </c>
      <c r="Y34" s="37">
        <v>20375</v>
      </c>
      <c r="Z34" s="37">
        <v>20565</v>
      </c>
      <c r="AA34" s="37">
        <v>20850</v>
      </c>
      <c r="AB34" s="37">
        <v>21065</v>
      </c>
      <c r="AC34" s="42">
        <v>21321</v>
      </c>
      <c r="AD34" s="42">
        <v>21806</v>
      </c>
      <c r="AE34" s="36">
        <v>1105</v>
      </c>
      <c r="AF34" s="37">
        <v>1200</v>
      </c>
      <c r="AG34" s="37">
        <v>1320</v>
      </c>
      <c r="AH34" s="37">
        <v>1365</v>
      </c>
      <c r="AI34" s="37">
        <v>1365</v>
      </c>
      <c r="AJ34" s="37">
        <v>1320</v>
      </c>
      <c r="AK34" s="37">
        <v>1305</v>
      </c>
      <c r="AL34" s="37">
        <v>1385</v>
      </c>
      <c r="AM34" s="37">
        <v>1420</v>
      </c>
      <c r="AN34" s="42">
        <v>1410</v>
      </c>
      <c r="AO34" s="42">
        <v>1419</v>
      </c>
      <c r="AP34" s="13">
        <v>1323</v>
      </c>
      <c r="AQ34" s="3">
        <v>1181</v>
      </c>
      <c r="AR34" s="3">
        <v>55</v>
      </c>
      <c r="AS34" s="3">
        <v>44</v>
      </c>
      <c r="AT34" s="3">
        <v>34</v>
      </c>
      <c r="AU34" s="3">
        <v>9</v>
      </c>
      <c r="AV34" s="3">
        <v>0</v>
      </c>
      <c r="AW34" s="9">
        <v>142</v>
      </c>
      <c r="AX34" s="16">
        <v>0.89266817838246415</v>
      </c>
      <c r="AY34" s="17">
        <v>4.1572184429327287E-2</v>
      </c>
      <c r="AZ34" s="17">
        <v>3.3257747543461828E-2</v>
      </c>
      <c r="BA34" s="17">
        <v>2.5699168556311415E-2</v>
      </c>
      <c r="BB34" s="17">
        <v>6.8027210884353739E-3</v>
      </c>
      <c r="BC34" s="17">
        <v>0</v>
      </c>
      <c r="BD34" s="18">
        <v>0.10733182161753585</v>
      </c>
      <c r="BE34" s="13">
        <v>3289</v>
      </c>
      <c r="BF34" s="3">
        <v>3245</v>
      </c>
      <c r="BG34" s="3">
        <v>44</v>
      </c>
      <c r="BH34" s="3">
        <v>36</v>
      </c>
      <c r="BI34" s="3">
        <v>8</v>
      </c>
      <c r="BJ34" s="17">
        <v>0.81818181818181823</v>
      </c>
      <c r="BK34" s="18">
        <v>0.18181818181818182</v>
      </c>
      <c r="BL34" s="13">
        <v>2612</v>
      </c>
      <c r="BM34" s="17">
        <v>0.78024502297090348</v>
      </c>
      <c r="BN34" s="17">
        <v>7.2358346094946402E-2</v>
      </c>
      <c r="BO34" s="18">
        <v>0.14739663093415006</v>
      </c>
      <c r="BP34" s="36">
        <v>6027</v>
      </c>
      <c r="BQ34" s="37">
        <v>347</v>
      </c>
      <c r="BR34" s="37">
        <v>472</v>
      </c>
      <c r="BS34" s="37">
        <v>203</v>
      </c>
      <c r="BT34" s="37">
        <v>4544</v>
      </c>
      <c r="BU34" s="37">
        <v>2468</v>
      </c>
      <c r="BV34" s="18">
        <v>0.15802269043760131</v>
      </c>
      <c r="BW34" s="36">
        <v>1817</v>
      </c>
      <c r="BX34" s="37">
        <v>1</v>
      </c>
      <c r="BY34" s="37">
        <v>249</v>
      </c>
      <c r="BZ34" s="37">
        <v>304</v>
      </c>
      <c r="CA34" s="37">
        <v>108</v>
      </c>
      <c r="CB34" s="38">
        <v>2479</v>
      </c>
      <c r="CC34" s="37">
        <v>1023</v>
      </c>
      <c r="CD34" s="37">
        <v>950</v>
      </c>
      <c r="CE34" s="37">
        <v>71</v>
      </c>
      <c r="CF34" s="37">
        <v>73</v>
      </c>
      <c r="CG34" s="17">
        <v>6.9403714565004881E-2</v>
      </c>
      <c r="CH34" s="93">
        <v>7.1358748778103623E-2</v>
      </c>
      <c r="CI34" s="37">
        <v>55</v>
      </c>
      <c r="CJ34" s="37">
        <v>45</v>
      </c>
      <c r="CK34" s="37">
        <v>45</v>
      </c>
      <c r="CL34" s="37">
        <v>45</v>
      </c>
      <c r="CM34" s="42">
        <v>25</v>
      </c>
      <c r="CN34" s="42">
        <v>35</v>
      </c>
      <c r="CO34" s="36">
        <v>304</v>
      </c>
      <c r="CP34" s="37">
        <v>73</v>
      </c>
      <c r="CQ34" s="17">
        <v>0.24013157894736842</v>
      </c>
      <c r="CR34" s="38">
        <v>32</v>
      </c>
      <c r="CS34" s="37">
        <v>228</v>
      </c>
      <c r="CT34" s="37">
        <v>212</v>
      </c>
      <c r="CU34" s="37">
        <v>237</v>
      </c>
      <c r="CV34" s="37">
        <v>258</v>
      </c>
      <c r="CW34" s="37">
        <v>230</v>
      </c>
      <c r="CX34" s="526" t="s">
        <v>471</v>
      </c>
      <c r="CY34" s="568">
        <v>233</v>
      </c>
      <c r="CZ34" s="37">
        <v>3</v>
      </c>
      <c r="DA34" s="37">
        <v>5</v>
      </c>
      <c r="DB34" s="37">
        <v>3</v>
      </c>
      <c r="DC34" s="37">
        <v>3</v>
      </c>
      <c r="DD34" s="37">
        <v>3</v>
      </c>
      <c r="DE34" s="528" t="s">
        <v>471</v>
      </c>
      <c r="DF34" s="716">
        <v>5</v>
      </c>
      <c r="DG34" s="13">
        <v>5</v>
      </c>
      <c r="DH34" s="13">
        <v>8</v>
      </c>
      <c r="DI34" s="17">
        <v>3.4782608695652174E-2</v>
      </c>
      <c r="DJ34" s="17">
        <v>1.7728315594474731E-2</v>
      </c>
      <c r="DK34" s="18">
        <v>6.7121731615965546E-2</v>
      </c>
      <c r="DL34" s="425" t="s">
        <v>286</v>
      </c>
      <c r="DM34" s="258" t="s">
        <v>286</v>
      </c>
      <c r="DN34" s="258" t="s">
        <v>286</v>
      </c>
      <c r="DO34" s="258" t="s">
        <v>286</v>
      </c>
      <c r="DP34" s="337">
        <v>12</v>
      </c>
      <c r="DQ34" s="393">
        <v>5.1502145922746781E-2</v>
      </c>
      <c r="DR34" s="393">
        <v>2.9703623708960587E-2</v>
      </c>
      <c r="DS34" s="393">
        <v>8.7849523275208646E-2</v>
      </c>
      <c r="DT34" s="13">
        <v>20</v>
      </c>
      <c r="DU34" s="18">
        <v>1.5117157974300832E-2</v>
      </c>
      <c r="DV34" s="328">
        <v>10</v>
      </c>
      <c r="DW34" s="333">
        <v>10</v>
      </c>
      <c r="DX34" s="337">
        <v>10</v>
      </c>
      <c r="DY34" s="393">
        <v>4.7425164890918317E-2</v>
      </c>
      <c r="DZ34" s="337">
        <v>10</v>
      </c>
      <c r="EA34" s="93">
        <v>4.8301850516702716E-2</v>
      </c>
      <c r="EB34" s="3">
        <v>153</v>
      </c>
      <c r="EC34" s="18">
        <v>1.7888460189407224E-2</v>
      </c>
      <c r="ED34" s="13">
        <v>50</v>
      </c>
      <c r="EE34" s="3">
        <v>75</v>
      </c>
      <c r="EF34" s="3">
        <v>80</v>
      </c>
      <c r="EG34" s="3">
        <v>65</v>
      </c>
      <c r="EH34" s="9">
        <v>70</v>
      </c>
      <c r="EI34" s="9">
        <v>40</v>
      </c>
      <c r="EJ34" s="13">
        <v>55</v>
      </c>
      <c r="EK34" s="17">
        <v>4.3999999999999997E-2</v>
      </c>
      <c r="EL34" s="17">
        <v>3.3959175157897425E-2</v>
      </c>
      <c r="EM34" s="17">
        <v>5.6834966334096466E-2</v>
      </c>
      <c r="EN34" s="3">
        <v>55</v>
      </c>
      <c r="EO34" s="17">
        <v>4.3999999999999997E-2</v>
      </c>
      <c r="EP34" s="17">
        <v>3.3959175157897425E-2</v>
      </c>
      <c r="EQ34" s="17">
        <v>5.6834966334096466E-2</v>
      </c>
      <c r="ER34" s="3">
        <v>60</v>
      </c>
      <c r="ES34" s="17">
        <v>4.9792531120331947E-2</v>
      </c>
      <c r="ET34" s="17">
        <v>3.8878205957901521E-2</v>
      </c>
      <c r="EU34" s="17">
        <v>6.3568196684103975E-2</v>
      </c>
      <c r="EV34" s="3">
        <v>55</v>
      </c>
      <c r="EW34" s="17">
        <v>4.6025104602510462E-2</v>
      </c>
      <c r="EX34" s="17">
        <v>3.552959099171818E-2</v>
      </c>
      <c r="EY34" s="17">
        <v>5.9429970160496649E-2</v>
      </c>
      <c r="EZ34" s="3">
        <v>70</v>
      </c>
      <c r="FA34" s="18">
        <v>5.5776892430278883E-2</v>
      </c>
      <c r="FB34" s="18">
        <v>4.4382897763407557E-2</v>
      </c>
      <c r="FC34" s="18">
        <v>6.9882054199206914E-2</v>
      </c>
      <c r="FD34" s="337">
        <v>65</v>
      </c>
      <c r="FE34" s="18">
        <v>6.5000000000000002E-2</v>
      </c>
      <c r="FF34" s="18">
        <v>5.1323770569062052E-2</v>
      </c>
      <c r="FG34" s="393">
        <v>8.2005509313370917E-2</v>
      </c>
      <c r="FH34" s="425" t="s">
        <v>286</v>
      </c>
      <c r="FI34" s="258" t="s">
        <v>286</v>
      </c>
      <c r="FJ34" s="258" t="s">
        <v>286</v>
      </c>
      <c r="FK34" s="258" t="s">
        <v>286</v>
      </c>
      <c r="FL34" s="36">
        <v>160</v>
      </c>
      <c r="FM34" s="18">
        <v>4.3478260869565216E-2</v>
      </c>
      <c r="FN34" s="42">
        <v>200</v>
      </c>
      <c r="FO34" s="18">
        <v>5.3835800807537013E-2</v>
      </c>
      <c r="FP34" s="42">
        <v>195</v>
      </c>
      <c r="FQ34" s="18">
        <v>5.1655629139072845E-2</v>
      </c>
      <c r="FR34" s="42">
        <v>200</v>
      </c>
      <c r="FS34" s="18">
        <v>5.2287581699346407E-2</v>
      </c>
      <c r="FT34" s="42">
        <v>205</v>
      </c>
      <c r="FU34" s="18">
        <v>5.2295918367346941E-2</v>
      </c>
      <c r="FV34" s="42">
        <v>190</v>
      </c>
      <c r="FW34" s="393">
        <v>4.7798742138364783E-2</v>
      </c>
      <c r="FX34" s="114" t="s">
        <v>286</v>
      </c>
      <c r="FY34" s="259" t="s">
        <v>286</v>
      </c>
      <c r="FZ34" s="3">
        <v>247</v>
      </c>
      <c r="GA34" s="3">
        <v>8</v>
      </c>
      <c r="GB34" s="3">
        <v>239</v>
      </c>
      <c r="GC34" s="17">
        <v>0.96761133603238869</v>
      </c>
      <c r="GD34" s="3">
        <v>130</v>
      </c>
      <c r="GE34" s="3">
        <v>168</v>
      </c>
      <c r="GF34" s="17">
        <v>0.54393305439330542</v>
      </c>
      <c r="GG34" s="17">
        <v>0.70292887029288698</v>
      </c>
      <c r="GH34" s="17">
        <v>0.48058990740273499</v>
      </c>
      <c r="GI34" s="17">
        <v>0.60588621530441222</v>
      </c>
      <c r="GJ34" s="17">
        <v>0.64215388951563079</v>
      </c>
      <c r="GK34" s="93">
        <v>0.75728343917928798</v>
      </c>
      <c r="GL34" s="337">
        <v>221</v>
      </c>
      <c r="GM34" s="337">
        <v>119</v>
      </c>
      <c r="GN34" s="337">
        <v>47</v>
      </c>
      <c r="GO34" s="337">
        <v>166</v>
      </c>
      <c r="GP34" s="393">
        <v>0.53846153846153844</v>
      </c>
      <c r="GQ34" s="393">
        <v>0.75113122171945701</v>
      </c>
      <c r="GR34" s="393">
        <v>0.47263958546277096</v>
      </c>
      <c r="GS34" s="393">
        <v>0.60296924615202974</v>
      </c>
      <c r="GT34" s="393">
        <v>0.69016435041144941</v>
      </c>
      <c r="GU34" s="93">
        <v>0.80351684424989611</v>
      </c>
      <c r="GV34" s="42">
        <v>254</v>
      </c>
      <c r="GW34" s="42">
        <v>28</v>
      </c>
      <c r="GX34" s="42">
        <v>226</v>
      </c>
      <c r="GY34" s="393">
        <f t="shared" si="2"/>
        <v>0.88976377952755903</v>
      </c>
      <c r="GZ34" s="42">
        <v>127</v>
      </c>
      <c r="HA34" s="42">
        <v>36</v>
      </c>
      <c r="HB34" s="42">
        <v>163</v>
      </c>
      <c r="HC34" s="393">
        <v>0.56194690265486724</v>
      </c>
      <c r="HD34" s="393">
        <v>0.72123893805309736</v>
      </c>
      <c r="HE34" s="393">
        <v>0.4967608381275001</v>
      </c>
      <c r="HF34" s="393">
        <v>0.62506226612734894</v>
      </c>
      <c r="HG34" s="393">
        <v>0.65945527944561155</v>
      </c>
      <c r="HH34" s="93">
        <v>0.7756272357502777</v>
      </c>
      <c r="HI34" s="696">
        <v>325</v>
      </c>
      <c r="HJ34" s="696">
        <v>16</v>
      </c>
      <c r="HK34" s="696">
        <v>309</v>
      </c>
      <c r="HL34" s="697">
        <v>0.95076923076923081</v>
      </c>
      <c r="HM34" s="696">
        <v>150</v>
      </c>
      <c r="HN34" s="696">
        <v>67</v>
      </c>
      <c r="HO34" s="696">
        <v>217</v>
      </c>
      <c r="HP34" s="697">
        <v>0.4854368932038835</v>
      </c>
      <c r="HQ34" s="697">
        <v>0.70226537216828477</v>
      </c>
      <c r="HR34" s="697">
        <v>0.43023304383854732</v>
      </c>
      <c r="HS34" s="697">
        <v>0.54099839065889133</v>
      </c>
      <c r="HT34" s="697">
        <v>0.64905083179104517</v>
      </c>
      <c r="HU34" s="698">
        <v>0.75051257796675186</v>
      </c>
      <c r="HV34" s="3">
        <v>194</v>
      </c>
      <c r="HW34" s="3">
        <v>7</v>
      </c>
      <c r="HX34" s="17">
        <v>3.608247422680412E-2</v>
      </c>
      <c r="HY34" s="17">
        <v>1.758630667851303E-2</v>
      </c>
      <c r="HZ34" s="17">
        <v>7.2594279974277642E-2</v>
      </c>
      <c r="IA34" s="267" t="s">
        <v>708</v>
      </c>
      <c r="IB34" s="3">
        <v>208</v>
      </c>
      <c r="IC34" s="3">
        <v>7</v>
      </c>
      <c r="ID34" s="17">
        <v>3.3653846153846152E-2</v>
      </c>
      <c r="IE34" s="17">
        <v>1.6395766201128759E-2</v>
      </c>
      <c r="IF34" s="17">
        <v>6.782504175599266E-2</v>
      </c>
      <c r="IG34" s="3" t="s">
        <v>708</v>
      </c>
      <c r="IH34" s="3">
        <v>226</v>
      </c>
      <c r="II34" s="3">
        <v>10</v>
      </c>
      <c r="IJ34" s="17">
        <v>4.4247787610619468E-2</v>
      </c>
      <c r="IK34" s="17">
        <v>2.4209353106802618E-2</v>
      </c>
      <c r="IL34" s="17">
        <v>7.9520665589665557E-2</v>
      </c>
      <c r="IM34" s="3" t="s">
        <v>708</v>
      </c>
      <c r="IN34" s="3">
        <v>234</v>
      </c>
      <c r="IO34" s="3">
        <v>9</v>
      </c>
      <c r="IP34" s="17">
        <v>3.8461538461538464E-2</v>
      </c>
      <c r="IQ34" s="17">
        <v>2.0364448140159225E-2</v>
      </c>
      <c r="IR34" s="17">
        <v>7.1467560160631355E-2</v>
      </c>
      <c r="IS34" s="3" t="s">
        <v>708</v>
      </c>
      <c r="IT34" s="3">
        <v>165</v>
      </c>
      <c r="IU34" s="3">
        <v>3</v>
      </c>
      <c r="IV34" s="17">
        <v>1.8181818181818181E-2</v>
      </c>
      <c r="IW34" s="17">
        <v>6.2024105495363524E-3</v>
      </c>
      <c r="IX34" s="17">
        <v>5.2085754510358885E-2</v>
      </c>
      <c r="IY34" s="9" t="s">
        <v>708</v>
      </c>
      <c r="IZ34" s="9">
        <v>229</v>
      </c>
      <c r="JA34" s="9">
        <v>12</v>
      </c>
      <c r="JB34" s="393">
        <v>5.2401746724890827E-2</v>
      </c>
      <c r="JC34" s="393">
        <v>3.0226839932339215E-2</v>
      </c>
      <c r="JD34" s="393">
        <v>8.9345760933961793E-2</v>
      </c>
      <c r="JE34" s="9" t="str">
        <f t="shared" si="0"/>
        <v>Sig better than Eng.</v>
      </c>
      <c r="JF34" s="9">
        <v>245</v>
      </c>
      <c r="JG34" s="109">
        <v>7</v>
      </c>
      <c r="JH34" s="258">
        <v>2.8571428571428571E-2</v>
      </c>
      <c r="JI34" s="258">
        <v>1.3907542779737457E-2</v>
      </c>
      <c r="JJ34" s="258">
        <v>5.7790553290138144E-2</v>
      </c>
      <c r="JK34" s="662" t="str">
        <f t="shared" si="3"/>
        <v>Sig better than Eng.</v>
      </c>
      <c r="JL34" s="3">
        <v>165</v>
      </c>
      <c r="JM34" s="3">
        <v>20</v>
      </c>
      <c r="JN34" s="17">
        <v>0.12121212121212122</v>
      </c>
      <c r="JO34" s="17">
        <v>7.9852303583502038E-2</v>
      </c>
      <c r="JP34" s="17">
        <v>0.17980820353905713</v>
      </c>
      <c r="JQ34" s="3" t="s">
        <v>708</v>
      </c>
      <c r="JR34" s="3">
        <v>144</v>
      </c>
      <c r="JS34" s="3">
        <v>14</v>
      </c>
      <c r="JT34" s="17">
        <v>9.7222222222222224E-2</v>
      </c>
      <c r="JU34" s="17">
        <v>5.8799052664080885E-2</v>
      </c>
      <c r="JV34" s="17">
        <v>0.15657665503447649</v>
      </c>
      <c r="JW34" s="3" t="s">
        <v>708</v>
      </c>
      <c r="JX34" s="3">
        <v>168</v>
      </c>
      <c r="JY34" s="3">
        <v>17</v>
      </c>
      <c r="JZ34" s="17">
        <v>0.10119047619047619</v>
      </c>
      <c r="KA34" s="17">
        <v>6.4142045214917287E-2</v>
      </c>
      <c r="KB34" s="17">
        <v>0.15606941644509648</v>
      </c>
      <c r="KC34" s="3" t="s">
        <v>708</v>
      </c>
      <c r="KD34" s="3">
        <v>157</v>
      </c>
      <c r="KE34" s="3">
        <v>14</v>
      </c>
      <c r="KF34" s="17">
        <v>8.9171974522292988E-2</v>
      </c>
      <c r="KG34" s="17">
        <v>5.3860798787169005E-2</v>
      </c>
      <c r="KH34" s="17">
        <v>0.14410718194465799</v>
      </c>
      <c r="KI34" s="3" t="s">
        <v>708</v>
      </c>
      <c r="KJ34" s="3">
        <v>185</v>
      </c>
      <c r="KK34" s="3">
        <v>13</v>
      </c>
      <c r="KL34" s="17">
        <v>7.0270270270270274E-2</v>
      </c>
      <c r="KM34" s="17">
        <v>4.1522959008071361E-2</v>
      </c>
      <c r="KN34" s="17">
        <v>0.11650091460025916</v>
      </c>
      <c r="KO34" s="465" t="s">
        <v>708</v>
      </c>
      <c r="KP34" s="465">
        <v>200</v>
      </c>
      <c r="KQ34" s="465">
        <v>15</v>
      </c>
      <c r="KR34" s="393">
        <v>7.4999999999999997E-2</v>
      </c>
      <c r="KS34" s="393">
        <v>4.5974917184382014E-2</v>
      </c>
      <c r="KT34" s="393">
        <v>0.12004361023629456</v>
      </c>
      <c r="KU34" s="465" t="s">
        <v>708</v>
      </c>
      <c r="KV34" s="465">
        <v>204</v>
      </c>
      <c r="KW34" s="465">
        <v>12</v>
      </c>
      <c r="KX34" s="393">
        <v>5.8823529411764705E-2</v>
      </c>
      <c r="KY34" s="393">
        <v>3.3966276909986097E-2</v>
      </c>
      <c r="KZ34" s="393">
        <v>9.9988993509440127E-2</v>
      </c>
      <c r="LA34" s="660" t="str">
        <f t="shared" si="4"/>
        <v>Sig better than Eng.</v>
      </c>
      <c r="LB34" s="3">
        <v>272</v>
      </c>
      <c r="LC34" s="3">
        <v>163</v>
      </c>
      <c r="LD34" s="17">
        <v>0.59926470588235292</v>
      </c>
      <c r="LE34" s="17">
        <v>0.54003535664635594</v>
      </c>
      <c r="LF34" s="17">
        <v>0.6557292692763258</v>
      </c>
      <c r="LG34" s="3">
        <v>272</v>
      </c>
      <c r="LH34" s="3">
        <v>34</v>
      </c>
      <c r="LI34" s="3">
        <v>54</v>
      </c>
      <c r="LJ34" s="293">
        <v>27.407407407407408</v>
      </c>
      <c r="LK34" s="17">
        <v>0.19389978213507622</v>
      </c>
      <c r="LL34" s="3">
        <v>291</v>
      </c>
      <c r="LM34" s="3">
        <v>187</v>
      </c>
      <c r="LN34" s="17">
        <v>0.6426116838487973</v>
      </c>
      <c r="LO34" s="17">
        <v>0.58602068090959913</v>
      </c>
      <c r="LP34" s="17">
        <v>0.69548654108008678</v>
      </c>
      <c r="LQ34" s="3">
        <v>291</v>
      </c>
      <c r="LR34" s="3">
        <v>34</v>
      </c>
      <c r="LS34" s="3">
        <v>58</v>
      </c>
      <c r="LT34" s="293">
        <v>28.379310344827584</v>
      </c>
      <c r="LU34" s="18">
        <v>0.16531440162271813</v>
      </c>
      <c r="LV34" s="42">
        <v>290</v>
      </c>
      <c r="LW34" s="42">
        <v>186</v>
      </c>
      <c r="LX34" s="18">
        <v>0.64137931034482754</v>
      </c>
      <c r="LY34" s="18">
        <v>0.58466376766075345</v>
      </c>
      <c r="LZ34" s="18">
        <v>0.69439828276977289</v>
      </c>
      <c r="MA34" s="337">
        <v>34</v>
      </c>
      <c r="MB34" s="337">
        <v>58</v>
      </c>
      <c r="MC34" s="294">
        <v>26.4</v>
      </c>
      <c r="MD34" s="393">
        <v>0.222</v>
      </c>
      <c r="ME34" s="337">
        <v>302</v>
      </c>
      <c r="MF34" s="337">
        <v>208</v>
      </c>
      <c r="MG34" s="393">
        <v>0.6887417218543046</v>
      </c>
      <c r="MH34" s="393">
        <v>0.63442636148212916</v>
      </c>
      <c r="MI34" s="393">
        <v>0.73831577897056488</v>
      </c>
      <c r="MJ34" s="337">
        <v>34</v>
      </c>
      <c r="MK34" s="337">
        <v>60</v>
      </c>
      <c r="ML34" s="294">
        <v>27.883333333333333</v>
      </c>
      <c r="MM34" s="93">
        <v>0.17990196078431375</v>
      </c>
      <c r="MN34" s="17">
        <v>0.88936076994900526</v>
      </c>
      <c r="MO34" s="17">
        <v>3.9210658622423331E-2</v>
      </c>
      <c r="MP34" s="17">
        <v>2.1261640780226743E-2</v>
      </c>
      <c r="MQ34" s="17">
        <v>8.0052890963794948E-2</v>
      </c>
      <c r="MR34" s="17">
        <v>0.91070530776413128</v>
      </c>
      <c r="MS34" s="17">
        <v>1.7866120807297277E-2</v>
      </c>
      <c r="MT34" s="17">
        <v>8.1306524115839253E-3</v>
      </c>
      <c r="MU34" s="17">
        <v>5.2334539866256941E-2</v>
      </c>
      <c r="MV34" s="17">
        <v>0.89753070458952811</v>
      </c>
      <c r="MW34" s="17">
        <v>3.1040723981900449E-2</v>
      </c>
      <c r="MX34" s="17">
        <v>1.4399085841634563E-2</v>
      </c>
      <c r="MY34" s="17">
        <v>6.6490776169296717E-2</v>
      </c>
      <c r="MZ34" s="17">
        <v>0.82585191769015309</v>
      </c>
      <c r="NA34" s="17">
        <v>0.10271951088127559</v>
      </c>
      <c r="NB34" s="17">
        <v>7.6896904231561619E-2</v>
      </c>
      <c r="NC34" s="93">
        <v>0.16739031564409299</v>
      </c>
      <c r="ND34" s="337">
        <v>4</v>
      </c>
      <c r="NE34" s="337">
        <v>139</v>
      </c>
      <c r="NF34" s="393">
        <v>2.8776978417266189E-2</v>
      </c>
      <c r="NG34" s="393">
        <v>1.1246508362848887E-2</v>
      </c>
      <c r="NH34" s="393">
        <v>7.1652804752949356E-2</v>
      </c>
      <c r="NI34" s="337">
        <v>3</v>
      </c>
      <c r="NJ34" s="337">
        <v>139</v>
      </c>
      <c r="NK34" s="393">
        <v>2.1582733812949641E-2</v>
      </c>
      <c r="NL34" s="393">
        <v>7.3668144437849456E-3</v>
      </c>
      <c r="NM34" s="393">
        <v>6.1530961467674339E-2</v>
      </c>
      <c r="NN34" s="337">
        <v>4</v>
      </c>
      <c r="NO34" s="337">
        <v>139</v>
      </c>
      <c r="NP34" s="393">
        <v>2.8776978417266189E-2</v>
      </c>
      <c r="NQ34" s="393">
        <v>1.1246508362848887E-2</v>
      </c>
      <c r="NR34" s="393">
        <v>7.1652804752949356E-2</v>
      </c>
      <c r="NS34" s="337">
        <v>10</v>
      </c>
      <c r="NT34" s="337">
        <v>139</v>
      </c>
      <c r="NU34" s="393">
        <v>7.1942446043165464E-2</v>
      </c>
      <c r="NV34" s="393">
        <v>3.954423854532229E-2</v>
      </c>
      <c r="NW34" s="93">
        <v>0.12736429779650968</v>
      </c>
      <c r="NX34" s="3">
        <v>72</v>
      </c>
      <c r="NY34" s="3">
        <v>69</v>
      </c>
      <c r="NZ34" s="3">
        <v>70</v>
      </c>
      <c r="OA34" s="3">
        <v>70</v>
      </c>
      <c r="OB34" s="3">
        <v>70</v>
      </c>
      <c r="OC34" s="3">
        <v>69</v>
      </c>
      <c r="OD34" s="3">
        <v>66</v>
      </c>
      <c r="OE34" s="3">
        <v>65</v>
      </c>
      <c r="OF34" s="3">
        <v>64</v>
      </c>
      <c r="OG34" s="3">
        <v>66</v>
      </c>
      <c r="OH34" s="3">
        <v>66</v>
      </c>
      <c r="OI34" s="3">
        <v>63</v>
      </c>
      <c r="OJ34" s="3">
        <v>68</v>
      </c>
      <c r="OK34" s="3">
        <v>86</v>
      </c>
      <c r="OL34" s="3">
        <v>81</v>
      </c>
      <c r="OM34" s="3">
        <v>77</v>
      </c>
      <c r="ON34" s="3">
        <v>73</v>
      </c>
      <c r="OO34" s="3">
        <v>77</v>
      </c>
      <c r="OP34" s="3">
        <v>76</v>
      </c>
      <c r="OQ34" s="3">
        <v>75</v>
      </c>
      <c r="OR34" s="3">
        <v>83</v>
      </c>
      <c r="OS34" s="3">
        <v>80</v>
      </c>
      <c r="OT34" s="6">
        <v>79</v>
      </c>
      <c r="OU34" s="3">
        <v>345</v>
      </c>
      <c r="OV34" s="22">
        <v>0.97699999999999998</v>
      </c>
      <c r="OW34" s="22">
        <v>0.02</v>
      </c>
      <c r="OX34" s="22">
        <v>0.98299999999999998</v>
      </c>
      <c r="OY34" s="3">
        <v>337</v>
      </c>
      <c r="OZ34" s="3">
        <v>7</v>
      </c>
      <c r="PA34" s="3">
        <v>339</v>
      </c>
      <c r="PB34" s="3">
        <v>369</v>
      </c>
      <c r="PC34" s="22">
        <v>0.97599999999999998</v>
      </c>
      <c r="PD34" s="22">
        <v>0.93</v>
      </c>
      <c r="PE34" s="22">
        <v>0.94</v>
      </c>
      <c r="PF34" s="22">
        <v>0.94</v>
      </c>
      <c r="PG34" s="22">
        <v>0.94299999999999995</v>
      </c>
      <c r="PH34" s="3">
        <v>360</v>
      </c>
      <c r="PI34" s="3">
        <v>343</v>
      </c>
      <c r="PJ34" s="3">
        <v>347</v>
      </c>
      <c r="PK34" s="3">
        <v>347</v>
      </c>
      <c r="PL34" s="3">
        <v>348</v>
      </c>
      <c r="PM34" s="3">
        <v>406</v>
      </c>
      <c r="PN34" s="22">
        <v>0.96799999999999997</v>
      </c>
      <c r="PO34" s="22">
        <v>0.92100000000000004</v>
      </c>
      <c r="PP34" s="22">
        <v>0.96799999999999997</v>
      </c>
      <c r="PQ34" s="22">
        <v>0.96799999999999997</v>
      </c>
      <c r="PR34" s="22">
        <v>0.97299999999999998</v>
      </c>
      <c r="PS34" s="22">
        <v>0.90900000000000003</v>
      </c>
      <c r="PT34" s="22">
        <v>0.94799999999999995</v>
      </c>
      <c r="PU34" s="22">
        <v>0.91600000000000004</v>
      </c>
      <c r="PV34" s="22">
        <v>0.97799999999999998</v>
      </c>
      <c r="PW34" s="22">
        <v>0.93799999999999994</v>
      </c>
      <c r="PX34" s="3">
        <v>393</v>
      </c>
      <c r="PY34" s="3">
        <v>374</v>
      </c>
      <c r="PZ34" s="3">
        <v>393</v>
      </c>
      <c r="QA34" s="3">
        <v>393</v>
      </c>
      <c r="QB34" s="3">
        <v>395</v>
      </c>
      <c r="QC34" s="3">
        <v>369</v>
      </c>
      <c r="QD34" s="3">
        <v>385</v>
      </c>
      <c r="QE34" s="3">
        <v>372</v>
      </c>
      <c r="QF34" s="3">
        <v>397</v>
      </c>
      <c r="QG34" s="6">
        <v>381</v>
      </c>
      <c r="QH34" s="37">
        <v>349</v>
      </c>
      <c r="QI34" s="17">
        <v>0.97707736389684818</v>
      </c>
      <c r="QJ34" s="17">
        <v>0.22636103151862463</v>
      </c>
      <c r="QK34" s="17">
        <v>0.97707736389684818</v>
      </c>
      <c r="QL34" s="37">
        <v>341</v>
      </c>
      <c r="QM34" s="37">
        <v>79</v>
      </c>
      <c r="QN34" s="37">
        <v>341</v>
      </c>
      <c r="QO34" s="37">
        <v>354</v>
      </c>
      <c r="QP34" s="17">
        <v>0.98305084745762716</v>
      </c>
      <c r="QQ34" s="17">
        <v>0.94067796610169496</v>
      </c>
      <c r="QR34" s="17">
        <v>0.73728813559322037</v>
      </c>
      <c r="QS34" s="17">
        <v>0.9463276836158192</v>
      </c>
      <c r="QT34" s="17">
        <v>0.71751412429378536</v>
      </c>
      <c r="QU34" s="37">
        <v>348</v>
      </c>
      <c r="QV34" s="37">
        <v>333</v>
      </c>
      <c r="QW34" s="37">
        <v>261</v>
      </c>
      <c r="QX34" s="37">
        <v>335</v>
      </c>
      <c r="QY34" s="37">
        <v>254</v>
      </c>
      <c r="QZ34" s="3">
        <v>428</v>
      </c>
      <c r="RA34" s="17">
        <v>0.98130841121495327</v>
      </c>
      <c r="RB34" s="17">
        <v>0.92289719626168221</v>
      </c>
      <c r="RC34" s="17">
        <v>0.9789719626168224</v>
      </c>
      <c r="RD34" s="17">
        <v>0.97429906542056077</v>
      </c>
      <c r="RE34" s="17">
        <v>0.71261682242990654</v>
      </c>
      <c r="RF34" s="17">
        <v>0.91121495327102808</v>
      </c>
      <c r="RG34" s="17">
        <v>0.94859813084112155</v>
      </c>
      <c r="RH34" s="17">
        <v>0.91588785046728971</v>
      </c>
      <c r="RI34" s="17">
        <v>0.72429906542056077</v>
      </c>
      <c r="RJ34" s="17">
        <v>0.68224299065420557</v>
      </c>
      <c r="RK34" s="37">
        <v>420</v>
      </c>
      <c r="RL34" s="37">
        <v>395</v>
      </c>
      <c r="RM34" s="37">
        <v>419</v>
      </c>
      <c r="RN34" s="37">
        <v>417</v>
      </c>
      <c r="RO34" s="37">
        <v>305</v>
      </c>
      <c r="RP34" s="37">
        <v>390</v>
      </c>
      <c r="RQ34" s="37">
        <v>406</v>
      </c>
      <c r="RR34" s="37">
        <v>392</v>
      </c>
      <c r="RS34" s="37">
        <v>310</v>
      </c>
      <c r="RT34" s="38">
        <v>292</v>
      </c>
    </row>
    <row r="35" spans="1:488" s="3" customFormat="1" ht="12.75" x14ac:dyDescent="0.2">
      <c r="A35" s="9" t="s">
        <v>56</v>
      </c>
      <c r="B35" s="6">
        <v>25</v>
      </c>
      <c r="C35" s="9"/>
      <c r="D35" s="9" t="s">
        <v>212</v>
      </c>
      <c r="E35" s="9" t="s">
        <v>286</v>
      </c>
      <c r="F35" s="9" t="s">
        <v>286</v>
      </c>
      <c r="G35" s="9" t="s">
        <v>213</v>
      </c>
      <c r="H35" s="9" t="s">
        <v>267</v>
      </c>
      <c r="I35" s="9" t="s">
        <v>83</v>
      </c>
      <c r="J35" s="9" t="s">
        <v>268</v>
      </c>
      <c r="K35" s="9" t="s">
        <v>383</v>
      </c>
      <c r="L35" s="9" t="s">
        <v>273</v>
      </c>
      <c r="M35" s="9" t="s">
        <v>349</v>
      </c>
      <c r="N35" s="3" t="s">
        <v>83</v>
      </c>
      <c r="O35" s="9">
        <v>509157</v>
      </c>
      <c r="P35" s="9">
        <v>128837</v>
      </c>
      <c r="Q35" s="109">
        <v>22587</v>
      </c>
      <c r="R35" s="109" t="s">
        <v>286</v>
      </c>
      <c r="S35" s="310" t="s">
        <v>797</v>
      </c>
      <c r="T35" s="36">
        <v>14120</v>
      </c>
      <c r="U35" s="37">
        <v>14350</v>
      </c>
      <c r="V35" s="37">
        <v>14600</v>
      </c>
      <c r="W35" s="37">
        <v>14705</v>
      </c>
      <c r="X35" s="37">
        <v>14730</v>
      </c>
      <c r="Y35" s="37">
        <v>14765</v>
      </c>
      <c r="Z35" s="37">
        <v>14770</v>
      </c>
      <c r="AA35" s="37">
        <v>14845</v>
      </c>
      <c r="AB35" s="37">
        <v>15110</v>
      </c>
      <c r="AC35" s="42">
        <v>15364</v>
      </c>
      <c r="AD35" s="42">
        <v>16305</v>
      </c>
      <c r="AE35" s="36">
        <v>780</v>
      </c>
      <c r="AF35" s="37">
        <v>795</v>
      </c>
      <c r="AG35" s="37">
        <v>825</v>
      </c>
      <c r="AH35" s="37">
        <v>825</v>
      </c>
      <c r="AI35" s="37">
        <v>785</v>
      </c>
      <c r="AJ35" s="37">
        <v>765</v>
      </c>
      <c r="AK35" s="37">
        <v>780</v>
      </c>
      <c r="AL35" s="37">
        <v>730</v>
      </c>
      <c r="AM35" s="37">
        <v>790</v>
      </c>
      <c r="AN35" s="42">
        <v>817</v>
      </c>
      <c r="AO35" s="42">
        <v>967</v>
      </c>
      <c r="AP35" s="13">
        <v>785</v>
      </c>
      <c r="AQ35" s="3">
        <v>719</v>
      </c>
      <c r="AR35" s="3">
        <v>33</v>
      </c>
      <c r="AS35" s="3">
        <v>21</v>
      </c>
      <c r="AT35" s="3">
        <v>11</v>
      </c>
      <c r="AU35" s="3">
        <v>1</v>
      </c>
      <c r="AV35" s="3">
        <v>0</v>
      </c>
      <c r="AW35" s="9">
        <v>66</v>
      </c>
      <c r="AX35" s="16">
        <v>0.91592356687898091</v>
      </c>
      <c r="AY35" s="17">
        <v>4.2038216560509552E-2</v>
      </c>
      <c r="AZ35" s="17">
        <v>2.6751592356687899E-2</v>
      </c>
      <c r="BA35" s="17">
        <v>1.4012738853503185E-2</v>
      </c>
      <c r="BB35" s="17">
        <v>1.2738853503184713E-3</v>
      </c>
      <c r="BC35" s="17">
        <v>0</v>
      </c>
      <c r="BD35" s="18">
        <v>8.407643312101909E-2</v>
      </c>
      <c r="BE35" s="13">
        <v>2449</v>
      </c>
      <c r="BF35" s="3">
        <v>2382</v>
      </c>
      <c r="BG35" s="3">
        <v>67</v>
      </c>
      <c r="BH35" s="3">
        <v>52</v>
      </c>
      <c r="BI35" s="3">
        <v>15</v>
      </c>
      <c r="BJ35" s="17">
        <v>0.77611940298507465</v>
      </c>
      <c r="BK35" s="18">
        <v>0.22388059701492538</v>
      </c>
      <c r="BL35" s="13">
        <v>1660</v>
      </c>
      <c r="BM35" s="17">
        <v>0.67108433734939754</v>
      </c>
      <c r="BN35" s="17">
        <v>0.16385542168674699</v>
      </c>
      <c r="BO35" s="18">
        <v>0.16506024096385541</v>
      </c>
      <c r="BP35" s="36">
        <v>4273</v>
      </c>
      <c r="BQ35" s="37">
        <v>221</v>
      </c>
      <c r="BR35" s="37">
        <v>276</v>
      </c>
      <c r="BS35" s="37">
        <v>114</v>
      </c>
      <c r="BT35" s="37">
        <v>3153</v>
      </c>
      <c r="BU35" s="37">
        <v>1769</v>
      </c>
      <c r="BV35" s="18">
        <v>0.15036743923120408</v>
      </c>
      <c r="BW35" s="36">
        <v>1156</v>
      </c>
      <c r="BX35" s="37">
        <v>0</v>
      </c>
      <c r="BY35" s="37">
        <v>211</v>
      </c>
      <c r="BZ35" s="37">
        <v>303</v>
      </c>
      <c r="CA35" s="37">
        <v>110</v>
      </c>
      <c r="CB35" s="38">
        <v>1780</v>
      </c>
      <c r="CC35" s="37">
        <v>612</v>
      </c>
      <c r="CD35" s="37">
        <v>534</v>
      </c>
      <c r="CE35" s="37">
        <v>77</v>
      </c>
      <c r="CF35" s="37">
        <v>78</v>
      </c>
      <c r="CG35" s="17">
        <v>0.12581699346405228</v>
      </c>
      <c r="CH35" s="93">
        <v>0.12745098039215685</v>
      </c>
      <c r="CI35" s="37">
        <v>85</v>
      </c>
      <c r="CJ35" s="37">
        <v>55</v>
      </c>
      <c r="CK35" s="37">
        <v>55</v>
      </c>
      <c r="CL35" s="37">
        <v>40</v>
      </c>
      <c r="CM35" s="42">
        <v>45</v>
      </c>
      <c r="CN35" s="42">
        <v>30</v>
      </c>
      <c r="CO35" s="36">
        <v>303</v>
      </c>
      <c r="CP35" s="37">
        <v>102</v>
      </c>
      <c r="CQ35" s="17">
        <v>0.33663366336633666</v>
      </c>
      <c r="CR35" s="38">
        <v>32</v>
      </c>
      <c r="CS35" s="37">
        <v>126</v>
      </c>
      <c r="CT35" s="37">
        <v>154</v>
      </c>
      <c r="CU35" s="37">
        <v>123</v>
      </c>
      <c r="CV35" s="37">
        <v>135</v>
      </c>
      <c r="CW35" s="37">
        <v>134</v>
      </c>
      <c r="CX35" s="526" t="s">
        <v>471</v>
      </c>
      <c r="CY35" s="568">
        <v>146</v>
      </c>
      <c r="CZ35" s="37">
        <v>4</v>
      </c>
      <c r="DA35" s="37">
        <v>4</v>
      </c>
      <c r="DB35" s="37">
        <v>1</v>
      </c>
      <c r="DC35" s="37">
        <v>3</v>
      </c>
      <c r="DD35" s="37">
        <v>4</v>
      </c>
      <c r="DE35" s="528" t="s">
        <v>471</v>
      </c>
      <c r="DF35" s="716">
        <v>2</v>
      </c>
      <c r="DG35" s="13">
        <v>6</v>
      </c>
      <c r="DH35" s="13">
        <v>9</v>
      </c>
      <c r="DI35" s="17">
        <v>6.7164179104477612E-2</v>
      </c>
      <c r="DJ35" s="17">
        <v>3.573460604589504E-2</v>
      </c>
      <c r="DK35" s="18">
        <v>0.12271887382554017</v>
      </c>
      <c r="DL35" s="425" t="s">
        <v>286</v>
      </c>
      <c r="DM35" s="258" t="s">
        <v>286</v>
      </c>
      <c r="DN35" s="258" t="s">
        <v>286</v>
      </c>
      <c r="DO35" s="258" t="s">
        <v>286</v>
      </c>
      <c r="DP35" s="337">
        <v>9</v>
      </c>
      <c r="DQ35" s="393">
        <v>6.1643835616438353E-2</v>
      </c>
      <c r="DR35" s="393">
        <v>3.2766722238975012E-2</v>
      </c>
      <c r="DS35" s="393">
        <v>0.11299706698594454</v>
      </c>
      <c r="DT35" s="13">
        <v>13</v>
      </c>
      <c r="DU35" s="18">
        <v>1.6602809706257982E-2</v>
      </c>
      <c r="DV35" s="328">
        <v>6</v>
      </c>
      <c r="DW35" s="333">
        <v>5</v>
      </c>
      <c r="DX35" s="337">
        <v>8</v>
      </c>
      <c r="DY35" s="393">
        <v>8.2944015444015445E-2</v>
      </c>
      <c r="DZ35" s="337">
        <v>7</v>
      </c>
      <c r="EA35" s="93">
        <v>9.0565067311011396E-2</v>
      </c>
      <c r="EB35" s="3">
        <v>170</v>
      </c>
      <c r="EC35" s="18">
        <v>2.8504359490274984E-2</v>
      </c>
      <c r="ED35" s="13">
        <v>95</v>
      </c>
      <c r="EE35" s="3">
        <v>80</v>
      </c>
      <c r="EF35" s="3">
        <v>80</v>
      </c>
      <c r="EG35" s="3">
        <v>85</v>
      </c>
      <c r="EH35" s="9">
        <v>65</v>
      </c>
      <c r="EI35" s="9">
        <v>55</v>
      </c>
      <c r="EJ35" s="13">
        <v>85</v>
      </c>
      <c r="EK35" s="17">
        <v>0.10828025477707007</v>
      </c>
      <c r="EL35" s="17">
        <v>8.8419954473737863E-2</v>
      </c>
      <c r="EM35" s="17">
        <v>0.13195570767843204</v>
      </c>
      <c r="EN35" s="3">
        <v>90</v>
      </c>
      <c r="EO35" s="17">
        <v>0.11764705882352941</v>
      </c>
      <c r="EP35" s="17">
        <v>9.6703361366976701E-2</v>
      </c>
      <c r="EQ35" s="17">
        <v>0.14241155200239825</v>
      </c>
      <c r="ER35" s="3">
        <v>90</v>
      </c>
      <c r="ES35" s="17">
        <v>0.12413793103448276</v>
      </c>
      <c r="ET35" s="17">
        <v>0.10209837316457582</v>
      </c>
      <c r="EU35" s="17">
        <v>0.15013955402216764</v>
      </c>
      <c r="EV35" s="3">
        <v>90</v>
      </c>
      <c r="EW35" s="17">
        <v>0.12244897959183673</v>
      </c>
      <c r="EX35" s="17">
        <v>0.10069394134024073</v>
      </c>
      <c r="EY35" s="17">
        <v>0.14813002031742489</v>
      </c>
      <c r="EZ35" s="3">
        <v>90</v>
      </c>
      <c r="FA35" s="18">
        <v>0.12857142857142856</v>
      </c>
      <c r="FB35" s="18">
        <v>0.10578711641888054</v>
      </c>
      <c r="FC35" s="18">
        <v>0.15541014116910751</v>
      </c>
      <c r="FD35" s="337">
        <v>75</v>
      </c>
      <c r="FE35" s="18">
        <v>0.11904761904761904</v>
      </c>
      <c r="FF35" s="18">
        <v>9.6039673592483332E-2</v>
      </c>
      <c r="FG35" s="393">
        <v>0.14667316363171276</v>
      </c>
      <c r="FH35" s="425" t="s">
        <v>286</v>
      </c>
      <c r="FI35" s="258" t="s">
        <v>286</v>
      </c>
      <c r="FJ35" s="258" t="s">
        <v>286</v>
      </c>
      <c r="FK35" s="258" t="s">
        <v>286</v>
      </c>
      <c r="FL35" s="36">
        <v>270</v>
      </c>
      <c r="FM35" s="18">
        <v>9.8181818181818176E-2</v>
      </c>
      <c r="FN35" s="42">
        <v>270</v>
      </c>
      <c r="FO35" s="18">
        <v>9.8181818181818176E-2</v>
      </c>
      <c r="FP35" s="42">
        <v>260</v>
      </c>
      <c r="FQ35" s="18">
        <v>9.6118299445471345E-2</v>
      </c>
      <c r="FR35" s="42">
        <v>245</v>
      </c>
      <c r="FS35" s="18">
        <v>9.1588785046728974E-2</v>
      </c>
      <c r="FT35" s="42">
        <v>240</v>
      </c>
      <c r="FU35" s="18">
        <v>9.03954802259887E-2</v>
      </c>
      <c r="FV35" s="42">
        <v>215</v>
      </c>
      <c r="FW35" s="393">
        <v>8.1904761904761911E-2</v>
      </c>
      <c r="FX35" s="114" t="s">
        <v>286</v>
      </c>
      <c r="FY35" s="259" t="s">
        <v>286</v>
      </c>
      <c r="FZ35" s="3">
        <v>142</v>
      </c>
      <c r="GA35" s="3">
        <v>8</v>
      </c>
      <c r="GB35" s="3">
        <v>134</v>
      </c>
      <c r="GC35" s="17">
        <v>0.94366197183098588</v>
      </c>
      <c r="GD35" s="3">
        <v>52</v>
      </c>
      <c r="GE35" s="3">
        <v>71</v>
      </c>
      <c r="GF35" s="17">
        <v>0.38805970149253732</v>
      </c>
      <c r="GG35" s="17">
        <v>0.52985074626865669</v>
      </c>
      <c r="GH35" s="17">
        <v>0.30976736607385452</v>
      </c>
      <c r="GI35" s="17">
        <v>0.47259151542490918</v>
      </c>
      <c r="GJ35" s="17">
        <v>0.44569249320882598</v>
      </c>
      <c r="GK35" s="93">
        <v>0.61234513839150362</v>
      </c>
      <c r="GL35" s="337">
        <v>168</v>
      </c>
      <c r="GM35" s="337">
        <v>77</v>
      </c>
      <c r="GN35" s="337">
        <v>10</v>
      </c>
      <c r="GO35" s="337">
        <v>87</v>
      </c>
      <c r="GP35" s="393">
        <v>0.45833333333333331</v>
      </c>
      <c r="GQ35" s="393">
        <v>0.5178571428571429</v>
      </c>
      <c r="GR35" s="393">
        <v>0.38476159343111366</v>
      </c>
      <c r="GS35" s="393">
        <v>0.53376796226470868</v>
      </c>
      <c r="GT35" s="393">
        <v>0.44274718981543448</v>
      </c>
      <c r="GU35" s="93">
        <v>0.59216871488635592</v>
      </c>
      <c r="GV35" s="42">
        <v>170</v>
      </c>
      <c r="GW35" s="42">
        <v>25</v>
      </c>
      <c r="GX35" s="42">
        <v>145</v>
      </c>
      <c r="GY35" s="393">
        <f t="shared" si="2"/>
        <v>0.8529411764705882</v>
      </c>
      <c r="GZ35" s="42">
        <v>62</v>
      </c>
      <c r="HA35" s="42">
        <v>22</v>
      </c>
      <c r="HB35" s="42">
        <v>84</v>
      </c>
      <c r="HC35" s="393">
        <v>0.42758620689655175</v>
      </c>
      <c r="HD35" s="393">
        <v>0.57931034482758625</v>
      </c>
      <c r="HE35" s="393">
        <v>0.34995405378821631</v>
      </c>
      <c r="HF35" s="393">
        <v>0.50895622452813494</v>
      </c>
      <c r="HG35" s="393">
        <v>0.49792796884054441</v>
      </c>
      <c r="HH35" s="93">
        <v>0.65659886919392796</v>
      </c>
      <c r="HI35" s="696">
        <v>137</v>
      </c>
      <c r="HJ35" s="696">
        <v>2</v>
      </c>
      <c r="HK35" s="696">
        <v>135</v>
      </c>
      <c r="HL35" s="697">
        <v>0.98540145985401462</v>
      </c>
      <c r="HM35" s="696">
        <v>66</v>
      </c>
      <c r="HN35" s="696">
        <v>10</v>
      </c>
      <c r="HO35" s="696">
        <v>76</v>
      </c>
      <c r="HP35" s="697">
        <v>0.48888888888888887</v>
      </c>
      <c r="HQ35" s="697">
        <v>0.562962962962963</v>
      </c>
      <c r="HR35" s="697">
        <v>0.40604784868040777</v>
      </c>
      <c r="HS35" s="697">
        <v>0.57234477247553717</v>
      </c>
      <c r="HT35" s="697">
        <v>0.47869613625003338</v>
      </c>
      <c r="HU35" s="698">
        <v>0.64374567719961162</v>
      </c>
      <c r="HV35" s="3">
        <v>145</v>
      </c>
      <c r="HW35" s="3">
        <v>10</v>
      </c>
      <c r="HX35" s="17">
        <v>6.8965517241379309E-2</v>
      </c>
      <c r="HY35" s="17">
        <v>3.7888953275645364E-2</v>
      </c>
      <c r="HZ35" s="17">
        <v>0.12229127479787401</v>
      </c>
      <c r="IA35" s="267" t="s">
        <v>707</v>
      </c>
      <c r="IB35" s="3">
        <v>131</v>
      </c>
      <c r="IC35" s="3">
        <v>13</v>
      </c>
      <c r="ID35" s="17">
        <v>9.9236641221374045E-2</v>
      </c>
      <c r="IE35" s="17">
        <v>5.8914886907542818E-2</v>
      </c>
      <c r="IF35" s="17">
        <v>0.16239285539726198</v>
      </c>
      <c r="IG35" s="3" t="s">
        <v>707</v>
      </c>
      <c r="IH35" s="3">
        <v>82</v>
      </c>
      <c r="II35" s="3">
        <v>6</v>
      </c>
      <c r="IJ35" s="17">
        <v>7.3170731707317069E-2</v>
      </c>
      <c r="IK35" s="17">
        <v>3.3964777256659195E-2</v>
      </c>
      <c r="IL35" s="17">
        <v>0.15057843808854837</v>
      </c>
      <c r="IM35" s="3" t="s">
        <v>707</v>
      </c>
      <c r="IN35" s="3">
        <v>122</v>
      </c>
      <c r="IO35" s="3">
        <v>13</v>
      </c>
      <c r="IP35" s="17">
        <v>0.10655737704918032</v>
      </c>
      <c r="IQ35" s="17">
        <v>6.3336996121428416E-2</v>
      </c>
      <c r="IR35" s="17">
        <v>0.1737983573650079</v>
      </c>
      <c r="IS35" s="3" t="s">
        <v>707</v>
      </c>
      <c r="IT35" s="3">
        <v>82</v>
      </c>
      <c r="IU35" s="3">
        <v>11</v>
      </c>
      <c r="IV35" s="17">
        <v>0.13414634146341464</v>
      </c>
      <c r="IW35" s="17">
        <v>7.6586914295638464E-2</v>
      </c>
      <c r="IX35" s="17">
        <v>0.22445012742882514</v>
      </c>
      <c r="IY35" s="9" t="s">
        <v>707</v>
      </c>
      <c r="IZ35" s="9">
        <v>144</v>
      </c>
      <c r="JA35" s="9">
        <v>9</v>
      </c>
      <c r="JB35" s="393">
        <v>6.25E-2</v>
      </c>
      <c r="JC35" s="393">
        <v>3.3226648433715554E-2</v>
      </c>
      <c r="JD35" s="393">
        <v>0.11450903406644156</v>
      </c>
      <c r="JE35" s="9" t="str">
        <f t="shared" si="0"/>
        <v>No Sig diff</v>
      </c>
      <c r="JF35" s="9">
        <v>158</v>
      </c>
      <c r="JG35" s="109">
        <v>11</v>
      </c>
      <c r="JH35" s="258">
        <v>6.9620253164556958E-2</v>
      </c>
      <c r="JI35" s="258">
        <v>3.9316463407065287E-2</v>
      </c>
      <c r="JJ35" s="258">
        <v>0.12035497683448709</v>
      </c>
      <c r="JK35" s="662" t="str">
        <f t="shared" si="3"/>
        <v>No Sig diff</v>
      </c>
      <c r="JL35" s="3">
        <v>123</v>
      </c>
      <c r="JM35" s="3">
        <v>23</v>
      </c>
      <c r="JN35" s="17">
        <v>0.18699186991869918</v>
      </c>
      <c r="JO35" s="17">
        <v>0.12795837432731735</v>
      </c>
      <c r="JP35" s="17">
        <v>0.26498458993763258</v>
      </c>
      <c r="JQ35" s="3" t="s">
        <v>707</v>
      </c>
      <c r="JR35" s="3">
        <v>128</v>
      </c>
      <c r="JS35" s="3">
        <v>18</v>
      </c>
      <c r="JT35" s="17">
        <v>0.140625</v>
      </c>
      <c r="JU35" s="17">
        <v>9.083969494262252E-2</v>
      </c>
      <c r="JV35" s="17">
        <v>0.21135249237896167</v>
      </c>
      <c r="JW35" s="3" t="s">
        <v>707</v>
      </c>
      <c r="JX35" s="3">
        <v>125</v>
      </c>
      <c r="JY35" s="3">
        <v>19</v>
      </c>
      <c r="JZ35" s="17">
        <v>0.152</v>
      </c>
      <c r="KA35" s="17">
        <v>9.9520834204329611E-2</v>
      </c>
      <c r="KB35" s="17">
        <v>0.22523067981666553</v>
      </c>
      <c r="KC35" s="3" t="s">
        <v>707</v>
      </c>
      <c r="KD35" s="3">
        <v>103</v>
      </c>
      <c r="KE35" s="3">
        <v>18</v>
      </c>
      <c r="KF35" s="17">
        <v>0.17475728155339806</v>
      </c>
      <c r="KG35" s="17">
        <v>0.11349896556855764</v>
      </c>
      <c r="KH35" s="17">
        <v>0.25940364415299016</v>
      </c>
      <c r="KI35" s="3" t="s">
        <v>707</v>
      </c>
      <c r="KJ35" s="3">
        <v>126</v>
      </c>
      <c r="KK35" s="3">
        <v>20</v>
      </c>
      <c r="KL35" s="17">
        <v>0.15873015873015872</v>
      </c>
      <c r="KM35" s="17">
        <v>0.10516625713947378</v>
      </c>
      <c r="KN35" s="17">
        <v>0.2324875186182172</v>
      </c>
      <c r="KO35" s="465" t="s">
        <v>707</v>
      </c>
      <c r="KP35" s="465">
        <v>119</v>
      </c>
      <c r="KQ35" s="465">
        <v>13</v>
      </c>
      <c r="KR35" s="393">
        <v>0.1092436974789916</v>
      </c>
      <c r="KS35" s="393">
        <v>6.4962412309252232E-2</v>
      </c>
      <c r="KT35" s="393">
        <v>0.17796419493865004</v>
      </c>
      <c r="KU35" s="465" t="s">
        <v>708</v>
      </c>
      <c r="KV35" s="465">
        <v>142</v>
      </c>
      <c r="KW35" s="465">
        <v>16</v>
      </c>
      <c r="KX35" s="393">
        <v>0.11267605633802817</v>
      </c>
      <c r="KY35" s="393">
        <v>7.0556489147331369E-2</v>
      </c>
      <c r="KZ35" s="393">
        <v>0.17519982123598474</v>
      </c>
      <c r="LA35" s="660" t="str">
        <f t="shared" si="4"/>
        <v>Sig better than Eng.</v>
      </c>
      <c r="LB35" s="3">
        <v>152</v>
      </c>
      <c r="LC35" s="3">
        <v>85</v>
      </c>
      <c r="LD35" s="17">
        <v>0.55921052631578949</v>
      </c>
      <c r="LE35" s="17">
        <v>0.47978845905599204</v>
      </c>
      <c r="LF35" s="17">
        <v>0.63571353981011325</v>
      </c>
      <c r="LG35" s="3">
        <v>152</v>
      </c>
      <c r="LH35" s="3">
        <v>34</v>
      </c>
      <c r="LI35" s="3">
        <v>30</v>
      </c>
      <c r="LJ35" s="293">
        <v>24.766666666666669</v>
      </c>
      <c r="LK35" s="17">
        <v>0.27156862745098032</v>
      </c>
      <c r="LL35" s="3">
        <v>150</v>
      </c>
      <c r="LM35" s="3">
        <v>89</v>
      </c>
      <c r="LN35" s="17">
        <v>0.59333333333333338</v>
      </c>
      <c r="LO35" s="17">
        <v>0.51334665051332073</v>
      </c>
      <c r="LP35" s="17">
        <v>0.668658903871305</v>
      </c>
      <c r="LQ35" s="3">
        <v>150</v>
      </c>
      <c r="LR35" s="3">
        <v>34</v>
      </c>
      <c r="LS35" s="3">
        <v>30</v>
      </c>
      <c r="LT35" s="293">
        <v>26.6</v>
      </c>
      <c r="LU35" s="18">
        <v>0.21764705882352936</v>
      </c>
      <c r="LV35" s="42">
        <v>207</v>
      </c>
      <c r="LW35" s="42">
        <v>134</v>
      </c>
      <c r="LX35" s="18">
        <v>0.64734299516908211</v>
      </c>
      <c r="LY35" s="18">
        <v>0.580109461583598</v>
      </c>
      <c r="LZ35" s="18">
        <v>0.70920745142389652</v>
      </c>
      <c r="MA35" s="337">
        <v>34</v>
      </c>
      <c r="MB35" s="337">
        <v>41</v>
      </c>
      <c r="MC35" s="294">
        <v>24.2</v>
      </c>
      <c r="MD35" s="393">
        <v>0.28799999999999998</v>
      </c>
      <c r="ME35" s="337">
        <v>186</v>
      </c>
      <c r="MF35" s="337">
        <v>135</v>
      </c>
      <c r="MG35" s="393">
        <v>0.72580645161290325</v>
      </c>
      <c r="MH35" s="393">
        <v>0.65761419143427535</v>
      </c>
      <c r="MI35" s="393">
        <v>0.78486028448796386</v>
      </c>
      <c r="MJ35" s="337">
        <v>34</v>
      </c>
      <c r="MK35" s="337">
        <v>37</v>
      </c>
      <c r="ML35" s="294">
        <v>27.45945945945946</v>
      </c>
      <c r="MM35" s="93">
        <v>0.19236883942766295</v>
      </c>
      <c r="MN35" s="17">
        <v>0.900595238095238</v>
      </c>
      <c r="MO35" s="17">
        <v>9.9404761904761912E-2</v>
      </c>
      <c r="MP35" s="17">
        <v>3.9457573336373918E-2</v>
      </c>
      <c r="MQ35" s="17">
        <v>0.19577736249133981</v>
      </c>
      <c r="MR35" s="17">
        <v>0.91845238095238091</v>
      </c>
      <c r="MS35" s="17">
        <v>8.1547619047619049E-2</v>
      </c>
      <c r="MT35" s="17">
        <v>2.864359650368855E-2</v>
      </c>
      <c r="MU35" s="17">
        <v>0.17260178091636799</v>
      </c>
      <c r="MV35" s="17">
        <v>0.88511904761904758</v>
      </c>
      <c r="MW35" s="17">
        <v>0.11488095238095238</v>
      </c>
      <c r="MX35" s="17">
        <v>5.0966556283051322E-2</v>
      </c>
      <c r="MY35" s="17">
        <v>0.21825793795231954</v>
      </c>
      <c r="MZ35" s="17">
        <v>0.76557539682539688</v>
      </c>
      <c r="NA35" s="17">
        <v>0.23442460317460317</v>
      </c>
      <c r="NB35" s="17">
        <v>0.13195287989578958</v>
      </c>
      <c r="NC35" s="93">
        <v>0.34938926831587819</v>
      </c>
      <c r="ND35" s="337">
        <v>4</v>
      </c>
      <c r="NE35" s="337">
        <v>72</v>
      </c>
      <c r="NF35" s="393">
        <v>5.5555555555555552E-2</v>
      </c>
      <c r="NG35" s="393">
        <v>2.1814215981316658E-2</v>
      </c>
      <c r="NH35" s="393">
        <v>0.13432015965997915</v>
      </c>
      <c r="NI35" s="337">
        <v>3</v>
      </c>
      <c r="NJ35" s="337">
        <v>72</v>
      </c>
      <c r="NK35" s="393">
        <v>4.1666666666666664E-2</v>
      </c>
      <c r="NL35" s="393">
        <v>1.4270807466925193E-2</v>
      </c>
      <c r="NM35" s="393">
        <v>0.11549276741316108</v>
      </c>
      <c r="NN35" s="337">
        <v>2</v>
      </c>
      <c r="NO35" s="337">
        <v>72</v>
      </c>
      <c r="NP35" s="393">
        <v>2.7777777777777776E-2</v>
      </c>
      <c r="NQ35" s="393">
        <v>7.6510219044945826E-3</v>
      </c>
      <c r="NR35" s="393">
        <v>9.5741752214382206E-2</v>
      </c>
      <c r="NS35" s="337">
        <v>9</v>
      </c>
      <c r="NT35" s="337">
        <v>71</v>
      </c>
      <c r="NU35" s="393">
        <v>0.12676056338028169</v>
      </c>
      <c r="NV35" s="393">
        <v>6.8145275895648436E-2</v>
      </c>
      <c r="NW35" s="93">
        <v>0.22369108278653727</v>
      </c>
      <c r="NX35" s="3">
        <v>40</v>
      </c>
      <c r="NY35" s="3">
        <v>39</v>
      </c>
      <c r="NZ35" s="3">
        <v>39</v>
      </c>
      <c r="OA35" s="3">
        <v>39</v>
      </c>
      <c r="OB35" s="3">
        <v>39</v>
      </c>
      <c r="OC35" s="3">
        <v>33</v>
      </c>
      <c r="OD35" s="3">
        <v>32</v>
      </c>
      <c r="OE35" s="3">
        <v>33</v>
      </c>
      <c r="OF35" s="3">
        <v>32</v>
      </c>
      <c r="OG35" s="3">
        <v>33</v>
      </c>
      <c r="OH35" s="3">
        <v>33</v>
      </c>
      <c r="OI35" s="3">
        <v>32</v>
      </c>
      <c r="OJ35" s="3">
        <v>33</v>
      </c>
      <c r="OK35" s="3">
        <v>45</v>
      </c>
      <c r="OL35" s="3">
        <v>39</v>
      </c>
      <c r="OM35" s="3">
        <v>42</v>
      </c>
      <c r="ON35" s="3">
        <v>37</v>
      </c>
      <c r="OO35" s="3">
        <v>42</v>
      </c>
      <c r="OP35" s="3">
        <v>43</v>
      </c>
      <c r="OQ35" s="3">
        <v>38</v>
      </c>
      <c r="OR35" s="3">
        <v>39</v>
      </c>
      <c r="OS35" s="3">
        <v>38</v>
      </c>
      <c r="OT35" s="6">
        <v>43</v>
      </c>
      <c r="OU35" s="3">
        <v>140</v>
      </c>
      <c r="OV35" s="22">
        <v>0.97099999999999997</v>
      </c>
      <c r="OW35" s="22">
        <v>7.0000000000000001E-3</v>
      </c>
      <c r="OX35" s="22">
        <v>0.97099999999999997</v>
      </c>
      <c r="OY35" s="3">
        <v>136</v>
      </c>
      <c r="OZ35" s="3">
        <v>1</v>
      </c>
      <c r="PA35" s="3">
        <v>136</v>
      </c>
      <c r="PB35" s="3">
        <v>151</v>
      </c>
      <c r="PC35" s="22">
        <v>0.96699999999999997</v>
      </c>
      <c r="PD35" s="22">
        <v>0.94699999999999995</v>
      </c>
      <c r="PE35" s="22">
        <v>0.96699999999999997</v>
      </c>
      <c r="PF35" s="22">
        <v>0.96</v>
      </c>
      <c r="PG35" s="22">
        <v>0.95399999999999996</v>
      </c>
      <c r="PH35" s="3">
        <v>146</v>
      </c>
      <c r="PI35" s="3">
        <v>143</v>
      </c>
      <c r="PJ35" s="3">
        <v>146</v>
      </c>
      <c r="PK35" s="3">
        <v>145</v>
      </c>
      <c r="PL35" s="3">
        <v>144</v>
      </c>
      <c r="PM35" s="3">
        <v>179</v>
      </c>
      <c r="PN35" s="22">
        <v>0.96599999999999997</v>
      </c>
      <c r="PO35" s="22">
        <v>0.94399999999999995</v>
      </c>
      <c r="PP35" s="22">
        <v>0.96599999999999997</v>
      </c>
      <c r="PQ35" s="22">
        <v>0.96599999999999997</v>
      </c>
      <c r="PR35" s="22">
        <v>0.96599999999999997</v>
      </c>
      <c r="PS35" s="22">
        <v>0.91100000000000003</v>
      </c>
      <c r="PT35" s="22">
        <v>0.93899999999999995</v>
      </c>
      <c r="PU35" s="22">
        <v>0.92200000000000004</v>
      </c>
      <c r="PV35" s="22">
        <v>0.96099999999999997</v>
      </c>
      <c r="PW35" s="22">
        <v>0.92700000000000005</v>
      </c>
      <c r="PX35" s="3">
        <v>173</v>
      </c>
      <c r="PY35" s="3">
        <v>169</v>
      </c>
      <c r="PZ35" s="3">
        <v>173</v>
      </c>
      <c r="QA35" s="3">
        <v>173</v>
      </c>
      <c r="QB35" s="3">
        <v>173</v>
      </c>
      <c r="QC35" s="3">
        <v>163</v>
      </c>
      <c r="QD35" s="3">
        <v>168</v>
      </c>
      <c r="QE35" s="3">
        <v>165</v>
      </c>
      <c r="QF35" s="3">
        <v>172</v>
      </c>
      <c r="QG35" s="6">
        <v>166</v>
      </c>
      <c r="QH35" s="37">
        <v>145</v>
      </c>
      <c r="QI35" s="17">
        <v>0.94482758620689655</v>
      </c>
      <c r="QJ35" s="17">
        <v>0.24827586206896551</v>
      </c>
      <c r="QK35" s="17">
        <v>0.9517241379310345</v>
      </c>
      <c r="QL35" s="37">
        <v>137</v>
      </c>
      <c r="QM35" s="37">
        <v>36</v>
      </c>
      <c r="QN35" s="37">
        <v>138</v>
      </c>
      <c r="QO35" s="37">
        <v>140</v>
      </c>
      <c r="QP35" s="17">
        <v>0.98571428571428577</v>
      </c>
      <c r="QQ35" s="17">
        <v>0.95</v>
      </c>
      <c r="QR35" s="17">
        <v>0.7142857142857143</v>
      </c>
      <c r="QS35" s="17">
        <v>0.98571428571428577</v>
      </c>
      <c r="QT35" s="17">
        <v>0.72857142857142854</v>
      </c>
      <c r="QU35" s="37">
        <v>138</v>
      </c>
      <c r="QV35" s="37">
        <v>133</v>
      </c>
      <c r="QW35" s="37">
        <v>100</v>
      </c>
      <c r="QX35" s="37">
        <v>138</v>
      </c>
      <c r="QY35" s="37">
        <v>102</v>
      </c>
      <c r="QZ35" s="3">
        <v>179</v>
      </c>
      <c r="RA35" s="17">
        <v>0.96648044692737434</v>
      </c>
      <c r="RB35" s="17">
        <v>0.91620111731843579</v>
      </c>
      <c r="RC35" s="17">
        <v>0.96648044692737434</v>
      </c>
      <c r="RD35" s="17">
        <v>0.96648044692737434</v>
      </c>
      <c r="RE35" s="17">
        <v>0.76536312849162014</v>
      </c>
      <c r="RF35" s="17">
        <v>0.92737430167597767</v>
      </c>
      <c r="RG35" s="17">
        <v>0.93296089385474856</v>
      </c>
      <c r="RH35" s="17">
        <v>0.9050279329608939</v>
      </c>
      <c r="RI35" s="17">
        <v>0.77094972067039103</v>
      </c>
      <c r="RJ35" s="17">
        <v>0.73743016759776536</v>
      </c>
      <c r="RK35" s="37">
        <v>173</v>
      </c>
      <c r="RL35" s="37">
        <v>164</v>
      </c>
      <c r="RM35" s="37">
        <v>173</v>
      </c>
      <c r="RN35" s="37">
        <v>173</v>
      </c>
      <c r="RO35" s="37">
        <v>137</v>
      </c>
      <c r="RP35" s="37">
        <v>166</v>
      </c>
      <c r="RQ35" s="37">
        <v>167</v>
      </c>
      <c r="RR35" s="37">
        <v>162</v>
      </c>
      <c r="RS35" s="37">
        <v>138</v>
      </c>
      <c r="RT35" s="38">
        <v>132</v>
      </c>
    </row>
    <row r="36" spans="1:488" s="3" customFormat="1" ht="12.75" x14ac:dyDescent="0.2">
      <c r="A36" s="9" t="s">
        <v>57</v>
      </c>
      <c r="B36" s="6">
        <v>26</v>
      </c>
      <c r="C36" s="9" t="s">
        <v>214</v>
      </c>
      <c r="D36" s="9" t="s">
        <v>215</v>
      </c>
      <c r="E36" s="9" t="s">
        <v>861</v>
      </c>
      <c r="F36" s="9" t="s">
        <v>862</v>
      </c>
      <c r="G36" s="9" t="s">
        <v>216</v>
      </c>
      <c r="H36" s="9" t="s">
        <v>267</v>
      </c>
      <c r="I36" s="9" t="s">
        <v>83</v>
      </c>
      <c r="J36" s="9" t="s">
        <v>268</v>
      </c>
      <c r="K36" s="9" t="s">
        <v>384</v>
      </c>
      <c r="L36" s="9" t="s">
        <v>276</v>
      </c>
      <c r="M36" s="9" t="s">
        <v>350</v>
      </c>
      <c r="N36" s="3" t="s">
        <v>401</v>
      </c>
      <c r="O36" s="9">
        <v>521421</v>
      </c>
      <c r="P36" s="9">
        <v>122487</v>
      </c>
      <c r="Q36" s="109" t="s">
        <v>286</v>
      </c>
      <c r="R36" s="109" t="s">
        <v>286</v>
      </c>
      <c r="S36" s="109" t="s">
        <v>286</v>
      </c>
      <c r="T36" s="36">
        <v>27490</v>
      </c>
      <c r="U36" s="37">
        <v>27485</v>
      </c>
      <c r="V36" s="37">
        <v>27665</v>
      </c>
      <c r="W36" s="37">
        <v>27665</v>
      </c>
      <c r="X36" s="37">
        <v>27750</v>
      </c>
      <c r="Y36" s="37">
        <v>27890</v>
      </c>
      <c r="Z36" s="37">
        <v>27850</v>
      </c>
      <c r="AA36" s="37">
        <v>27865</v>
      </c>
      <c r="AB36" s="37">
        <v>27915</v>
      </c>
      <c r="AC36" s="42">
        <v>28160</v>
      </c>
      <c r="AD36" s="42">
        <v>28090</v>
      </c>
      <c r="AE36" s="36">
        <v>1285</v>
      </c>
      <c r="AF36" s="37">
        <v>1260</v>
      </c>
      <c r="AG36" s="37">
        <v>1305</v>
      </c>
      <c r="AH36" s="37">
        <v>1265</v>
      </c>
      <c r="AI36" s="37">
        <v>1265</v>
      </c>
      <c r="AJ36" s="37">
        <v>1275</v>
      </c>
      <c r="AK36" s="37">
        <v>1280</v>
      </c>
      <c r="AL36" s="37">
        <v>1325</v>
      </c>
      <c r="AM36" s="37">
        <v>1305</v>
      </c>
      <c r="AN36" s="42">
        <v>1324</v>
      </c>
      <c r="AO36" s="42">
        <v>1238</v>
      </c>
      <c r="AP36" s="13">
        <v>1291</v>
      </c>
      <c r="AQ36" s="3">
        <v>1208</v>
      </c>
      <c r="AR36" s="3">
        <v>29</v>
      </c>
      <c r="AS36" s="3">
        <v>35</v>
      </c>
      <c r="AT36" s="3">
        <v>13</v>
      </c>
      <c r="AU36" s="3">
        <v>2</v>
      </c>
      <c r="AV36" s="3">
        <v>4</v>
      </c>
      <c r="AW36" s="9">
        <v>83</v>
      </c>
      <c r="AX36" s="16">
        <v>0.93570875290472499</v>
      </c>
      <c r="AY36" s="17">
        <v>2.2463206816421378E-2</v>
      </c>
      <c r="AZ36" s="17">
        <v>2.7110766847405113E-2</v>
      </c>
      <c r="BA36" s="17">
        <v>1.0069713400464756E-2</v>
      </c>
      <c r="BB36" s="17">
        <v>1.5491866769945779E-3</v>
      </c>
      <c r="BC36" s="17">
        <v>3.0983733539891559E-3</v>
      </c>
      <c r="BD36" s="18">
        <v>6.4291247095275006E-2</v>
      </c>
      <c r="BE36" s="13">
        <v>3945</v>
      </c>
      <c r="BF36" s="3">
        <v>3878</v>
      </c>
      <c r="BG36" s="3">
        <v>67</v>
      </c>
      <c r="BH36" s="3">
        <v>60</v>
      </c>
      <c r="BI36" s="3">
        <v>7</v>
      </c>
      <c r="BJ36" s="17">
        <v>0.89552238805970152</v>
      </c>
      <c r="BK36" s="18">
        <v>0.1044776119402985</v>
      </c>
      <c r="BL36" s="13">
        <v>2715</v>
      </c>
      <c r="BM36" s="17">
        <v>0.70202578268876614</v>
      </c>
      <c r="BN36" s="17">
        <v>0.11344383057090239</v>
      </c>
      <c r="BO36" s="18">
        <v>0.18453038674033148</v>
      </c>
      <c r="BP36" s="36">
        <v>8411</v>
      </c>
      <c r="BQ36" s="37">
        <v>355</v>
      </c>
      <c r="BR36" s="37">
        <v>458</v>
      </c>
      <c r="BS36" s="37">
        <v>190</v>
      </c>
      <c r="BT36" s="37">
        <v>5413</v>
      </c>
      <c r="BU36" s="37">
        <v>3084</v>
      </c>
      <c r="BV36" s="18">
        <v>0.13132295719844359</v>
      </c>
      <c r="BW36" s="36">
        <v>2033</v>
      </c>
      <c r="BX36" s="37">
        <v>2</v>
      </c>
      <c r="BY36" s="37">
        <v>360</v>
      </c>
      <c r="BZ36" s="37">
        <v>501</v>
      </c>
      <c r="CA36" s="37">
        <v>211</v>
      </c>
      <c r="CB36" s="38">
        <v>3107</v>
      </c>
      <c r="CC36" s="37">
        <v>1008</v>
      </c>
      <c r="CD36" s="37">
        <v>893</v>
      </c>
      <c r="CE36" s="37">
        <v>112</v>
      </c>
      <c r="CF36" s="37">
        <v>115</v>
      </c>
      <c r="CG36" s="17">
        <v>0.1111111111111111</v>
      </c>
      <c r="CH36" s="93">
        <v>0.11408730158730158</v>
      </c>
      <c r="CI36" s="37">
        <v>85</v>
      </c>
      <c r="CJ36" s="37">
        <v>85</v>
      </c>
      <c r="CK36" s="37">
        <v>80</v>
      </c>
      <c r="CL36" s="37">
        <v>85</v>
      </c>
      <c r="CM36" s="42">
        <v>65</v>
      </c>
      <c r="CN36" s="42">
        <v>55</v>
      </c>
      <c r="CO36" s="36">
        <v>497</v>
      </c>
      <c r="CP36" s="37">
        <v>134</v>
      </c>
      <c r="CQ36" s="17">
        <v>0.26961770623742454</v>
      </c>
      <c r="CR36" s="38">
        <v>57</v>
      </c>
      <c r="CS36" s="37">
        <v>247</v>
      </c>
      <c r="CT36" s="37">
        <v>240</v>
      </c>
      <c r="CU36" s="37">
        <v>238</v>
      </c>
      <c r="CV36" s="37">
        <v>247</v>
      </c>
      <c r="CW36" s="37">
        <v>228</v>
      </c>
      <c r="CX36" s="526" t="s">
        <v>471</v>
      </c>
      <c r="CY36" s="568">
        <v>222</v>
      </c>
      <c r="CZ36" s="37">
        <v>12</v>
      </c>
      <c r="DA36" s="37">
        <v>11</v>
      </c>
      <c r="DB36" s="37">
        <v>8</v>
      </c>
      <c r="DC36" s="37">
        <v>16</v>
      </c>
      <c r="DD36" s="37">
        <v>9</v>
      </c>
      <c r="DE36" s="528" t="s">
        <v>471</v>
      </c>
      <c r="DF36" s="716">
        <v>4</v>
      </c>
      <c r="DG36" s="13">
        <v>23</v>
      </c>
      <c r="DH36" s="13">
        <v>14</v>
      </c>
      <c r="DI36" s="17">
        <v>6.1403508771929821E-2</v>
      </c>
      <c r="DJ36" s="17">
        <v>3.6925597628576258E-2</v>
      </c>
      <c r="DK36" s="18">
        <v>0.10041592438677761</v>
      </c>
      <c r="DL36" s="425" t="s">
        <v>286</v>
      </c>
      <c r="DM36" s="258" t="s">
        <v>286</v>
      </c>
      <c r="DN36" s="258" t="s">
        <v>286</v>
      </c>
      <c r="DO36" s="258" t="s">
        <v>286</v>
      </c>
      <c r="DP36" s="337">
        <v>8</v>
      </c>
      <c r="DQ36" s="393">
        <v>3.6036036036036036E-2</v>
      </c>
      <c r="DR36" s="393">
        <v>1.8371078356966827E-2</v>
      </c>
      <c r="DS36" s="393">
        <v>6.9484618840097268E-2</v>
      </c>
      <c r="DT36" s="13">
        <v>19</v>
      </c>
      <c r="DU36" s="18">
        <v>1.4740108611326609E-2</v>
      </c>
      <c r="DV36" s="328">
        <v>8</v>
      </c>
      <c r="DW36" s="333">
        <v>7</v>
      </c>
      <c r="DX36" s="337">
        <v>8</v>
      </c>
      <c r="DY36" s="393">
        <v>8.0268069896743427E-2</v>
      </c>
      <c r="DZ36" s="337">
        <v>9</v>
      </c>
      <c r="EA36" s="93">
        <v>7.5919344541391792E-2</v>
      </c>
      <c r="EB36" s="3">
        <v>280</v>
      </c>
      <c r="EC36" s="18">
        <v>2.3984923762206612E-2</v>
      </c>
      <c r="ED36" s="13">
        <v>160</v>
      </c>
      <c r="EE36" s="3">
        <v>160</v>
      </c>
      <c r="EF36" s="3">
        <v>135</v>
      </c>
      <c r="EG36" s="3">
        <v>120</v>
      </c>
      <c r="EH36" s="9">
        <v>120</v>
      </c>
      <c r="EI36" s="9">
        <v>100</v>
      </c>
      <c r="EJ36" s="13">
        <v>115</v>
      </c>
      <c r="EK36" s="17">
        <v>9.3117408906882596E-2</v>
      </c>
      <c r="EL36" s="17">
        <v>7.8148015989406391E-2</v>
      </c>
      <c r="EM36" s="17">
        <v>0.11061016380488121</v>
      </c>
      <c r="EN36" s="3">
        <v>130</v>
      </c>
      <c r="EO36" s="17">
        <v>0.10236220472440945</v>
      </c>
      <c r="EP36" s="17">
        <v>8.68721711934725E-2</v>
      </c>
      <c r="EQ36" s="17">
        <v>0.12025051035667515</v>
      </c>
      <c r="ER36" s="3">
        <v>145</v>
      </c>
      <c r="ES36" s="17">
        <v>0.1124031007751938</v>
      </c>
      <c r="ET36" s="17">
        <v>9.6304518779695869E-2</v>
      </c>
      <c r="EU36" s="17">
        <v>0.13080325923858133</v>
      </c>
      <c r="EV36" s="3">
        <v>145</v>
      </c>
      <c r="EW36" s="17">
        <v>0.11462450592885376</v>
      </c>
      <c r="EX36" s="17">
        <v>9.8223868995621369E-2</v>
      </c>
      <c r="EY36" s="17">
        <v>0.13335861656865136</v>
      </c>
      <c r="EZ36" s="3">
        <v>120</v>
      </c>
      <c r="FA36" s="18">
        <v>9.3023255813953487E-2</v>
      </c>
      <c r="FB36" s="18">
        <v>7.8358423236746744E-2</v>
      </c>
      <c r="FC36" s="18">
        <v>0.11010474368244433</v>
      </c>
      <c r="FD36" s="337">
        <v>145</v>
      </c>
      <c r="FE36" s="18">
        <v>0.12608695652173912</v>
      </c>
      <c r="FF36" s="18">
        <v>0.1081380785075248</v>
      </c>
      <c r="FG36" s="393">
        <v>0.14652555536902223</v>
      </c>
      <c r="FH36" s="425" t="s">
        <v>286</v>
      </c>
      <c r="FI36" s="258" t="s">
        <v>286</v>
      </c>
      <c r="FJ36" s="258" t="s">
        <v>286</v>
      </c>
      <c r="FK36" s="258" t="s">
        <v>286</v>
      </c>
      <c r="FL36" s="36">
        <v>380</v>
      </c>
      <c r="FM36" s="18">
        <v>8.3242059145673605E-2</v>
      </c>
      <c r="FN36" s="42">
        <v>415</v>
      </c>
      <c r="FO36" s="18">
        <v>9.1008771929824567E-2</v>
      </c>
      <c r="FP36" s="42">
        <v>425</v>
      </c>
      <c r="FQ36" s="18">
        <v>9.3406593406593408E-2</v>
      </c>
      <c r="FR36" s="42">
        <v>405</v>
      </c>
      <c r="FS36" s="18">
        <v>8.990011098779134E-2</v>
      </c>
      <c r="FT36" s="42">
        <v>330</v>
      </c>
      <c r="FU36" s="18">
        <v>7.3660714285714288E-2</v>
      </c>
      <c r="FV36" s="42">
        <v>365</v>
      </c>
      <c r="FW36" s="393">
        <v>8.3333333333333329E-2</v>
      </c>
      <c r="FX36" s="114" t="s">
        <v>286</v>
      </c>
      <c r="FY36" s="259" t="s">
        <v>286</v>
      </c>
      <c r="FZ36" s="3">
        <v>242</v>
      </c>
      <c r="GA36" s="3">
        <v>2</v>
      </c>
      <c r="GB36" s="3">
        <v>240</v>
      </c>
      <c r="GC36" s="17">
        <v>0.99173553719008267</v>
      </c>
      <c r="GD36" s="3">
        <v>111</v>
      </c>
      <c r="GE36" s="3">
        <v>149</v>
      </c>
      <c r="GF36" s="17">
        <v>0.46250000000000002</v>
      </c>
      <c r="GG36" s="17">
        <v>0.62083333333333335</v>
      </c>
      <c r="GH36" s="17">
        <v>0.40050631657407987</v>
      </c>
      <c r="GI36" s="17">
        <v>0.52567527016091531</v>
      </c>
      <c r="GJ36" s="17">
        <v>0.5580016762847223</v>
      </c>
      <c r="GK36" s="93">
        <v>0.67985765534695974</v>
      </c>
      <c r="GL36" s="337">
        <v>196</v>
      </c>
      <c r="GM36" s="337">
        <v>90</v>
      </c>
      <c r="GN36" s="337">
        <v>29</v>
      </c>
      <c r="GO36" s="337">
        <v>119</v>
      </c>
      <c r="GP36" s="393">
        <v>0.45918367346938777</v>
      </c>
      <c r="GQ36" s="393">
        <v>0.6071428571428571</v>
      </c>
      <c r="GR36" s="393">
        <v>0.39087250439379079</v>
      </c>
      <c r="GS36" s="393">
        <v>0.52906402882399439</v>
      </c>
      <c r="GT36" s="393">
        <v>0.53733960720551399</v>
      </c>
      <c r="GU36" s="93">
        <v>0.67282699309779992</v>
      </c>
      <c r="GV36" s="42">
        <v>227</v>
      </c>
      <c r="GW36" s="42">
        <v>77</v>
      </c>
      <c r="GX36" s="42">
        <v>150</v>
      </c>
      <c r="GY36" s="393">
        <f t="shared" si="2"/>
        <v>0.66079295154185025</v>
      </c>
      <c r="GZ36" s="42">
        <v>62</v>
      </c>
      <c r="HA36" s="42">
        <v>18</v>
      </c>
      <c r="HB36" s="42">
        <v>80</v>
      </c>
      <c r="HC36" s="393">
        <v>0.41333333333333333</v>
      </c>
      <c r="HD36" s="393">
        <v>0.53333333333333333</v>
      </c>
      <c r="HE36" s="393">
        <v>0.33765340992335952</v>
      </c>
      <c r="HF36" s="393">
        <v>0.49334143243377376</v>
      </c>
      <c r="HG36" s="393">
        <v>0.45366249130807695</v>
      </c>
      <c r="HH36" s="93">
        <v>0.61133949240071794</v>
      </c>
      <c r="HI36" s="696">
        <v>213</v>
      </c>
      <c r="HJ36" s="696">
        <v>12</v>
      </c>
      <c r="HK36" s="696">
        <v>201</v>
      </c>
      <c r="HL36" s="697">
        <v>0.94366197183098588</v>
      </c>
      <c r="HM36" s="696">
        <v>96</v>
      </c>
      <c r="HN36" s="696">
        <v>32</v>
      </c>
      <c r="HO36" s="696">
        <v>128</v>
      </c>
      <c r="HP36" s="697">
        <v>0.47761194029850745</v>
      </c>
      <c r="HQ36" s="697">
        <v>0.63681592039800994</v>
      </c>
      <c r="HR36" s="697">
        <v>0.409627782713893</v>
      </c>
      <c r="HS36" s="697">
        <v>0.54643579908339324</v>
      </c>
      <c r="HT36" s="697">
        <v>0.56834205764017742</v>
      </c>
      <c r="HU36" s="698">
        <v>0.70015827582085155</v>
      </c>
      <c r="HV36" s="3">
        <v>231</v>
      </c>
      <c r="HW36" s="3">
        <v>14</v>
      </c>
      <c r="HX36" s="17">
        <v>6.0999999999999999E-2</v>
      </c>
      <c r="HY36" s="17">
        <v>3.5999999999999997E-2</v>
      </c>
      <c r="HZ36" s="17">
        <v>9.9000000000000005E-2</v>
      </c>
      <c r="IA36" s="267" t="s">
        <v>707</v>
      </c>
      <c r="IB36" s="3">
        <v>230</v>
      </c>
      <c r="IC36" s="3">
        <v>15</v>
      </c>
      <c r="ID36" s="17">
        <v>6.5000000000000002E-2</v>
      </c>
      <c r="IE36" s="17">
        <v>0.04</v>
      </c>
      <c r="IF36" s="17">
        <v>0.105</v>
      </c>
      <c r="IG36" s="3" t="s">
        <v>707</v>
      </c>
      <c r="IH36" s="3">
        <v>176</v>
      </c>
      <c r="II36" s="3">
        <v>13</v>
      </c>
      <c r="IJ36" s="17">
        <v>7.3863636363636367E-2</v>
      </c>
      <c r="IK36" s="17">
        <v>4.3671472994869648E-2</v>
      </c>
      <c r="IL36" s="17">
        <v>0.12226055967645509</v>
      </c>
      <c r="IM36" s="3" t="s">
        <v>707</v>
      </c>
      <c r="IN36" s="3">
        <v>236</v>
      </c>
      <c r="IO36" s="3">
        <v>18</v>
      </c>
      <c r="IP36" s="17">
        <v>7.6271186440677971E-2</v>
      </c>
      <c r="IQ36" s="17">
        <v>4.8786992568433107E-2</v>
      </c>
      <c r="IR36" s="17">
        <v>0.11732882000457022</v>
      </c>
      <c r="IS36" s="3" t="s">
        <v>707</v>
      </c>
      <c r="IT36" s="3">
        <v>160</v>
      </c>
      <c r="IU36" s="3">
        <v>11</v>
      </c>
      <c r="IV36" s="17">
        <v>6.8750000000000006E-2</v>
      </c>
      <c r="IW36" s="17">
        <v>3.8819420910912797E-2</v>
      </c>
      <c r="IX36" s="17">
        <v>0.11890292242451041</v>
      </c>
      <c r="IY36" s="9" t="s">
        <v>707</v>
      </c>
      <c r="IZ36" s="9">
        <v>260</v>
      </c>
      <c r="JA36" s="9">
        <v>17</v>
      </c>
      <c r="JB36" s="393">
        <v>6.5384615384615388E-2</v>
      </c>
      <c r="JC36" s="393">
        <v>4.1220216967255301E-2</v>
      </c>
      <c r="JD36" s="393">
        <v>0.10220477389595496</v>
      </c>
      <c r="JE36" s="9" t="str">
        <f t="shared" si="0"/>
        <v>No Sig diff</v>
      </c>
      <c r="JF36" s="9">
        <v>231</v>
      </c>
      <c r="JG36" s="109">
        <v>9</v>
      </c>
      <c r="JH36" s="258">
        <v>3.896103896103896E-2</v>
      </c>
      <c r="JI36" s="258">
        <v>2.0630646165776614E-2</v>
      </c>
      <c r="JJ36" s="258">
        <v>7.2374477079393165E-2</v>
      </c>
      <c r="JK36" s="662" t="str">
        <f t="shared" si="3"/>
        <v>Sig better than Eng.</v>
      </c>
      <c r="JL36" s="3">
        <v>265</v>
      </c>
      <c r="JM36" s="3">
        <v>31</v>
      </c>
      <c r="JN36" s="17">
        <v>0.11700000000000001</v>
      </c>
      <c r="JO36" s="17">
        <v>8.4000000000000005E-2</v>
      </c>
      <c r="JP36" s="17">
        <v>0.161</v>
      </c>
      <c r="JQ36" s="3" t="s">
        <v>708</v>
      </c>
      <c r="JR36" s="3">
        <v>230</v>
      </c>
      <c r="JS36" s="3">
        <v>31</v>
      </c>
      <c r="JT36" s="17">
        <v>0.13500000000000001</v>
      </c>
      <c r="JU36" s="17">
        <v>9.7000000000000003E-2</v>
      </c>
      <c r="JV36" s="17">
        <v>0.185</v>
      </c>
      <c r="JW36" s="3" t="s">
        <v>708</v>
      </c>
      <c r="JX36" s="3">
        <v>219</v>
      </c>
      <c r="JY36" s="3">
        <v>30</v>
      </c>
      <c r="JZ36" s="17">
        <v>0.13698630136986301</v>
      </c>
      <c r="KA36" s="17">
        <v>9.7668720477282839E-2</v>
      </c>
      <c r="KB36" s="17">
        <v>0.18881952618270312</v>
      </c>
      <c r="KC36" s="3" t="s">
        <v>708</v>
      </c>
      <c r="KD36" s="3">
        <v>201</v>
      </c>
      <c r="KE36" s="3">
        <v>23</v>
      </c>
      <c r="KF36" s="17">
        <v>0.11442786069651742</v>
      </c>
      <c r="KG36" s="17">
        <v>7.7469981483862999E-2</v>
      </c>
      <c r="KH36" s="17">
        <v>0.16584726058050997</v>
      </c>
      <c r="KI36" s="3" t="s">
        <v>708</v>
      </c>
      <c r="KJ36" s="3">
        <v>229</v>
      </c>
      <c r="KK36" s="3">
        <v>23</v>
      </c>
      <c r="KL36" s="17">
        <v>0.10043668122270742</v>
      </c>
      <c r="KM36" s="17">
        <v>6.7861778552950641E-2</v>
      </c>
      <c r="KN36" s="17">
        <v>0.14619571392769853</v>
      </c>
      <c r="KO36" s="465" t="s">
        <v>708</v>
      </c>
      <c r="KP36" s="465">
        <v>247</v>
      </c>
      <c r="KQ36" s="465">
        <v>30</v>
      </c>
      <c r="KR36" s="393">
        <v>0.1214574898785425</v>
      </c>
      <c r="KS36" s="393">
        <v>8.6416792569386489E-2</v>
      </c>
      <c r="KT36" s="393">
        <v>0.1680924066707962</v>
      </c>
      <c r="KU36" s="465" t="s">
        <v>708</v>
      </c>
      <c r="KV36" s="465">
        <v>231</v>
      </c>
      <c r="KW36" s="465">
        <v>22</v>
      </c>
      <c r="KX36" s="393">
        <v>9.5238095238095233E-2</v>
      </c>
      <c r="KY36" s="393">
        <v>6.3736340456753512E-2</v>
      </c>
      <c r="KZ36" s="393">
        <v>0.13998177243924062</v>
      </c>
      <c r="LA36" s="660" t="str">
        <f t="shared" si="4"/>
        <v>Sig better than Eng.</v>
      </c>
      <c r="LB36" s="3">
        <v>270</v>
      </c>
      <c r="LC36" s="3">
        <v>155</v>
      </c>
      <c r="LD36" s="17">
        <v>0.57407407407407407</v>
      </c>
      <c r="LE36" s="17">
        <v>0.51445921214610213</v>
      </c>
      <c r="LF36" s="17">
        <v>0.63161070791735763</v>
      </c>
      <c r="LG36" s="3">
        <v>270</v>
      </c>
      <c r="LH36" s="3">
        <v>34</v>
      </c>
      <c r="LI36" s="3">
        <v>54</v>
      </c>
      <c r="LJ36" s="293">
        <v>24.518518518518523</v>
      </c>
      <c r="LK36" s="17">
        <v>0.27886710239651402</v>
      </c>
      <c r="LL36" s="3">
        <v>260</v>
      </c>
      <c r="LM36" s="3">
        <v>153</v>
      </c>
      <c r="LN36" s="17">
        <v>0.58846153846153848</v>
      </c>
      <c r="LO36" s="17">
        <v>0.52777950947191454</v>
      </c>
      <c r="LP36" s="17">
        <v>0.64656761628159143</v>
      </c>
      <c r="LQ36" s="3">
        <v>260</v>
      </c>
      <c r="LR36" s="3">
        <v>34</v>
      </c>
      <c r="LS36" s="3">
        <v>52</v>
      </c>
      <c r="LT36" s="293">
        <v>27.500000000000011</v>
      </c>
      <c r="LU36" s="18">
        <v>0.19117647058823498</v>
      </c>
      <c r="LV36" s="42">
        <v>306</v>
      </c>
      <c r="LW36" s="42">
        <v>187</v>
      </c>
      <c r="LX36" s="18">
        <v>0.61111111111111116</v>
      </c>
      <c r="LY36" s="18">
        <v>0.55543464423107125</v>
      </c>
      <c r="LZ36" s="18">
        <v>0.6640324350255874</v>
      </c>
      <c r="MA36" s="337">
        <v>34</v>
      </c>
      <c r="MB36" s="337">
        <v>61</v>
      </c>
      <c r="MC36" s="294">
        <v>25.4</v>
      </c>
      <c r="MD36" s="393">
        <v>0.254</v>
      </c>
      <c r="ME36" s="337">
        <v>262</v>
      </c>
      <c r="MF36" s="337">
        <v>189</v>
      </c>
      <c r="MG36" s="393">
        <v>0.72137404580152675</v>
      </c>
      <c r="MH36" s="393">
        <v>0.66418786313352851</v>
      </c>
      <c r="MI36" s="393">
        <v>0.77216243570469811</v>
      </c>
      <c r="MJ36" s="337">
        <v>34</v>
      </c>
      <c r="MK36" s="337">
        <v>52</v>
      </c>
      <c r="ML36" s="294">
        <v>27.365384615384617</v>
      </c>
      <c r="MM36" s="93">
        <v>0.19513574660633481</v>
      </c>
      <c r="MN36" s="17">
        <v>0.89917119917119925</v>
      </c>
      <c r="MO36" s="17">
        <v>0.10082880082880083</v>
      </c>
      <c r="MP36" s="17">
        <v>7.1581992836351707E-2</v>
      </c>
      <c r="MQ36" s="17">
        <v>0.17759209866429901</v>
      </c>
      <c r="MR36" s="17">
        <v>0.9474488474488475</v>
      </c>
      <c r="MS36" s="17">
        <v>5.2551152551152558E-2</v>
      </c>
      <c r="MT36" s="17">
        <v>2.9236134754816855E-2</v>
      </c>
      <c r="MU36" s="17">
        <v>0.10870448882000433</v>
      </c>
      <c r="MV36" s="17">
        <v>0.90750453250453256</v>
      </c>
      <c r="MW36" s="17">
        <v>9.2495467495467498E-2</v>
      </c>
      <c r="MX36" s="17">
        <v>7.1581992836351707E-2</v>
      </c>
      <c r="MY36" s="17">
        <v>0.17759209866429901</v>
      </c>
      <c r="MZ36" s="17">
        <v>0.80558793058793066</v>
      </c>
      <c r="NA36" s="17">
        <v>0.19441206941206943</v>
      </c>
      <c r="NB36" s="17">
        <v>0.15442678106920676</v>
      </c>
      <c r="NC36" s="93">
        <v>0.28940587930164563</v>
      </c>
      <c r="ND36" s="337">
        <v>3</v>
      </c>
      <c r="NE36" s="337">
        <v>72</v>
      </c>
      <c r="NF36" s="393">
        <v>4.1666666666666664E-2</v>
      </c>
      <c r="NG36" s="393">
        <v>1.4270807466925193E-2</v>
      </c>
      <c r="NH36" s="393">
        <v>0.11549276741316108</v>
      </c>
      <c r="NI36" s="337">
        <v>3</v>
      </c>
      <c r="NJ36" s="337">
        <v>72</v>
      </c>
      <c r="NK36" s="393">
        <v>4.1666666666666664E-2</v>
      </c>
      <c r="NL36" s="393">
        <v>1.4270807466925193E-2</v>
      </c>
      <c r="NM36" s="393">
        <v>0.11549276741316108</v>
      </c>
      <c r="NN36" s="337">
        <v>3</v>
      </c>
      <c r="NO36" s="337">
        <v>72</v>
      </c>
      <c r="NP36" s="393">
        <v>4.1666666666666664E-2</v>
      </c>
      <c r="NQ36" s="393">
        <v>1.4270807466925193E-2</v>
      </c>
      <c r="NR36" s="393">
        <v>0.11549276741316108</v>
      </c>
      <c r="NS36" s="337">
        <v>5</v>
      </c>
      <c r="NT36" s="337">
        <v>72</v>
      </c>
      <c r="NU36" s="393">
        <v>6.9444444444444448E-2</v>
      </c>
      <c r="NV36" s="393">
        <v>3.0025381565770098E-2</v>
      </c>
      <c r="NW36" s="93">
        <v>0.15247979483673521</v>
      </c>
      <c r="NX36" s="3">
        <v>81</v>
      </c>
      <c r="NY36" s="3">
        <v>79</v>
      </c>
      <c r="NZ36" s="3">
        <v>80</v>
      </c>
      <c r="OA36" s="3">
        <v>80</v>
      </c>
      <c r="OB36" s="3">
        <v>80</v>
      </c>
      <c r="OC36" s="3">
        <v>51</v>
      </c>
      <c r="OD36" s="3">
        <v>48</v>
      </c>
      <c r="OE36" s="3">
        <v>49</v>
      </c>
      <c r="OF36" s="3">
        <v>48</v>
      </c>
      <c r="OG36" s="3">
        <v>49</v>
      </c>
      <c r="OH36" s="3">
        <v>51</v>
      </c>
      <c r="OI36" s="3">
        <v>47</v>
      </c>
      <c r="OJ36" s="3">
        <v>49</v>
      </c>
      <c r="OK36" s="3">
        <v>71</v>
      </c>
      <c r="OL36" s="3">
        <v>69</v>
      </c>
      <c r="OM36" s="3">
        <v>65</v>
      </c>
      <c r="ON36" s="3">
        <v>67</v>
      </c>
      <c r="OO36" s="3">
        <v>66</v>
      </c>
      <c r="OP36" s="3">
        <v>69</v>
      </c>
      <c r="OQ36" s="3">
        <v>67</v>
      </c>
      <c r="OR36" s="3">
        <v>68</v>
      </c>
      <c r="OS36" s="3">
        <v>70</v>
      </c>
      <c r="OT36" s="6">
        <v>69</v>
      </c>
      <c r="OU36" s="3">
        <v>235</v>
      </c>
      <c r="OV36" s="22">
        <v>0.96599999999999997</v>
      </c>
      <c r="OW36" s="22">
        <v>1.2999999999999999E-2</v>
      </c>
      <c r="OX36" s="22">
        <v>0.97</v>
      </c>
      <c r="OY36" s="3">
        <v>227</v>
      </c>
      <c r="OZ36" s="3">
        <v>3</v>
      </c>
      <c r="PA36" s="3">
        <v>228</v>
      </c>
      <c r="PB36" s="3">
        <v>241</v>
      </c>
      <c r="PC36" s="22">
        <v>0.97899999999999998</v>
      </c>
      <c r="PD36" s="22">
        <v>0.92900000000000005</v>
      </c>
      <c r="PE36" s="22">
        <v>0.93400000000000005</v>
      </c>
      <c r="PF36" s="22">
        <v>0.95</v>
      </c>
      <c r="PG36" s="22">
        <v>0.93400000000000005</v>
      </c>
      <c r="PH36" s="3">
        <v>236</v>
      </c>
      <c r="PI36" s="3">
        <v>224</v>
      </c>
      <c r="PJ36" s="3">
        <v>225</v>
      </c>
      <c r="PK36" s="3">
        <v>229</v>
      </c>
      <c r="PL36" s="3">
        <v>225</v>
      </c>
      <c r="PM36" s="3">
        <v>276</v>
      </c>
      <c r="PN36" s="22">
        <v>0.96</v>
      </c>
      <c r="PO36" s="22">
        <v>0.91300000000000003</v>
      </c>
      <c r="PP36" s="22">
        <v>0.96</v>
      </c>
      <c r="PQ36" s="22">
        <v>0.96399999999999997</v>
      </c>
      <c r="PR36" s="22">
        <v>0.96399999999999997</v>
      </c>
      <c r="PS36" s="22">
        <v>0.91300000000000003</v>
      </c>
      <c r="PT36" s="22">
        <v>0.95299999999999996</v>
      </c>
      <c r="PU36" s="22">
        <v>0.89500000000000002</v>
      </c>
      <c r="PV36" s="22">
        <v>0.97099999999999997</v>
      </c>
      <c r="PW36" s="22">
        <v>0.92</v>
      </c>
      <c r="PX36" s="3">
        <v>265</v>
      </c>
      <c r="PY36" s="3">
        <v>252</v>
      </c>
      <c r="PZ36" s="3">
        <v>265</v>
      </c>
      <c r="QA36" s="3">
        <v>266</v>
      </c>
      <c r="QB36" s="3">
        <v>266</v>
      </c>
      <c r="QC36" s="3">
        <v>252</v>
      </c>
      <c r="QD36" s="3">
        <v>263</v>
      </c>
      <c r="QE36" s="3">
        <v>247</v>
      </c>
      <c r="QF36" s="3">
        <v>268</v>
      </c>
      <c r="QG36" s="6">
        <v>254</v>
      </c>
      <c r="QH36" s="37">
        <v>225</v>
      </c>
      <c r="QI36" s="17">
        <v>0.96</v>
      </c>
      <c r="QJ36" s="17">
        <v>0.22222222222222221</v>
      </c>
      <c r="QK36" s="17">
        <v>0.96888888888888891</v>
      </c>
      <c r="QL36" s="37">
        <v>216</v>
      </c>
      <c r="QM36" s="37">
        <v>50</v>
      </c>
      <c r="QN36" s="37">
        <v>218</v>
      </c>
      <c r="QO36" s="37">
        <v>233</v>
      </c>
      <c r="QP36" s="17">
        <v>0.97854077253218885</v>
      </c>
      <c r="QQ36" s="17">
        <v>0.93133047210300424</v>
      </c>
      <c r="QR36" s="17">
        <v>0.73390557939914158</v>
      </c>
      <c r="QS36" s="17">
        <v>0.93991416309012876</v>
      </c>
      <c r="QT36" s="17">
        <v>0.69957081545064381</v>
      </c>
      <c r="QU36" s="37">
        <v>228</v>
      </c>
      <c r="QV36" s="37">
        <v>217</v>
      </c>
      <c r="QW36" s="37">
        <v>171</v>
      </c>
      <c r="QX36" s="37">
        <v>219</v>
      </c>
      <c r="QY36" s="37">
        <v>163</v>
      </c>
      <c r="QZ36" s="3">
        <v>261</v>
      </c>
      <c r="RA36" s="17">
        <v>0.97318007662835249</v>
      </c>
      <c r="RB36" s="17">
        <v>0.90421455938697315</v>
      </c>
      <c r="RC36" s="17">
        <v>0.97318007662835249</v>
      </c>
      <c r="RD36" s="17">
        <v>0.97318007662835249</v>
      </c>
      <c r="RE36" s="17">
        <v>0.72030651340996166</v>
      </c>
      <c r="RF36" s="17">
        <v>0.93869731800766287</v>
      </c>
      <c r="RG36" s="17">
        <v>0.93103448275862066</v>
      </c>
      <c r="RH36" s="17">
        <v>0.90421455938697315</v>
      </c>
      <c r="RI36" s="17">
        <v>0.72796934865900387</v>
      </c>
      <c r="RJ36" s="17">
        <v>0.68199233716475094</v>
      </c>
      <c r="RK36" s="37">
        <v>254</v>
      </c>
      <c r="RL36" s="37">
        <v>236</v>
      </c>
      <c r="RM36" s="37">
        <v>254</v>
      </c>
      <c r="RN36" s="37">
        <v>254</v>
      </c>
      <c r="RO36" s="37">
        <v>188</v>
      </c>
      <c r="RP36" s="37">
        <v>245</v>
      </c>
      <c r="RQ36" s="37">
        <v>243</v>
      </c>
      <c r="RR36" s="37">
        <v>236</v>
      </c>
      <c r="RS36" s="37">
        <v>190</v>
      </c>
      <c r="RT36" s="38">
        <v>178</v>
      </c>
    </row>
    <row r="37" spans="1:488" s="3" customFormat="1" ht="12.75" x14ac:dyDescent="0.2">
      <c r="A37" s="9" t="s">
        <v>47</v>
      </c>
      <c r="B37" s="6">
        <v>15</v>
      </c>
      <c r="C37" s="9" t="s">
        <v>181</v>
      </c>
      <c r="D37" s="9" t="s">
        <v>182</v>
      </c>
      <c r="E37" s="9" t="s">
        <v>286</v>
      </c>
      <c r="F37" s="9" t="s">
        <v>286</v>
      </c>
      <c r="G37" s="9" t="s">
        <v>183</v>
      </c>
      <c r="H37" s="9" t="s">
        <v>266</v>
      </c>
      <c r="I37" s="9" t="s">
        <v>44</v>
      </c>
      <c r="J37" s="9" t="s">
        <v>268</v>
      </c>
      <c r="K37" s="9" t="s">
        <v>375</v>
      </c>
      <c r="L37" s="9" t="s">
        <v>274</v>
      </c>
      <c r="M37" s="9" t="s">
        <v>339</v>
      </c>
      <c r="N37" s="3" t="s">
        <v>44</v>
      </c>
      <c r="O37" s="9">
        <v>485640</v>
      </c>
      <c r="P37" s="9">
        <v>93142</v>
      </c>
      <c r="Q37" s="109">
        <v>22667</v>
      </c>
      <c r="R37" s="109" t="s">
        <v>286</v>
      </c>
      <c r="S37" s="310" t="s">
        <v>797</v>
      </c>
      <c r="T37" s="36">
        <v>20845</v>
      </c>
      <c r="U37" s="37">
        <v>21190</v>
      </c>
      <c r="V37" s="37">
        <v>21470</v>
      </c>
      <c r="W37" s="37">
        <v>21585</v>
      </c>
      <c r="X37" s="37">
        <v>21515</v>
      </c>
      <c r="Y37" s="37">
        <v>21515</v>
      </c>
      <c r="Z37" s="37">
        <v>21455</v>
      </c>
      <c r="AA37" s="37">
        <v>21385</v>
      </c>
      <c r="AB37" s="37">
        <v>21365</v>
      </c>
      <c r="AC37" s="42">
        <v>21491</v>
      </c>
      <c r="AD37" s="42">
        <v>21603</v>
      </c>
      <c r="AE37" s="36">
        <v>740</v>
      </c>
      <c r="AF37" s="37">
        <v>770</v>
      </c>
      <c r="AG37" s="37">
        <v>825</v>
      </c>
      <c r="AH37" s="37">
        <v>875</v>
      </c>
      <c r="AI37" s="37">
        <v>890</v>
      </c>
      <c r="AJ37" s="37">
        <v>885</v>
      </c>
      <c r="AK37" s="37">
        <v>890</v>
      </c>
      <c r="AL37" s="37">
        <v>910</v>
      </c>
      <c r="AM37" s="37">
        <v>885</v>
      </c>
      <c r="AN37" s="42">
        <v>908</v>
      </c>
      <c r="AO37" s="42">
        <v>908</v>
      </c>
      <c r="AP37" s="13">
        <v>887</v>
      </c>
      <c r="AQ37" s="3">
        <v>841</v>
      </c>
      <c r="AR37" s="3">
        <v>29</v>
      </c>
      <c r="AS37" s="3">
        <v>11</v>
      </c>
      <c r="AT37" s="3">
        <v>5</v>
      </c>
      <c r="AU37" s="3">
        <v>1</v>
      </c>
      <c r="AV37" s="3">
        <v>0</v>
      </c>
      <c r="AW37" s="9">
        <v>46</v>
      </c>
      <c r="AX37" s="16">
        <v>0.94813979706877116</v>
      </c>
      <c r="AY37" s="17">
        <v>3.269447576099211E-2</v>
      </c>
      <c r="AZ37" s="17">
        <v>1.2401352874859075E-2</v>
      </c>
      <c r="BA37" s="17">
        <v>5.6369785794813977E-3</v>
      </c>
      <c r="BB37" s="17">
        <v>1.1273957158962795E-3</v>
      </c>
      <c r="BC37" s="17">
        <v>0</v>
      </c>
      <c r="BD37" s="18">
        <v>5.1860202931228838E-2</v>
      </c>
      <c r="BE37" s="13">
        <v>2519</v>
      </c>
      <c r="BF37" s="3">
        <v>2482</v>
      </c>
      <c r="BG37" s="3">
        <v>37</v>
      </c>
      <c r="BH37" s="3">
        <v>34</v>
      </c>
      <c r="BI37" s="3">
        <v>3</v>
      </c>
      <c r="BJ37" s="17">
        <v>0.91891891891891897</v>
      </c>
      <c r="BK37" s="18">
        <v>8.1081081081081086E-2</v>
      </c>
      <c r="BL37" s="13">
        <v>1788</v>
      </c>
      <c r="BM37" s="17">
        <v>0.61353467561521258</v>
      </c>
      <c r="BN37" s="17">
        <v>0.13646532438478748</v>
      </c>
      <c r="BO37" s="18">
        <v>0.25</v>
      </c>
      <c r="BP37" s="36">
        <v>6502</v>
      </c>
      <c r="BQ37" s="37">
        <v>259</v>
      </c>
      <c r="BR37" s="37">
        <v>270</v>
      </c>
      <c r="BS37" s="37">
        <v>166</v>
      </c>
      <c r="BT37" s="37">
        <v>3509</v>
      </c>
      <c r="BU37" s="37">
        <v>1966</v>
      </c>
      <c r="BV37" s="18">
        <v>0.15564598168870802</v>
      </c>
      <c r="BW37" s="36">
        <v>1107</v>
      </c>
      <c r="BX37" s="37">
        <v>3</v>
      </c>
      <c r="BY37" s="37">
        <v>259</v>
      </c>
      <c r="BZ37" s="37">
        <v>429</v>
      </c>
      <c r="CA37" s="37">
        <v>182</v>
      </c>
      <c r="CB37" s="38">
        <v>1980</v>
      </c>
      <c r="CC37" s="37">
        <v>697</v>
      </c>
      <c r="CD37" s="37">
        <v>574</v>
      </c>
      <c r="CE37" s="37">
        <v>123</v>
      </c>
      <c r="CF37" s="37">
        <v>123</v>
      </c>
      <c r="CG37" s="17">
        <v>0.17647058823529413</v>
      </c>
      <c r="CH37" s="93">
        <v>0.17647058823529413</v>
      </c>
      <c r="CI37" s="37">
        <v>130</v>
      </c>
      <c r="CJ37" s="37">
        <v>100</v>
      </c>
      <c r="CK37" s="37">
        <v>105</v>
      </c>
      <c r="CL37" s="37">
        <v>110</v>
      </c>
      <c r="CM37" s="42">
        <v>100</v>
      </c>
      <c r="CN37" s="42">
        <v>110</v>
      </c>
      <c r="CO37" s="36">
        <v>427</v>
      </c>
      <c r="CP37" s="37">
        <v>142</v>
      </c>
      <c r="CQ37" s="17">
        <v>0.33255269320843089</v>
      </c>
      <c r="CR37" s="38">
        <v>39</v>
      </c>
      <c r="CS37" s="37">
        <v>196</v>
      </c>
      <c r="CT37" s="37">
        <v>172</v>
      </c>
      <c r="CU37" s="37">
        <v>188</v>
      </c>
      <c r="CV37" s="37">
        <v>190</v>
      </c>
      <c r="CW37" s="37">
        <v>177</v>
      </c>
      <c r="CX37" s="526" t="s">
        <v>471</v>
      </c>
      <c r="CY37" s="568">
        <v>143</v>
      </c>
      <c r="CZ37" s="37">
        <v>13</v>
      </c>
      <c r="DA37" s="37">
        <v>11</v>
      </c>
      <c r="DB37" s="37">
        <v>13</v>
      </c>
      <c r="DC37" s="37">
        <v>11</v>
      </c>
      <c r="DD37" s="37">
        <v>12</v>
      </c>
      <c r="DE37" s="528" t="s">
        <v>471</v>
      </c>
      <c r="DF37" s="716">
        <v>9</v>
      </c>
      <c r="DG37" s="13">
        <v>20</v>
      </c>
      <c r="DH37" s="13">
        <v>19</v>
      </c>
      <c r="DI37" s="17">
        <v>0.10734463276836158</v>
      </c>
      <c r="DJ37" s="17">
        <v>6.9804882037872676E-2</v>
      </c>
      <c r="DK37" s="18">
        <v>0.16156606074013427</v>
      </c>
      <c r="DL37" s="425" t="s">
        <v>286</v>
      </c>
      <c r="DM37" s="258" t="s">
        <v>286</v>
      </c>
      <c r="DN37" s="258" t="s">
        <v>286</v>
      </c>
      <c r="DO37" s="258" t="s">
        <v>286</v>
      </c>
      <c r="DP37" s="337">
        <v>12</v>
      </c>
      <c r="DQ37" s="393">
        <v>8.3916083916083919E-2</v>
      </c>
      <c r="DR37" s="393">
        <v>4.8653962460813528E-2</v>
      </c>
      <c r="DS37" s="393">
        <v>0.14094820469479138</v>
      </c>
      <c r="DT37" s="13">
        <v>16</v>
      </c>
      <c r="DU37" s="18">
        <v>1.8079096045197741E-2</v>
      </c>
      <c r="DV37" s="328">
        <v>4</v>
      </c>
      <c r="DW37" s="333">
        <v>4</v>
      </c>
      <c r="DX37" s="337">
        <v>4</v>
      </c>
      <c r="DY37" s="393">
        <v>0.15087958750379135</v>
      </c>
      <c r="DZ37" s="337">
        <v>4</v>
      </c>
      <c r="EA37" s="93">
        <v>0.15627857380873042</v>
      </c>
      <c r="EB37" s="3">
        <v>306</v>
      </c>
      <c r="EC37" s="18">
        <v>3.1436202999794535E-2</v>
      </c>
      <c r="ED37" s="13">
        <v>170</v>
      </c>
      <c r="EE37" s="3">
        <v>150</v>
      </c>
      <c r="EF37" s="3">
        <v>165</v>
      </c>
      <c r="EG37" s="3">
        <v>170</v>
      </c>
      <c r="EH37" s="9">
        <v>175</v>
      </c>
      <c r="EI37" s="9">
        <v>160</v>
      </c>
      <c r="EJ37" s="13">
        <v>150</v>
      </c>
      <c r="EK37" s="17">
        <v>0.16759776536312848</v>
      </c>
      <c r="EL37" s="17">
        <v>0.1445592502600313</v>
      </c>
      <c r="EM37" s="17">
        <v>0.19347751455424736</v>
      </c>
      <c r="EN37" s="3">
        <v>180</v>
      </c>
      <c r="EO37" s="17">
        <v>0.19148936170212766</v>
      </c>
      <c r="EP37" s="17">
        <v>0.16761130888020026</v>
      </c>
      <c r="EQ37" s="17">
        <v>0.21787870686386843</v>
      </c>
      <c r="ER37" s="3">
        <v>175</v>
      </c>
      <c r="ES37" s="17">
        <v>0.19125683060109289</v>
      </c>
      <c r="ET37" s="17">
        <v>0.16708515389000358</v>
      </c>
      <c r="EU37" s="17">
        <v>0.21801007165068892</v>
      </c>
      <c r="EV37" s="3">
        <v>165</v>
      </c>
      <c r="EW37" s="17">
        <v>0.17741935483870969</v>
      </c>
      <c r="EX37" s="17">
        <v>0.15420843476217166</v>
      </c>
      <c r="EY37" s="17">
        <v>0.20328421633760635</v>
      </c>
      <c r="EZ37" s="3">
        <v>160</v>
      </c>
      <c r="FA37" s="18">
        <v>0.1702127659574468</v>
      </c>
      <c r="FB37" s="18">
        <v>0.14754139630829566</v>
      </c>
      <c r="FC37" s="18">
        <v>0.19556862052157087</v>
      </c>
      <c r="FD37" s="337">
        <v>180</v>
      </c>
      <c r="FE37" s="18">
        <v>0.20930232558139536</v>
      </c>
      <c r="FF37" s="18">
        <v>0.18343591382141053</v>
      </c>
      <c r="FG37" s="393">
        <v>0.23775417274540703</v>
      </c>
      <c r="FH37" s="425" t="s">
        <v>286</v>
      </c>
      <c r="FI37" s="258" t="s">
        <v>286</v>
      </c>
      <c r="FJ37" s="258" t="s">
        <v>286</v>
      </c>
      <c r="FK37" s="258" t="s">
        <v>286</v>
      </c>
      <c r="FL37" s="36">
        <v>490</v>
      </c>
      <c r="FM37" s="18">
        <v>0.15241057542768274</v>
      </c>
      <c r="FN37" s="42">
        <v>555</v>
      </c>
      <c r="FO37" s="18">
        <v>0.17370892018779344</v>
      </c>
      <c r="FP37" s="42">
        <v>525</v>
      </c>
      <c r="FQ37" s="18">
        <v>0.1640625</v>
      </c>
      <c r="FR37" s="42">
        <v>490</v>
      </c>
      <c r="FS37" s="18">
        <v>0.15336463223787167</v>
      </c>
      <c r="FT37" s="42">
        <v>450</v>
      </c>
      <c r="FU37" s="18">
        <v>0.14285714285714285</v>
      </c>
      <c r="FV37" s="42">
        <v>480</v>
      </c>
      <c r="FW37" s="393">
        <v>0.15660685154975529</v>
      </c>
      <c r="FX37" s="114" t="s">
        <v>286</v>
      </c>
      <c r="FY37" s="259" t="s">
        <v>286</v>
      </c>
      <c r="FZ37" s="3">
        <v>173</v>
      </c>
      <c r="GA37" s="3">
        <v>21</v>
      </c>
      <c r="GB37" s="3">
        <v>152</v>
      </c>
      <c r="GC37" s="17">
        <v>0.87861271676300579</v>
      </c>
      <c r="GD37" s="3">
        <v>48</v>
      </c>
      <c r="GE37" s="3">
        <v>66</v>
      </c>
      <c r="GF37" s="17">
        <v>0.31578947368421051</v>
      </c>
      <c r="GG37" s="17">
        <v>0.43421052631578949</v>
      </c>
      <c r="GH37" s="17">
        <v>0.24720854569312695</v>
      </c>
      <c r="GI37" s="17">
        <v>0.39345222781022515</v>
      </c>
      <c r="GJ37" s="17">
        <v>0.35799524971462582</v>
      </c>
      <c r="GK37" s="93">
        <v>0.5136693122508571</v>
      </c>
      <c r="GL37" s="337">
        <v>160</v>
      </c>
      <c r="GM37" s="337">
        <v>55</v>
      </c>
      <c r="GN37" s="337">
        <v>17</v>
      </c>
      <c r="GO37" s="337">
        <v>72</v>
      </c>
      <c r="GP37" s="393">
        <v>0.34375</v>
      </c>
      <c r="GQ37" s="393">
        <v>0.45</v>
      </c>
      <c r="GR37" s="393">
        <v>0.27459483771231336</v>
      </c>
      <c r="GS37" s="393">
        <v>0.42023209827878205</v>
      </c>
      <c r="GT37" s="393">
        <v>0.37498630307022346</v>
      </c>
      <c r="GU37" s="93">
        <v>0.5273583164469271</v>
      </c>
      <c r="GV37" s="42">
        <v>143</v>
      </c>
      <c r="GW37" s="42">
        <v>15</v>
      </c>
      <c r="GX37" s="42">
        <v>128</v>
      </c>
      <c r="GY37" s="393">
        <f t="shared" si="2"/>
        <v>0.8951048951048951</v>
      </c>
      <c r="GZ37" s="42">
        <v>45</v>
      </c>
      <c r="HA37" s="42">
        <v>11</v>
      </c>
      <c r="HB37" s="42">
        <v>56</v>
      </c>
      <c r="HC37" s="393">
        <v>0.3515625</v>
      </c>
      <c r="HD37" s="393">
        <v>0.4375</v>
      </c>
      <c r="HE37" s="393">
        <v>0.27427287281407242</v>
      </c>
      <c r="HF37" s="393">
        <v>0.43750216107962542</v>
      </c>
      <c r="HG37" s="393">
        <v>0.35462313127053047</v>
      </c>
      <c r="HH37" s="93">
        <v>0.52401898826365811</v>
      </c>
      <c r="HI37" s="696">
        <v>162</v>
      </c>
      <c r="HJ37" s="696">
        <v>10</v>
      </c>
      <c r="HK37" s="696">
        <v>152</v>
      </c>
      <c r="HL37" s="697">
        <v>0.93827160493827155</v>
      </c>
      <c r="HM37" s="696">
        <v>53</v>
      </c>
      <c r="HN37" s="696">
        <v>15</v>
      </c>
      <c r="HO37" s="696">
        <v>68</v>
      </c>
      <c r="HP37" s="697">
        <v>0.34868421052631576</v>
      </c>
      <c r="HQ37" s="697">
        <v>0.44736842105263158</v>
      </c>
      <c r="HR37" s="697">
        <v>0.27750105671174635</v>
      </c>
      <c r="HS37" s="697">
        <v>0.42732716840820695</v>
      </c>
      <c r="HT37" s="697">
        <v>0.37058986641016933</v>
      </c>
      <c r="HU37" s="698">
        <v>0.52674169015329264</v>
      </c>
      <c r="HV37" s="3">
        <v>191</v>
      </c>
      <c r="HW37" s="3">
        <v>20</v>
      </c>
      <c r="HX37" s="17">
        <v>0.10471204188481675</v>
      </c>
      <c r="HY37" s="17">
        <v>6.8812850350840088E-2</v>
      </c>
      <c r="HZ37" s="17">
        <v>0.15619808462188514</v>
      </c>
      <c r="IA37" s="267" t="s">
        <v>707</v>
      </c>
      <c r="IB37" s="3">
        <v>162</v>
      </c>
      <c r="IC37" s="3">
        <v>19</v>
      </c>
      <c r="ID37" s="17">
        <v>0.11728395061728394</v>
      </c>
      <c r="IE37" s="17">
        <v>7.6382886848500614E-2</v>
      </c>
      <c r="IF37" s="17">
        <v>0.1759150555250806</v>
      </c>
      <c r="IG37" s="3" t="s">
        <v>707</v>
      </c>
      <c r="IH37" s="3">
        <v>179</v>
      </c>
      <c r="II37" s="3">
        <v>16</v>
      </c>
      <c r="IJ37" s="17">
        <v>8.9385474860335198E-2</v>
      </c>
      <c r="IK37" s="17">
        <v>5.5768700800059426E-2</v>
      </c>
      <c r="IL37" s="17">
        <v>0.14025609057858801</v>
      </c>
      <c r="IM37" s="3" t="s">
        <v>707</v>
      </c>
      <c r="IN37" s="3">
        <v>176</v>
      </c>
      <c r="IO37" s="3">
        <v>30</v>
      </c>
      <c r="IP37" s="17">
        <v>0.17045454545454544</v>
      </c>
      <c r="IQ37" s="17">
        <v>0.12208717509263066</v>
      </c>
      <c r="IR37" s="17">
        <v>0.23290026350652712</v>
      </c>
      <c r="IS37" s="3" t="s">
        <v>709</v>
      </c>
      <c r="IT37" s="3">
        <v>123</v>
      </c>
      <c r="IU37" s="3">
        <v>8</v>
      </c>
      <c r="IV37" s="17">
        <v>6.5040650406504072E-2</v>
      </c>
      <c r="IW37" s="17">
        <v>3.3322636380229045E-2</v>
      </c>
      <c r="IX37" s="17">
        <v>0.12310459967625974</v>
      </c>
      <c r="IY37" s="9" t="s">
        <v>707</v>
      </c>
      <c r="IZ37" s="9">
        <v>161</v>
      </c>
      <c r="JA37" s="9">
        <v>11</v>
      </c>
      <c r="JB37" s="393">
        <v>6.8322981366459631E-2</v>
      </c>
      <c r="JC37" s="393">
        <v>3.8575583671797274E-2</v>
      </c>
      <c r="JD37" s="393">
        <v>0.11818994731518034</v>
      </c>
      <c r="JE37" s="9" t="str">
        <f t="shared" si="0"/>
        <v>No Sig diff</v>
      </c>
      <c r="JF37" s="9">
        <v>165</v>
      </c>
      <c r="JG37" s="109">
        <v>14</v>
      </c>
      <c r="JH37" s="258">
        <v>8.4848484848484854E-2</v>
      </c>
      <c r="JI37" s="258">
        <v>5.1214010576140778E-2</v>
      </c>
      <c r="JJ37" s="258">
        <v>0.13737390523018403</v>
      </c>
      <c r="JK37" s="662" t="str">
        <f t="shared" si="3"/>
        <v>No Sig diff</v>
      </c>
      <c r="JL37" s="3">
        <v>165</v>
      </c>
      <c r="JM37" s="3">
        <v>31</v>
      </c>
      <c r="JN37" s="17">
        <v>0.18787878787878787</v>
      </c>
      <c r="JO37" s="17">
        <v>0.13563438589221086</v>
      </c>
      <c r="JP37" s="17">
        <v>0.25432587197677792</v>
      </c>
      <c r="JQ37" s="3" t="s">
        <v>707</v>
      </c>
      <c r="JR37" s="3">
        <v>159</v>
      </c>
      <c r="JS37" s="3">
        <v>31</v>
      </c>
      <c r="JT37" s="17">
        <v>0.19496855345911951</v>
      </c>
      <c r="JU37" s="17">
        <v>0.14089118738057674</v>
      </c>
      <c r="JV37" s="17">
        <v>0.26343741110730967</v>
      </c>
      <c r="JW37" s="3" t="s">
        <v>707</v>
      </c>
      <c r="JX37" s="3">
        <v>156</v>
      </c>
      <c r="JY37" s="3">
        <v>22</v>
      </c>
      <c r="JZ37" s="17">
        <v>0.14102564102564102</v>
      </c>
      <c r="KA37" s="17">
        <v>9.5011143828233793E-2</v>
      </c>
      <c r="KB37" s="17">
        <v>0.20429455053708973</v>
      </c>
      <c r="KC37" s="3" t="s">
        <v>707</v>
      </c>
      <c r="KD37" s="3">
        <v>156</v>
      </c>
      <c r="KE37" s="3">
        <v>30</v>
      </c>
      <c r="KF37" s="17">
        <v>0.19230769230769232</v>
      </c>
      <c r="KG37" s="17">
        <v>0.13815889455002239</v>
      </c>
      <c r="KH37" s="17">
        <v>0.2612459863345406</v>
      </c>
      <c r="KI37" s="3" t="s">
        <v>707</v>
      </c>
      <c r="KJ37" s="3">
        <v>157</v>
      </c>
      <c r="KK37" s="3">
        <v>31</v>
      </c>
      <c r="KL37" s="17">
        <v>0.19745222929936307</v>
      </c>
      <c r="KM37" s="17">
        <v>0.14273533101787392</v>
      </c>
      <c r="KN37" s="17">
        <v>0.26662093386215374</v>
      </c>
      <c r="KO37" s="465" t="s">
        <v>707</v>
      </c>
      <c r="KP37" s="465">
        <v>142</v>
      </c>
      <c r="KQ37" s="465">
        <v>27</v>
      </c>
      <c r="KR37" s="393">
        <v>0.19014084507042253</v>
      </c>
      <c r="KS37" s="393">
        <v>0.13409479019339512</v>
      </c>
      <c r="KT37" s="393">
        <v>0.26251025811325773</v>
      </c>
      <c r="KU37" s="465" t="s">
        <v>772</v>
      </c>
      <c r="KV37" s="465">
        <v>164</v>
      </c>
      <c r="KW37" s="465">
        <v>32</v>
      </c>
      <c r="KX37" s="393">
        <v>0.1951219512195122</v>
      </c>
      <c r="KY37" s="393">
        <v>0.14174134117184783</v>
      </c>
      <c r="KZ37" s="393">
        <v>0.2624583082912178</v>
      </c>
      <c r="LA37" s="660" t="str">
        <f t="shared" si="4"/>
        <v>No Sig diff</v>
      </c>
      <c r="LB37" s="3">
        <v>198</v>
      </c>
      <c r="LC37" s="3">
        <v>122</v>
      </c>
      <c r="LD37" s="17">
        <v>0.61616161616161613</v>
      </c>
      <c r="LE37" s="17">
        <v>0.54682338136658892</v>
      </c>
      <c r="LF37" s="17">
        <v>0.68107826118378578</v>
      </c>
      <c r="LG37" s="3">
        <v>198</v>
      </c>
      <c r="LH37" s="3">
        <v>34</v>
      </c>
      <c r="LI37" s="3">
        <v>39</v>
      </c>
      <c r="LJ37" s="293">
        <v>25.512820512820511</v>
      </c>
      <c r="LK37" s="17">
        <v>0.24962292609351439</v>
      </c>
      <c r="LL37" s="3">
        <v>206</v>
      </c>
      <c r="LM37" s="3">
        <v>130</v>
      </c>
      <c r="LN37" s="17">
        <v>0.6310679611650486</v>
      </c>
      <c r="LO37" s="17">
        <v>0.5633394478729038</v>
      </c>
      <c r="LP37" s="17">
        <v>0.69399768799852601</v>
      </c>
      <c r="LQ37" s="3">
        <v>206</v>
      </c>
      <c r="LR37" s="3">
        <v>34</v>
      </c>
      <c r="LS37" s="3">
        <v>41</v>
      </c>
      <c r="LT37" s="293">
        <v>23.317073170731703</v>
      </c>
      <c r="LU37" s="18">
        <v>0.31420373027259696</v>
      </c>
      <c r="LV37" s="42">
        <v>195</v>
      </c>
      <c r="LW37" s="42">
        <v>128</v>
      </c>
      <c r="LX37" s="18">
        <v>0.65641025641025641</v>
      </c>
      <c r="LY37" s="18">
        <v>0.587310522642564</v>
      </c>
      <c r="LZ37" s="18">
        <v>0.71946654669591315</v>
      </c>
      <c r="MA37" s="337">
        <v>34</v>
      </c>
      <c r="MB37" s="337">
        <v>39</v>
      </c>
      <c r="MC37" s="294">
        <v>26.3</v>
      </c>
      <c r="MD37" s="393">
        <v>0.22500000000000001</v>
      </c>
      <c r="ME37" s="337">
        <v>206</v>
      </c>
      <c r="MF37" s="337">
        <v>146</v>
      </c>
      <c r="MG37" s="393">
        <v>0.70873786407766992</v>
      </c>
      <c r="MH37" s="393">
        <v>0.64332455006809652</v>
      </c>
      <c r="MI37" s="393">
        <v>0.76650866631973602</v>
      </c>
      <c r="MJ37" s="337">
        <v>34</v>
      </c>
      <c r="MK37" s="337">
        <v>41</v>
      </c>
      <c r="ML37" s="294">
        <v>22.878048780487806</v>
      </c>
      <c r="MM37" s="93">
        <v>0.32711621233859395</v>
      </c>
      <c r="MN37" s="17"/>
      <c r="MO37" s="17">
        <v>0.17543859649122806</v>
      </c>
      <c r="MP37" s="17">
        <v>9.8187471335966101E-2</v>
      </c>
      <c r="MQ37" s="17">
        <v>0.29367599050593152</v>
      </c>
      <c r="MR37" s="17"/>
      <c r="MS37" s="17">
        <v>0.14035087719298245</v>
      </c>
      <c r="MT37" s="17">
        <v>7.2871892271282851E-2</v>
      </c>
      <c r="MU37" s="17">
        <v>0.25324707895892806</v>
      </c>
      <c r="MV37" s="17"/>
      <c r="MW37" s="17">
        <v>0.17543859649122806</v>
      </c>
      <c r="MX37" s="17">
        <v>9.8187471335966101E-2</v>
      </c>
      <c r="MY37" s="17">
        <v>0.29367599050593152</v>
      </c>
      <c r="MZ37" s="17"/>
      <c r="NA37" s="17">
        <v>0.23636363636363636</v>
      </c>
      <c r="NB37" s="17">
        <v>0.1436652158745749</v>
      </c>
      <c r="NC37" s="93">
        <v>0.36348618721439618</v>
      </c>
      <c r="ND37" s="337">
        <v>19</v>
      </c>
      <c r="NE37" s="337">
        <v>100</v>
      </c>
      <c r="NF37" s="393">
        <v>0.19</v>
      </c>
      <c r="NG37" s="393">
        <v>0.12514751509768735</v>
      </c>
      <c r="NH37" s="393">
        <v>0.27778845379064371</v>
      </c>
      <c r="NI37" s="337">
        <v>11</v>
      </c>
      <c r="NJ37" s="337">
        <v>100</v>
      </c>
      <c r="NK37" s="393">
        <v>0.11</v>
      </c>
      <c r="NL37" s="393">
        <v>6.2541963570645676E-2</v>
      </c>
      <c r="NM37" s="393">
        <v>0.18631296503080311</v>
      </c>
      <c r="NN37" s="337">
        <v>17</v>
      </c>
      <c r="NO37" s="337">
        <v>100</v>
      </c>
      <c r="NP37" s="393">
        <v>0.17</v>
      </c>
      <c r="NQ37" s="393">
        <v>0.10893566114059929</v>
      </c>
      <c r="NR37" s="393">
        <v>0.25548004767601123</v>
      </c>
      <c r="NS37" s="337">
        <v>24</v>
      </c>
      <c r="NT37" s="337">
        <v>93</v>
      </c>
      <c r="NU37" s="393">
        <v>0.25806451612903225</v>
      </c>
      <c r="NV37" s="393">
        <v>0.17998522171036938</v>
      </c>
      <c r="NW37" s="93">
        <v>0.35533776342434115</v>
      </c>
      <c r="NX37" s="3">
        <v>61</v>
      </c>
      <c r="NY37" s="3">
        <v>55</v>
      </c>
      <c r="NZ37" s="3">
        <v>56</v>
      </c>
      <c r="OA37" s="3">
        <v>58</v>
      </c>
      <c r="OB37" s="3">
        <v>56</v>
      </c>
      <c r="OC37" s="3">
        <v>45</v>
      </c>
      <c r="OD37" s="3">
        <v>41</v>
      </c>
      <c r="OE37" s="3">
        <v>43</v>
      </c>
      <c r="OF37" s="3">
        <v>41</v>
      </c>
      <c r="OG37" s="3">
        <v>43</v>
      </c>
      <c r="OH37" s="3">
        <v>44</v>
      </c>
      <c r="OI37" s="3">
        <v>40</v>
      </c>
      <c r="OJ37" s="3">
        <v>43</v>
      </c>
      <c r="OK37" s="3">
        <v>47</v>
      </c>
      <c r="OL37" s="3">
        <v>42</v>
      </c>
      <c r="OM37" s="3">
        <v>41</v>
      </c>
      <c r="ON37" s="3">
        <v>37</v>
      </c>
      <c r="OO37" s="3">
        <v>40</v>
      </c>
      <c r="OP37" s="3">
        <v>41</v>
      </c>
      <c r="OQ37" s="3">
        <v>40</v>
      </c>
      <c r="OR37" s="3">
        <v>42</v>
      </c>
      <c r="OS37" s="3">
        <v>42</v>
      </c>
      <c r="OT37" s="6">
        <v>42</v>
      </c>
      <c r="OU37" s="3">
        <v>130</v>
      </c>
      <c r="OV37" s="22">
        <v>0.95399999999999996</v>
      </c>
      <c r="OW37" s="22">
        <v>0</v>
      </c>
      <c r="OX37" s="22">
        <v>0.95399999999999996</v>
      </c>
      <c r="OY37" s="3">
        <v>124</v>
      </c>
      <c r="OZ37" s="3">
        <v>0</v>
      </c>
      <c r="PA37" s="3">
        <v>124</v>
      </c>
      <c r="PB37" s="3">
        <v>138</v>
      </c>
      <c r="PC37" s="22">
        <v>0.94199999999999995</v>
      </c>
      <c r="PD37" s="22">
        <v>0.877</v>
      </c>
      <c r="PE37" s="22">
        <v>0.95699999999999996</v>
      </c>
      <c r="PF37" s="22">
        <v>0.87</v>
      </c>
      <c r="PG37" s="22">
        <v>0.88400000000000001</v>
      </c>
      <c r="PH37" s="3">
        <v>130</v>
      </c>
      <c r="PI37" s="3">
        <v>121</v>
      </c>
      <c r="PJ37" s="3">
        <v>132</v>
      </c>
      <c r="PK37" s="3">
        <v>120</v>
      </c>
      <c r="PL37" s="3">
        <v>122</v>
      </c>
      <c r="PM37" s="3">
        <v>130</v>
      </c>
      <c r="PN37" s="22">
        <v>0.90800000000000003</v>
      </c>
      <c r="PO37" s="22">
        <v>0.90800000000000003</v>
      </c>
      <c r="PP37" s="22">
        <v>0.90800000000000003</v>
      </c>
      <c r="PQ37" s="22">
        <v>0.9</v>
      </c>
      <c r="PR37" s="22">
        <v>0.93100000000000005</v>
      </c>
      <c r="PS37" s="22">
        <v>0.90800000000000003</v>
      </c>
      <c r="PT37" s="22">
        <v>0.90800000000000003</v>
      </c>
      <c r="PU37" s="22">
        <v>0.89200000000000002</v>
      </c>
      <c r="PV37" s="22">
        <v>0.93799999999999994</v>
      </c>
      <c r="PW37" s="22">
        <v>0.90800000000000003</v>
      </c>
      <c r="PX37" s="3">
        <v>118</v>
      </c>
      <c r="PY37" s="3">
        <v>118</v>
      </c>
      <c r="PZ37" s="3">
        <v>118</v>
      </c>
      <c r="QA37" s="3">
        <v>117</v>
      </c>
      <c r="QB37" s="3">
        <v>121</v>
      </c>
      <c r="QC37" s="3">
        <v>118</v>
      </c>
      <c r="QD37" s="3">
        <v>118</v>
      </c>
      <c r="QE37" s="3">
        <v>116</v>
      </c>
      <c r="QF37" s="3">
        <v>122</v>
      </c>
      <c r="QG37" s="6">
        <v>118</v>
      </c>
      <c r="QH37" s="37">
        <v>173</v>
      </c>
      <c r="QI37" s="17">
        <v>0.94219653179190754</v>
      </c>
      <c r="QJ37" s="17">
        <v>0.19075144508670519</v>
      </c>
      <c r="QK37" s="17">
        <v>0.94219653179190754</v>
      </c>
      <c r="QL37" s="37">
        <v>163</v>
      </c>
      <c r="QM37" s="37">
        <v>33</v>
      </c>
      <c r="QN37" s="37">
        <v>163</v>
      </c>
      <c r="QO37" s="37">
        <v>184</v>
      </c>
      <c r="QP37" s="17">
        <v>0.96195652173913049</v>
      </c>
      <c r="QQ37" s="17">
        <v>0.91304347826086951</v>
      </c>
      <c r="QR37" s="17">
        <v>0.71195652173913049</v>
      </c>
      <c r="QS37" s="17">
        <v>0.92934782608695654</v>
      </c>
      <c r="QT37" s="17">
        <v>0.69565217391304346</v>
      </c>
      <c r="QU37" s="37">
        <v>177</v>
      </c>
      <c r="QV37" s="37">
        <v>168</v>
      </c>
      <c r="QW37" s="37">
        <v>131</v>
      </c>
      <c r="QX37" s="37">
        <v>171</v>
      </c>
      <c r="QY37" s="37">
        <v>128</v>
      </c>
      <c r="QZ37" s="3">
        <v>187</v>
      </c>
      <c r="RA37" s="17">
        <v>0.96791443850267378</v>
      </c>
      <c r="RB37" s="17">
        <v>0.89304812834224601</v>
      </c>
      <c r="RC37" s="17">
        <v>0.96791443850267378</v>
      </c>
      <c r="RD37" s="17">
        <v>0.96791443850267378</v>
      </c>
      <c r="RE37" s="17">
        <v>0.78074866310160429</v>
      </c>
      <c r="RF37" s="17">
        <v>0.86631016042780751</v>
      </c>
      <c r="RG37" s="17">
        <v>0.92513368983957223</v>
      </c>
      <c r="RH37" s="17">
        <v>0.88770053475935828</v>
      </c>
      <c r="RI37" s="17">
        <v>0.79679144385026734</v>
      </c>
      <c r="RJ37" s="17">
        <v>0.73262032085561501</v>
      </c>
      <c r="RK37" s="37">
        <v>181</v>
      </c>
      <c r="RL37" s="37">
        <v>167</v>
      </c>
      <c r="RM37" s="37">
        <v>181</v>
      </c>
      <c r="RN37" s="37">
        <v>181</v>
      </c>
      <c r="RO37" s="37">
        <v>146</v>
      </c>
      <c r="RP37" s="37">
        <v>162</v>
      </c>
      <c r="RQ37" s="37">
        <v>173</v>
      </c>
      <c r="RR37" s="37">
        <v>166</v>
      </c>
      <c r="RS37" s="37">
        <v>149</v>
      </c>
      <c r="RT37" s="38">
        <v>137</v>
      </c>
    </row>
    <row r="38" spans="1:488" s="3" customFormat="1" ht="12.75" x14ac:dyDescent="0.2">
      <c r="A38" s="9" t="s">
        <v>66</v>
      </c>
      <c r="B38" s="6">
        <v>36</v>
      </c>
      <c r="C38" s="9" t="s">
        <v>241</v>
      </c>
      <c r="D38" s="9" t="s">
        <v>242</v>
      </c>
      <c r="E38" s="9" t="s">
        <v>286</v>
      </c>
      <c r="F38" s="9" t="s">
        <v>286</v>
      </c>
      <c r="G38" s="9" t="s">
        <v>243</v>
      </c>
      <c r="H38" s="9" t="s">
        <v>80</v>
      </c>
      <c r="I38" s="9" t="s">
        <v>80</v>
      </c>
      <c r="J38" s="9" t="s">
        <v>270</v>
      </c>
      <c r="K38" s="9" t="s">
        <v>390</v>
      </c>
      <c r="L38" s="9" t="s">
        <v>275</v>
      </c>
      <c r="M38" s="9" t="s">
        <v>359</v>
      </c>
      <c r="N38" s="3" t="s">
        <v>80</v>
      </c>
      <c r="O38" s="9">
        <v>530911</v>
      </c>
      <c r="P38" s="9">
        <v>119696</v>
      </c>
      <c r="Q38" s="109">
        <v>22721</v>
      </c>
      <c r="R38" s="109" t="s">
        <v>286</v>
      </c>
      <c r="S38" s="310" t="s">
        <v>797</v>
      </c>
      <c r="T38" s="36">
        <v>18330</v>
      </c>
      <c r="U38" s="37">
        <v>18385</v>
      </c>
      <c r="V38" s="37">
        <v>18520</v>
      </c>
      <c r="W38" s="37">
        <v>18660</v>
      </c>
      <c r="X38" s="37">
        <v>18865</v>
      </c>
      <c r="Y38" s="37">
        <v>18970</v>
      </c>
      <c r="Z38" s="37">
        <v>19140</v>
      </c>
      <c r="AA38" s="37">
        <v>19245</v>
      </c>
      <c r="AB38" s="37">
        <v>19340</v>
      </c>
      <c r="AC38" s="42">
        <v>19572</v>
      </c>
      <c r="AD38" s="42">
        <v>19616</v>
      </c>
      <c r="AE38" s="36">
        <v>945</v>
      </c>
      <c r="AF38" s="37">
        <v>975</v>
      </c>
      <c r="AG38" s="37">
        <v>985</v>
      </c>
      <c r="AH38" s="37">
        <v>970</v>
      </c>
      <c r="AI38" s="37">
        <v>975</v>
      </c>
      <c r="AJ38" s="37">
        <v>980</v>
      </c>
      <c r="AK38" s="37">
        <v>1035</v>
      </c>
      <c r="AL38" s="37">
        <v>1055</v>
      </c>
      <c r="AM38" s="37">
        <v>1050</v>
      </c>
      <c r="AN38" s="42">
        <v>1051</v>
      </c>
      <c r="AO38" s="42">
        <v>1032</v>
      </c>
      <c r="AP38" s="13">
        <v>1041</v>
      </c>
      <c r="AQ38" s="3">
        <v>869</v>
      </c>
      <c r="AR38" s="3">
        <v>40</v>
      </c>
      <c r="AS38" s="3">
        <v>44</v>
      </c>
      <c r="AT38" s="3">
        <v>73</v>
      </c>
      <c r="AU38" s="3">
        <v>12</v>
      </c>
      <c r="AV38" s="3">
        <v>3</v>
      </c>
      <c r="AW38" s="9">
        <v>172</v>
      </c>
      <c r="AX38" s="16">
        <v>0.83477425552353501</v>
      </c>
      <c r="AY38" s="17">
        <v>3.8424591738712779E-2</v>
      </c>
      <c r="AZ38" s="17">
        <v>4.226705091258405E-2</v>
      </c>
      <c r="BA38" s="17">
        <v>7.0124879923150821E-2</v>
      </c>
      <c r="BB38" s="17">
        <v>1.1527377521613832E-2</v>
      </c>
      <c r="BC38" s="17">
        <v>2.881844380403458E-3</v>
      </c>
      <c r="BD38" s="18">
        <v>0.16522574447646499</v>
      </c>
      <c r="BE38" s="13">
        <v>2703</v>
      </c>
      <c r="BF38" s="3">
        <v>2643</v>
      </c>
      <c r="BG38" s="3">
        <v>60</v>
      </c>
      <c r="BH38" s="3">
        <v>50</v>
      </c>
      <c r="BI38" s="3">
        <v>10</v>
      </c>
      <c r="BJ38" s="17">
        <v>0.83333333333333337</v>
      </c>
      <c r="BK38" s="18">
        <v>0.16666666666666666</v>
      </c>
      <c r="BL38" s="13">
        <v>2002</v>
      </c>
      <c r="BM38" s="17">
        <v>0.72177822177822182</v>
      </c>
      <c r="BN38" s="17">
        <v>0.12387612387612387</v>
      </c>
      <c r="BO38" s="18">
        <v>0.15434565434565434</v>
      </c>
      <c r="BP38" s="36">
        <v>5648</v>
      </c>
      <c r="BQ38" s="37">
        <v>335</v>
      </c>
      <c r="BR38" s="37">
        <v>330</v>
      </c>
      <c r="BS38" s="37">
        <v>155</v>
      </c>
      <c r="BT38" s="37">
        <v>3896</v>
      </c>
      <c r="BU38" s="37">
        <v>2200</v>
      </c>
      <c r="BV38" s="18">
        <v>0.14727272727272728</v>
      </c>
      <c r="BW38" s="36">
        <v>1469</v>
      </c>
      <c r="BX38" s="37">
        <v>1</v>
      </c>
      <c r="BY38" s="37">
        <v>274</v>
      </c>
      <c r="BZ38" s="37">
        <v>334</v>
      </c>
      <c r="CA38" s="37">
        <v>127</v>
      </c>
      <c r="CB38" s="38">
        <v>2205</v>
      </c>
      <c r="CC38" s="37">
        <v>825</v>
      </c>
      <c r="CD38" s="37">
        <v>733</v>
      </c>
      <c r="CE38" s="37">
        <v>90</v>
      </c>
      <c r="CF38" s="37">
        <v>92</v>
      </c>
      <c r="CG38" s="17">
        <v>0.10909090909090909</v>
      </c>
      <c r="CH38" s="93">
        <v>0.11151515151515151</v>
      </c>
      <c r="CI38" s="37">
        <v>90</v>
      </c>
      <c r="CJ38" s="37">
        <v>75</v>
      </c>
      <c r="CK38" s="37">
        <v>65</v>
      </c>
      <c r="CL38" s="37">
        <v>60</v>
      </c>
      <c r="CM38" s="42">
        <v>75</v>
      </c>
      <c r="CN38" s="42">
        <v>55</v>
      </c>
      <c r="CO38" s="36">
        <v>332</v>
      </c>
      <c r="CP38" s="37">
        <v>85</v>
      </c>
      <c r="CQ38" s="17">
        <v>0.25602409638554219</v>
      </c>
      <c r="CR38" s="38">
        <v>24</v>
      </c>
      <c r="CS38" s="37">
        <v>191</v>
      </c>
      <c r="CT38" s="37">
        <v>214</v>
      </c>
      <c r="CU38" s="37">
        <v>186</v>
      </c>
      <c r="CV38" s="37">
        <v>194</v>
      </c>
      <c r="CW38" s="37">
        <v>193</v>
      </c>
      <c r="CX38" s="526" t="s">
        <v>471</v>
      </c>
      <c r="CY38" s="568">
        <v>213</v>
      </c>
      <c r="CZ38" s="37">
        <v>8</v>
      </c>
      <c r="DA38" s="37">
        <v>9</v>
      </c>
      <c r="DB38" s="37">
        <v>5</v>
      </c>
      <c r="DC38" s="37">
        <v>3</v>
      </c>
      <c r="DD38" s="37">
        <v>7</v>
      </c>
      <c r="DE38" s="528" t="s">
        <v>471</v>
      </c>
      <c r="DF38" s="716">
        <v>2</v>
      </c>
      <c r="DG38" s="13">
        <v>11</v>
      </c>
      <c r="DH38" s="13">
        <v>9</v>
      </c>
      <c r="DI38" s="17">
        <v>4.6632124352331605E-2</v>
      </c>
      <c r="DJ38" s="17">
        <v>2.4724444791412101E-2</v>
      </c>
      <c r="DK38" s="18">
        <v>8.6235202386319071E-2</v>
      </c>
      <c r="DL38" s="425" t="s">
        <v>286</v>
      </c>
      <c r="DM38" s="258" t="s">
        <v>286</v>
      </c>
      <c r="DN38" s="258" t="s">
        <v>286</v>
      </c>
      <c r="DO38" s="258" t="s">
        <v>286</v>
      </c>
      <c r="DP38" s="337">
        <v>8</v>
      </c>
      <c r="DQ38" s="393">
        <v>3.7558685446009391E-2</v>
      </c>
      <c r="DR38" s="393">
        <v>1.91522702126719E-2</v>
      </c>
      <c r="DS38" s="393">
        <v>7.234987577270903E-2</v>
      </c>
      <c r="DT38" s="13">
        <v>12</v>
      </c>
      <c r="DU38" s="18">
        <v>1.1527377521613832E-2</v>
      </c>
      <c r="DV38" s="328">
        <v>8</v>
      </c>
      <c r="DW38" s="333">
        <v>8</v>
      </c>
      <c r="DX38" s="337">
        <v>7</v>
      </c>
      <c r="DY38" s="393">
        <v>9.6052860877142043E-2</v>
      </c>
      <c r="DZ38" s="337">
        <v>6</v>
      </c>
      <c r="EA38" s="93">
        <v>9.9380331753554499E-2</v>
      </c>
      <c r="EB38" s="3">
        <v>227</v>
      </c>
      <c r="EC38" s="18">
        <v>2.8865717192268565E-2</v>
      </c>
      <c r="ED38" s="13">
        <v>120</v>
      </c>
      <c r="EE38" s="3">
        <v>120</v>
      </c>
      <c r="EF38" s="3">
        <v>130</v>
      </c>
      <c r="EG38" s="3">
        <v>110</v>
      </c>
      <c r="EH38" s="9">
        <v>90</v>
      </c>
      <c r="EI38" s="9">
        <v>110</v>
      </c>
      <c r="EJ38" s="13">
        <v>95</v>
      </c>
      <c r="EK38" s="17">
        <v>0.1043956043956044</v>
      </c>
      <c r="EL38" s="17">
        <v>8.6164016714191882E-2</v>
      </c>
      <c r="EM38" s="17">
        <v>0.12595314753752104</v>
      </c>
      <c r="EN38" s="3">
        <v>115</v>
      </c>
      <c r="EO38" s="17">
        <v>0.12568306010928962</v>
      </c>
      <c r="EP38" s="17">
        <v>0.10575706592096992</v>
      </c>
      <c r="EQ38" s="17">
        <v>0.14873891548677229</v>
      </c>
      <c r="ER38" s="3">
        <v>115</v>
      </c>
      <c r="ES38" s="17">
        <v>0.12105263157894737</v>
      </c>
      <c r="ET38" s="17">
        <v>0.10182221414585917</v>
      </c>
      <c r="EU38" s="17">
        <v>0.14333536068823319</v>
      </c>
      <c r="EV38" s="3">
        <v>95</v>
      </c>
      <c r="EW38" s="17">
        <v>9.5477386934673364E-2</v>
      </c>
      <c r="EX38" s="17">
        <v>7.8742187918511522E-2</v>
      </c>
      <c r="EY38" s="17">
        <v>0.11532410469368906</v>
      </c>
      <c r="EZ38" s="3">
        <v>120</v>
      </c>
      <c r="FA38" s="18">
        <v>0.12060301507537688</v>
      </c>
      <c r="FB38" s="18">
        <v>0.10181322308936515</v>
      </c>
      <c r="FC38" s="18">
        <v>0.14231106377052485</v>
      </c>
      <c r="FD38" s="337">
        <v>95</v>
      </c>
      <c r="FE38" s="18">
        <v>0.10674157303370786</v>
      </c>
      <c r="FF38" s="18">
        <v>8.8118324177239707E-2</v>
      </c>
      <c r="FG38" s="393">
        <v>0.12874503219072553</v>
      </c>
      <c r="FH38" s="425" t="s">
        <v>286</v>
      </c>
      <c r="FI38" s="258" t="s">
        <v>286</v>
      </c>
      <c r="FJ38" s="258" t="s">
        <v>286</v>
      </c>
      <c r="FK38" s="258" t="s">
        <v>286</v>
      </c>
      <c r="FL38" s="36">
        <v>325</v>
      </c>
      <c r="FM38" s="18">
        <v>0.10046367851622875</v>
      </c>
      <c r="FN38" s="42">
        <v>365</v>
      </c>
      <c r="FO38" s="18">
        <v>0.1123076923076923</v>
      </c>
      <c r="FP38" s="42">
        <v>335</v>
      </c>
      <c r="FQ38" s="18">
        <v>0.10403726708074534</v>
      </c>
      <c r="FR38" s="42">
        <v>320</v>
      </c>
      <c r="FS38" s="18">
        <v>9.8461538461538461E-2</v>
      </c>
      <c r="FT38" s="42">
        <v>305</v>
      </c>
      <c r="FU38" s="18">
        <v>9.3558282208588958E-2</v>
      </c>
      <c r="FV38" s="42">
        <v>285</v>
      </c>
      <c r="FW38" s="393">
        <v>8.9622641509433956E-2</v>
      </c>
      <c r="FX38" s="114" t="s">
        <v>286</v>
      </c>
      <c r="FY38" s="259" t="s">
        <v>286</v>
      </c>
      <c r="FZ38" s="3">
        <v>192</v>
      </c>
      <c r="GA38" s="3">
        <v>1</v>
      </c>
      <c r="GB38" s="3">
        <v>191</v>
      </c>
      <c r="GC38" s="17">
        <v>0.99479166666666663</v>
      </c>
      <c r="GD38" s="3">
        <v>88</v>
      </c>
      <c r="GE38" s="3">
        <v>111</v>
      </c>
      <c r="GF38" s="17">
        <v>0.4607329842931937</v>
      </c>
      <c r="GG38" s="17">
        <v>0.58115183246073299</v>
      </c>
      <c r="GH38" s="17">
        <v>0.39151197448052188</v>
      </c>
      <c r="GI38" s="17">
        <v>0.5315024125908222</v>
      </c>
      <c r="GJ38" s="17">
        <v>0.51025644147427418</v>
      </c>
      <c r="GK38" s="93">
        <v>0.64884715857828135</v>
      </c>
      <c r="GL38" s="337">
        <v>194</v>
      </c>
      <c r="GM38" s="337">
        <v>85</v>
      </c>
      <c r="GN38" s="337">
        <v>33</v>
      </c>
      <c r="GO38" s="337">
        <v>118</v>
      </c>
      <c r="GP38" s="393">
        <v>0.43814432989690721</v>
      </c>
      <c r="GQ38" s="393">
        <v>0.60824742268041232</v>
      </c>
      <c r="GR38" s="393">
        <v>0.37019795862675703</v>
      </c>
      <c r="GS38" s="393">
        <v>0.50849278626028172</v>
      </c>
      <c r="GT38" s="393">
        <v>0.53809330794947507</v>
      </c>
      <c r="GU38" s="93">
        <v>0.67419788849820705</v>
      </c>
      <c r="GV38" s="42">
        <v>221</v>
      </c>
      <c r="GW38" s="42">
        <v>28</v>
      </c>
      <c r="GX38" s="42">
        <v>193</v>
      </c>
      <c r="GY38" s="393">
        <f t="shared" si="2"/>
        <v>0.87330316742081449</v>
      </c>
      <c r="GZ38" s="42">
        <v>98</v>
      </c>
      <c r="HA38" s="42">
        <v>25</v>
      </c>
      <c r="HB38" s="42">
        <v>123</v>
      </c>
      <c r="HC38" s="393">
        <v>0.50777202072538863</v>
      </c>
      <c r="HD38" s="393">
        <v>0.63730569948186533</v>
      </c>
      <c r="HE38" s="393">
        <v>0.43777968196940914</v>
      </c>
      <c r="HF38" s="393">
        <v>0.57746100979325832</v>
      </c>
      <c r="HG38" s="393">
        <v>0.5674090627524998</v>
      </c>
      <c r="HH38" s="93">
        <v>0.70184315838795874</v>
      </c>
      <c r="HI38" s="696">
        <v>258</v>
      </c>
      <c r="HJ38" s="696">
        <v>5</v>
      </c>
      <c r="HK38" s="696">
        <v>253</v>
      </c>
      <c r="HL38" s="697">
        <v>0.98062015503875966</v>
      </c>
      <c r="HM38" s="696">
        <v>109</v>
      </c>
      <c r="HN38" s="696">
        <v>42</v>
      </c>
      <c r="HO38" s="696">
        <v>151</v>
      </c>
      <c r="HP38" s="697">
        <v>0.43083003952569171</v>
      </c>
      <c r="HQ38" s="697">
        <v>0.59683794466403162</v>
      </c>
      <c r="HR38" s="697">
        <v>0.37129524001027081</v>
      </c>
      <c r="HS38" s="697">
        <v>0.49243392520820678</v>
      </c>
      <c r="HT38" s="697">
        <v>0.53538145323921327</v>
      </c>
      <c r="HU38" s="698">
        <v>0.6553977154549181</v>
      </c>
      <c r="HV38" s="3">
        <v>158</v>
      </c>
      <c r="HW38" s="3">
        <v>14</v>
      </c>
      <c r="HX38" s="17">
        <v>8.8607594936708861E-2</v>
      </c>
      <c r="HY38" s="17">
        <v>5.3515080428758875E-2</v>
      </c>
      <c r="HZ38" s="17">
        <v>0.14322967862566621</v>
      </c>
      <c r="IA38" s="267" t="s">
        <v>707</v>
      </c>
      <c r="IB38" s="3">
        <v>169</v>
      </c>
      <c r="IC38" s="3">
        <v>14</v>
      </c>
      <c r="ID38" s="17">
        <v>8.2840236686390539E-2</v>
      </c>
      <c r="IE38" s="17">
        <v>4.9985852761348988E-2</v>
      </c>
      <c r="IF38" s="17">
        <v>0.13423764915740352</v>
      </c>
      <c r="IG38" s="3" t="s">
        <v>707</v>
      </c>
      <c r="IH38" s="3">
        <v>180</v>
      </c>
      <c r="II38" s="3">
        <v>10</v>
      </c>
      <c r="IJ38" s="17">
        <v>5.5555555555555552E-2</v>
      </c>
      <c r="IK38" s="17">
        <v>3.0453273623977831E-2</v>
      </c>
      <c r="IL38" s="17">
        <v>9.9231613417455969E-2</v>
      </c>
      <c r="IM38" s="3" t="s">
        <v>707</v>
      </c>
      <c r="IN38" s="3">
        <v>134</v>
      </c>
      <c r="IO38" s="3">
        <v>11</v>
      </c>
      <c r="IP38" s="17">
        <v>8.2089552238805971E-2</v>
      </c>
      <c r="IQ38" s="17">
        <v>4.6454325805087827E-2</v>
      </c>
      <c r="IR38" s="17">
        <v>0.14101799958802202</v>
      </c>
      <c r="IS38" s="3" t="s">
        <v>707</v>
      </c>
      <c r="IT38" s="3">
        <v>108</v>
      </c>
      <c r="IU38" s="3">
        <v>6</v>
      </c>
      <c r="IV38" s="17">
        <v>5.5555555555555552E-2</v>
      </c>
      <c r="IW38" s="17">
        <v>2.5707729609183883E-2</v>
      </c>
      <c r="IX38" s="17">
        <v>0.11593436794331123</v>
      </c>
      <c r="IY38" s="9" t="s">
        <v>707</v>
      </c>
      <c r="IZ38" s="9">
        <v>169</v>
      </c>
      <c r="JA38" s="9">
        <v>11</v>
      </c>
      <c r="JB38" s="393">
        <v>6.5088757396449703E-2</v>
      </c>
      <c r="JC38" s="393">
        <v>3.6729903670853138E-2</v>
      </c>
      <c r="JD38" s="393">
        <v>0.11277970471252712</v>
      </c>
      <c r="JE38" s="9" t="str">
        <f t="shared" si="0"/>
        <v>No Sig diff</v>
      </c>
      <c r="JF38" s="9">
        <v>191</v>
      </c>
      <c r="JG38" s="109">
        <v>12</v>
      </c>
      <c r="JH38" s="258">
        <v>6.2827225130890049E-2</v>
      </c>
      <c r="JI38" s="258">
        <v>3.63016346980439E-2</v>
      </c>
      <c r="JJ38" s="258">
        <v>0.1065912536492747</v>
      </c>
      <c r="JK38" s="662" t="str">
        <f t="shared" si="3"/>
        <v>No Sig diff</v>
      </c>
      <c r="JL38" s="3">
        <v>190</v>
      </c>
      <c r="JM38" s="3">
        <v>26</v>
      </c>
      <c r="JN38" s="17">
        <v>0.1368421052631579</v>
      </c>
      <c r="JO38" s="17">
        <v>9.5125099973102326E-2</v>
      </c>
      <c r="JP38" s="17">
        <v>0.19295289510816771</v>
      </c>
      <c r="JQ38" s="3" t="s">
        <v>707</v>
      </c>
      <c r="JR38" s="3">
        <v>159</v>
      </c>
      <c r="JS38" s="3">
        <v>18</v>
      </c>
      <c r="JT38" s="17">
        <v>0.11320754716981132</v>
      </c>
      <c r="JU38" s="17">
        <v>7.2819302607958283E-2</v>
      </c>
      <c r="JV38" s="17">
        <v>0.17184479650554718</v>
      </c>
      <c r="JW38" s="3" t="s">
        <v>708</v>
      </c>
      <c r="JX38" s="3">
        <v>164</v>
      </c>
      <c r="JY38" s="3">
        <v>17</v>
      </c>
      <c r="JZ38" s="17">
        <v>0.10365853658536585</v>
      </c>
      <c r="KA38" s="17">
        <v>6.573150818853768E-2</v>
      </c>
      <c r="KB38" s="17">
        <v>0.15972803611344755</v>
      </c>
      <c r="KC38" s="3" t="s">
        <v>708</v>
      </c>
      <c r="KD38" s="3">
        <v>150</v>
      </c>
      <c r="KE38" s="3">
        <v>21</v>
      </c>
      <c r="KF38" s="17">
        <v>0.14000000000000001</v>
      </c>
      <c r="KG38" s="17">
        <v>9.3426488185517978E-2</v>
      </c>
      <c r="KH38" s="17">
        <v>0.20455208775949715</v>
      </c>
      <c r="KI38" s="3" t="s">
        <v>707</v>
      </c>
      <c r="KJ38" s="3">
        <v>170</v>
      </c>
      <c r="KK38" s="3">
        <v>29</v>
      </c>
      <c r="KL38" s="17">
        <v>0.17058823529411765</v>
      </c>
      <c r="KM38" s="17">
        <v>0.1214802387930996</v>
      </c>
      <c r="KN38" s="17">
        <v>0.23425457406577926</v>
      </c>
      <c r="KO38" s="465" t="s">
        <v>707</v>
      </c>
      <c r="KP38" s="465">
        <v>174</v>
      </c>
      <c r="KQ38" s="465">
        <v>29</v>
      </c>
      <c r="KR38" s="393">
        <v>0.16666666666666666</v>
      </c>
      <c r="KS38" s="393">
        <v>0.11862275244448894</v>
      </c>
      <c r="KT38" s="393">
        <v>0.22911089319010297</v>
      </c>
      <c r="KU38" s="465" t="s">
        <v>772</v>
      </c>
      <c r="KV38" s="465">
        <v>160</v>
      </c>
      <c r="KW38" s="465">
        <v>29</v>
      </c>
      <c r="KX38" s="393">
        <v>0.18124999999999999</v>
      </c>
      <c r="KY38" s="393">
        <v>0.12926566148989363</v>
      </c>
      <c r="KZ38" s="393">
        <v>0.24818128793194091</v>
      </c>
      <c r="LA38" s="660" t="str">
        <f t="shared" si="4"/>
        <v>No Sig diff</v>
      </c>
      <c r="LB38" s="3">
        <v>200</v>
      </c>
      <c r="LC38" s="3">
        <v>104</v>
      </c>
      <c r="LD38" s="17">
        <v>0.52</v>
      </c>
      <c r="LE38" s="17">
        <v>0.4510378507281424</v>
      </c>
      <c r="LF38" s="17">
        <v>0.58820833621676694</v>
      </c>
      <c r="LG38" s="3">
        <v>200</v>
      </c>
      <c r="LH38" s="3">
        <v>34</v>
      </c>
      <c r="LI38" s="3">
        <v>40</v>
      </c>
      <c r="LJ38" s="293">
        <v>24.45000000000001</v>
      </c>
      <c r="LK38" s="17">
        <v>0.28088235294117619</v>
      </c>
      <c r="LL38" s="3">
        <v>202</v>
      </c>
      <c r="LM38" s="3">
        <v>134</v>
      </c>
      <c r="LN38" s="17">
        <v>0.6633663366336634</v>
      </c>
      <c r="LO38" s="17">
        <v>0.59568952589790047</v>
      </c>
      <c r="LP38" s="17">
        <v>0.72494558997295899</v>
      </c>
      <c r="LQ38" s="3">
        <v>202</v>
      </c>
      <c r="LR38" s="3">
        <v>35</v>
      </c>
      <c r="LS38" s="3">
        <v>40</v>
      </c>
      <c r="LT38" s="293">
        <v>27.400000000000006</v>
      </c>
      <c r="LU38" s="18">
        <v>0.21714285714285697</v>
      </c>
      <c r="LV38" s="42">
        <v>213</v>
      </c>
      <c r="LW38" s="42">
        <v>158</v>
      </c>
      <c r="LX38" s="18">
        <v>0.74178403755868549</v>
      </c>
      <c r="LY38" s="18">
        <v>0.67909192644574834</v>
      </c>
      <c r="LZ38" s="18">
        <v>0.79590948961265651</v>
      </c>
      <c r="MA38" s="337">
        <v>34</v>
      </c>
      <c r="MB38" s="337">
        <v>42</v>
      </c>
      <c r="MC38" s="294">
        <v>25.1</v>
      </c>
      <c r="MD38" s="393">
        <v>0.26300000000000001</v>
      </c>
      <c r="ME38" s="337">
        <v>226</v>
      </c>
      <c r="MF38" s="337">
        <v>170</v>
      </c>
      <c r="MG38" s="393">
        <v>0.75221238938053092</v>
      </c>
      <c r="MH38" s="393">
        <v>0.69202397585512732</v>
      </c>
      <c r="MI38" s="393">
        <v>0.80397009146818643</v>
      </c>
      <c r="MJ38" s="337">
        <v>35</v>
      </c>
      <c r="MK38" s="337">
        <v>45</v>
      </c>
      <c r="ML38" s="294">
        <v>26.844444444444445</v>
      </c>
      <c r="MM38" s="93">
        <v>0.23301587301587301</v>
      </c>
      <c r="MN38" s="17">
        <v>0.88718554729584154</v>
      </c>
      <c r="MO38" s="17">
        <v>0.11281445270415857</v>
      </c>
      <c r="MP38" s="17">
        <v>7.8935572345810806E-2</v>
      </c>
      <c r="MQ38" s="17">
        <v>0.18974640797818437</v>
      </c>
      <c r="MR38" s="17">
        <v>0.92006639194139206</v>
      </c>
      <c r="MS38" s="17">
        <v>7.9933608058608052E-2</v>
      </c>
      <c r="MT38" s="17">
        <v>4.5422997117338167E-2</v>
      </c>
      <c r="MU38" s="17">
        <v>0.13805688382692829</v>
      </c>
      <c r="MV38" s="17">
        <v>0.90631995319495318</v>
      </c>
      <c r="MW38" s="17">
        <v>9.368004680504681E-2</v>
      </c>
      <c r="MX38" s="17">
        <v>5.6294191320769182E-2</v>
      </c>
      <c r="MY38" s="17">
        <v>0.15558638941674016</v>
      </c>
      <c r="MZ38" s="17">
        <v>0.74459946371711061</v>
      </c>
      <c r="NA38" s="17">
        <v>0.25540053628288922</v>
      </c>
      <c r="NB38" s="17">
        <v>0.19125353600433309</v>
      </c>
      <c r="NC38" s="93">
        <v>0.3367839006382683</v>
      </c>
      <c r="ND38" s="337">
        <v>11</v>
      </c>
      <c r="NE38" s="337">
        <v>98</v>
      </c>
      <c r="NF38" s="393">
        <v>0.11224489795918367</v>
      </c>
      <c r="NG38" s="393">
        <v>6.3842699458857469E-2</v>
      </c>
      <c r="NH38" s="393">
        <v>0.18989933369673154</v>
      </c>
      <c r="NI38" s="337">
        <v>9</v>
      </c>
      <c r="NJ38" s="337">
        <v>98</v>
      </c>
      <c r="NK38" s="393">
        <v>9.1836734693877556E-2</v>
      </c>
      <c r="NL38" s="393">
        <v>4.9069215145583274E-2</v>
      </c>
      <c r="NM38" s="393">
        <v>0.16539608291293148</v>
      </c>
      <c r="NN38" s="337">
        <v>10</v>
      </c>
      <c r="NO38" s="337">
        <v>98</v>
      </c>
      <c r="NP38" s="393">
        <v>0.10204081632653061</v>
      </c>
      <c r="NQ38" s="393">
        <v>5.637600332589366E-2</v>
      </c>
      <c r="NR38" s="393">
        <v>0.17772766228115822</v>
      </c>
      <c r="NS38" s="337">
        <v>17</v>
      </c>
      <c r="NT38" s="337">
        <v>98</v>
      </c>
      <c r="NU38" s="393">
        <v>0.17346938775510204</v>
      </c>
      <c r="NV38" s="393">
        <v>0.11122131829641894</v>
      </c>
      <c r="NW38" s="93">
        <v>0.26035092015039285</v>
      </c>
      <c r="NX38" s="3">
        <v>50</v>
      </c>
      <c r="NY38" s="3">
        <v>50</v>
      </c>
      <c r="NZ38" s="3">
        <v>50</v>
      </c>
      <c r="OA38" s="3">
        <v>49</v>
      </c>
      <c r="OB38" s="3">
        <v>50</v>
      </c>
      <c r="OC38" s="3">
        <v>62</v>
      </c>
      <c r="OD38" s="3">
        <v>58</v>
      </c>
      <c r="OE38" s="3">
        <v>56</v>
      </c>
      <c r="OF38" s="3">
        <v>57</v>
      </c>
      <c r="OG38" s="3">
        <v>57</v>
      </c>
      <c r="OH38" s="3">
        <v>57</v>
      </c>
      <c r="OI38" s="3">
        <v>58</v>
      </c>
      <c r="OJ38" s="3">
        <v>59</v>
      </c>
      <c r="OK38" s="3">
        <v>66</v>
      </c>
      <c r="OL38" s="3">
        <v>60</v>
      </c>
      <c r="OM38" s="3">
        <v>59</v>
      </c>
      <c r="ON38" s="3">
        <v>63</v>
      </c>
      <c r="OO38" s="3">
        <v>63</v>
      </c>
      <c r="OP38" s="3">
        <v>63</v>
      </c>
      <c r="OQ38" s="3">
        <v>65</v>
      </c>
      <c r="OR38" s="3">
        <v>64</v>
      </c>
      <c r="OS38" s="3">
        <v>63</v>
      </c>
      <c r="OT38" s="6">
        <v>61</v>
      </c>
      <c r="OU38" s="3">
        <v>259</v>
      </c>
      <c r="OV38" s="22">
        <v>0.96499999999999997</v>
      </c>
      <c r="OW38" s="22">
        <v>1.2E-2</v>
      </c>
      <c r="OX38" s="22">
        <v>0.96499999999999997</v>
      </c>
      <c r="OY38" s="3">
        <v>250</v>
      </c>
      <c r="OZ38" s="3">
        <v>3</v>
      </c>
      <c r="PA38" s="3">
        <v>250</v>
      </c>
      <c r="PB38" s="3">
        <v>244</v>
      </c>
      <c r="PC38" s="22">
        <v>0.95499999999999996</v>
      </c>
      <c r="PD38" s="22">
        <v>0.95499999999999996</v>
      </c>
      <c r="PE38" s="22">
        <v>0.95899999999999996</v>
      </c>
      <c r="PF38" s="22">
        <v>0.95899999999999996</v>
      </c>
      <c r="PG38" s="22">
        <v>0.95899999999999996</v>
      </c>
      <c r="PH38" s="3">
        <v>233</v>
      </c>
      <c r="PI38" s="3">
        <v>233</v>
      </c>
      <c r="PJ38" s="3">
        <v>234</v>
      </c>
      <c r="PK38" s="3">
        <v>234</v>
      </c>
      <c r="PL38" s="3">
        <v>234</v>
      </c>
      <c r="PM38" s="3">
        <v>278</v>
      </c>
      <c r="PN38" s="22">
        <v>0.96399999999999997</v>
      </c>
      <c r="PO38" s="22">
        <v>0.94199999999999995</v>
      </c>
      <c r="PP38" s="22">
        <v>0.96399999999999997</v>
      </c>
      <c r="PQ38" s="22">
        <v>0.95699999999999996</v>
      </c>
      <c r="PR38" s="22">
        <v>0.92400000000000004</v>
      </c>
      <c r="PS38" s="22">
        <v>0.80900000000000005</v>
      </c>
      <c r="PT38" s="22">
        <v>0.94599999999999995</v>
      </c>
      <c r="PU38" s="22">
        <v>0.93500000000000005</v>
      </c>
      <c r="PV38" s="22">
        <v>0.93200000000000005</v>
      </c>
      <c r="PW38" s="22">
        <v>0.92100000000000004</v>
      </c>
      <c r="PX38" s="3">
        <v>268</v>
      </c>
      <c r="PY38" s="3">
        <v>262</v>
      </c>
      <c r="PZ38" s="3">
        <v>268</v>
      </c>
      <c r="QA38" s="3">
        <v>266</v>
      </c>
      <c r="QB38" s="3">
        <v>257</v>
      </c>
      <c r="QC38" s="3">
        <v>225</v>
      </c>
      <c r="QD38" s="3">
        <v>263</v>
      </c>
      <c r="QE38" s="3">
        <v>260</v>
      </c>
      <c r="QF38" s="3">
        <v>259</v>
      </c>
      <c r="QG38" s="6">
        <v>256</v>
      </c>
      <c r="QH38" s="37">
        <v>276</v>
      </c>
      <c r="QI38" s="17">
        <v>0.94565217391304346</v>
      </c>
      <c r="QJ38" s="17">
        <v>0.26449275362318841</v>
      </c>
      <c r="QK38" s="17">
        <v>0.93840579710144922</v>
      </c>
      <c r="QL38" s="37">
        <v>261</v>
      </c>
      <c r="QM38" s="37">
        <v>73</v>
      </c>
      <c r="QN38" s="37">
        <v>259</v>
      </c>
      <c r="QO38" s="37">
        <v>279</v>
      </c>
      <c r="QP38" s="17">
        <v>0.93906810035842292</v>
      </c>
      <c r="QQ38" s="17">
        <v>0.89605734767025091</v>
      </c>
      <c r="QR38" s="17">
        <v>0.73835125448028671</v>
      </c>
      <c r="QS38" s="17">
        <v>0.89964157706093195</v>
      </c>
      <c r="QT38" s="17">
        <v>0.71684587813620071</v>
      </c>
      <c r="QU38" s="37">
        <v>262</v>
      </c>
      <c r="QV38" s="37">
        <v>250</v>
      </c>
      <c r="QW38" s="37">
        <v>206</v>
      </c>
      <c r="QX38" s="37">
        <v>251</v>
      </c>
      <c r="QY38" s="37">
        <v>200</v>
      </c>
      <c r="QZ38" s="3">
        <v>287</v>
      </c>
      <c r="RA38" s="17">
        <v>0.96515679442508706</v>
      </c>
      <c r="RB38" s="17">
        <v>0.88153310104529614</v>
      </c>
      <c r="RC38" s="17">
        <v>0.96515679442508706</v>
      </c>
      <c r="RD38" s="17">
        <v>0.96515679442508706</v>
      </c>
      <c r="RE38" s="17">
        <v>0.70731707317073167</v>
      </c>
      <c r="RF38" s="17">
        <v>0.92682926829268297</v>
      </c>
      <c r="RG38" s="17">
        <v>0.94425087108013939</v>
      </c>
      <c r="RH38" s="17">
        <v>0.92682926829268297</v>
      </c>
      <c r="RI38" s="17">
        <v>0.72473867595818819</v>
      </c>
      <c r="RJ38" s="17">
        <v>0.68292682926829273</v>
      </c>
      <c r="RK38" s="37">
        <v>277</v>
      </c>
      <c r="RL38" s="37">
        <v>253</v>
      </c>
      <c r="RM38" s="37">
        <v>277</v>
      </c>
      <c r="RN38" s="37">
        <v>277</v>
      </c>
      <c r="RO38" s="37">
        <v>203</v>
      </c>
      <c r="RP38" s="37">
        <v>266</v>
      </c>
      <c r="RQ38" s="37">
        <v>271</v>
      </c>
      <c r="RR38" s="37">
        <v>266</v>
      </c>
      <c r="RS38" s="37">
        <v>208</v>
      </c>
      <c r="RT38" s="38">
        <v>196</v>
      </c>
    </row>
    <row r="39" spans="1:488" s="3" customFormat="1" ht="12.75" x14ac:dyDescent="0.2">
      <c r="A39" s="9" t="s">
        <v>329</v>
      </c>
      <c r="B39" s="6">
        <v>16</v>
      </c>
      <c r="C39" s="9" t="s">
        <v>184</v>
      </c>
      <c r="D39" s="9" t="s">
        <v>185</v>
      </c>
      <c r="E39" s="9" t="s">
        <v>286</v>
      </c>
      <c r="F39" s="9" t="s">
        <v>286</v>
      </c>
      <c r="G39" s="9" t="s">
        <v>186</v>
      </c>
      <c r="H39" s="9" t="s">
        <v>266</v>
      </c>
      <c r="I39" s="9" t="s">
        <v>44</v>
      </c>
      <c r="J39" s="9" t="s">
        <v>268</v>
      </c>
      <c r="K39" s="9" t="s">
        <v>329</v>
      </c>
      <c r="L39" s="9" t="s">
        <v>274</v>
      </c>
      <c r="M39" s="9" t="s">
        <v>340</v>
      </c>
      <c r="N39" s="3" t="s">
        <v>44</v>
      </c>
      <c r="O39" s="9">
        <v>476518</v>
      </c>
      <c r="P39" s="9">
        <v>106288</v>
      </c>
      <c r="Q39" s="109" t="s">
        <v>286</v>
      </c>
      <c r="R39" s="109" t="s">
        <v>286</v>
      </c>
      <c r="S39" s="109" t="s">
        <v>286</v>
      </c>
      <c r="T39" s="36">
        <v>13545</v>
      </c>
      <c r="U39" s="37">
        <v>13600</v>
      </c>
      <c r="V39" s="37">
        <v>13605</v>
      </c>
      <c r="W39" s="37">
        <v>13840</v>
      </c>
      <c r="X39" s="37">
        <v>14100</v>
      </c>
      <c r="Y39" s="37">
        <v>14275</v>
      </c>
      <c r="Z39" s="37">
        <v>14155</v>
      </c>
      <c r="AA39" s="37">
        <v>14250</v>
      </c>
      <c r="AB39" s="37">
        <v>14385</v>
      </c>
      <c r="AC39" s="42">
        <v>14133</v>
      </c>
      <c r="AD39" s="42">
        <v>14487</v>
      </c>
      <c r="AE39" s="36">
        <v>670</v>
      </c>
      <c r="AF39" s="37">
        <v>670</v>
      </c>
      <c r="AG39" s="37">
        <v>685</v>
      </c>
      <c r="AH39" s="37">
        <v>735</v>
      </c>
      <c r="AI39" s="37">
        <v>745</v>
      </c>
      <c r="AJ39" s="37">
        <v>735</v>
      </c>
      <c r="AK39" s="37">
        <v>735</v>
      </c>
      <c r="AL39" s="37">
        <v>780</v>
      </c>
      <c r="AM39" s="37">
        <v>775</v>
      </c>
      <c r="AN39" s="42">
        <v>750</v>
      </c>
      <c r="AO39" s="42">
        <v>797</v>
      </c>
      <c r="AP39" s="13">
        <v>732</v>
      </c>
      <c r="AQ39" s="3">
        <v>669</v>
      </c>
      <c r="AR39" s="3">
        <v>16</v>
      </c>
      <c r="AS39" s="3">
        <v>9</v>
      </c>
      <c r="AT39" s="3">
        <v>8</v>
      </c>
      <c r="AU39" s="3">
        <v>26</v>
      </c>
      <c r="AV39" s="3">
        <v>4</v>
      </c>
      <c r="AW39" s="9">
        <v>63</v>
      </c>
      <c r="AX39" s="16">
        <v>0.91393442622950816</v>
      </c>
      <c r="AY39" s="17">
        <v>2.185792349726776E-2</v>
      </c>
      <c r="AZ39" s="17">
        <v>1.2295081967213115E-2</v>
      </c>
      <c r="BA39" s="17">
        <v>1.092896174863388E-2</v>
      </c>
      <c r="BB39" s="17">
        <v>3.5519125683060107E-2</v>
      </c>
      <c r="BC39" s="17">
        <v>5.4644808743169399E-3</v>
      </c>
      <c r="BD39" s="18">
        <v>8.6065573770491843E-2</v>
      </c>
      <c r="BE39" s="13">
        <v>1936</v>
      </c>
      <c r="BF39" s="3">
        <v>1914</v>
      </c>
      <c r="BG39" s="3">
        <v>22</v>
      </c>
      <c r="BH39" s="3">
        <v>20</v>
      </c>
      <c r="BI39" s="3">
        <v>2</v>
      </c>
      <c r="BJ39" s="17">
        <v>0.90909090909090906</v>
      </c>
      <c r="BK39" s="18">
        <v>9.0909090909090912E-2</v>
      </c>
      <c r="BL39" s="13">
        <v>1435</v>
      </c>
      <c r="BM39" s="17">
        <v>0.6020905923344948</v>
      </c>
      <c r="BN39" s="17">
        <v>9.1289198606271771E-2</v>
      </c>
      <c r="BO39" s="18">
        <v>0.30662020905923343</v>
      </c>
      <c r="BP39" s="36">
        <v>4066</v>
      </c>
      <c r="BQ39" s="37">
        <v>199</v>
      </c>
      <c r="BR39" s="37">
        <v>254</v>
      </c>
      <c r="BS39" s="37">
        <v>95</v>
      </c>
      <c r="BT39" s="37">
        <v>2682</v>
      </c>
      <c r="BU39" s="37">
        <v>1511</v>
      </c>
      <c r="BV39" s="18">
        <v>0.1343481138318994</v>
      </c>
      <c r="BW39" s="36">
        <v>1015</v>
      </c>
      <c r="BX39" s="37">
        <v>1</v>
      </c>
      <c r="BY39" s="37">
        <v>170</v>
      </c>
      <c r="BZ39" s="37">
        <v>225</v>
      </c>
      <c r="CA39" s="37">
        <v>108</v>
      </c>
      <c r="CB39" s="38">
        <v>1519</v>
      </c>
      <c r="CC39" s="37">
        <v>548</v>
      </c>
      <c r="CD39" s="37">
        <v>492</v>
      </c>
      <c r="CE39" s="37">
        <v>56</v>
      </c>
      <c r="CF39" s="37">
        <v>56</v>
      </c>
      <c r="CG39" s="17">
        <v>0.10218978102189781</v>
      </c>
      <c r="CH39" s="93">
        <v>0.10218978102189781</v>
      </c>
      <c r="CI39" s="37">
        <v>50</v>
      </c>
      <c r="CJ39" s="37">
        <v>60</v>
      </c>
      <c r="CK39" s="37">
        <v>40</v>
      </c>
      <c r="CL39" s="37">
        <v>30</v>
      </c>
      <c r="CM39" s="42">
        <v>40</v>
      </c>
      <c r="CN39" s="42">
        <v>25</v>
      </c>
      <c r="CO39" s="36">
        <v>224</v>
      </c>
      <c r="CP39" s="37">
        <v>53</v>
      </c>
      <c r="CQ39" s="17">
        <v>0.23660714285714285</v>
      </c>
      <c r="CR39" s="38">
        <v>25</v>
      </c>
      <c r="CS39" s="37">
        <v>132</v>
      </c>
      <c r="CT39" s="37">
        <v>143</v>
      </c>
      <c r="CU39" s="37">
        <v>129</v>
      </c>
      <c r="CV39" s="37">
        <v>106</v>
      </c>
      <c r="CW39" s="37">
        <v>105</v>
      </c>
      <c r="CX39" s="526" t="s">
        <v>471</v>
      </c>
      <c r="CY39" s="568">
        <v>115</v>
      </c>
      <c r="CZ39" s="37">
        <v>0</v>
      </c>
      <c r="DA39" s="37">
        <v>5</v>
      </c>
      <c r="DB39" s="37">
        <v>3</v>
      </c>
      <c r="DC39" s="37">
        <v>3</v>
      </c>
      <c r="DD39" s="37">
        <v>8</v>
      </c>
      <c r="DE39" s="528" t="s">
        <v>471</v>
      </c>
      <c r="DF39" s="716">
        <v>3</v>
      </c>
      <c r="DG39" s="13">
        <v>10</v>
      </c>
      <c r="DH39" s="13">
        <v>5</v>
      </c>
      <c r="DI39" s="17">
        <v>4.7619047619047616E-2</v>
      </c>
      <c r="DJ39" s="17">
        <v>2.0509165674361975E-2</v>
      </c>
      <c r="DK39" s="18">
        <v>0.10666166583292792</v>
      </c>
      <c r="DL39" s="425" t="s">
        <v>286</v>
      </c>
      <c r="DM39" s="258" t="s">
        <v>286</v>
      </c>
      <c r="DN39" s="258" t="s">
        <v>286</v>
      </c>
      <c r="DO39" s="258" t="s">
        <v>286</v>
      </c>
      <c r="DP39" s="337">
        <v>8</v>
      </c>
      <c r="DQ39" s="393">
        <v>6.9565217391304349E-2</v>
      </c>
      <c r="DR39" s="393">
        <v>3.5668653791492803E-2</v>
      </c>
      <c r="DS39" s="393">
        <v>0.13128872806487232</v>
      </c>
      <c r="DT39" s="13">
        <v>11</v>
      </c>
      <c r="DU39" s="18">
        <v>1.5027322404371584E-2</v>
      </c>
      <c r="DV39" s="328">
        <v>7</v>
      </c>
      <c r="DW39" s="333">
        <v>8</v>
      </c>
      <c r="DX39" s="337">
        <v>8</v>
      </c>
      <c r="DY39" s="393">
        <v>8.3013481363996833E-2</v>
      </c>
      <c r="DZ39" s="337">
        <v>9</v>
      </c>
      <c r="EA39" s="93">
        <v>7.3818030743664317E-2</v>
      </c>
      <c r="EB39" s="3">
        <v>137</v>
      </c>
      <c r="EC39" s="18">
        <v>2.3406799931658978E-2</v>
      </c>
      <c r="ED39" s="13">
        <v>45</v>
      </c>
      <c r="EE39" s="3">
        <v>45</v>
      </c>
      <c r="EF39" s="3">
        <v>75</v>
      </c>
      <c r="EG39" s="3">
        <v>50</v>
      </c>
      <c r="EH39" s="9">
        <v>60</v>
      </c>
      <c r="EI39" s="9">
        <v>55</v>
      </c>
      <c r="EJ39" s="13">
        <v>65</v>
      </c>
      <c r="EK39" s="17">
        <v>9.154929577464789E-2</v>
      </c>
      <c r="EL39" s="17">
        <v>7.2477846279145317E-2</v>
      </c>
      <c r="EM39" s="17">
        <v>0.11501680980570535</v>
      </c>
      <c r="EN39" s="3">
        <v>50</v>
      </c>
      <c r="EO39" s="17">
        <v>6.8965517241379309E-2</v>
      </c>
      <c r="EP39" s="17">
        <v>5.2701298170905991E-2</v>
      </c>
      <c r="EQ39" s="17">
        <v>8.9773388969854859E-2</v>
      </c>
      <c r="ER39" s="3">
        <v>60</v>
      </c>
      <c r="ES39" s="17">
        <v>8.3333333333333329E-2</v>
      </c>
      <c r="ET39" s="17">
        <v>6.5289011531414351E-2</v>
      </c>
      <c r="EU39" s="17">
        <v>0.10580019220452616</v>
      </c>
      <c r="EV39" s="3">
        <v>60</v>
      </c>
      <c r="EW39" s="17">
        <v>8.4507042253521125E-2</v>
      </c>
      <c r="EX39" s="17">
        <v>6.6216554338352052E-2</v>
      </c>
      <c r="EY39" s="17">
        <v>0.10726938892037535</v>
      </c>
      <c r="EZ39" s="3">
        <v>50</v>
      </c>
      <c r="FA39" s="18">
        <v>6.7114093959731544E-2</v>
      </c>
      <c r="FB39" s="18">
        <v>5.1276189246498141E-2</v>
      </c>
      <c r="FC39" s="18">
        <v>8.7393294924727999E-2</v>
      </c>
      <c r="FD39" s="337">
        <v>50</v>
      </c>
      <c r="FE39" s="18">
        <v>7.1942446043165464E-2</v>
      </c>
      <c r="FF39" s="18">
        <v>5.4993974738062903E-2</v>
      </c>
      <c r="FG39" s="393">
        <v>9.3596893061807199E-2</v>
      </c>
      <c r="FH39" s="425" t="s">
        <v>286</v>
      </c>
      <c r="FI39" s="258" t="s">
        <v>286</v>
      </c>
      <c r="FJ39" s="258" t="s">
        <v>286</v>
      </c>
      <c r="FK39" s="258" t="s">
        <v>286</v>
      </c>
      <c r="FL39" s="36">
        <v>180</v>
      </c>
      <c r="FM39" s="18">
        <v>7.4999999999999997E-2</v>
      </c>
      <c r="FN39" s="42">
        <v>175</v>
      </c>
      <c r="FO39" s="18">
        <v>7.2765072765072769E-2</v>
      </c>
      <c r="FP39" s="42">
        <v>205</v>
      </c>
      <c r="FQ39" s="18">
        <v>8.5594989561586635E-2</v>
      </c>
      <c r="FR39" s="42">
        <v>185</v>
      </c>
      <c r="FS39" s="18">
        <v>7.7894736842105267E-2</v>
      </c>
      <c r="FT39" s="42">
        <v>170</v>
      </c>
      <c r="FU39" s="18">
        <v>7.0981210855949897E-2</v>
      </c>
      <c r="FV39" s="42">
        <v>155</v>
      </c>
      <c r="FW39" s="393">
        <v>6.471816283924843E-2</v>
      </c>
      <c r="FX39" s="114" t="s">
        <v>286</v>
      </c>
      <c r="FY39" s="259" t="s">
        <v>286</v>
      </c>
      <c r="FZ39" s="3">
        <v>95</v>
      </c>
      <c r="GA39" s="3">
        <v>2</v>
      </c>
      <c r="GB39" s="3">
        <v>93</v>
      </c>
      <c r="GC39" s="17">
        <v>0.97894736842105268</v>
      </c>
      <c r="GD39" s="3">
        <v>49</v>
      </c>
      <c r="GE39" s="3">
        <v>60</v>
      </c>
      <c r="GF39" s="17">
        <v>0.5268817204301075</v>
      </c>
      <c r="GG39" s="17">
        <v>0.64516129032258063</v>
      </c>
      <c r="GH39" s="17">
        <v>0.42636839646712893</v>
      </c>
      <c r="GI39" s="17">
        <v>0.62526230769306668</v>
      </c>
      <c r="GJ39" s="17">
        <v>0.54393306563242183</v>
      </c>
      <c r="GK39" s="93">
        <v>0.73487273683263454</v>
      </c>
      <c r="GL39" s="337">
        <v>93</v>
      </c>
      <c r="GM39" s="337">
        <v>39</v>
      </c>
      <c r="GN39" s="337">
        <v>17</v>
      </c>
      <c r="GO39" s="337">
        <v>56</v>
      </c>
      <c r="GP39" s="393">
        <v>0.41935483870967744</v>
      </c>
      <c r="GQ39" s="393">
        <v>0.60215053763440862</v>
      </c>
      <c r="GR39" s="393">
        <v>0.32422211691722247</v>
      </c>
      <c r="GS39" s="393">
        <v>0.52088554479434779</v>
      </c>
      <c r="GT39" s="393">
        <v>0.5005311962132275</v>
      </c>
      <c r="GU39" s="93">
        <v>0.69566576561878357</v>
      </c>
      <c r="GV39" s="42">
        <v>120</v>
      </c>
      <c r="GW39" s="42">
        <v>44</v>
      </c>
      <c r="GX39" s="42">
        <v>76</v>
      </c>
      <c r="GY39" s="393">
        <f t="shared" si="2"/>
        <v>0.6333333333333333</v>
      </c>
      <c r="GZ39" s="42">
        <v>41</v>
      </c>
      <c r="HA39" s="42">
        <v>9</v>
      </c>
      <c r="HB39" s="42">
        <v>50</v>
      </c>
      <c r="HC39" s="393">
        <v>0.53947368421052633</v>
      </c>
      <c r="HD39" s="393">
        <v>0.65789473684210531</v>
      </c>
      <c r="HE39" s="393">
        <v>0.42822623982108743</v>
      </c>
      <c r="HF39" s="393">
        <v>0.64692268767377015</v>
      </c>
      <c r="HG39" s="393">
        <v>0.54595897815437733</v>
      </c>
      <c r="HH39" s="93">
        <v>0.75463673182505298</v>
      </c>
      <c r="HI39" s="696">
        <v>89</v>
      </c>
      <c r="HJ39" s="696">
        <v>5</v>
      </c>
      <c r="HK39" s="696">
        <v>84</v>
      </c>
      <c r="HL39" s="697">
        <v>0.9438202247191011</v>
      </c>
      <c r="HM39" s="696">
        <v>28</v>
      </c>
      <c r="HN39" s="696">
        <v>14</v>
      </c>
      <c r="HO39" s="696">
        <v>42</v>
      </c>
      <c r="HP39" s="697">
        <v>0.33333333333333331</v>
      </c>
      <c r="HQ39" s="697">
        <v>0.5</v>
      </c>
      <c r="HR39" s="697">
        <v>0.24177214000720681</v>
      </c>
      <c r="HS39" s="697">
        <v>0.43947176946434641</v>
      </c>
      <c r="HT39" s="697">
        <v>0.39543933768541362</v>
      </c>
      <c r="HU39" s="698">
        <v>0.60456066231458638</v>
      </c>
      <c r="HV39" s="3">
        <v>126</v>
      </c>
      <c r="HW39" s="3">
        <v>18</v>
      </c>
      <c r="HX39" s="17">
        <v>0.14285714285714285</v>
      </c>
      <c r="HY39" s="17">
        <v>9.2313796541076673E-2</v>
      </c>
      <c r="HZ39" s="17">
        <v>0.21453317808906508</v>
      </c>
      <c r="IA39" s="267" t="s">
        <v>707</v>
      </c>
      <c r="IB39" s="3">
        <v>108</v>
      </c>
      <c r="IC39" s="3">
        <v>6</v>
      </c>
      <c r="ID39" s="17">
        <v>5.5555555555555552E-2</v>
      </c>
      <c r="IE39" s="17">
        <v>2.5707729609183876E-2</v>
      </c>
      <c r="IF39" s="17">
        <v>0.11593436794331127</v>
      </c>
      <c r="IG39" s="3" t="s">
        <v>707</v>
      </c>
      <c r="IH39" s="3">
        <v>112</v>
      </c>
      <c r="II39" s="3">
        <v>6</v>
      </c>
      <c r="IJ39" s="17">
        <v>5.3571428571428568E-2</v>
      </c>
      <c r="IK39" s="17">
        <v>2.4780939016041947E-2</v>
      </c>
      <c r="IL39" s="17">
        <v>0.11197026372230079</v>
      </c>
      <c r="IM39" s="3" t="s">
        <v>707</v>
      </c>
      <c r="IN39" s="3">
        <v>138</v>
      </c>
      <c r="IO39" s="3">
        <v>8</v>
      </c>
      <c r="IP39" s="17">
        <v>5.7971014492753624E-2</v>
      </c>
      <c r="IQ39" s="17">
        <v>2.9664427433011134E-2</v>
      </c>
      <c r="IR39" s="17">
        <v>0.11022033535539391</v>
      </c>
      <c r="IS39" s="3" t="s">
        <v>707</v>
      </c>
      <c r="IT39" s="3">
        <v>115</v>
      </c>
      <c r="IU39" s="3">
        <v>11</v>
      </c>
      <c r="IV39" s="17">
        <v>9.5652173913043481E-2</v>
      </c>
      <c r="IW39" s="17">
        <v>5.4252518982852285E-2</v>
      </c>
      <c r="IX39" s="17">
        <v>0.16319229427615739</v>
      </c>
      <c r="IY39" s="9" t="s">
        <v>707</v>
      </c>
      <c r="IZ39" s="9">
        <v>120</v>
      </c>
      <c r="JA39" s="9">
        <v>9</v>
      </c>
      <c r="JB39" s="393">
        <v>7.4999999999999997E-2</v>
      </c>
      <c r="JC39" s="393">
        <v>3.995711539596028E-2</v>
      </c>
      <c r="JD39" s="393">
        <v>0.13640917605993763</v>
      </c>
      <c r="JE39" s="9" t="str">
        <f t="shared" si="0"/>
        <v>No Sig diff</v>
      </c>
      <c r="JF39" s="9">
        <v>86</v>
      </c>
      <c r="JG39" s="109">
        <v>3</v>
      </c>
      <c r="JH39" s="258">
        <v>3.4883720930232558E-2</v>
      </c>
      <c r="JI39" s="258">
        <v>1.1933798077408372E-2</v>
      </c>
      <c r="JJ39" s="258">
        <v>9.7608711025607628E-2</v>
      </c>
      <c r="JK39" s="662" t="str">
        <f t="shared" si="3"/>
        <v>No Sig diff</v>
      </c>
      <c r="JL39" s="3">
        <v>111</v>
      </c>
      <c r="JM39" s="3">
        <v>15</v>
      </c>
      <c r="JN39" s="17">
        <v>0.13513513513513514</v>
      </c>
      <c r="JO39" s="17">
        <v>8.3634396766943495E-2</v>
      </c>
      <c r="JP39" s="17">
        <v>0.21104540936066715</v>
      </c>
      <c r="JQ39" s="3" t="s">
        <v>707</v>
      </c>
      <c r="JR39" s="3">
        <v>107</v>
      </c>
      <c r="JS39" s="3">
        <v>12</v>
      </c>
      <c r="JT39" s="17">
        <v>0.11214953271028037</v>
      </c>
      <c r="JU39" s="17">
        <v>6.5328818815477516E-2</v>
      </c>
      <c r="JV39" s="17">
        <v>0.18585389852616863</v>
      </c>
      <c r="JW39" s="3" t="s">
        <v>708</v>
      </c>
      <c r="JX39" s="3">
        <v>91</v>
      </c>
      <c r="JY39" s="3">
        <v>13</v>
      </c>
      <c r="JZ39" s="17">
        <v>0.14285714285714285</v>
      </c>
      <c r="KA39" s="17">
        <v>8.542758136548774E-2</v>
      </c>
      <c r="KB39" s="17">
        <v>0.22921813572656949</v>
      </c>
      <c r="KC39" s="3" t="s">
        <v>707</v>
      </c>
      <c r="KD39" s="3">
        <v>100</v>
      </c>
      <c r="KE39" s="3">
        <v>8</v>
      </c>
      <c r="KF39" s="17">
        <v>0.08</v>
      </c>
      <c r="KG39" s="17">
        <v>4.109346148438061E-2</v>
      </c>
      <c r="KH39" s="17">
        <v>0.14998107700948732</v>
      </c>
      <c r="KI39" s="3" t="s">
        <v>708</v>
      </c>
      <c r="KJ39" s="3">
        <v>110</v>
      </c>
      <c r="KK39" s="3">
        <v>13</v>
      </c>
      <c r="KL39" s="17">
        <v>0.11818181818181818</v>
      </c>
      <c r="KM39" s="17">
        <v>7.0381282269267861E-2</v>
      </c>
      <c r="KN39" s="17">
        <v>0.19175045014023931</v>
      </c>
      <c r="KO39" s="465" t="s">
        <v>707</v>
      </c>
      <c r="KP39" s="465">
        <v>119</v>
      </c>
      <c r="KQ39" s="465">
        <v>12</v>
      </c>
      <c r="KR39" s="393">
        <v>0.10084033613445378</v>
      </c>
      <c r="KS39" s="393">
        <v>5.8630296197426456E-2</v>
      </c>
      <c r="KT39" s="393">
        <v>0.16801516281924789</v>
      </c>
      <c r="KU39" s="465" t="s">
        <v>708</v>
      </c>
      <c r="KV39" s="465">
        <v>112</v>
      </c>
      <c r="KW39" s="465">
        <v>16</v>
      </c>
      <c r="KX39" s="393">
        <v>0.14285714285714285</v>
      </c>
      <c r="KY39" s="393">
        <v>8.9886610891018182E-2</v>
      </c>
      <c r="KZ39" s="393">
        <v>0.21951435129965599</v>
      </c>
      <c r="LA39" s="660" t="str">
        <f t="shared" si="4"/>
        <v>No Sig diff</v>
      </c>
      <c r="LB39" s="3">
        <v>154</v>
      </c>
      <c r="LC39" s="3">
        <v>81</v>
      </c>
      <c r="LD39" s="17">
        <v>0.52597402597402598</v>
      </c>
      <c r="LE39" s="17">
        <v>0.44744231332063877</v>
      </c>
      <c r="LF39" s="17">
        <v>0.6032414554418376</v>
      </c>
      <c r="LG39" s="3">
        <v>154</v>
      </c>
      <c r="LH39" s="3">
        <v>34</v>
      </c>
      <c r="LI39" s="3">
        <v>30</v>
      </c>
      <c r="LJ39" s="293">
        <v>23.266666666666662</v>
      </c>
      <c r="LK39" s="17">
        <v>0.31568627450980408</v>
      </c>
      <c r="LL39" s="3">
        <v>153</v>
      </c>
      <c r="LM39" s="3">
        <v>92</v>
      </c>
      <c r="LN39" s="17">
        <v>0.60130718954248363</v>
      </c>
      <c r="LO39" s="17">
        <v>0.52215817780146556</v>
      </c>
      <c r="LP39" s="17">
        <v>0.67549364355426489</v>
      </c>
      <c r="LQ39" s="3">
        <v>153</v>
      </c>
      <c r="LR39" s="3">
        <v>34</v>
      </c>
      <c r="LS39" s="3">
        <v>30</v>
      </c>
      <c r="LT39" s="293">
        <v>23.633333333333333</v>
      </c>
      <c r="LU39" s="18">
        <v>0.30490196078431375</v>
      </c>
      <c r="LV39" s="42">
        <v>153</v>
      </c>
      <c r="LW39" s="42">
        <v>102</v>
      </c>
      <c r="LX39" s="18">
        <v>0.66666666666666663</v>
      </c>
      <c r="LY39" s="18">
        <v>0.58869634428979867</v>
      </c>
      <c r="LZ39" s="18">
        <v>0.73647278116640313</v>
      </c>
      <c r="MA39" s="337">
        <v>34</v>
      </c>
      <c r="MB39" s="337">
        <v>30</v>
      </c>
      <c r="MC39" s="294">
        <v>25.2</v>
      </c>
      <c r="MD39" s="393">
        <v>0.26</v>
      </c>
      <c r="ME39" s="337">
        <v>143</v>
      </c>
      <c r="MF39" s="337">
        <v>91</v>
      </c>
      <c r="MG39" s="393">
        <v>0.63636363636363635</v>
      </c>
      <c r="MH39" s="393">
        <v>0.55490908524212346</v>
      </c>
      <c r="MI39" s="393">
        <v>0.71068348182452701</v>
      </c>
      <c r="MJ39" s="337">
        <v>34</v>
      </c>
      <c r="MK39" s="337">
        <v>28</v>
      </c>
      <c r="ML39" s="294">
        <v>25.571428571428573</v>
      </c>
      <c r="MM39" s="93">
        <v>0.2478991596638655</v>
      </c>
      <c r="MN39" s="17">
        <v>0.87962962962962965</v>
      </c>
      <c r="MO39" s="17">
        <v>0.12037037037037036</v>
      </c>
      <c r="MP39" s="17">
        <v>7.3067660241051213E-2</v>
      </c>
      <c r="MQ39" s="17">
        <v>0.38517021976637866</v>
      </c>
      <c r="MR39" s="17">
        <v>0.91666666666666663</v>
      </c>
      <c r="MS39" s="17">
        <v>8.3333333333333329E-2</v>
      </c>
      <c r="MT39" s="17">
        <v>4.7489172642362694E-2</v>
      </c>
      <c r="MU39" s="17">
        <v>0.33335411879470006</v>
      </c>
      <c r="MV39" s="17">
        <v>0.87962962962962965</v>
      </c>
      <c r="MW39" s="17">
        <v>0.12037037037037036</v>
      </c>
      <c r="MX39" s="17">
        <v>7.3067660241051213E-2</v>
      </c>
      <c r="MY39" s="17">
        <v>0.38517021976637866</v>
      </c>
      <c r="MZ39" s="17">
        <v>0.74074074074074081</v>
      </c>
      <c r="NA39" s="17">
        <v>0.25925925925925924</v>
      </c>
      <c r="NB39" s="17">
        <v>0.13150582015814438</v>
      </c>
      <c r="NC39" s="93">
        <v>0.48152123699001981</v>
      </c>
      <c r="ND39" s="337">
        <v>5</v>
      </c>
      <c r="NE39" s="337">
        <v>47</v>
      </c>
      <c r="NF39" s="393">
        <v>0.10638297872340426</v>
      </c>
      <c r="NG39" s="393">
        <v>4.6304782181081604E-2</v>
      </c>
      <c r="NH39" s="393">
        <v>0.22594269343738355</v>
      </c>
      <c r="NI39" s="337">
        <v>4</v>
      </c>
      <c r="NJ39" s="337">
        <v>46</v>
      </c>
      <c r="NK39" s="393">
        <v>8.6956521739130432E-2</v>
      </c>
      <c r="NL39" s="393">
        <v>3.4335867894725897E-2</v>
      </c>
      <c r="NM39" s="393">
        <v>0.20324664074118834</v>
      </c>
      <c r="NN39" s="337">
        <v>7</v>
      </c>
      <c r="NO39" s="337">
        <v>47</v>
      </c>
      <c r="NP39" s="393">
        <v>0.14893617021276595</v>
      </c>
      <c r="NQ39" s="393">
        <v>7.406719996431721E-2</v>
      </c>
      <c r="NR39" s="393">
        <v>0.27685622423593548</v>
      </c>
      <c r="NS39" s="337">
        <v>11</v>
      </c>
      <c r="NT39" s="337">
        <v>47</v>
      </c>
      <c r="NU39" s="393">
        <v>0.23404255319148937</v>
      </c>
      <c r="NV39" s="393">
        <v>0.13603274586227188</v>
      </c>
      <c r="NW39" s="93">
        <v>0.37224257550155593</v>
      </c>
      <c r="NX39" s="3">
        <v>34</v>
      </c>
      <c r="NY39" s="3">
        <v>33</v>
      </c>
      <c r="NZ39" s="3">
        <v>33</v>
      </c>
      <c r="OA39" s="3">
        <v>33</v>
      </c>
      <c r="OB39" s="3">
        <v>33</v>
      </c>
      <c r="OC39" s="3">
        <v>29</v>
      </c>
      <c r="OD39" s="3">
        <v>25</v>
      </c>
      <c r="OE39" s="3">
        <v>28</v>
      </c>
      <c r="OF39" s="3">
        <v>25</v>
      </c>
      <c r="OG39" s="3">
        <v>28</v>
      </c>
      <c r="OH39" s="3">
        <v>28</v>
      </c>
      <c r="OI39" s="3">
        <v>25</v>
      </c>
      <c r="OJ39" s="3">
        <v>29</v>
      </c>
      <c r="OK39" s="3">
        <v>41</v>
      </c>
      <c r="OL39" s="3">
        <v>32</v>
      </c>
      <c r="OM39" s="3">
        <v>32</v>
      </c>
      <c r="ON39" s="3">
        <v>31</v>
      </c>
      <c r="OO39" s="3">
        <v>32</v>
      </c>
      <c r="OP39" s="3">
        <v>32</v>
      </c>
      <c r="OQ39" s="3">
        <v>26</v>
      </c>
      <c r="OR39" s="3">
        <v>36</v>
      </c>
      <c r="OS39" s="3">
        <v>32</v>
      </c>
      <c r="OT39" s="6">
        <v>33</v>
      </c>
      <c r="OU39" s="3">
        <v>95</v>
      </c>
      <c r="OV39" s="22">
        <v>0.95799999999999996</v>
      </c>
      <c r="OW39" s="22">
        <v>0</v>
      </c>
      <c r="OX39" s="22">
        <v>0.94699999999999995</v>
      </c>
      <c r="OY39" s="3">
        <v>91</v>
      </c>
      <c r="OZ39" s="3">
        <v>0</v>
      </c>
      <c r="PA39" s="3">
        <v>90</v>
      </c>
      <c r="PB39" s="3">
        <v>90</v>
      </c>
      <c r="PC39" s="22">
        <v>0.96699999999999997</v>
      </c>
      <c r="PD39" s="22">
        <v>0.93300000000000005</v>
      </c>
      <c r="PE39" s="22">
        <v>0.97799999999999998</v>
      </c>
      <c r="PF39" s="22">
        <v>0.95599999999999996</v>
      </c>
      <c r="PG39" s="22">
        <v>0.95599999999999996</v>
      </c>
      <c r="PH39" s="3">
        <v>87</v>
      </c>
      <c r="PI39" s="3">
        <v>84</v>
      </c>
      <c r="PJ39" s="3">
        <v>88</v>
      </c>
      <c r="PK39" s="3">
        <v>86</v>
      </c>
      <c r="PL39" s="3">
        <v>86</v>
      </c>
      <c r="PM39" s="3">
        <v>95</v>
      </c>
      <c r="PN39" s="22">
        <v>0.93700000000000006</v>
      </c>
      <c r="PO39" s="22">
        <v>0.92600000000000005</v>
      </c>
      <c r="PP39" s="22">
        <v>0.93700000000000006</v>
      </c>
      <c r="PQ39" s="22">
        <v>0.93700000000000006</v>
      </c>
      <c r="PR39" s="22">
        <v>0.93700000000000006</v>
      </c>
      <c r="PS39" s="22">
        <v>0.88400000000000001</v>
      </c>
      <c r="PT39" s="22">
        <v>0.93700000000000006</v>
      </c>
      <c r="PU39" s="22">
        <v>0.92600000000000005</v>
      </c>
      <c r="PV39" s="22">
        <v>0.95799999999999996</v>
      </c>
      <c r="PW39" s="22">
        <v>0.93700000000000006</v>
      </c>
      <c r="PX39" s="3">
        <v>89</v>
      </c>
      <c r="PY39" s="3">
        <v>88</v>
      </c>
      <c r="PZ39" s="3">
        <v>89</v>
      </c>
      <c r="QA39" s="3">
        <v>89</v>
      </c>
      <c r="QB39" s="3">
        <v>89</v>
      </c>
      <c r="QC39" s="3">
        <v>84</v>
      </c>
      <c r="QD39" s="3">
        <v>89</v>
      </c>
      <c r="QE39" s="3">
        <v>88</v>
      </c>
      <c r="QF39" s="3">
        <v>91</v>
      </c>
      <c r="QG39" s="6">
        <v>89</v>
      </c>
      <c r="QH39" s="37">
        <v>99</v>
      </c>
      <c r="QI39" s="17">
        <v>0.96969696969696972</v>
      </c>
      <c r="QJ39" s="17">
        <v>0.26262626262626265</v>
      </c>
      <c r="QK39" s="17">
        <v>0.96969696969696972</v>
      </c>
      <c r="QL39" s="37">
        <v>96</v>
      </c>
      <c r="QM39" s="37">
        <v>26.000000000000004</v>
      </c>
      <c r="QN39" s="37">
        <v>96</v>
      </c>
      <c r="QO39" s="37">
        <v>106</v>
      </c>
      <c r="QP39" s="17">
        <v>0.96226415094339623</v>
      </c>
      <c r="QQ39" s="17">
        <v>0.94339622641509435</v>
      </c>
      <c r="QR39" s="17">
        <v>0.6132075471698113</v>
      </c>
      <c r="QS39" s="17">
        <v>0.93396226415094341</v>
      </c>
      <c r="QT39" s="17">
        <v>0.78301886792452835</v>
      </c>
      <c r="QU39" s="37">
        <v>102</v>
      </c>
      <c r="QV39" s="37">
        <v>100</v>
      </c>
      <c r="QW39" s="37">
        <v>65</v>
      </c>
      <c r="QX39" s="37">
        <v>99</v>
      </c>
      <c r="QY39" s="37">
        <v>83</v>
      </c>
      <c r="QZ39" s="3">
        <v>107</v>
      </c>
      <c r="RA39" s="17">
        <v>0.91588785046728971</v>
      </c>
      <c r="RB39" s="17">
        <v>0.89719626168224298</v>
      </c>
      <c r="RC39" s="17">
        <v>0.91588785046728971</v>
      </c>
      <c r="RD39" s="17">
        <v>0.91588785046728971</v>
      </c>
      <c r="RE39" s="17">
        <v>0.67289719626168221</v>
      </c>
      <c r="RF39" s="17">
        <v>0.87850467289719625</v>
      </c>
      <c r="RG39" s="17">
        <v>0.88785046728971961</v>
      </c>
      <c r="RH39" s="17">
        <v>0.93457943925233644</v>
      </c>
      <c r="RI39" s="17">
        <v>0.67289719626168221</v>
      </c>
      <c r="RJ39" s="17">
        <v>0.63551401869158874</v>
      </c>
      <c r="RK39" s="37">
        <v>98</v>
      </c>
      <c r="RL39" s="37">
        <v>96</v>
      </c>
      <c r="RM39" s="37">
        <v>98</v>
      </c>
      <c r="RN39" s="37">
        <v>98</v>
      </c>
      <c r="RO39" s="37">
        <v>72</v>
      </c>
      <c r="RP39" s="37">
        <v>94</v>
      </c>
      <c r="RQ39" s="37">
        <v>95</v>
      </c>
      <c r="RR39" s="37">
        <v>100</v>
      </c>
      <c r="RS39" s="37">
        <v>72</v>
      </c>
      <c r="RT39" s="38">
        <v>68</v>
      </c>
    </row>
    <row r="40" spans="1:488" s="3" customFormat="1" ht="12.75" x14ac:dyDescent="0.2">
      <c r="A40" s="9" t="s">
        <v>53</v>
      </c>
      <c r="B40" s="6">
        <v>22</v>
      </c>
      <c r="C40" s="9" t="s">
        <v>202</v>
      </c>
      <c r="D40" s="9" t="s">
        <v>203</v>
      </c>
      <c r="E40" s="9" t="s">
        <v>286</v>
      </c>
      <c r="F40" s="9" t="s">
        <v>286</v>
      </c>
      <c r="G40" s="9" t="s">
        <v>204</v>
      </c>
      <c r="H40" s="9" t="s">
        <v>79</v>
      </c>
      <c r="I40" s="9" t="s">
        <v>79</v>
      </c>
      <c r="J40" s="9" t="s">
        <v>269</v>
      </c>
      <c r="K40" s="9" t="s">
        <v>380</v>
      </c>
      <c r="L40" s="9" t="s">
        <v>272</v>
      </c>
      <c r="M40" s="9" t="s">
        <v>346</v>
      </c>
      <c r="N40" s="3" t="s">
        <v>79</v>
      </c>
      <c r="O40" s="9">
        <v>526783</v>
      </c>
      <c r="P40" s="9">
        <v>135609</v>
      </c>
      <c r="Q40" s="109">
        <v>22795</v>
      </c>
      <c r="R40" s="109">
        <v>80266</v>
      </c>
      <c r="S40" s="310" t="s">
        <v>797</v>
      </c>
      <c r="T40" s="36">
        <v>19775</v>
      </c>
      <c r="U40" s="37">
        <v>20055</v>
      </c>
      <c r="V40" s="37">
        <v>20095</v>
      </c>
      <c r="W40" s="37">
        <v>19945</v>
      </c>
      <c r="X40" s="37">
        <v>19970</v>
      </c>
      <c r="Y40" s="37">
        <v>19880</v>
      </c>
      <c r="Z40" s="37">
        <v>20140</v>
      </c>
      <c r="AA40" s="37">
        <v>20365</v>
      </c>
      <c r="AB40" s="37">
        <v>20375</v>
      </c>
      <c r="AC40" s="42">
        <v>20734</v>
      </c>
      <c r="AD40" s="42">
        <v>20739</v>
      </c>
      <c r="AE40" s="36">
        <v>1070</v>
      </c>
      <c r="AF40" s="37">
        <v>1135</v>
      </c>
      <c r="AG40" s="37">
        <v>1175</v>
      </c>
      <c r="AH40" s="37">
        <v>1180</v>
      </c>
      <c r="AI40" s="37">
        <v>1225</v>
      </c>
      <c r="AJ40" s="37">
        <v>1275</v>
      </c>
      <c r="AK40" s="37">
        <v>1355</v>
      </c>
      <c r="AL40" s="37">
        <v>1395</v>
      </c>
      <c r="AM40" s="37">
        <v>1385</v>
      </c>
      <c r="AN40" s="42">
        <v>1452</v>
      </c>
      <c r="AO40" s="42">
        <v>1442</v>
      </c>
      <c r="AP40" s="13">
        <v>1344</v>
      </c>
      <c r="AQ40" s="3">
        <v>852</v>
      </c>
      <c r="AR40" s="3">
        <v>96</v>
      </c>
      <c r="AS40" s="3">
        <v>102</v>
      </c>
      <c r="AT40" s="3">
        <v>218</v>
      </c>
      <c r="AU40" s="3">
        <v>56</v>
      </c>
      <c r="AV40" s="3">
        <v>20</v>
      </c>
      <c r="AW40" s="9">
        <v>492</v>
      </c>
      <c r="AX40" s="16">
        <v>0.6339285714285714</v>
      </c>
      <c r="AY40" s="17">
        <v>7.1428571428571425E-2</v>
      </c>
      <c r="AZ40" s="17">
        <v>7.5892857142857137E-2</v>
      </c>
      <c r="BA40" s="17">
        <v>0.16220238095238096</v>
      </c>
      <c r="BB40" s="17">
        <v>4.1666666666666664E-2</v>
      </c>
      <c r="BC40" s="17">
        <v>1.488095238095238E-2</v>
      </c>
      <c r="BD40" s="18">
        <v>0.3660714285714286</v>
      </c>
      <c r="BE40" s="13">
        <v>2916</v>
      </c>
      <c r="BF40" s="3">
        <v>2693</v>
      </c>
      <c r="BG40" s="3">
        <v>223</v>
      </c>
      <c r="BH40" s="3">
        <v>192</v>
      </c>
      <c r="BI40" s="3">
        <v>31</v>
      </c>
      <c r="BJ40" s="17">
        <v>0.86098654708520184</v>
      </c>
      <c r="BK40" s="18">
        <v>0.13901345291479822</v>
      </c>
      <c r="BL40" s="13">
        <v>2455</v>
      </c>
      <c r="BM40" s="17">
        <v>0.4969450101832994</v>
      </c>
      <c r="BN40" s="17">
        <v>0.33319755600814666</v>
      </c>
      <c r="BO40" s="18">
        <v>0.16985743380855398</v>
      </c>
      <c r="BP40" s="36">
        <v>5635</v>
      </c>
      <c r="BQ40" s="37">
        <v>447</v>
      </c>
      <c r="BR40" s="37">
        <v>385</v>
      </c>
      <c r="BS40" s="37">
        <v>216</v>
      </c>
      <c r="BT40" s="37">
        <v>4278</v>
      </c>
      <c r="BU40" s="37">
        <v>2399</v>
      </c>
      <c r="BV40" s="18">
        <v>0.15756565235514797</v>
      </c>
      <c r="BW40" s="36">
        <v>1232</v>
      </c>
      <c r="BX40" s="37">
        <v>0</v>
      </c>
      <c r="BY40" s="37">
        <v>309</v>
      </c>
      <c r="BZ40" s="37">
        <v>592</v>
      </c>
      <c r="CA40" s="37">
        <v>279</v>
      </c>
      <c r="CB40" s="38">
        <v>2412</v>
      </c>
      <c r="CC40" s="37">
        <v>1053</v>
      </c>
      <c r="CD40" s="37">
        <v>811</v>
      </c>
      <c r="CE40" s="37">
        <v>238</v>
      </c>
      <c r="CF40" s="37">
        <v>242</v>
      </c>
      <c r="CG40" s="17">
        <v>0.22602089268755934</v>
      </c>
      <c r="CH40" s="93">
        <v>0.22981956315289648</v>
      </c>
      <c r="CI40" s="37">
        <v>205</v>
      </c>
      <c r="CJ40" s="37">
        <v>200</v>
      </c>
      <c r="CK40" s="37">
        <v>165</v>
      </c>
      <c r="CL40" s="37">
        <v>160</v>
      </c>
      <c r="CM40" s="42">
        <v>170</v>
      </c>
      <c r="CN40" s="42">
        <v>175</v>
      </c>
      <c r="CO40" s="36">
        <v>588</v>
      </c>
      <c r="CP40" s="37">
        <v>253</v>
      </c>
      <c r="CQ40" s="17">
        <v>0.43027210884353739</v>
      </c>
      <c r="CR40" s="38">
        <v>46</v>
      </c>
      <c r="CS40" s="37">
        <v>257</v>
      </c>
      <c r="CT40" s="37">
        <v>279</v>
      </c>
      <c r="CU40" s="37">
        <v>274</v>
      </c>
      <c r="CV40" s="37">
        <v>292</v>
      </c>
      <c r="CW40" s="37">
        <v>274</v>
      </c>
      <c r="CX40" s="526" t="s">
        <v>471</v>
      </c>
      <c r="CY40" s="568">
        <v>212</v>
      </c>
      <c r="CZ40" s="37">
        <v>9</v>
      </c>
      <c r="DA40" s="37">
        <v>18</v>
      </c>
      <c r="DB40" s="37">
        <v>20</v>
      </c>
      <c r="DC40" s="37">
        <v>12</v>
      </c>
      <c r="DD40" s="37">
        <v>11</v>
      </c>
      <c r="DE40" s="528" t="s">
        <v>471</v>
      </c>
      <c r="DF40" s="716">
        <v>8</v>
      </c>
      <c r="DG40" s="13">
        <v>30</v>
      </c>
      <c r="DH40" s="13">
        <v>19</v>
      </c>
      <c r="DI40" s="17">
        <v>6.9343065693430656E-2</v>
      </c>
      <c r="DJ40" s="17">
        <v>4.4838959197899111E-2</v>
      </c>
      <c r="DK40" s="18">
        <v>0.10575576845106792</v>
      </c>
      <c r="DL40" s="425" t="s">
        <v>286</v>
      </c>
      <c r="DM40" s="258" t="s">
        <v>286</v>
      </c>
      <c r="DN40" s="258" t="s">
        <v>286</v>
      </c>
      <c r="DO40" s="258" t="s">
        <v>286</v>
      </c>
      <c r="DP40" s="337">
        <v>24</v>
      </c>
      <c r="DQ40" s="393">
        <v>0.11320754716981132</v>
      </c>
      <c r="DR40" s="393">
        <v>7.7264917405978337E-2</v>
      </c>
      <c r="DS40" s="393">
        <v>0.1629181276120798</v>
      </c>
      <c r="DT40" s="13">
        <v>31</v>
      </c>
      <c r="DU40" s="18">
        <v>2.3082650781831721E-2</v>
      </c>
      <c r="DV40" s="328">
        <v>4</v>
      </c>
      <c r="DW40" s="333">
        <v>4</v>
      </c>
      <c r="DX40" s="337">
        <v>3.0000000000000009</v>
      </c>
      <c r="DY40" s="393">
        <v>0.17047127718906863</v>
      </c>
      <c r="DZ40" s="337">
        <v>2</v>
      </c>
      <c r="EA40" s="93">
        <v>0.18405465326114981</v>
      </c>
      <c r="EB40" s="3">
        <v>428</v>
      </c>
      <c r="EC40" s="18">
        <v>5.1460863292052419E-2</v>
      </c>
      <c r="ED40" s="13">
        <v>300</v>
      </c>
      <c r="EE40" s="3">
        <v>285</v>
      </c>
      <c r="EF40" s="3">
        <v>265</v>
      </c>
      <c r="EG40" s="3">
        <v>265</v>
      </c>
      <c r="EH40" s="9">
        <v>275</v>
      </c>
      <c r="EI40" s="9">
        <v>240</v>
      </c>
      <c r="EJ40" s="13">
        <v>235</v>
      </c>
      <c r="EK40" s="17">
        <v>0.20171673819742489</v>
      </c>
      <c r="EL40" s="17">
        <v>0.17967131449858037</v>
      </c>
      <c r="EM40" s="17">
        <v>0.22572280909691378</v>
      </c>
      <c r="EN40" s="3">
        <v>265</v>
      </c>
      <c r="EO40" s="17">
        <v>0.21900826446280991</v>
      </c>
      <c r="EP40" s="17">
        <v>0.19661459561200478</v>
      </c>
      <c r="EQ40" s="17">
        <v>0.24318044923623022</v>
      </c>
      <c r="ER40" s="3">
        <v>260</v>
      </c>
      <c r="ES40" s="17">
        <v>0.20634920634920634</v>
      </c>
      <c r="ET40" s="17">
        <v>0.18491297189013517</v>
      </c>
      <c r="EU40" s="17">
        <v>0.22957054988758605</v>
      </c>
      <c r="EV40" s="3">
        <v>280</v>
      </c>
      <c r="EW40" s="17">
        <v>0.21132075471698114</v>
      </c>
      <c r="EX40" s="17">
        <v>0.19018950761042797</v>
      </c>
      <c r="EY40" s="17">
        <v>0.23412104883555029</v>
      </c>
      <c r="EZ40" s="3">
        <v>270</v>
      </c>
      <c r="FA40" s="18">
        <v>0.19926199261992619</v>
      </c>
      <c r="FB40" s="18">
        <v>0.17885680345346217</v>
      </c>
      <c r="FC40" s="18">
        <v>0.22136756068441238</v>
      </c>
      <c r="FD40" s="337">
        <v>295</v>
      </c>
      <c r="FE40" s="18">
        <v>0.21454545454545454</v>
      </c>
      <c r="FF40" s="18">
        <v>0.19365852733903047</v>
      </c>
      <c r="FG40" s="393">
        <v>0.23702293717727393</v>
      </c>
      <c r="FH40" s="425" t="s">
        <v>286</v>
      </c>
      <c r="FI40" s="258" t="s">
        <v>286</v>
      </c>
      <c r="FJ40" s="258" t="s">
        <v>286</v>
      </c>
      <c r="FK40" s="258" t="s">
        <v>286</v>
      </c>
      <c r="FL40" s="36">
        <v>590</v>
      </c>
      <c r="FM40" s="18">
        <v>0.16833095577746077</v>
      </c>
      <c r="FN40" s="42">
        <v>715</v>
      </c>
      <c r="FO40" s="18">
        <v>0.19615912208504802</v>
      </c>
      <c r="FP40" s="42">
        <v>690</v>
      </c>
      <c r="FQ40" s="18">
        <v>0.18598382749326145</v>
      </c>
      <c r="FR40" s="42">
        <v>735</v>
      </c>
      <c r="FS40" s="18">
        <v>0.19215686274509805</v>
      </c>
      <c r="FT40" s="42">
        <v>665</v>
      </c>
      <c r="FU40" s="18">
        <v>0.17007672634271101</v>
      </c>
      <c r="FV40" s="42">
        <v>655</v>
      </c>
      <c r="FW40" s="393">
        <v>0.16354556803995007</v>
      </c>
      <c r="FX40" s="114" t="s">
        <v>286</v>
      </c>
      <c r="FY40" s="259" t="s">
        <v>286</v>
      </c>
      <c r="FZ40" s="3">
        <v>280</v>
      </c>
      <c r="GA40" s="3">
        <v>10</v>
      </c>
      <c r="GB40" s="3">
        <v>270</v>
      </c>
      <c r="GC40" s="17">
        <v>0.9642857142857143</v>
      </c>
      <c r="GD40" s="3">
        <v>102</v>
      </c>
      <c r="GE40" s="3">
        <v>153</v>
      </c>
      <c r="GF40" s="17">
        <v>0.37777777777777777</v>
      </c>
      <c r="GG40" s="17">
        <v>0.56666666666666665</v>
      </c>
      <c r="GH40" s="17">
        <v>0.3220422730435234</v>
      </c>
      <c r="GI40" s="17">
        <v>0.4369424831074778</v>
      </c>
      <c r="GJ40" s="17">
        <v>0.50703166405729405</v>
      </c>
      <c r="GK40" s="93">
        <v>0.62443119622397802</v>
      </c>
      <c r="GL40" s="337">
        <v>253</v>
      </c>
      <c r="GM40" s="337">
        <v>103</v>
      </c>
      <c r="GN40" s="337">
        <v>36</v>
      </c>
      <c r="GO40" s="337">
        <v>139</v>
      </c>
      <c r="GP40" s="393">
        <v>0.40711462450592883</v>
      </c>
      <c r="GQ40" s="393">
        <v>0.54940711462450598</v>
      </c>
      <c r="GR40" s="393">
        <v>0.34840375264457629</v>
      </c>
      <c r="GS40" s="393">
        <v>0.46860398350595073</v>
      </c>
      <c r="GT40" s="393">
        <v>0.48781447421123786</v>
      </c>
      <c r="GU40" s="93">
        <v>0.60952183634699242</v>
      </c>
      <c r="GV40" s="42">
        <v>265</v>
      </c>
      <c r="GW40" s="42">
        <v>34</v>
      </c>
      <c r="GX40" s="42">
        <v>231</v>
      </c>
      <c r="GY40" s="393">
        <f t="shared" si="2"/>
        <v>0.8716981132075472</v>
      </c>
      <c r="GZ40" s="42">
        <v>82</v>
      </c>
      <c r="HA40" s="42">
        <v>47</v>
      </c>
      <c r="HB40" s="42">
        <v>129</v>
      </c>
      <c r="HC40" s="393">
        <v>0.354978354978355</v>
      </c>
      <c r="HD40" s="393">
        <v>0.55844155844155841</v>
      </c>
      <c r="HE40" s="393">
        <v>0.29610498381300238</v>
      </c>
      <c r="HF40" s="393">
        <v>0.41859615824064261</v>
      </c>
      <c r="HG40" s="393">
        <v>0.49396816913780278</v>
      </c>
      <c r="HH40" s="93">
        <v>0.62100301242266864</v>
      </c>
      <c r="HI40" s="696">
        <v>337</v>
      </c>
      <c r="HJ40" s="696">
        <v>5</v>
      </c>
      <c r="HK40" s="696">
        <v>332</v>
      </c>
      <c r="HL40" s="697">
        <v>0.98516320474777452</v>
      </c>
      <c r="HM40" s="696">
        <v>133</v>
      </c>
      <c r="HN40" s="696">
        <v>52</v>
      </c>
      <c r="HO40" s="696">
        <v>185</v>
      </c>
      <c r="HP40" s="697">
        <v>0.4006024096385542</v>
      </c>
      <c r="HQ40" s="697">
        <v>0.55722891566265065</v>
      </c>
      <c r="HR40" s="697">
        <v>0.34931930560930768</v>
      </c>
      <c r="HS40" s="697">
        <v>0.45415939463288785</v>
      </c>
      <c r="HT40" s="697">
        <v>0.50344669444941159</v>
      </c>
      <c r="HU40" s="698">
        <v>0.60970193268386974</v>
      </c>
      <c r="HV40" s="3">
        <v>179</v>
      </c>
      <c r="HW40" s="3">
        <v>16</v>
      </c>
      <c r="HX40" s="17">
        <v>8.9385474860335198E-2</v>
      </c>
      <c r="HY40" s="17">
        <v>5.5768700800059426E-2</v>
      </c>
      <c r="HZ40" s="17">
        <v>0.14025609057858804</v>
      </c>
      <c r="IA40" s="267" t="s">
        <v>707</v>
      </c>
      <c r="IB40" s="3">
        <v>208</v>
      </c>
      <c r="IC40" s="3">
        <v>21</v>
      </c>
      <c r="ID40" s="17">
        <v>0.10096153846153846</v>
      </c>
      <c r="IE40" s="17">
        <v>6.6986875276411589E-2</v>
      </c>
      <c r="IF40" s="17">
        <v>0.14940824905803252</v>
      </c>
      <c r="IG40" s="3" t="s">
        <v>707</v>
      </c>
      <c r="IH40" s="3">
        <v>165</v>
      </c>
      <c r="II40" s="3">
        <v>17</v>
      </c>
      <c r="IJ40" s="17">
        <v>0.10303030303030303</v>
      </c>
      <c r="IK40" s="17">
        <v>6.5326799711821093E-2</v>
      </c>
      <c r="IL40" s="17">
        <v>0.15879741175262088</v>
      </c>
      <c r="IM40" s="3" t="s">
        <v>707</v>
      </c>
      <c r="IN40" s="3">
        <v>218</v>
      </c>
      <c r="IO40" s="3">
        <v>19</v>
      </c>
      <c r="IP40" s="17">
        <v>8.7155963302752298E-2</v>
      </c>
      <c r="IQ40" s="17">
        <v>5.6505621010586905E-2</v>
      </c>
      <c r="IR40" s="17">
        <v>0.13210411426217361</v>
      </c>
      <c r="IS40" s="3" t="s">
        <v>707</v>
      </c>
      <c r="IT40" s="3">
        <v>151</v>
      </c>
      <c r="IU40" s="3">
        <v>12</v>
      </c>
      <c r="IV40" s="17">
        <v>7.9470198675496692E-2</v>
      </c>
      <c r="IW40" s="17">
        <v>4.604266587121892E-2</v>
      </c>
      <c r="IX40" s="17">
        <v>0.13376356324041994</v>
      </c>
      <c r="IY40" s="9" t="s">
        <v>707</v>
      </c>
      <c r="IZ40" s="9">
        <v>263</v>
      </c>
      <c r="JA40" s="9">
        <v>27</v>
      </c>
      <c r="JB40" s="393">
        <v>0.10266159695817491</v>
      </c>
      <c r="JC40" s="393">
        <v>7.1518246533172666E-2</v>
      </c>
      <c r="JD40" s="393">
        <v>0.14524514202093156</v>
      </c>
      <c r="JE40" s="9" t="str">
        <f t="shared" si="0"/>
        <v>No Sig diff</v>
      </c>
      <c r="JF40" s="9">
        <v>268</v>
      </c>
      <c r="JG40" s="109">
        <v>23</v>
      </c>
      <c r="JH40" s="258">
        <v>8.5820895522388058E-2</v>
      </c>
      <c r="JI40" s="258">
        <v>5.786647800026145E-2</v>
      </c>
      <c r="JJ40" s="258">
        <v>0.12548104756451786</v>
      </c>
      <c r="JK40" s="662" t="str">
        <f t="shared" si="3"/>
        <v>No Sig diff</v>
      </c>
      <c r="JL40" s="3">
        <v>171</v>
      </c>
      <c r="JM40" s="3">
        <v>37</v>
      </c>
      <c r="JN40" s="17">
        <v>0.21637426900584794</v>
      </c>
      <c r="JO40" s="17">
        <v>0.16125297547340778</v>
      </c>
      <c r="JP40" s="17">
        <v>0.283958699982373</v>
      </c>
      <c r="JQ40" s="3" t="s">
        <v>707</v>
      </c>
      <c r="JR40" s="3">
        <v>190</v>
      </c>
      <c r="JS40" s="3">
        <v>32</v>
      </c>
      <c r="JT40" s="17">
        <v>0.16842105263157894</v>
      </c>
      <c r="JU40" s="17">
        <v>0.12190040489443893</v>
      </c>
      <c r="JV40" s="17">
        <v>0.22808385148411195</v>
      </c>
      <c r="JW40" s="3" t="s">
        <v>707</v>
      </c>
      <c r="JX40" s="3">
        <v>189</v>
      </c>
      <c r="JY40" s="3">
        <v>33</v>
      </c>
      <c r="JZ40" s="17">
        <v>0.17460317460317459</v>
      </c>
      <c r="KA40" s="17">
        <v>0.12711418630815544</v>
      </c>
      <c r="KB40" s="17">
        <v>0.23505616465166279</v>
      </c>
      <c r="KC40" s="3" t="s">
        <v>707</v>
      </c>
      <c r="KD40" s="3">
        <v>189</v>
      </c>
      <c r="KE40" s="3">
        <v>40</v>
      </c>
      <c r="KF40" s="17">
        <v>0.21164021164021163</v>
      </c>
      <c r="KG40" s="17">
        <v>0.15944764778291518</v>
      </c>
      <c r="KH40" s="17">
        <v>0.27532119981562292</v>
      </c>
      <c r="KI40" s="3" t="s">
        <v>707</v>
      </c>
      <c r="KJ40" s="3">
        <v>221</v>
      </c>
      <c r="KK40" s="3">
        <v>38</v>
      </c>
      <c r="KL40" s="17">
        <v>0.17194570135746606</v>
      </c>
      <c r="KM40" s="17">
        <v>0.12791177353920713</v>
      </c>
      <c r="KN40" s="17">
        <v>0.22718936856984601</v>
      </c>
      <c r="KO40" s="465" t="s">
        <v>707</v>
      </c>
      <c r="KP40" s="465">
        <v>229</v>
      </c>
      <c r="KQ40" s="465">
        <v>55</v>
      </c>
      <c r="KR40" s="393">
        <v>0.24017467248908297</v>
      </c>
      <c r="KS40" s="393">
        <v>0.1894236904947206</v>
      </c>
      <c r="KT40" s="393">
        <v>0.29949894122766879</v>
      </c>
      <c r="KU40" s="465" t="s">
        <v>772</v>
      </c>
      <c r="KV40" s="465">
        <v>217</v>
      </c>
      <c r="KW40" s="465">
        <v>41</v>
      </c>
      <c r="KX40" s="393">
        <v>0.1889400921658986</v>
      </c>
      <c r="KY40" s="393">
        <v>0.14243880775161152</v>
      </c>
      <c r="KZ40" s="393">
        <v>0.24626293004296915</v>
      </c>
      <c r="LA40" s="660" t="str">
        <f t="shared" si="4"/>
        <v>No Sig diff</v>
      </c>
      <c r="LB40" s="3">
        <v>254</v>
      </c>
      <c r="LC40" s="3">
        <v>120</v>
      </c>
      <c r="LD40" s="17">
        <v>0.47244094488188976</v>
      </c>
      <c r="LE40" s="17">
        <v>0.41191315776587761</v>
      </c>
      <c r="LF40" s="17">
        <v>0.53378991084057259</v>
      </c>
      <c r="LG40" s="3">
        <v>254</v>
      </c>
      <c r="LH40" s="3">
        <v>33</v>
      </c>
      <c r="LI40" s="3">
        <v>50</v>
      </c>
      <c r="LJ40" s="293">
        <v>21.019999999999996</v>
      </c>
      <c r="LK40" s="17">
        <v>0.36303030303030315</v>
      </c>
      <c r="LL40" s="3">
        <v>261</v>
      </c>
      <c r="LM40" s="3">
        <v>134</v>
      </c>
      <c r="LN40" s="17">
        <v>0.51340996168582376</v>
      </c>
      <c r="LO40" s="17">
        <v>0.45301896964169136</v>
      </c>
      <c r="LP40" s="17">
        <v>0.57341193747976205</v>
      </c>
      <c r="LQ40" s="3">
        <v>261</v>
      </c>
      <c r="LR40" s="3">
        <v>34</v>
      </c>
      <c r="LS40" s="3">
        <v>52</v>
      </c>
      <c r="LT40" s="293">
        <v>21.84615384615384</v>
      </c>
      <c r="LU40" s="18">
        <v>0.35746606334841646</v>
      </c>
      <c r="LV40" s="42">
        <v>287</v>
      </c>
      <c r="LW40" s="42">
        <v>170</v>
      </c>
      <c r="LX40" s="18">
        <v>0.59233449477351918</v>
      </c>
      <c r="LY40" s="18">
        <v>0.53462687179331625</v>
      </c>
      <c r="LZ40" s="18">
        <v>0.6476029939723994</v>
      </c>
      <c r="MA40" s="337">
        <v>34</v>
      </c>
      <c r="MB40" s="337">
        <v>57</v>
      </c>
      <c r="MC40" s="294">
        <v>21.5</v>
      </c>
      <c r="MD40" s="393">
        <v>0.36899999999999999</v>
      </c>
      <c r="ME40" s="337">
        <v>285</v>
      </c>
      <c r="MF40" s="337">
        <v>186</v>
      </c>
      <c r="MG40" s="393">
        <v>0.65263157894736845</v>
      </c>
      <c r="MH40" s="393">
        <v>0.59565463406825625</v>
      </c>
      <c r="MI40" s="393">
        <v>0.70554866394585447</v>
      </c>
      <c r="MJ40" s="337">
        <v>34</v>
      </c>
      <c r="MK40" s="337">
        <v>57</v>
      </c>
      <c r="ML40" s="294">
        <v>20.421052631578949</v>
      </c>
      <c r="MM40" s="93">
        <v>0.39938080495356032</v>
      </c>
      <c r="MN40" s="17">
        <v>0.9010472433549358</v>
      </c>
      <c r="MO40" s="17">
        <v>9.8952756645064338E-2</v>
      </c>
      <c r="MP40" s="17">
        <v>5.4924788135547763E-2</v>
      </c>
      <c r="MQ40" s="17">
        <v>0.14680656785678886</v>
      </c>
      <c r="MR40" s="17">
        <v>0.92725806956576196</v>
      </c>
      <c r="MS40" s="17">
        <v>7.2741930434238128E-2</v>
      </c>
      <c r="MT40" s="17">
        <v>3.5650162878397382E-2</v>
      </c>
      <c r="MU40" s="17">
        <v>0.11539746968488125</v>
      </c>
      <c r="MV40" s="17">
        <v>0.88393757239911097</v>
      </c>
      <c r="MW40" s="17">
        <v>0.11606242760088913</v>
      </c>
      <c r="MX40" s="17">
        <v>6.5399908149707864E-2</v>
      </c>
      <c r="MY40" s="17">
        <v>0.16312109648171647</v>
      </c>
      <c r="MZ40" s="17">
        <v>0.78786982248520698</v>
      </c>
      <c r="NA40" s="17">
        <v>0.21213017751479291</v>
      </c>
      <c r="NB40" s="17">
        <v>0.16251159892911632</v>
      </c>
      <c r="NC40" s="93">
        <v>0.2926383742085103</v>
      </c>
      <c r="ND40" s="337">
        <v>14</v>
      </c>
      <c r="NE40" s="337">
        <v>138</v>
      </c>
      <c r="NF40" s="393">
        <v>0.10144927536231885</v>
      </c>
      <c r="NG40" s="393">
        <v>6.1397289850057331E-2</v>
      </c>
      <c r="NH40" s="393">
        <v>0.16308897168047182</v>
      </c>
      <c r="NI40" s="337">
        <v>12</v>
      </c>
      <c r="NJ40" s="337">
        <v>138</v>
      </c>
      <c r="NK40" s="393">
        <v>8.6956521739130432E-2</v>
      </c>
      <c r="NL40" s="393">
        <v>5.044201073627725E-2</v>
      </c>
      <c r="NM40" s="393">
        <v>0.14584375121354387</v>
      </c>
      <c r="NN40" s="337">
        <v>12</v>
      </c>
      <c r="NO40" s="337">
        <v>137</v>
      </c>
      <c r="NP40" s="393">
        <v>8.7591240875912413E-2</v>
      </c>
      <c r="NQ40" s="393">
        <v>5.081551279351329E-2</v>
      </c>
      <c r="NR40" s="393">
        <v>0.14686391380302036</v>
      </c>
      <c r="NS40" s="337">
        <v>30</v>
      </c>
      <c r="NT40" s="337">
        <v>134</v>
      </c>
      <c r="NU40" s="393">
        <v>0.22388059701492538</v>
      </c>
      <c r="NV40" s="393">
        <v>0.16156409689143145</v>
      </c>
      <c r="NW40" s="93">
        <v>0.30158726095758753</v>
      </c>
      <c r="NX40" s="3">
        <v>80</v>
      </c>
      <c r="NY40" s="3">
        <v>77</v>
      </c>
      <c r="NZ40" s="3">
        <v>77</v>
      </c>
      <c r="OA40" s="3">
        <v>79</v>
      </c>
      <c r="OB40" s="3">
        <v>78</v>
      </c>
      <c r="OC40" s="3">
        <v>75</v>
      </c>
      <c r="OD40" s="3">
        <v>73</v>
      </c>
      <c r="OE40" s="3">
        <v>72</v>
      </c>
      <c r="OF40" s="3">
        <v>73</v>
      </c>
      <c r="OG40" s="3">
        <v>72</v>
      </c>
      <c r="OH40" s="3">
        <v>73</v>
      </c>
      <c r="OI40" s="3">
        <v>74</v>
      </c>
      <c r="OJ40" s="3">
        <v>73</v>
      </c>
      <c r="OK40" s="3">
        <v>78</v>
      </c>
      <c r="OL40" s="3">
        <v>71</v>
      </c>
      <c r="OM40" s="3">
        <v>71</v>
      </c>
      <c r="ON40" s="3">
        <v>69</v>
      </c>
      <c r="OO40" s="3">
        <v>71</v>
      </c>
      <c r="OP40" s="3">
        <v>73</v>
      </c>
      <c r="OQ40" s="3">
        <v>70</v>
      </c>
      <c r="OR40" s="3">
        <v>74</v>
      </c>
      <c r="OS40" s="3">
        <v>72</v>
      </c>
      <c r="OT40" s="6">
        <v>72</v>
      </c>
      <c r="OU40" s="3">
        <v>329</v>
      </c>
      <c r="OV40" s="22">
        <v>0.96699999999999997</v>
      </c>
      <c r="OW40" s="22">
        <v>6.0000000000000001E-3</v>
      </c>
      <c r="OX40" s="22">
        <v>0.95699999999999996</v>
      </c>
      <c r="OY40" s="3">
        <v>318</v>
      </c>
      <c r="OZ40" s="3">
        <v>2</v>
      </c>
      <c r="PA40" s="3">
        <v>315</v>
      </c>
      <c r="PB40" s="3">
        <v>333</v>
      </c>
      <c r="PC40" s="22">
        <v>0.97299999999999998</v>
      </c>
      <c r="PD40" s="22">
        <v>0.96099999999999997</v>
      </c>
      <c r="PE40" s="22">
        <v>0.97</v>
      </c>
      <c r="PF40" s="22">
        <v>0.94299999999999995</v>
      </c>
      <c r="PG40" s="22">
        <v>0.94299999999999995</v>
      </c>
      <c r="PH40" s="3">
        <v>324</v>
      </c>
      <c r="PI40" s="3">
        <v>320</v>
      </c>
      <c r="PJ40" s="3">
        <v>323</v>
      </c>
      <c r="PK40" s="3">
        <v>314</v>
      </c>
      <c r="PL40" s="3">
        <v>314</v>
      </c>
      <c r="PM40" s="3">
        <v>316</v>
      </c>
      <c r="PN40" s="22">
        <v>0.96199999999999997</v>
      </c>
      <c r="PO40" s="22">
        <v>0.94899999999999995</v>
      </c>
      <c r="PP40" s="22">
        <v>0.96199999999999997</v>
      </c>
      <c r="PQ40" s="22">
        <v>0.95899999999999996</v>
      </c>
      <c r="PR40" s="22">
        <v>0.94899999999999995</v>
      </c>
      <c r="PS40" s="22">
        <v>0.82899999999999996</v>
      </c>
      <c r="PT40" s="22">
        <v>0.94599999999999995</v>
      </c>
      <c r="PU40" s="22">
        <v>0.94599999999999995</v>
      </c>
      <c r="PV40" s="22">
        <v>0.95299999999999996</v>
      </c>
      <c r="PW40" s="22">
        <v>0.92700000000000005</v>
      </c>
      <c r="PX40" s="3">
        <v>304</v>
      </c>
      <c r="PY40" s="3">
        <v>300</v>
      </c>
      <c r="PZ40" s="3">
        <v>304</v>
      </c>
      <c r="QA40" s="3">
        <v>303</v>
      </c>
      <c r="QB40" s="3">
        <v>300</v>
      </c>
      <c r="QC40" s="3">
        <v>262</v>
      </c>
      <c r="QD40" s="3">
        <v>299</v>
      </c>
      <c r="QE40" s="3">
        <v>299</v>
      </c>
      <c r="QF40" s="3">
        <v>301</v>
      </c>
      <c r="QG40" s="6">
        <v>293</v>
      </c>
      <c r="QH40" s="37">
        <v>348</v>
      </c>
      <c r="QI40" s="17">
        <v>0.95402298850574707</v>
      </c>
      <c r="QJ40" s="17">
        <v>0.19827586206896552</v>
      </c>
      <c r="QK40" s="17">
        <v>0.95114942528735635</v>
      </c>
      <c r="QL40" s="37">
        <v>332</v>
      </c>
      <c r="QM40" s="37">
        <v>69</v>
      </c>
      <c r="QN40" s="37">
        <v>331</v>
      </c>
      <c r="QO40" s="37">
        <v>341</v>
      </c>
      <c r="QP40" s="17">
        <v>0.96480938416422291</v>
      </c>
      <c r="QQ40" s="17">
        <v>0.97067448680351909</v>
      </c>
      <c r="QR40" s="17">
        <v>0.73020527859237538</v>
      </c>
      <c r="QS40" s="17">
        <v>0.97653958944281527</v>
      </c>
      <c r="QT40" s="17">
        <v>0.73607038123167157</v>
      </c>
      <c r="QU40" s="37">
        <v>329</v>
      </c>
      <c r="QV40" s="37">
        <v>331</v>
      </c>
      <c r="QW40" s="37">
        <v>249</v>
      </c>
      <c r="QX40" s="37">
        <v>333</v>
      </c>
      <c r="QY40" s="37">
        <v>251</v>
      </c>
      <c r="QZ40" s="3">
        <v>363</v>
      </c>
      <c r="RA40" s="17">
        <v>0.97245179063360887</v>
      </c>
      <c r="RB40" s="17">
        <v>0.88980716253443526</v>
      </c>
      <c r="RC40" s="17">
        <v>0.97245179063360887</v>
      </c>
      <c r="RD40" s="17">
        <v>0.96694214876033058</v>
      </c>
      <c r="RE40" s="17">
        <v>0.69696969696969702</v>
      </c>
      <c r="RF40" s="17">
        <v>0.84297520661157022</v>
      </c>
      <c r="RG40" s="17">
        <v>0.91460055096418735</v>
      </c>
      <c r="RH40" s="17">
        <v>0.92837465564738297</v>
      </c>
      <c r="RI40" s="17">
        <v>0.69421487603305787</v>
      </c>
      <c r="RJ40" s="17">
        <v>0.60330578512396693</v>
      </c>
      <c r="RK40" s="37">
        <v>353</v>
      </c>
      <c r="RL40" s="37">
        <v>323</v>
      </c>
      <c r="RM40" s="37">
        <v>353</v>
      </c>
      <c r="RN40" s="37">
        <v>351</v>
      </c>
      <c r="RO40" s="37">
        <v>253</v>
      </c>
      <c r="RP40" s="37">
        <v>306</v>
      </c>
      <c r="RQ40" s="37">
        <v>332</v>
      </c>
      <c r="RR40" s="37">
        <v>337</v>
      </c>
      <c r="RS40" s="37">
        <v>252</v>
      </c>
      <c r="RT40" s="38">
        <v>219</v>
      </c>
    </row>
    <row r="41" spans="1:488" s="3" customFormat="1" ht="12.75" x14ac:dyDescent="0.2">
      <c r="A41" s="9" t="s">
        <v>60</v>
      </c>
      <c r="B41" s="6">
        <v>29</v>
      </c>
      <c r="C41" s="9" t="s">
        <v>223</v>
      </c>
      <c r="D41" s="9" t="s">
        <v>224</v>
      </c>
      <c r="E41" s="9" t="s">
        <v>286</v>
      </c>
      <c r="F41" s="9" t="s">
        <v>286</v>
      </c>
      <c r="G41" s="9" t="s">
        <v>225</v>
      </c>
      <c r="H41" s="9" t="s">
        <v>852</v>
      </c>
      <c r="I41" s="9" t="s">
        <v>83</v>
      </c>
      <c r="J41" s="9" t="s">
        <v>270</v>
      </c>
      <c r="K41" s="9" t="s">
        <v>386</v>
      </c>
      <c r="L41" s="9" t="s">
        <v>273</v>
      </c>
      <c r="M41" s="9" t="s">
        <v>60</v>
      </c>
      <c r="N41" s="3" t="s">
        <v>83</v>
      </c>
      <c r="O41" s="9">
        <v>515671</v>
      </c>
      <c r="P41" s="9">
        <v>126796</v>
      </c>
      <c r="Q41" s="109" t="s">
        <v>286</v>
      </c>
      <c r="R41" s="109" t="s">
        <v>286</v>
      </c>
      <c r="S41" s="109" t="s">
        <v>286</v>
      </c>
      <c r="T41" s="36">
        <v>10140</v>
      </c>
      <c r="U41" s="37">
        <v>10345</v>
      </c>
      <c r="V41" s="37">
        <v>10460</v>
      </c>
      <c r="W41" s="37">
        <v>10555</v>
      </c>
      <c r="X41" s="37">
        <v>10600</v>
      </c>
      <c r="Y41" s="37">
        <v>10635</v>
      </c>
      <c r="Z41" s="37">
        <v>10750</v>
      </c>
      <c r="AA41" s="37">
        <v>10925</v>
      </c>
      <c r="AB41" s="37">
        <v>10975</v>
      </c>
      <c r="AC41" s="42">
        <v>11323</v>
      </c>
      <c r="AD41" s="42">
        <v>11245</v>
      </c>
      <c r="AE41" s="36">
        <v>630</v>
      </c>
      <c r="AF41" s="37">
        <v>645</v>
      </c>
      <c r="AG41" s="37">
        <v>645</v>
      </c>
      <c r="AH41" s="37">
        <v>635</v>
      </c>
      <c r="AI41" s="37">
        <v>635</v>
      </c>
      <c r="AJ41" s="37">
        <v>620</v>
      </c>
      <c r="AK41" s="37">
        <v>635</v>
      </c>
      <c r="AL41" s="37">
        <v>605</v>
      </c>
      <c r="AM41" s="37">
        <v>570</v>
      </c>
      <c r="AN41" s="42">
        <v>586</v>
      </c>
      <c r="AO41" s="42">
        <v>575</v>
      </c>
      <c r="AP41" s="13">
        <v>638</v>
      </c>
      <c r="AQ41" s="3">
        <v>583</v>
      </c>
      <c r="AR41" s="3">
        <v>11</v>
      </c>
      <c r="AS41" s="3">
        <v>27</v>
      </c>
      <c r="AT41" s="3">
        <v>13</v>
      </c>
      <c r="AU41" s="3">
        <v>3</v>
      </c>
      <c r="AV41" s="3">
        <v>1</v>
      </c>
      <c r="AW41" s="9">
        <v>55</v>
      </c>
      <c r="AX41" s="16">
        <v>0.91379310344827591</v>
      </c>
      <c r="AY41" s="17">
        <v>1.7241379310344827E-2</v>
      </c>
      <c r="AZ41" s="17">
        <v>4.2319749216300939E-2</v>
      </c>
      <c r="BA41" s="17">
        <v>2.037617554858934E-2</v>
      </c>
      <c r="BB41" s="17">
        <v>4.7021943573667714E-3</v>
      </c>
      <c r="BC41" s="17">
        <v>1.567398119122257E-3</v>
      </c>
      <c r="BD41" s="18">
        <v>8.6206896551724088E-2</v>
      </c>
      <c r="BE41" s="13">
        <v>2308</v>
      </c>
      <c r="BF41" s="3">
        <v>2278</v>
      </c>
      <c r="BG41" s="3">
        <v>30</v>
      </c>
      <c r="BH41" s="3">
        <v>29</v>
      </c>
      <c r="BI41" s="3">
        <v>1</v>
      </c>
      <c r="BJ41" s="17">
        <v>0.96666666666666667</v>
      </c>
      <c r="BK41" s="18">
        <v>3.3333333333333333E-2</v>
      </c>
      <c r="BL41" s="13">
        <v>1330</v>
      </c>
      <c r="BM41" s="17">
        <v>0.78270676691729324</v>
      </c>
      <c r="BN41" s="17">
        <v>9.2481203007518803E-2</v>
      </c>
      <c r="BO41" s="18">
        <v>0.12481203007518797</v>
      </c>
      <c r="BP41" s="36">
        <v>2972</v>
      </c>
      <c r="BQ41" s="37">
        <v>166</v>
      </c>
      <c r="BR41" s="37">
        <v>218</v>
      </c>
      <c r="BS41" s="37">
        <v>106</v>
      </c>
      <c r="BT41" s="37">
        <v>2576</v>
      </c>
      <c r="BU41" s="37">
        <v>1433</v>
      </c>
      <c r="BV41" s="18">
        <v>0.14584787159804605</v>
      </c>
      <c r="BW41" s="36">
        <v>1053</v>
      </c>
      <c r="BX41" s="37">
        <v>0</v>
      </c>
      <c r="BY41" s="37">
        <v>141</v>
      </c>
      <c r="BZ41" s="37">
        <v>184</v>
      </c>
      <c r="CA41" s="37">
        <v>63</v>
      </c>
      <c r="CB41" s="38">
        <v>1441</v>
      </c>
      <c r="CC41" s="37">
        <v>490</v>
      </c>
      <c r="CD41" s="37">
        <v>454</v>
      </c>
      <c r="CE41" s="37">
        <v>36</v>
      </c>
      <c r="CF41" s="37">
        <v>36</v>
      </c>
      <c r="CG41" s="17">
        <v>7.3469387755102047E-2</v>
      </c>
      <c r="CH41" s="93">
        <v>7.3469387755102047E-2</v>
      </c>
      <c r="CI41" s="37">
        <v>40</v>
      </c>
      <c r="CJ41" s="37">
        <v>35</v>
      </c>
      <c r="CK41" s="37">
        <v>20</v>
      </c>
      <c r="CL41" s="37">
        <v>15</v>
      </c>
      <c r="CM41" s="42">
        <v>25</v>
      </c>
      <c r="CN41" s="42">
        <v>20</v>
      </c>
      <c r="CO41" s="36">
        <v>183</v>
      </c>
      <c r="CP41" s="37">
        <v>42</v>
      </c>
      <c r="CQ41" s="17">
        <v>0.22950819672131148</v>
      </c>
      <c r="CR41" s="38">
        <v>23</v>
      </c>
      <c r="CS41" s="37">
        <v>123</v>
      </c>
      <c r="CT41" s="37">
        <v>104</v>
      </c>
      <c r="CU41" s="37">
        <v>126</v>
      </c>
      <c r="CV41" s="37">
        <v>91</v>
      </c>
      <c r="CW41" s="37">
        <v>78</v>
      </c>
      <c r="CX41" s="526" t="s">
        <v>471</v>
      </c>
      <c r="CY41" s="568">
        <v>104</v>
      </c>
      <c r="CZ41" s="37">
        <v>6</v>
      </c>
      <c r="DA41" s="37">
        <v>3</v>
      </c>
      <c r="DB41" s="37">
        <v>2</v>
      </c>
      <c r="DC41" s="37">
        <v>1</v>
      </c>
      <c r="DD41" s="37">
        <v>0</v>
      </c>
      <c r="DE41" s="528" t="s">
        <v>471</v>
      </c>
      <c r="DF41" s="716">
        <v>1</v>
      </c>
      <c r="DG41" s="13">
        <v>3</v>
      </c>
      <c r="DH41" s="13">
        <v>4</v>
      </c>
      <c r="DI41" s="17">
        <v>5.128205128205128E-2</v>
      </c>
      <c r="DJ41" s="17">
        <v>2.0121012473896145E-2</v>
      </c>
      <c r="DK41" s="18">
        <v>0.12456676547294485</v>
      </c>
      <c r="DL41" s="425" t="s">
        <v>286</v>
      </c>
      <c r="DM41" s="258" t="s">
        <v>286</v>
      </c>
      <c r="DN41" s="258" t="s">
        <v>286</v>
      </c>
      <c r="DO41" s="258" t="s">
        <v>286</v>
      </c>
      <c r="DP41" s="337">
        <v>1</v>
      </c>
      <c r="DQ41" s="393">
        <v>9.6153846153846159E-3</v>
      </c>
      <c r="DR41" s="393">
        <v>1.6993728496512515E-3</v>
      </c>
      <c r="DS41" s="393">
        <v>5.24677247079458E-2</v>
      </c>
      <c r="DT41" s="13">
        <v>12</v>
      </c>
      <c r="DU41" s="18">
        <v>1.889763779527559E-2</v>
      </c>
      <c r="DV41" s="328">
        <v>10</v>
      </c>
      <c r="DW41" s="333">
        <v>10</v>
      </c>
      <c r="DX41" s="337">
        <v>10</v>
      </c>
      <c r="DY41" s="393">
        <v>6.1400071250445311E-2</v>
      </c>
      <c r="DZ41" s="337">
        <v>10</v>
      </c>
      <c r="EA41" s="93">
        <v>4.326693968726731E-2</v>
      </c>
      <c r="EB41" s="3">
        <v>63</v>
      </c>
      <c r="EC41" s="18">
        <v>1.6406250000000001E-2</v>
      </c>
      <c r="ED41" s="13">
        <v>40</v>
      </c>
      <c r="EE41" s="3">
        <v>60</v>
      </c>
      <c r="EF41" s="3">
        <v>40</v>
      </c>
      <c r="EG41" s="3">
        <v>35</v>
      </c>
      <c r="EH41" s="9">
        <v>35</v>
      </c>
      <c r="EI41" s="9">
        <v>30</v>
      </c>
      <c r="EJ41" s="13">
        <v>35</v>
      </c>
      <c r="EK41" s="17">
        <v>5.5555555555555552E-2</v>
      </c>
      <c r="EL41" s="17">
        <v>4.0214470057622881E-2</v>
      </c>
      <c r="EM41" s="17">
        <v>7.6283840037272566E-2</v>
      </c>
      <c r="EN41" s="3">
        <v>50</v>
      </c>
      <c r="EO41" s="17">
        <v>7.9365079365079361E-2</v>
      </c>
      <c r="EP41" s="17">
        <v>6.0717109217296394E-2</v>
      </c>
      <c r="EQ41" s="17">
        <v>0.1031116485510868</v>
      </c>
      <c r="ER41" s="3">
        <v>50</v>
      </c>
      <c r="ES41" s="17">
        <v>8.1967213114754092E-2</v>
      </c>
      <c r="ET41" s="17">
        <v>6.2725697475180045E-2</v>
      </c>
      <c r="EU41" s="17">
        <v>0.10644088019488035</v>
      </c>
      <c r="EV41" s="3">
        <v>40</v>
      </c>
      <c r="EW41" s="17">
        <v>6.6666666666666666E-2</v>
      </c>
      <c r="EX41" s="17">
        <v>4.9337618409390389E-2</v>
      </c>
      <c r="EY41" s="17">
        <v>8.9509189135816888E-2</v>
      </c>
      <c r="EZ41" s="3">
        <v>40</v>
      </c>
      <c r="FA41" s="18">
        <v>7.0175438596491224E-2</v>
      </c>
      <c r="FB41" s="18">
        <v>5.1955720247553482E-2</v>
      </c>
      <c r="FC41" s="18">
        <v>9.4149893998230247E-2</v>
      </c>
      <c r="FD41" s="337">
        <v>30</v>
      </c>
      <c r="FE41" s="18">
        <v>6.1224489795918366E-2</v>
      </c>
      <c r="FF41" s="18">
        <v>4.321938940143772E-2</v>
      </c>
      <c r="FG41" s="393">
        <v>8.6055821661540147E-2</v>
      </c>
      <c r="FH41" s="425" t="s">
        <v>286</v>
      </c>
      <c r="FI41" s="258" t="s">
        <v>286</v>
      </c>
      <c r="FJ41" s="258" t="s">
        <v>286</v>
      </c>
      <c r="FK41" s="258" t="s">
        <v>286</v>
      </c>
      <c r="FL41" s="36">
        <v>155</v>
      </c>
      <c r="FM41" s="18">
        <v>6.8584070796460173E-2</v>
      </c>
      <c r="FN41" s="42">
        <v>160</v>
      </c>
      <c r="FO41" s="18">
        <v>7.1428571428571425E-2</v>
      </c>
      <c r="FP41" s="42">
        <v>140</v>
      </c>
      <c r="FQ41" s="18">
        <v>6.3781321184510256E-2</v>
      </c>
      <c r="FR41" s="42">
        <v>130</v>
      </c>
      <c r="FS41" s="18">
        <v>6.0185185185185182E-2</v>
      </c>
      <c r="FT41" s="42">
        <v>115</v>
      </c>
      <c r="FU41" s="18">
        <v>5.4245283018867926E-2</v>
      </c>
      <c r="FV41" s="42">
        <v>100</v>
      </c>
      <c r="FW41" s="393">
        <v>4.6948356807511735E-2</v>
      </c>
      <c r="FX41" s="114" t="s">
        <v>286</v>
      </c>
      <c r="FY41" s="259" t="s">
        <v>286</v>
      </c>
      <c r="FZ41" s="3">
        <v>89</v>
      </c>
      <c r="GA41" s="3">
        <v>2</v>
      </c>
      <c r="GB41" s="3">
        <v>87</v>
      </c>
      <c r="GC41" s="17">
        <v>0.97752808988764039</v>
      </c>
      <c r="GD41" s="3">
        <v>39</v>
      </c>
      <c r="GE41" s="3">
        <v>54</v>
      </c>
      <c r="GF41" s="17">
        <v>0.44827586206896552</v>
      </c>
      <c r="GG41" s="17">
        <v>0.62068965517241381</v>
      </c>
      <c r="GH41" s="17">
        <v>0.34817004727070094</v>
      </c>
      <c r="GI41" s="17">
        <v>0.55275640052414199</v>
      </c>
      <c r="GJ41" s="17">
        <v>0.51567426573095965</v>
      </c>
      <c r="GK41" s="93">
        <v>0.71549735608107345</v>
      </c>
      <c r="GL41" s="337">
        <v>85</v>
      </c>
      <c r="GM41" s="337">
        <v>40</v>
      </c>
      <c r="GN41" s="337">
        <v>12</v>
      </c>
      <c r="GO41" s="337">
        <v>52</v>
      </c>
      <c r="GP41" s="393">
        <v>0.47058823529411764</v>
      </c>
      <c r="GQ41" s="393">
        <v>0.61176470588235299</v>
      </c>
      <c r="GR41" s="393">
        <v>0.36806170013762118</v>
      </c>
      <c r="GS41" s="393">
        <v>0.57565826949849952</v>
      </c>
      <c r="GT41" s="393">
        <v>0.50547711232963566</v>
      </c>
      <c r="GU41" s="93">
        <v>0.70838700305310576</v>
      </c>
      <c r="GV41" s="42">
        <v>110</v>
      </c>
      <c r="GW41" s="42">
        <v>9</v>
      </c>
      <c r="GX41" s="42">
        <v>101</v>
      </c>
      <c r="GY41" s="393">
        <f t="shared" si="2"/>
        <v>0.91818181818181821</v>
      </c>
      <c r="GZ41" s="42">
        <v>47</v>
      </c>
      <c r="HA41" s="42">
        <v>21</v>
      </c>
      <c r="HB41" s="42">
        <v>68</v>
      </c>
      <c r="HC41" s="393">
        <v>0.46534653465346537</v>
      </c>
      <c r="HD41" s="393">
        <v>0.67326732673267331</v>
      </c>
      <c r="HE41" s="393">
        <v>0.3711292273001412</v>
      </c>
      <c r="HF41" s="393">
        <v>0.56210329274737358</v>
      </c>
      <c r="HG41" s="393">
        <v>0.57691616069543605</v>
      </c>
      <c r="HH41" s="93">
        <v>0.75692123906699005</v>
      </c>
      <c r="HI41" s="696">
        <v>74</v>
      </c>
      <c r="HJ41" s="696">
        <v>11</v>
      </c>
      <c r="HK41" s="696">
        <v>63</v>
      </c>
      <c r="HL41" s="697">
        <v>0.85135135135135132</v>
      </c>
      <c r="HM41" s="696">
        <v>28</v>
      </c>
      <c r="HN41" s="696">
        <v>10</v>
      </c>
      <c r="HO41" s="696">
        <v>38</v>
      </c>
      <c r="HP41" s="697">
        <v>0.44444444444444442</v>
      </c>
      <c r="HQ41" s="697">
        <v>0.60317460317460314</v>
      </c>
      <c r="HR41" s="697">
        <v>0.32847096011891802</v>
      </c>
      <c r="HS41" s="697">
        <v>0.56680361761317655</v>
      </c>
      <c r="HT41" s="697">
        <v>0.47980918511657461</v>
      </c>
      <c r="HU41" s="698">
        <v>0.7146808848095354</v>
      </c>
      <c r="HV41" s="3">
        <v>118</v>
      </c>
      <c r="HW41" s="3">
        <v>11</v>
      </c>
      <c r="HX41" s="17">
        <v>9.3220338983050849E-2</v>
      </c>
      <c r="HY41" s="17">
        <v>5.2851600772239334E-2</v>
      </c>
      <c r="HZ41" s="17">
        <v>0.15923925131385774</v>
      </c>
      <c r="IA41" s="267" t="s">
        <v>707</v>
      </c>
      <c r="IB41" s="3">
        <v>116</v>
      </c>
      <c r="IC41" s="3">
        <v>11</v>
      </c>
      <c r="ID41" s="17">
        <v>9.4827586206896547E-2</v>
      </c>
      <c r="IE41" s="17">
        <v>5.3777363581140956E-2</v>
      </c>
      <c r="IF41" s="17">
        <v>0.16185301237546282</v>
      </c>
      <c r="IG41" s="3" t="s">
        <v>707</v>
      </c>
      <c r="IH41" s="3">
        <v>87</v>
      </c>
      <c r="II41" s="3">
        <v>9</v>
      </c>
      <c r="IJ41" s="17">
        <v>0.10344827586206896</v>
      </c>
      <c r="IK41" s="17">
        <v>5.5385110337884548E-2</v>
      </c>
      <c r="IL41" s="17">
        <v>0.18504980896262463</v>
      </c>
      <c r="IM41" s="3" t="s">
        <v>707</v>
      </c>
      <c r="IN41" s="3">
        <v>110</v>
      </c>
      <c r="IO41" s="3">
        <v>3</v>
      </c>
      <c r="IP41" s="17">
        <v>2.7272727272727271E-2</v>
      </c>
      <c r="IQ41" s="17">
        <v>9.3179698578722808E-3</v>
      </c>
      <c r="IR41" s="17">
        <v>7.7130841696755659E-2</v>
      </c>
      <c r="IS41" s="3" t="s">
        <v>708</v>
      </c>
      <c r="IT41" s="3">
        <v>69</v>
      </c>
      <c r="IU41" s="3">
        <v>3</v>
      </c>
      <c r="IV41" s="17">
        <v>4.3478260869565216E-2</v>
      </c>
      <c r="IW41" s="17">
        <v>1.4895903896212303E-2</v>
      </c>
      <c r="IX41" s="17">
        <v>0.12021202749379141</v>
      </c>
      <c r="IY41" s="9" t="s">
        <v>707</v>
      </c>
      <c r="IZ41" s="9">
        <v>113</v>
      </c>
      <c r="JA41" s="9">
        <v>8</v>
      </c>
      <c r="JB41" s="393">
        <v>7.0796460176991149E-2</v>
      </c>
      <c r="JC41" s="393">
        <v>3.6307708145227553E-2</v>
      </c>
      <c r="JD41" s="393">
        <v>0.13350751858129756</v>
      </c>
      <c r="JE41" s="9" t="str">
        <f t="shared" si="0"/>
        <v>No Sig diff</v>
      </c>
      <c r="JF41" s="9">
        <v>99</v>
      </c>
      <c r="JG41" s="109">
        <v>5</v>
      </c>
      <c r="JH41" s="258">
        <v>5.0505050505050504E-2</v>
      </c>
      <c r="JI41" s="258">
        <v>2.1763234491416872E-2</v>
      </c>
      <c r="JJ41" s="258">
        <v>0.11282702686248854</v>
      </c>
      <c r="JK41" s="662" t="str">
        <f t="shared" si="3"/>
        <v>No Sig diff</v>
      </c>
      <c r="JL41" s="3">
        <v>116</v>
      </c>
      <c r="JM41" s="3">
        <v>15</v>
      </c>
      <c r="JN41" s="17">
        <v>0.12931034482758622</v>
      </c>
      <c r="JO41" s="17">
        <v>7.995391352718767E-2</v>
      </c>
      <c r="JP41" s="17">
        <v>0.20243132405013073</v>
      </c>
      <c r="JQ41" s="3" t="s">
        <v>707</v>
      </c>
      <c r="JR41" s="3">
        <v>123</v>
      </c>
      <c r="JS41" s="3">
        <v>14</v>
      </c>
      <c r="JT41" s="17">
        <v>0.11382113821138211</v>
      </c>
      <c r="JU41" s="17">
        <v>6.9022844406854716E-2</v>
      </c>
      <c r="JV41" s="17">
        <v>0.18201068293301853</v>
      </c>
      <c r="JW41" s="3" t="s">
        <v>708</v>
      </c>
      <c r="JX41" s="3">
        <v>107</v>
      </c>
      <c r="JY41" s="3">
        <v>13</v>
      </c>
      <c r="JZ41" s="17">
        <v>0.12149532710280374</v>
      </c>
      <c r="KA41" s="17">
        <v>7.2394341667617434E-2</v>
      </c>
      <c r="KB41" s="17">
        <v>0.19683216561760347</v>
      </c>
      <c r="KC41" s="3" t="s">
        <v>707</v>
      </c>
      <c r="KD41" s="3">
        <v>126</v>
      </c>
      <c r="KE41" s="3">
        <v>21</v>
      </c>
      <c r="KF41" s="17">
        <v>0.16666666666666666</v>
      </c>
      <c r="KG41" s="17">
        <v>0.11167188880425907</v>
      </c>
      <c r="KH41" s="17">
        <v>0.2413852875172065</v>
      </c>
      <c r="KI41" s="3" t="s">
        <v>707</v>
      </c>
      <c r="KJ41" s="3">
        <v>130</v>
      </c>
      <c r="KK41" s="3">
        <v>14</v>
      </c>
      <c r="KL41" s="17">
        <v>0.1076923076923077</v>
      </c>
      <c r="KM41" s="17">
        <v>6.5241339616437868E-2</v>
      </c>
      <c r="KN41" s="17">
        <v>0.17266296224380828</v>
      </c>
      <c r="KO41" s="465" t="s">
        <v>708</v>
      </c>
      <c r="KP41" s="465">
        <v>131</v>
      </c>
      <c r="KQ41" s="465">
        <v>13</v>
      </c>
      <c r="KR41" s="393">
        <v>9.9236641221374045E-2</v>
      </c>
      <c r="KS41" s="393">
        <v>5.8914886907542825E-2</v>
      </c>
      <c r="KT41" s="393">
        <v>0.16239285539726195</v>
      </c>
      <c r="KU41" s="465" t="s">
        <v>708</v>
      </c>
      <c r="KV41" s="465">
        <v>109</v>
      </c>
      <c r="KW41" s="465">
        <v>19</v>
      </c>
      <c r="KX41" s="393">
        <v>0.1743119266055046</v>
      </c>
      <c r="KY41" s="393">
        <v>0.11452871106877449</v>
      </c>
      <c r="KZ41" s="393">
        <v>0.25626992320961156</v>
      </c>
      <c r="LA41" s="660" t="str">
        <f t="shared" si="4"/>
        <v>No Sig diff</v>
      </c>
      <c r="LB41" s="3">
        <v>134</v>
      </c>
      <c r="LC41" s="3">
        <v>89</v>
      </c>
      <c r="LD41" s="17">
        <v>0.66417910447761197</v>
      </c>
      <c r="LE41" s="17">
        <v>0.58062954335825934</v>
      </c>
      <c r="LF41" s="17">
        <v>0.73857775738016174</v>
      </c>
      <c r="LG41" s="3">
        <v>134</v>
      </c>
      <c r="LH41" s="3">
        <v>34</v>
      </c>
      <c r="LI41" s="3">
        <v>26</v>
      </c>
      <c r="LJ41" s="293">
        <v>27.038461538461537</v>
      </c>
      <c r="LK41" s="17">
        <v>0.20475113122171951</v>
      </c>
      <c r="LL41" s="3">
        <v>135</v>
      </c>
      <c r="LM41" s="3">
        <v>97</v>
      </c>
      <c r="LN41" s="17">
        <v>0.71851851851851856</v>
      </c>
      <c r="LO41" s="17">
        <v>0.63742332520504075</v>
      </c>
      <c r="LP41" s="17">
        <v>0.78752179206137429</v>
      </c>
      <c r="LQ41" s="3">
        <v>135</v>
      </c>
      <c r="LR41" s="3">
        <v>35</v>
      </c>
      <c r="LS41" s="3">
        <v>27</v>
      </c>
      <c r="LT41" s="293">
        <v>25.407407407407412</v>
      </c>
      <c r="LU41" s="18">
        <v>0.27407407407407397</v>
      </c>
      <c r="LV41" s="42">
        <v>117</v>
      </c>
      <c r="LW41" s="42">
        <v>89</v>
      </c>
      <c r="LX41" s="18">
        <v>0.76068376068376065</v>
      </c>
      <c r="LY41" s="18">
        <v>0.67587418287904921</v>
      </c>
      <c r="LZ41" s="18">
        <v>0.82891945827114966</v>
      </c>
      <c r="MA41" s="337">
        <v>36</v>
      </c>
      <c r="MB41" s="337">
        <v>23</v>
      </c>
      <c r="MC41" s="294">
        <v>27</v>
      </c>
      <c r="MD41" s="393">
        <v>0.251</v>
      </c>
      <c r="ME41" s="337">
        <v>144</v>
      </c>
      <c r="MF41" s="337">
        <v>107</v>
      </c>
      <c r="MG41" s="393">
        <v>0.74305555555555558</v>
      </c>
      <c r="MH41" s="393">
        <v>0.6660238596065402</v>
      </c>
      <c r="MI41" s="393">
        <v>0.80745631678226137</v>
      </c>
      <c r="MJ41" s="337">
        <v>34</v>
      </c>
      <c r="MK41" s="337">
        <v>28</v>
      </c>
      <c r="ML41" s="294">
        <v>26.642857142857142</v>
      </c>
      <c r="MM41" s="93">
        <v>0.21638655462184875</v>
      </c>
      <c r="MN41" s="17">
        <v>0.9821428571428571</v>
      </c>
      <c r="MO41" s="17">
        <v>1.7857142857142856E-2</v>
      </c>
      <c r="MP41" s="17">
        <v>3.4696032534422437E-3</v>
      </c>
      <c r="MQ41" s="17">
        <v>0.10304807675589374</v>
      </c>
      <c r="MR41" s="17">
        <v>0.96785714285714286</v>
      </c>
      <c r="MS41" s="17">
        <v>3.2142857142857147E-2</v>
      </c>
      <c r="MT41" s="17">
        <v>1.0820856268751204E-2</v>
      </c>
      <c r="MU41" s="17">
        <v>0.1321654898626527</v>
      </c>
      <c r="MV41" s="17">
        <v>0.9821428571428571</v>
      </c>
      <c r="MW41" s="17">
        <v>1.7857142857142856E-2</v>
      </c>
      <c r="MX41" s="17">
        <v>3.4696032534422437E-3</v>
      </c>
      <c r="MY41" s="17">
        <v>0.10304807675589374</v>
      </c>
      <c r="MZ41" s="17">
        <v>0.94387755102040816</v>
      </c>
      <c r="NA41" s="17">
        <v>5.6122448979591837E-2</v>
      </c>
      <c r="NB41" s="17">
        <v>2.0206272864052088E-2</v>
      </c>
      <c r="NC41" s="93">
        <v>0.15924873938941972</v>
      </c>
      <c r="ND41" s="337">
        <v>1</v>
      </c>
      <c r="NE41" s="337">
        <v>46</v>
      </c>
      <c r="NF41" s="393">
        <v>2.1739130434782608E-2</v>
      </c>
      <c r="NG41" s="393">
        <v>3.8478542580502872E-3</v>
      </c>
      <c r="NH41" s="393">
        <v>0.11335294521511352</v>
      </c>
      <c r="NI41" s="337">
        <v>1</v>
      </c>
      <c r="NJ41" s="337">
        <v>46</v>
      </c>
      <c r="NK41" s="393">
        <v>2.1739130434782608E-2</v>
      </c>
      <c r="NL41" s="393">
        <v>3.8478542580502872E-3</v>
      </c>
      <c r="NM41" s="393">
        <v>0.11335294521511352</v>
      </c>
      <c r="NN41" s="337">
        <v>2</v>
      </c>
      <c r="NO41" s="337">
        <v>46</v>
      </c>
      <c r="NP41" s="393">
        <v>4.3478260869565216E-2</v>
      </c>
      <c r="NQ41" s="393">
        <v>1.2005445598556619E-2</v>
      </c>
      <c r="NR41" s="393">
        <v>0.14532259026219066</v>
      </c>
      <c r="NS41" s="337">
        <v>5</v>
      </c>
      <c r="NT41" s="337">
        <v>43</v>
      </c>
      <c r="NU41" s="393">
        <v>0.11627906976744186</v>
      </c>
      <c r="NV41" s="393">
        <v>5.0704277398041682E-2</v>
      </c>
      <c r="NW41" s="93">
        <v>0.24479161810082128</v>
      </c>
      <c r="NX41" s="3">
        <v>29</v>
      </c>
      <c r="NY41" s="3">
        <v>28</v>
      </c>
      <c r="NZ41" s="3">
        <v>28</v>
      </c>
      <c r="OA41" s="3">
        <v>28</v>
      </c>
      <c r="OB41" s="3">
        <v>28</v>
      </c>
      <c r="OC41" s="3">
        <v>31</v>
      </c>
      <c r="OD41" s="3">
        <v>31</v>
      </c>
      <c r="OE41" s="3">
        <v>30</v>
      </c>
      <c r="OF41" s="3">
        <v>30</v>
      </c>
      <c r="OG41" s="3">
        <v>30</v>
      </c>
      <c r="OH41" s="3">
        <v>31</v>
      </c>
      <c r="OI41" s="3">
        <v>30</v>
      </c>
      <c r="OJ41" s="3">
        <v>31</v>
      </c>
      <c r="OK41" s="3">
        <v>30</v>
      </c>
      <c r="OL41" s="3">
        <v>28</v>
      </c>
      <c r="OM41" s="3">
        <v>29</v>
      </c>
      <c r="ON41" s="3">
        <v>27</v>
      </c>
      <c r="OO41" s="3">
        <v>28</v>
      </c>
      <c r="OP41" s="3">
        <v>29</v>
      </c>
      <c r="OQ41" s="3">
        <v>26</v>
      </c>
      <c r="OR41" s="3">
        <v>27</v>
      </c>
      <c r="OS41" s="3">
        <v>29</v>
      </c>
      <c r="OT41" s="6">
        <v>29</v>
      </c>
      <c r="OU41" s="3">
        <v>70</v>
      </c>
      <c r="OV41" s="22">
        <v>0.94299999999999995</v>
      </c>
      <c r="OW41" s="22">
        <v>1.4E-2</v>
      </c>
      <c r="OX41" s="22">
        <v>0.92900000000000005</v>
      </c>
      <c r="OY41" s="3">
        <v>66</v>
      </c>
      <c r="OZ41" s="3">
        <v>1</v>
      </c>
      <c r="PA41" s="3">
        <v>65</v>
      </c>
      <c r="PB41" s="3">
        <v>96</v>
      </c>
      <c r="PC41" s="22">
        <v>1</v>
      </c>
      <c r="PD41" s="22">
        <v>0.96899999999999997</v>
      </c>
      <c r="PE41" s="22">
        <v>0.96899999999999997</v>
      </c>
      <c r="PF41" s="22">
        <v>0.97899999999999998</v>
      </c>
      <c r="PG41" s="22">
        <v>0.97899999999999998</v>
      </c>
      <c r="PH41" s="3">
        <v>96</v>
      </c>
      <c r="PI41" s="3">
        <v>93</v>
      </c>
      <c r="PJ41" s="3">
        <v>93</v>
      </c>
      <c r="PK41" s="3">
        <v>94</v>
      </c>
      <c r="PL41" s="3">
        <v>94</v>
      </c>
      <c r="PM41" s="3">
        <v>111</v>
      </c>
      <c r="PN41" s="22">
        <v>0.99099999999999999</v>
      </c>
      <c r="PO41" s="22">
        <v>0.96399999999999997</v>
      </c>
      <c r="PP41" s="22">
        <v>0.99099999999999999</v>
      </c>
      <c r="PQ41" s="22">
        <v>0.99099999999999999</v>
      </c>
      <c r="PR41" s="22">
        <v>0.99099999999999999</v>
      </c>
      <c r="PS41" s="22">
        <v>0.96399999999999997</v>
      </c>
      <c r="PT41" s="22">
        <v>0.99099999999999999</v>
      </c>
      <c r="PU41" s="22">
        <v>0.96399999999999997</v>
      </c>
      <c r="PV41" s="22">
        <v>0.99099999999999999</v>
      </c>
      <c r="PW41" s="22">
        <v>0.98199999999999998</v>
      </c>
      <c r="PX41" s="3">
        <v>110</v>
      </c>
      <c r="PY41" s="3">
        <v>107</v>
      </c>
      <c r="PZ41" s="3">
        <v>110</v>
      </c>
      <c r="QA41" s="3">
        <v>110</v>
      </c>
      <c r="QB41" s="3">
        <v>110</v>
      </c>
      <c r="QC41" s="3">
        <v>107</v>
      </c>
      <c r="QD41" s="3">
        <v>110</v>
      </c>
      <c r="QE41" s="3">
        <v>107</v>
      </c>
      <c r="QF41" s="3">
        <v>110</v>
      </c>
      <c r="QG41" s="6">
        <v>109</v>
      </c>
      <c r="QH41" s="37">
        <v>81</v>
      </c>
      <c r="QI41" s="17">
        <v>1</v>
      </c>
      <c r="QJ41" s="17">
        <v>0.23456790123456789</v>
      </c>
      <c r="QK41" s="17">
        <v>1</v>
      </c>
      <c r="QL41" s="37">
        <v>81</v>
      </c>
      <c r="QM41" s="37">
        <v>19</v>
      </c>
      <c r="QN41" s="37">
        <v>81</v>
      </c>
      <c r="QO41" s="37">
        <v>83</v>
      </c>
      <c r="QP41" s="17">
        <v>0.96385542168674698</v>
      </c>
      <c r="QQ41" s="17">
        <v>0.93975903614457834</v>
      </c>
      <c r="QR41" s="17">
        <v>0.6987951807228916</v>
      </c>
      <c r="QS41" s="17">
        <v>0.95180722891566261</v>
      </c>
      <c r="QT41" s="17">
        <v>0.67469879518072284</v>
      </c>
      <c r="QU41" s="37">
        <v>80</v>
      </c>
      <c r="QV41" s="37">
        <v>78</v>
      </c>
      <c r="QW41" s="37">
        <v>58</v>
      </c>
      <c r="QX41" s="37">
        <v>79</v>
      </c>
      <c r="QY41" s="37">
        <v>55.999999999999993</v>
      </c>
      <c r="QZ41" s="3">
        <v>119</v>
      </c>
      <c r="RA41" s="17">
        <v>0.98319327731092432</v>
      </c>
      <c r="RB41" s="17">
        <v>0.95798319327731096</v>
      </c>
      <c r="RC41" s="17">
        <v>0.98319327731092432</v>
      </c>
      <c r="RD41" s="17">
        <v>0.98319327731092432</v>
      </c>
      <c r="RE41" s="17">
        <v>0.72268907563025209</v>
      </c>
      <c r="RF41" s="17">
        <v>0.98319327731092432</v>
      </c>
      <c r="RG41" s="17">
        <v>0.98319327731092432</v>
      </c>
      <c r="RH41" s="17">
        <v>0.98319327731092432</v>
      </c>
      <c r="RI41" s="17">
        <v>0.73109243697478987</v>
      </c>
      <c r="RJ41" s="17">
        <v>0.7142857142857143</v>
      </c>
      <c r="RK41" s="37">
        <v>117</v>
      </c>
      <c r="RL41" s="37">
        <v>114</v>
      </c>
      <c r="RM41" s="37">
        <v>117</v>
      </c>
      <c r="RN41" s="37">
        <v>117</v>
      </c>
      <c r="RO41" s="37">
        <v>86</v>
      </c>
      <c r="RP41" s="37">
        <v>117</v>
      </c>
      <c r="RQ41" s="37">
        <v>117</v>
      </c>
      <c r="RR41" s="37">
        <v>117</v>
      </c>
      <c r="RS41" s="37">
        <v>87</v>
      </c>
      <c r="RT41" s="38">
        <v>85</v>
      </c>
    </row>
    <row r="42" spans="1:488" s="3" customFormat="1" ht="12.75" x14ac:dyDescent="0.2">
      <c r="A42" s="9" t="s">
        <v>34</v>
      </c>
      <c r="B42" s="6">
        <v>2</v>
      </c>
      <c r="C42" s="9" t="s">
        <v>142</v>
      </c>
      <c r="D42" s="9" t="s">
        <v>143</v>
      </c>
      <c r="E42" s="9" t="s">
        <v>286</v>
      </c>
      <c r="F42" s="9" t="s">
        <v>286</v>
      </c>
      <c r="G42" s="9" t="s">
        <v>144</v>
      </c>
      <c r="H42" s="9" t="s">
        <v>73</v>
      </c>
      <c r="I42" s="9" t="s">
        <v>398</v>
      </c>
      <c r="J42" s="9" t="s">
        <v>268</v>
      </c>
      <c r="K42" s="9" t="s">
        <v>366</v>
      </c>
      <c r="L42" s="9" t="s">
        <v>271</v>
      </c>
      <c r="M42" s="9" t="s">
        <v>331</v>
      </c>
      <c r="N42" s="3" t="s">
        <v>400</v>
      </c>
      <c r="O42" s="9">
        <v>525280</v>
      </c>
      <c r="P42" s="9">
        <v>105246</v>
      </c>
      <c r="Q42" s="109">
        <v>22926</v>
      </c>
      <c r="R42" s="109">
        <v>80191</v>
      </c>
      <c r="S42" s="310" t="s">
        <v>797</v>
      </c>
      <c r="T42" s="36">
        <v>13040</v>
      </c>
      <c r="U42" s="37">
        <v>13085</v>
      </c>
      <c r="V42" s="37">
        <v>13055</v>
      </c>
      <c r="W42" s="37">
        <v>13065</v>
      </c>
      <c r="X42" s="37">
        <v>13160</v>
      </c>
      <c r="Y42" s="37">
        <v>13195</v>
      </c>
      <c r="Z42" s="37">
        <v>13265</v>
      </c>
      <c r="AA42" s="37">
        <v>13280</v>
      </c>
      <c r="AB42" s="37">
        <v>13390</v>
      </c>
      <c r="AC42" s="42">
        <v>13516</v>
      </c>
      <c r="AD42" s="42">
        <v>13530</v>
      </c>
      <c r="AE42" s="36">
        <v>680</v>
      </c>
      <c r="AF42" s="37">
        <v>705</v>
      </c>
      <c r="AG42" s="37">
        <v>710</v>
      </c>
      <c r="AH42" s="37">
        <v>735</v>
      </c>
      <c r="AI42" s="37">
        <v>775</v>
      </c>
      <c r="AJ42" s="37">
        <v>775</v>
      </c>
      <c r="AK42" s="37">
        <v>805</v>
      </c>
      <c r="AL42" s="37">
        <v>825</v>
      </c>
      <c r="AM42" s="37">
        <v>830</v>
      </c>
      <c r="AN42" s="42">
        <v>858</v>
      </c>
      <c r="AO42" s="42">
        <v>882</v>
      </c>
      <c r="AP42" s="13">
        <v>804</v>
      </c>
      <c r="AQ42" s="3">
        <v>715</v>
      </c>
      <c r="AR42" s="3">
        <v>15</v>
      </c>
      <c r="AS42" s="3">
        <v>27</v>
      </c>
      <c r="AT42" s="3">
        <v>25</v>
      </c>
      <c r="AU42" s="3">
        <v>6</v>
      </c>
      <c r="AV42" s="3">
        <v>16</v>
      </c>
      <c r="AW42" s="9">
        <v>89</v>
      </c>
      <c r="AX42" s="16">
        <v>0.88930348258706471</v>
      </c>
      <c r="AY42" s="17">
        <v>1.8656716417910446E-2</v>
      </c>
      <c r="AZ42" s="17">
        <v>3.3582089552238806E-2</v>
      </c>
      <c r="BA42" s="17">
        <v>3.109452736318408E-2</v>
      </c>
      <c r="BB42" s="17">
        <v>7.462686567164179E-3</v>
      </c>
      <c r="BC42" s="17">
        <v>1.9900497512437811E-2</v>
      </c>
      <c r="BD42" s="18">
        <v>0.11069651741293529</v>
      </c>
      <c r="BE42" s="13">
        <v>2004</v>
      </c>
      <c r="BF42" s="3">
        <v>1951</v>
      </c>
      <c r="BG42" s="3">
        <v>53</v>
      </c>
      <c r="BH42" s="3">
        <v>51</v>
      </c>
      <c r="BI42" s="3">
        <v>2</v>
      </c>
      <c r="BJ42" s="17">
        <v>0.96226415094339623</v>
      </c>
      <c r="BK42" s="18">
        <v>3.7735849056603772E-2</v>
      </c>
      <c r="BL42" s="13">
        <v>1549</v>
      </c>
      <c r="BM42" s="17">
        <v>0.59199483537766295</v>
      </c>
      <c r="BN42" s="17">
        <v>0.20787604906391219</v>
      </c>
      <c r="BO42" s="18">
        <v>0.2001291155584248</v>
      </c>
      <c r="BP42" s="36">
        <v>3894</v>
      </c>
      <c r="BQ42" s="37">
        <v>256</v>
      </c>
      <c r="BR42" s="37">
        <v>276</v>
      </c>
      <c r="BS42" s="37">
        <v>106</v>
      </c>
      <c r="BT42" s="37">
        <v>2857</v>
      </c>
      <c r="BU42" s="37">
        <v>1665</v>
      </c>
      <c r="BV42" s="18">
        <v>0.12672672672672672</v>
      </c>
      <c r="BW42" s="36">
        <v>843</v>
      </c>
      <c r="BX42" s="37">
        <v>1</v>
      </c>
      <c r="BY42" s="37">
        <v>307</v>
      </c>
      <c r="BZ42" s="37">
        <v>384</v>
      </c>
      <c r="CA42" s="37">
        <v>135</v>
      </c>
      <c r="CB42" s="38">
        <v>1670</v>
      </c>
      <c r="CC42" s="37">
        <v>640</v>
      </c>
      <c r="CD42" s="37">
        <v>492</v>
      </c>
      <c r="CE42" s="37">
        <v>147</v>
      </c>
      <c r="CF42" s="37">
        <v>148</v>
      </c>
      <c r="CG42" s="17">
        <v>0.22968749999999999</v>
      </c>
      <c r="CH42" s="93">
        <v>0.23125000000000001</v>
      </c>
      <c r="CI42" s="37">
        <v>140</v>
      </c>
      <c r="CJ42" s="37">
        <v>130</v>
      </c>
      <c r="CK42" s="37">
        <v>115</v>
      </c>
      <c r="CL42" s="37">
        <v>115</v>
      </c>
      <c r="CM42" s="42">
        <v>105</v>
      </c>
      <c r="CN42" s="42">
        <v>85</v>
      </c>
      <c r="CO42" s="36">
        <v>384</v>
      </c>
      <c r="CP42" s="37">
        <v>151</v>
      </c>
      <c r="CQ42" s="17">
        <v>0.39322916666666669</v>
      </c>
      <c r="CR42" s="38">
        <v>34</v>
      </c>
      <c r="CS42" s="37">
        <v>106</v>
      </c>
      <c r="CT42" s="37">
        <v>127</v>
      </c>
      <c r="CU42" s="37">
        <v>106</v>
      </c>
      <c r="CV42" s="37">
        <v>138</v>
      </c>
      <c r="CW42" s="37">
        <v>115</v>
      </c>
      <c r="CX42" s="526" t="s">
        <v>471</v>
      </c>
      <c r="CY42" s="568">
        <v>195</v>
      </c>
      <c r="CZ42" s="37">
        <v>9</v>
      </c>
      <c r="DA42" s="37">
        <v>8</v>
      </c>
      <c r="DB42" s="37">
        <v>5</v>
      </c>
      <c r="DC42" s="37">
        <v>7</v>
      </c>
      <c r="DD42" s="37">
        <v>7</v>
      </c>
      <c r="DE42" s="528" t="s">
        <v>471</v>
      </c>
      <c r="DF42" s="716">
        <v>8</v>
      </c>
      <c r="DG42" s="13">
        <v>15</v>
      </c>
      <c r="DH42" s="13">
        <v>5</v>
      </c>
      <c r="DI42" s="17">
        <v>4.3478260869565216E-2</v>
      </c>
      <c r="DJ42" s="17">
        <v>1.8712101106831382E-2</v>
      </c>
      <c r="DK42" s="18">
        <v>9.7757849346889233E-2</v>
      </c>
      <c r="DL42" s="425" t="s">
        <v>286</v>
      </c>
      <c r="DM42" s="258" t="s">
        <v>286</v>
      </c>
      <c r="DN42" s="258" t="s">
        <v>286</v>
      </c>
      <c r="DO42" s="258" t="s">
        <v>286</v>
      </c>
      <c r="DP42" s="337">
        <v>17</v>
      </c>
      <c r="DQ42" s="393">
        <v>8.7179487179487175E-2</v>
      </c>
      <c r="DR42" s="393">
        <v>5.5142181350437143E-2</v>
      </c>
      <c r="DS42" s="393">
        <v>0.13516752088735307</v>
      </c>
      <c r="DT42" s="13">
        <v>26</v>
      </c>
      <c r="DU42" s="18">
        <v>3.2338308457711441E-2</v>
      </c>
      <c r="DV42" s="328">
        <v>2</v>
      </c>
      <c r="DW42" s="333">
        <v>2</v>
      </c>
      <c r="DX42" s="337">
        <v>2</v>
      </c>
      <c r="DY42" s="393">
        <v>0.19563241106719365</v>
      </c>
      <c r="DZ42" s="337">
        <v>2</v>
      </c>
      <c r="EA42" s="93">
        <v>0.20665314401622717</v>
      </c>
      <c r="EB42" s="3">
        <v>300</v>
      </c>
      <c r="EC42" s="18">
        <v>5.3229240596167494E-2</v>
      </c>
      <c r="ED42" s="13">
        <v>215</v>
      </c>
      <c r="EE42" s="3">
        <v>210</v>
      </c>
      <c r="EF42" s="3">
        <v>215</v>
      </c>
      <c r="EG42" s="3">
        <v>185</v>
      </c>
      <c r="EH42" s="9">
        <v>180</v>
      </c>
      <c r="EI42" s="9">
        <v>165</v>
      </c>
      <c r="EJ42" s="13">
        <v>175</v>
      </c>
      <c r="EK42" s="17">
        <v>0.2348993288590604</v>
      </c>
      <c r="EL42" s="17">
        <v>0.20586521665752222</v>
      </c>
      <c r="EM42" s="17">
        <v>0.2666533046566395</v>
      </c>
      <c r="EN42" s="3">
        <v>205</v>
      </c>
      <c r="EO42" s="17">
        <v>0.26797385620915032</v>
      </c>
      <c r="EP42" s="17">
        <v>0.23780486242152346</v>
      </c>
      <c r="EQ42" s="17">
        <v>0.30046145252912287</v>
      </c>
      <c r="ER42" s="3">
        <v>185</v>
      </c>
      <c r="ES42" s="17">
        <v>0.23717948717948717</v>
      </c>
      <c r="ET42" s="17">
        <v>0.20866248588366965</v>
      </c>
      <c r="EU42" s="17">
        <v>0.26827255578042708</v>
      </c>
      <c r="EV42" s="3">
        <v>190</v>
      </c>
      <c r="EW42" s="17">
        <v>0.2389937106918239</v>
      </c>
      <c r="EX42" s="17">
        <v>0.21064854714886772</v>
      </c>
      <c r="EY42" s="17">
        <v>0.26984912179704285</v>
      </c>
      <c r="EZ42" s="3">
        <v>200</v>
      </c>
      <c r="FA42" s="18">
        <v>0.23952095808383234</v>
      </c>
      <c r="FB42" s="18">
        <v>0.21180744220700884</v>
      </c>
      <c r="FC42" s="18">
        <v>0.26962019179244151</v>
      </c>
      <c r="FD42" s="337">
        <v>165</v>
      </c>
      <c r="FE42" s="18">
        <v>0.19879518072289157</v>
      </c>
      <c r="FF42" s="18">
        <v>0.17305903891802601</v>
      </c>
      <c r="FG42" s="393">
        <v>0.22730658849134708</v>
      </c>
      <c r="FH42" s="425" t="s">
        <v>286</v>
      </c>
      <c r="FI42" s="258" t="s">
        <v>286</v>
      </c>
      <c r="FJ42" s="258" t="s">
        <v>286</v>
      </c>
      <c r="FK42" s="258" t="s">
        <v>286</v>
      </c>
      <c r="FL42" s="36">
        <v>515</v>
      </c>
      <c r="FM42" s="18">
        <v>0.20724346076458752</v>
      </c>
      <c r="FN42" s="42">
        <v>555</v>
      </c>
      <c r="FO42" s="18">
        <v>0.222</v>
      </c>
      <c r="FP42" s="42">
        <v>480</v>
      </c>
      <c r="FQ42" s="18">
        <v>0.1955193482688391</v>
      </c>
      <c r="FR42" s="42">
        <v>480</v>
      </c>
      <c r="FS42" s="18">
        <v>0.1947261663286004</v>
      </c>
      <c r="FT42" s="42">
        <v>495</v>
      </c>
      <c r="FU42" s="18">
        <v>0.19919517102615694</v>
      </c>
      <c r="FV42" s="42">
        <v>450</v>
      </c>
      <c r="FW42" s="393">
        <v>0.17892644135188868</v>
      </c>
      <c r="FX42" s="114" t="s">
        <v>286</v>
      </c>
      <c r="FY42" s="259" t="s">
        <v>286</v>
      </c>
      <c r="FZ42" s="3">
        <v>138</v>
      </c>
      <c r="GA42" s="3">
        <v>15</v>
      </c>
      <c r="GB42" s="3">
        <v>123</v>
      </c>
      <c r="GC42" s="17">
        <v>0.89130434782608692</v>
      </c>
      <c r="GD42" s="3">
        <v>51</v>
      </c>
      <c r="GE42" s="3">
        <v>71</v>
      </c>
      <c r="GF42" s="17">
        <v>0.41463414634146339</v>
      </c>
      <c r="GG42" s="17">
        <v>0.57723577235772361</v>
      </c>
      <c r="GH42" s="17">
        <v>0.33144299050634901</v>
      </c>
      <c r="GI42" s="17">
        <v>0.50299618402314283</v>
      </c>
      <c r="GJ42" s="17">
        <v>0.48889394915995515</v>
      </c>
      <c r="GK42" s="93">
        <v>0.66089917864669501</v>
      </c>
      <c r="GL42" s="337">
        <v>102</v>
      </c>
      <c r="GM42" s="337">
        <v>37</v>
      </c>
      <c r="GN42" s="337">
        <v>14</v>
      </c>
      <c r="GO42" s="337">
        <v>51</v>
      </c>
      <c r="GP42" s="393">
        <v>0.36274509803921567</v>
      </c>
      <c r="GQ42" s="393">
        <v>0.5</v>
      </c>
      <c r="GR42" s="393">
        <v>0.27599510544732719</v>
      </c>
      <c r="GS42" s="393">
        <v>0.45945827631836861</v>
      </c>
      <c r="GT42" s="393">
        <v>0.40474447240912587</v>
      </c>
      <c r="GU42" s="93">
        <v>0.59525552759087419</v>
      </c>
      <c r="GV42" s="42">
        <v>190</v>
      </c>
      <c r="GW42" s="42">
        <v>110</v>
      </c>
      <c r="GX42" s="42">
        <v>80</v>
      </c>
      <c r="GY42" s="393">
        <f t="shared" si="2"/>
        <v>0.42105263157894735</v>
      </c>
      <c r="GZ42" s="42">
        <v>35</v>
      </c>
      <c r="HA42" s="42">
        <v>12</v>
      </c>
      <c r="HB42" s="42">
        <v>47</v>
      </c>
      <c r="HC42" s="393">
        <v>0.4375</v>
      </c>
      <c r="HD42" s="393">
        <v>0.58750000000000002</v>
      </c>
      <c r="HE42" s="393">
        <v>0.33413860916143817</v>
      </c>
      <c r="HF42" s="393">
        <v>0.54658865703050274</v>
      </c>
      <c r="HG42" s="393">
        <v>0.47804040345890159</v>
      </c>
      <c r="HH42" s="93">
        <v>0.68894142387238111</v>
      </c>
      <c r="HI42" s="696">
        <v>103</v>
      </c>
      <c r="HJ42" s="696">
        <v>17</v>
      </c>
      <c r="HK42" s="696">
        <v>86</v>
      </c>
      <c r="HL42" s="697">
        <v>0.83495145631067957</v>
      </c>
      <c r="HM42" s="696">
        <v>30</v>
      </c>
      <c r="HN42" s="696">
        <v>12</v>
      </c>
      <c r="HO42" s="696">
        <v>42</v>
      </c>
      <c r="HP42" s="697">
        <v>0.34883720930232559</v>
      </c>
      <c r="HQ42" s="697">
        <v>0.48837209302325579</v>
      </c>
      <c r="HR42" s="697">
        <v>0.25653683548009842</v>
      </c>
      <c r="HS42" s="697">
        <v>0.45406447997838167</v>
      </c>
      <c r="HT42" s="697">
        <v>0.38550577108134865</v>
      </c>
      <c r="HU42" s="698">
        <v>0.59223279164622677</v>
      </c>
      <c r="HV42" s="3">
        <v>85</v>
      </c>
      <c r="HW42" s="3">
        <v>4</v>
      </c>
      <c r="HX42" s="17">
        <v>4.7058823529411764E-2</v>
      </c>
      <c r="HY42" s="17">
        <v>1.8450260833070709E-2</v>
      </c>
      <c r="HZ42" s="17">
        <v>0.11483727156318768</v>
      </c>
      <c r="IA42" s="267" t="s">
        <v>707</v>
      </c>
      <c r="IB42" s="3">
        <v>120</v>
      </c>
      <c r="IC42" s="3">
        <v>6</v>
      </c>
      <c r="ID42" s="17">
        <v>0.05</v>
      </c>
      <c r="IE42" s="17">
        <v>2.3114364414465797E-2</v>
      </c>
      <c r="IF42" s="17">
        <v>0.10480288536236734</v>
      </c>
      <c r="IG42" s="3" t="s">
        <v>707</v>
      </c>
      <c r="IH42" s="3">
        <v>92</v>
      </c>
      <c r="II42" s="3">
        <v>13</v>
      </c>
      <c r="IJ42" s="17">
        <v>0.14130434782608695</v>
      </c>
      <c r="IK42" s="17">
        <v>8.4476933783828992E-2</v>
      </c>
      <c r="IL42" s="17">
        <v>0.22688580200803002</v>
      </c>
      <c r="IM42" s="3" t="s">
        <v>707</v>
      </c>
      <c r="IN42" s="3">
        <v>114</v>
      </c>
      <c r="IO42" s="3">
        <v>11</v>
      </c>
      <c r="IP42" s="17">
        <v>9.6491228070175433E-2</v>
      </c>
      <c r="IQ42" s="17">
        <v>5.4736149045213803E-2</v>
      </c>
      <c r="IR42" s="17">
        <v>0.16455389606543028</v>
      </c>
      <c r="IS42" s="3" t="s">
        <v>707</v>
      </c>
      <c r="IT42" s="3">
        <v>83</v>
      </c>
      <c r="IU42" s="3">
        <v>9</v>
      </c>
      <c r="IV42" s="17">
        <v>0.10843373493975904</v>
      </c>
      <c r="IW42" s="17">
        <v>5.8104915192981173E-2</v>
      </c>
      <c r="IX42" s="17">
        <v>0.19340466464711878</v>
      </c>
      <c r="IY42" s="9" t="s">
        <v>707</v>
      </c>
      <c r="IZ42" s="9">
        <v>126</v>
      </c>
      <c r="JA42" s="9">
        <v>8</v>
      </c>
      <c r="JB42" s="393">
        <v>6.3492063492063489E-2</v>
      </c>
      <c r="JC42" s="393">
        <v>3.2520539972782904E-2</v>
      </c>
      <c r="JD42" s="393">
        <v>0.12029242901961254</v>
      </c>
      <c r="JE42" s="9" t="str">
        <f t="shared" si="0"/>
        <v>No Sig diff</v>
      </c>
      <c r="JF42" s="9">
        <v>119</v>
      </c>
      <c r="JG42" s="109">
        <v>8</v>
      </c>
      <c r="JH42" s="258">
        <v>6.7226890756302518E-2</v>
      </c>
      <c r="JI42" s="258">
        <v>3.4455750219556096E-2</v>
      </c>
      <c r="JJ42" s="258">
        <v>0.12706511587220665</v>
      </c>
      <c r="JK42" s="662" t="str">
        <f t="shared" si="3"/>
        <v>No Sig diff</v>
      </c>
      <c r="JL42" s="3">
        <v>103</v>
      </c>
      <c r="JM42" s="3">
        <v>19</v>
      </c>
      <c r="JN42" s="17">
        <v>0.18446601941747573</v>
      </c>
      <c r="JO42" s="17">
        <v>0.12139537223023854</v>
      </c>
      <c r="JP42" s="17">
        <v>0.27022656257424815</v>
      </c>
      <c r="JQ42" s="3" t="s">
        <v>707</v>
      </c>
      <c r="JR42" s="3">
        <v>94</v>
      </c>
      <c r="JS42" s="3">
        <v>19</v>
      </c>
      <c r="JT42" s="17">
        <v>0.20212765957446807</v>
      </c>
      <c r="JU42" s="17">
        <v>0.1333948198921881</v>
      </c>
      <c r="JV42" s="17">
        <v>0.29425067236660452</v>
      </c>
      <c r="JW42" s="3" t="s">
        <v>707</v>
      </c>
      <c r="JX42" s="3">
        <v>97</v>
      </c>
      <c r="JY42" s="3">
        <v>18</v>
      </c>
      <c r="JZ42" s="17">
        <v>0.18556701030927836</v>
      </c>
      <c r="KA42" s="17">
        <v>0.12072903379332831</v>
      </c>
      <c r="KB42" s="17">
        <v>0.27436103418690677</v>
      </c>
      <c r="KC42" s="3" t="s">
        <v>707</v>
      </c>
      <c r="KD42" s="3">
        <v>90</v>
      </c>
      <c r="KE42" s="3">
        <v>19</v>
      </c>
      <c r="KF42" s="17">
        <v>0.21111111111111111</v>
      </c>
      <c r="KG42" s="17">
        <v>0.13952592118014923</v>
      </c>
      <c r="KH42" s="17">
        <v>0.30634799581257288</v>
      </c>
      <c r="KI42" s="3" t="s">
        <v>707</v>
      </c>
      <c r="KJ42" s="3">
        <v>111</v>
      </c>
      <c r="KK42" s="3">
        <v>9</v>
      </c>
      <c r="KL42" s="17">
        <v>8.1081081081081086E-2</v>
      </c>
      <c r="KM42" s="17">
        <v>4.3242002584565523E-2</v>
      </c>
      <c r="KN42" s="17">
        <v>0.14694592296935774</v>
      </c>
      <c r="KO42" s="465" t="s">
        <v>708</v>
      </c>
      <c r="KP42" s="465">
        <v>102</v>
      </c>
      <c r="KQ42" s="465">
        <v>22</v>
      </c>
      <c r="KR42" s="393">
        <v>0.21568627450980393</v>
      </c>
      <c r="KS42" s="393">
        <v>0.1469720019825288</v>
      </c>
      <c r="KT42" s="393">
        <v>0.30503857453212674</v>
      </c>
      <c r="KU42" s="465" t="s">
        <v>772</v>
      </c>
      <c r="KV42" s="465">
        <v>91</v>
      </c>
      <c r="KW42" s="465">
        <v>22</v>
      </c>
      <c r="KX42" s="393">
        <v>0.24175824175824176</v>
      </c>
      <c r="KY42" s="393">
        <v>0.16541803655029955</v>
      </c>
      <c r="KZ42" s="393">
        <v>0.33901809734703414</v>
      </c>
      <c r="LA42" s="660" t="str">
        <f t="shared" si="4"/>
        <v>No Sig diff</v>
      </c>
      <c r="LB42" s="3">
        <v>135</v>
      </c>
      <c r="LC42" s="3">
        <v>68</v>
      </c>
      <c r="LD42" s="17">
        <v>0.50370370370370365</v>
      </c>
      <c r="LE42" s="17">
        <v>0.42043501688207358</v>
      </c>
      <c r="LF42" s="17">
        <v>0.5867674427326115</v>
      </c>
      <c r="LG42" s="3">
        <v>135</v>
      </c>
      <c r="LH42" s="3">
        <v>34</v>
      </c>
      <c r="LI42" s="3">
        <v>27</v>
      </c>
      <c r="LJ42" s="293">
        <v>21.518518518518519</v>
      </c>
      <c r="LK42" s="17">
        <v>0.36710239651416121</v>
      </c>
      <c r="LL42" s="3">
        <v>122</v>
      </c>
      <c r="LM42" s="3">
        <v>68</v>
      </c>
      <c r="LN42" s="17">
        <v>0.55737704918032782</v>
      </c>
      <c r="LO42" s="17">
        <v>0.46882625948307327</v>
      </c>
      <c r="LP42" s="17">
        <v>0.64242483480015478</v>
      </c>
      <c r="LQ42" s="3">
        <v>122</v>
      </c>
      <c r="LR42" s="3">
        <v>34</v>
      </c>
      <c r="LS42" s="3">
        <v>24</v>
      </c>
      <c r="LT42" s="293">
        <v>23.166666666666668</v>
      </c>
      <c r="LU42" s="18">
        <v>0.31862745098039202</v>
      </c>
      <c r="LV42" s="42">
        <v>143</v>
      </c>
      <c r="LW42" s="42">
        <v>91</v>
      </c>
      <c r="LX42" s="18">
        <v>0.63636363636363635</v>
      </c>
      <c r="LY42" s="18">
        <v>0.55490908524212357</v>
      </c>
      <c r="LZ42" s="18">
        <v>0.71068348182452701</v>
      </c>
      <c r="MA42" s="337">
        <v>34</v>
      </c>
      <c r="MB42" s="337">
        <v>28</v>
      </c>
      <c r="MC42" s="294">
        <v>21.9</v>
      </c>
      <c r="MD42" s="393">
        <v>0.35499999999999998</v>
      </c>
      <c r="ME42" s="337">
        <v>159</v>
      </c>
      <c r="MF42" s="337">
        <v>104</v>
      </c>
      <c r="MG42" s="393">
        <v>0.65408805031446537</v>
      </c>
      <c r="MH42" s="393">
        <v>0.57730493067761202</v>
      </c>
      <c r="MI42" s="393">
        <v>0.72360124122025971</v>
      </c>
      <c r="MJ42" s="337">
        <v>34</v>
      </c>
      <c r="MK42" s="337">
        <v>31</v>
      </c>
      <c r="ML42" s="294">
        <v>23.387096774193548</v>
      </c>
      <c r="MM42" s="93">
        <v>0.31214421252371916</v>
      </c>
      <c r="MN42" s="17">
        <v>0.93227513227513237</v>
      </c>
      <c r="MO42" s="17">
        <v>6.7724867724867729E-2</v>
      </c>
      <c r="MP42" s="17">
        <v>5.315354431925607E-2</v>
      </c>
      <c r="MQ42" s="17">
        <v>0.20601533031468619</v>
      </c>
      <c r="MR42" s="17">
        <v>0.84338624338624335</v>
      </c>
      <c r="MS42" s="17">
        <v>0.15661375661375662</v>
      </c>
      <c r="MT42" s="17">
        <v>4.2994504137461961E-2</v>
      </c>
      <c r="MU42" s="17">
        <v>0.18712216950173294</v>
      </c>
      <c r="MV42" s="17">
        <v>0.81005291005291002</v>
      </c>
      <c r="MW42" s="17">
        <v>0.18994708994708998</v>
      </c>
      <c r="MX42" s="17">
        <v>7.459006187684232E-2</v>
      </c>
      <c r="MY42" s="17">
        <v>0.24268321474659466</v>
      </c>
      <c r="MZ42" s="17">
        <v>0.78822751322751317</v>
      </c>
      <c r="NA42" s="17">
        <v>0.21177248677248675</v>
      </c>
      <c r="NB42" s="17">
        <v>0.17018055060319134</v>
      </c>
      <c r="NC42" s="93">
        <v>0.37951033397822453</v>
      </c>
      <c r="ND42" s="337">
        <v>4</v>
      </c>
      <c r="NE42" s="337">
        <v>29</v>
      </c>
      <c r="NF42" s="393">
        <v>0.13793103448275862</v>
      </c>
      <c r="NG42" s="393">
        <v>5.4974399641119644E-2</v>
      </c>
      <c r="NH42" s="393">
        <v>0.30558993720352018</v>
      </c>
      <c r="NI42" s="337">
        <v>3</v>
      </c>
      <c r="NJ42" s="337">
        <v>29</v>
      </c>
      <c r="NK42" s="393">
        <v>0.10344827586206896</v>
      </c>
      <c r="NL42" s="393">
        <v>3.5814891350677058E-2</v>
      </c>
      <c r="NM42" s="393">
        <v>0.26385081090773799</v>
      </c>
      <c r="NN42" s="337">
        <v>5</v>
      </c>
      <c r="NO42" s="337">
        <v>29</v>
      </c>
      <c r="NP42" s="393">
        <v>0.17241379310344829</v>
      </c>
      <c r="NQ42" s="393">
        <v>7.5978572528912269E-2</v>
      </c>
      <c r="NR42" s="393">
        <v>0.34548439890195237</v>
      </c>
      <c r="NS42" s="337">
        <v>8</v>
      </c>
      <c r="NT42" s="337">
        <v>29</v>
      </c>
      <c r="NU42" s="393">
        <v>0.27586206896551724</v>
      </c>
      <c r="NV42" s="393">
        <v>0.14698755102087954</v>
      </c>
      <c r="NW42" s="93">
        <v>0.45717132416865935</v>
      </c>
      <c r="NX42" s="3">
        <v>36</v>
      </c>
      <c r="NY42" s="3">
        <v>33</v>
      </c>
      <c r="NZ42" s="3">
        <v>33</v>
      </c>
      <c r="OA42" s="3">
        <v>33</v>
      </c>
      <c r="OB42" s="3">
        <v>33</v>
      </c>
      <c r="OC42" s="3">
        <v>24</v>
      </c>
      <c r="OD42" s="3">
        <v>24</v>
      </c>
      <c r="OE42" s="3">
        <v>24</v>
      </c>
      <c r="OF42" s="3">
        <v>22</v>
      </c>
      <c r="OG42" s="3">
        <v>24</v>
      </c>
      <c r="OH42" s="3">
        <v>24</v>
      </c>
      <c r="OI42" s="3">
        <v>22</v>
      </c>
      <c r="OJ42" s="3">
        <v>24</v>
      </c>
      <c r="OK42" s="3">
        <v>30</v>
      </c>
      <c r="OL42" s="3">
        <v>29</v>
      </c>
      <c r="OM42" s="3">
        <v>30</v>
      </c>
      <c r="ON42" s="3">
        <v>27</v>
      </c>
      <c r="OO42" s="3">
        <v>30</v>
      </c>
      <c r="OP42" s="3">
        <v>30</v>
      </c>
      <c r="OQ42" s="3">
        <v>27</v>
      </c>
      <c r="OR42" s="3">
        <v>29</v>
      </c>
      <c r="OS42" s="3">
        <v>27</v>
      </c>
      <c r="OT42" s="6">
        <v>30</v>
      </c>
      <c r="OU42" s="3">
        <v>111</v>
      </c>
      <c r="OV42" s="22">
        <v>0.97299999999999998</v>
      </c>
      <c r="OW42" s="22">
        <v>8.9999999999999993E-3</v>
      </c>
      <c r="OX42" s="22">
        <v>0.96399999999999997</v>
      </c>
      <c r="OY42" s="3">
        <v>108</v>
      </c>
      <c r="OZ42" s="3">
        <v>1</v>
      </c>
      <c r="PA42" s="3">
        <v>107</v>
      </c>
      <c r="PB42" s="3">
        <v>139</v>
      </c>
      <c r="PC42" s="22">
        <v>0.94199999999999995</v>
      </c>
      <c r="PD42" s="22">
        <v>0.89200000000000002</v>
      </c>
      <c r="PE42" s="22">
        <v>0.91400000000000003</v>
      </c>
      <c r="PF42" s="22">
        <v>0.89900000000000002</v>
      </c>
      <c r="PG42" s="22">
        <v>0.89200000000000002</v>
      </c>
      <c r="PH42" s="3">
        <v>131</v>
      </c>
      <c r="PI42" s="3">
        <v>124</v>
      </c>
      <c r="PJ42" s="3">
        <v>127</v>
      </c>
      <c r="PK42" s="3">
        <v>125</v>
      </c>
      <c r="PL42" s="3">
        <v>124</v>
      </c>
      <c r="PM42" s="3">
        <v>114</v>
      </c>
      <c r="PN42" s="22">
        <v>0.98199999999999998</v>
      </c>
      <c r="PO42" s="22">
        <v>0.94699999999999995</v>
      </c>
      <c r="PP42" s="22">
        <v>0.98199999999999998</v>
      </c>
      <c r="PQ42" s="22">
        <v>0.98199999999999998</v>
      </c>
      <c r="PR42" s="22">
        <v>0.97399999999999998</v>
      </c>
      <c r="PS42" s="22">
        <v>0.93</v>
      </c>
      <c r="PT42" s="22">
        <v>0.97399999999999998</v>
      </c>
      <c r="PU42" s="22">
        <v>0.95599999999999996</v>
      </c>
      <c r="PV42" s="22">
        <v>0.98199999999999998</v>
      </c>
      <c r="PW42" s="22">
        <v>0.97399999999999998</v>
      </c>
      <c r="PX42" s="3">
        <v>112</v>
      </c>
      <c r="PY42" s="3">
        <v>108</v>
      </c>
      <c r="PZ42" s="3">
        <v>112</v>
      </c>
      <c r="QA42" s="3">
        <v>112</v>
      </c>
      <c r="QB42" s="3">
        <v>111</v>
      </c>
      <c r="QC42" s="3">
        <v>106</v>
      </c>
      <c r="QD42" s="3">
        <v>111</v>
      </c>
      <c r="QE42" s="3">
        <v>109</v>
      </c>
      <c r="QF42" s="3">
        <v>112</v>
      </c>
      <c r="QG42" s="6">
        <v>111</v>
      </c>
      <c r="QH42" s="37">
        <v>113</v>
      </c>
      <c r="QI42" s="17">
        <v>0.94690265486725667</v>
      </c>
      <c r="QJ42" s="17">
        <v>0.35398230088495575</v>
      </c>
      <c r="QK42" s="17">
        <v>0.92920353982300885</v>
      </c>
      <c r="QL42" s="37">
        <v>107</v>
      </c>
      <c r="QM42" s="37">
        <v>40</v>
      </c>
      <c r="QN42" s="37">
        <v>105</v>
      </c>
      <c r="QO42" s="37">
        <v>126</v>
      </c>
      <c r="QP42" s="17">
        <v>0.94444444444444442</v>
      </c>
      <c r="QQ42" s="17">
        <v>0.92063492063492058</v>
      </c>
      <c r="QR42" s="17">
        <v>0.73809523809523814</v>
      </c>
      <c r="QS42" s="17">
        <v>0.92063492063492058</v>
      </c>
      <c r="QT42" s="17">
        <v>0.73015873015873012</v>
      </c>
      <c r="QU42" s="37">
        <v>119</v>
      </c>
      <c r="QV42" s="37">
        <v>116</v>
      </c>
      <c r="QW42" s="37">
        <v>93</v>
      </c>
      <c r="QX42" s="37">
        <v>116</v>
      </c>
      <c r="QY42" s="37">
        <v>92</v>
      </c>
      <c r="QZ42" s="3">
        <v>135</v>
      </c>
      <c r="RA42" s="17">
        <v>0.94074074074074077</v>
      </c>
      <c r="RB42" s="17">
        <v>0.88148148148148153</v>
      </c>
      <c r="RC42" s="17">
        <v>0.94074074074074077</v>
      </c>
      <c r="RD42" s="17">
        <v>0.93333333333333335</v>
      </c>
      <c r="RE42" s="17">
        <v>0.78518518518518521</v>
      </c>
      <c r="RF42" s="17">
        <v>0.8666666666666667</v>
      </c>
      <c r="RG42" s="17">
        <v>0.85925925925925928</v>
      </c>
      <c r="RH42" s="17">
        <v>0.91111111111111109</v>
      </c>
      <c r="RI42" s="17">
        <v>0.77777777777777779</v>
      </c>
      <c r="RJ42" s="17">
        <v>0.65925925925925921</v>
      </c>
      <c r="RK42" s="37">
        <v>127</v>
      </c>
      <c r="RL42" s="37">
        <v>119</v>
      </c>
      <c r="RM42" s="37">
        <v>127</v>
      </c>
      <c r="RN42" s="37">
        <v>126</v>
      </c>
      <c r="RO42" s="37">
        <v>106</v>
      </c>
      <c r="RP42" s="37">
        <v>117</v>
      </c>
      <c r="RQ42" s="37">
        <v>116</v>
      </c>
      <c r="RR42" s="37">
        <v>123</v>
      </c>
      <c r="RS42" s="37">
        <v>105</v>
      </c>
      <c r="RT42" s="38">
        <v>89</v>
      </c>
    </row>
    <row r="43" spans="1:488" s="3" customFormat="1" ht="12.75" x14ac:dyDescent="0.2">
      <c r="A43" s="9" t="s">
        <v>67</v>
      </c>
      <c r="B43" s="6">
        <v>37</v>
      </c>
      <c r="C43" s="9" t="s">
        <v>244</v>
      </c>
      <c r="D43" s="9" t="s">
        <v>245</v>
      </c>
      <c r="E43" s="9" t="s">
        <v>286</v>
      </c>
      <c r="F43" s="9" t="s">
        <v>286</v>
      </c>
      <c r="G43" s="9" t="s">
        <v>240</v>
      </c>
      <c r="H43" s="9" t="s">
        <v>80</v>
      </c>
      <c r="I43" s="9" t="s">
        <v>80</v>
      </c>
      <c r="J43" s="9" t="s">
        <v>270</v>
      </c>
      <c r="K43" s="9" t="s">
        <v>391</v>
      </c>
      <c r="L43" s="9" t="s">
        <v>275</v>
      </c>
      <c r="M43" s="9" t="s">
        <v>360</v>
      </c>
      <c r="N43" s="3" t="s">
        <v>80</v>
      </c>
      <c r="O43" s="9">
        <v>528377</v>
      </c>
      <c r="P43" s="9">
        <v>116526</v>
      </c>
      <c r="Q43" s="109" t="s">
        <v>286</v>
      </c>
      <c r="R43" s="109" t="s">
        <v>286</v>
      </c>
      <c r="S43" s="109" t="s">
        <v>286</v>
      </c>
      <c r="T43" s="36">
        <v>17650</v>
      </c>
      <c r="U43" s="37">
        <v>17895</v>
      </c>
      <c r="V43" s="37">
        <v>18095</v>
      </c>
      <c r="W43" s="37">
        <v>18490</v>
      </c>
      <c r="X43" s="37">
        <v>18770</v>
      </c>
      <c r="Y43" s="37">
        <v>19185</v>
      </c>
      <c r="Z43" s="37">
        <v>19470</v>
      </c>
      <c r="AA43" s="37">
        <v>19695</v>
      </c>
      <c r="AB43" s="37">
        <v>19975</v>
      </c>
      <c r="AC43" s="42">
        <v>20295</v>
      </c>
      <c r="AD43" s="42">
        <v>20417</v>
      </c>
      <c r="AE43" s="36">
        <v>890</v>
      </c>
      <c r="AF43" s="37">
        <v>920</v>
      </c>
      <c r="AG43" s="37">
        <v>960</v>
      </c>
      <c r="AH43" s="37">
        <v>1000</v>
      </c>
      <c r="AI43" s="37">
        <v>1015</v>
      </c>
      <c r="AJ43" s="37">
        <v>1065</v>
      </c>
      <c r="AK43" s="37">
        <v>1135</v>
      </c>
      <c r="AL43" s="37">
        <v>1170</v>
      </c>
      <c r="AM43" s="37">
        <v>1195</v>
      </c>
      <c r="AN43" s="42">
        <v>1215</v>
      </c>
      <c r="AO43" s="42">
        <v>1202</v>
      </c>
      <c r="AP43" s="13">
        <v>1131</v>
      </c>
      <c r="AQ43" s="3">
        <v>1044</v>
      </c>
      <c r="AR43" s="3">
        <v>32</v>
      </c>
      <c r="AS43" s="3">
        <v>43</v>
      </c>
      <c r="AT43" s="3">
        <v>10</v>
      </c>
      <c r="AU43" s="3">
        <v>1</v>
      </c>
      <c r="AV43" s="3">
        <v>1</v>
      </c>
      <c r="AW43" s="9">
        <v>87</v>
      </c>
      <c r="AX43" s="16">
        <v>0.92307692307692313</v>
      </c>
      <c r="AY43" s="17">
        <v>2.8293545534924844E-2</v>
      </c>
      <c r="AZ43" s="17">
        <v>3.8019451812555262E-2</v>
      </c>
      <c r="BA43" s="17">
        <v>8.8417329796640146E-3</v>
      </c>
      <c r="BB43" s="17">
        <v>8.8417329796640137E-4</v>
      </c>
      <c r="BC43" s="17">
        <v>8.8417329796640137E-4</v>
      </c>
      <c r="BD43" s="18">
        <v>7.6923076923076872E-2</v>
      </c>
      <c r="BE43" s="13">
        <v>3264</v>
      </c>
      <c r="BF43" s="3">
        <v>3239</v>
      </c>
      <c r="BG43" s="3">
        <v>25</v>
      </c>
      <c r="BH43" s="3">
        <v>24</v>
      </c>
      <c r="BI43" s="3">
        <v>1</v>
      </c>
      <c r="BJ43" s="17">
        <v>0.96</v>
      </c>
      <c r="BK43" s="18">
        <v>0.04</v>
      </c>
      <c r="BL43" s="13">
        <v>2292</v>
      </c>
      <c r="BM43" s="17">
        <v>0.74083769633507857</v>
      </c>
      <c r="BN43" s="17">
        <v>0.11343804537521815</v>
      </c>
      <c r="BO43" s="18">
        <v>0.14572425828970331</v>
      </c>
      <c r="BP43" s="36">
        <v>5724</v>
      </c>
      <c r="BQ43" s="37">
        <v>294</v>
      </c>
      <c r="BR43" s="37">
        <v>388</v>
      </c>
      <c r="BS43" s="37">
        <v>185</v>
      </c>
      <c r="BT43" s="37">
        <v>4334</v>
      </c>
      <c r="BU43" s="37">
        <v>2368</v>
      </c>
      <c r="BV43" s="18">
        <v>0.15498310810810811</v>
      </c>
      <c r="BW43" s="36">
        <v>1597</v>
      </c>
      <c r="BX43" s="37">
        <v>1</v>
      </c>
      <c r="BY43" s="37">
        <v>282</v>
      </c>
      <c r="BZ43" s="37">
        <v>364</v>
      </c>
      <c r="CA43" s="37">
        <v>129</v>
      </c>
      <c r="CB43" s="38">
        <v>2373</v>
      </c>
      <c r="CC43" s="37">
        <v>867</v>
      </c>
      <c r="CD43" s="37">
        <v>780</v>
      </c>
      <c r="CE43" s="37">
        <v>87</v>
      </c>
      <c r="CF43" s="37">
        <v>87</v>
      </c>
      <c r="CG43" s="17">
        <v>0.10034602076124567</v>
      </c>
      <c r="CH43" s="93">
        <v>0.10034602076124567</v>
      </c>
      <c r="CI43" s="37">
        <v>60</v>
      </c>
      <c r="CJ43" s="37">
        <v>65</v>
      </c>
      <c r="CK43" s="37">
        <v>55</v>
      </c>
      <c r="CL43" s="37">
        <v>55</v>
      </c>
      <c r="CM43" s="42">
        <v>45</v>
      </c>
      <c r="CN43" s="42">
        <v>45</v>
      </c>
      <c r="CO43" s="36">
        <v>364</v>
      </c>
      <c r="CP43" s="37">
        <v>82</v>
      </c>
      <c r="CQ43" s="17">
        <v>0.22527472527472528</v>
      </c>
      <c r="CR43" s="38">
        <v>27</v>
      </c>
      <c r="CS43" s="37">
        <v>180</v>
      </c>
      <c r="CT43" s="37">
        <v>186</v>
      </c>
      <c r="CU43" s="37">
        <v>201</v>
      </c>
      <c r="CV43" s="37">
        <v>195</v>
      </c>
      <c r="CW43" s="37">
        <v>217</v>
      </c>
      <c r="CX43" s="526" t="s">
        <v>471</v>
      </c>
      <c r="CY43" s="568">
        <v>177</v>
      </c>
      <c r="CZ43" s="37">
        <v>6</v>
      </c>
      <c r="DA43" s="37">
        <v>3</v>
      </c>
      <c r="DB43" s="37">
        <v>7</v>
      </c>
      <c r="DC43" s="37">
        <v>3</v>
      </c>
      <c r="DD43" s="37">
        <v>3</v>
      </c>
      <c r="DE43" s="528" t="s">
        <v>471</v>
      </c>
      <c r="DF43" s="716">
        <v>3</v>
      </c>
      <c r="DG43" s="13">
        <v>7</v>
      </c>
      <c r="DH43" s="13">
        <v>6</v>
      </c>
      <c r="DI43" s="17">
        <v>2.7649769585253458E-2</v>
      </c>
      <c r="DJ43" s="17">
        <v>1.2732431477870355E-2</v>
      </c>
      <c r="DK43" s="18">
        <v>5.899983702501134E-2</v>
      </c>
      <c r="DL43" s="425" t="s">
        <v>286</v>
      </c>
      <c r="DM43" s="258" t="s">
        <v>286</v>
      </c>
      <c r="DN43" s="258" t="s">
        <v>286</v>
      </c>
      <c r="DO43" s="258" t="s">
        <v>286</v>
      </c>
      <c r="DP43" s="337">
        <v>9</v>
      </c>
      <c r="DQ43" s="393">
        <v>5.0847457627118647E-2</v>
      </c>
      <c r="DR43" s="393">
        <v>2.6978572162047108E-2</v>
      </c>
      <c r="DS43" s="393">
        <v>9.3798261663155094E-2</v>
      </c>
      <c r="DT43" s="13">
        <v>14</v>
      </c>
      <c r="DU43" s="18">
        <v>1.237842617152962E-2</v>
      </c>
      <c r="DV43" s="328">
        <v>9</v>
      </c>
      <c r="DW43" s="333">
        <v>10</v>
      </c>
      <c r="DX43" s="337">
        <v>9</v>
      </c>
      <c r="DY43" s="393">
        <v>7.4309423347398054E-2</v>
      </c>
      <c r="DZ43" s="337">
        <v>9</v>
      </c>
      <c r="EA43" s="93">
        <v>6.1258201853243169E-2</v>
      </c>
      <c r="EB43" s="3">
        <v>158</v>
      </c>
      <c r="EC43" s="18">
        <v>1.961271102284012E-2</v>
      </c>
      <c r="ED43" s="13">
        <v>70</v>
      </c>
      <c r="EE43" s="3">
        <v>105</v>
      </c>
      <c r="EF43" s="3">
        <v>95</v>
      </c>
      <c r="EG43" s="3">
        <v>75</v>
      </c>
      <c r="EH43" s="9">
        <v>85</v>
      </c>
      <c r="EI43" s="9">
        <v>55</v>
      </c>
      <c r="EJ43" s="13">
        <v>70</v>
      </c>
      <c r="EK43" s="17">
        <v>7.2916666666666671E-2</v>
      </c>
      <c r="EL43" s="17">
        <v>5.8116676905471398E-2</v>
      </c>
      <c r="EM43" s="17">
        <v>9.1120998548633883E-2</v>
      </c>
      <c r="EN43" s="3">
        <v>80</v>
      </c>
      <c r="EO43" s="17">
        <v>0.08</v>
      </c>
      <c r="EP43" s="17">
        <v>6.474803809836388E-2</v>
      </c>
      <c r="EQ43" s="17">
        <v>9.8466439029502417E-2</v>
      </c>
      <c r="ER43" s="3">
        <v>75</v>
      </c>
      <c r="ES43" s="17">
        <v>7.2115384615384609E-2</v>
      </c>
      <c r="ET43" s="17">
        <v>5.7918756250202229E-2</v>
      </c>
      <c r="EU43" s="17">
        <v>8.9461343975458824E-2</v>
      </c>
      <c r="EV43" s="3">
        <v>85</v>
      </c>
      <c r="EW43" s="17">
        <v>8.0568720379146919E-2</v>
      </c>
      <c r="EX43" s="17">
        <v>6.5626294602952689E-2</v>
      </c>
      <c r="EY43" s="17">
        <v>9.8554525266259421E-2</v>
      </c>
      <c r="EZ43" s="3">
        <v>80</v>
      </c>
      <c r="FA43" s="18">
        <v>7.3732718894009217E-2</v>
      </c>
      <c r="FB43" s="18">
        <v>5.9641334453540022E-2</v>
      </c>
      <c r="FC43" s="18">
        <v>9.0831865747844742E-2</v>
      </c>
      <c r="FD43" s="337">
        <v>80</v>
      </c>
      <c r="FE43" s="18">
        <v>8.8397790055248615E-2</v>
      </c>
      <c r="FF43" s="18">
        <v>7.1600149041586458E-2</v>
      </c>
      <c r="FG43" s="393">
        <v>0.10867492229296026</v>
      </c>
      <c r="FH43" s="425" t="s">
        <v>286</v>
      </c>
      <c r="FI43" s="258" t="s">
        <v>286</v>
      </c>
      <c r="FJ43" s="258" t="s">
        <v>286</v>
      </c>
      <c r="FK43" s="258" t="s">
        <v>286</v>
      </c>
      <c r="FL43" s="36">
        <v>265</v>
      </c>
      <c r="FM43" s="18">
        <v>7.9104477611940296E-2</v>
      </c>
      <c r="FN43" s="42">
        <v>275</v>
      </c>
      <c r="FO43" s="18">
        <v>7.9365079365079361E-2</v>
      </c>
      <c r="FP43" s="42">
        <v>275</v>
      </c>
      <c r="FQ43" s="18">
        <v>7.7574047954866013E-2</v>
      </c>
      <c r="FR43" s="42">
        <v>275</v>
      </c>
      <c r="FS43" s="18">
        <v>7.5966850828729282E-2</v>
      </c>
      <c r="FT43" s="42">
        <v>245</v>
      </c>
      <c r="FU43" s="18">
        <v>6.6939890710382519E-2</v>
      </c>
      <c r="FV43" s="42">
        <v>245</v>
      </c>
      <c r="FW43" s="393">
        <v>6.6576086956521743E-2</v>
      </c>
      <c r="FX43" s="114" t="s">
        <v>286</v>
      </c>
      <c r="FY43" s="259" t="s">
        <v>286</v>
      </c>
      <c r="FZ43" s="3">
        <v>205</v>
      </c>
      <c r="GA43" s="3">
        <v>7</v>
      </c>
      <c r="GB43" s="3">
        <v>198</v>
      </c>
      <c r="GC43" s="17">
        <v>0.96585365853658534</v>
      </c>
      <c r="GD43" s="3">
        <v>105</v>
      </c>
      <c r="GE43" s="3">
        <v>142</v>
      </c>
      <c r="GF43" s="17">
        <v>0.53030303030303028</v>
      </c>
      <c r="GG43" s="17">
        <v>0.71717171717171713</v>
      </c>
      <c r="GH43" s="17">
        <v>0.46087105556409669</v>
      </c>
      <c r="GI43" s="17">
        <v>0.59858150525587306</v>
      </c>
      <c r="GJ43" s="17">
        <v>0.65076780881350293</v>
      </c>
      <c r="GK43" s="93">
        <v>0.7753088770629466</v>
      </c>
      <c r="GL43" s="337">
        <v>178</v>
      </c>
      <c r="GM43" s="337">
        <v>103</v>
      </c>
      <c r="GN43" s="337">
        <v>27</v>
      </c>
      <c r="GO43" s="337">
        <v>130</v>
      </c>
      <c r="GP43" s="393">
        <v>0.5786516853932584</v>
      </c>
      <c r="GQ43" s="393">
        <v>0.7303370786516854</v>
      </c>
      <c r="GR43" s="393">
        <v>0.50520290648259625</v>
      </c>
      <c r="GS43" s="393">
        <v>0.64877738042001576</v>
      </c>
      <c r="GT43" s="393">
        <v>0.66078574367628451</v>
      </c>
      <c r="GU43" s="93">
        <v>0.79015652510993661</v>
      </c>
      <c r="GV43" s="42">
        <v>178</v>
      </c>
      <c r="GW43" s="42">
        <v>33</v>
      </c>
      <c r="GX43" s="42">
        <v>145</v>
      </c>
      <c r="GY43" s="393">
        <f t="shared" si="2"/>
        <v>0.8146067415730337</v>
      </c>
      <c r="GZ43" s="42">
        <v>85</v>
      </c>
      <c r="HA43" s="42">
        <v>15</v>
      </c>
      <c r="HB43" s="42">
        <v>100</v>
      </c>
      <c r="HC43" s="393">
        <v>0.58620689655172409</v>
      </c>
      <c r="HD43" s="393">
        <v>0.68965517241379315</v>
      </c>
      <c r="HE43" s="393">
        <v>0.50482761525060971</v>
      </c>
      <c r="HF43" s="393">
        <v>0.66313633913468639</v>
      </c>
      <c r="HG43" s="393">
        <v>0.61027614339539771</v>
      </c>
      <c r="HH43" s="93">
        <v>0.75924455625225373</v>
      </c>
      <c r="HI43" s="696">
        <v>155</v>
      </c>
      <c r="HJ43" s="696">
        <v>16</v>
      </c>
      <c r="HK43" s="696">
        <v>139</v>
      </c>
      <c r="HL43" s="697">
        <v>0.89677419354838706</v>
      </c>
      <c r="HM43" s="696">
        <v>89</v>
      </c>
      <c r="HN43" s="696">
        <v>16</v>
      </c>
      <c r="HO43" s="696">
        <v>105</v>
      </c>
      <c r="HP43" s="697">
        <v>0.64028776978417268</v>
      </c>
      <c r="HQ43" s="697">
        <v>0.75539568345323738</v>
      </c>
      <c r="HR43" s="697">
        <v>0.55772254025899193</v>
      </c>
      <c r="HS43" s="697">
        <v>0.71530743522561779</v>
      </c>
      <c r="HT43" s="697">
        <v>0.67770139501311988</v>
      </c>
      <c r="HU43" s="698">
        <v>0.81935317574091304</v>
      </c>
      <c r="HV43" s="3">
        <v>165</v>
      </c>
      <c r="HW43" s="3">
        <v>2</v>
      </c>
      <c r="HX43" s="17">
        <v>1.2E-2</v>
      </c>
      <c r="HY43" s="17">
        <v>3.0000000000000001E-3</v>
      </c>
      <c r="HZ43" s="17">
        <v>4.2999999999999997E-2</v>
      </c>
      <c r="IA43" s="267" t="s">
        <v>708</v>
      </c>
      <c r="IB43" s="3">
        <v>191</v>
      </c>
      <c r="IC43" s="3">
        <v>5</v>
      </c>
      <c r="ID43" s="17">
        <v>2.5999999999999999E-2</v>
      </c>
      <c r="IE43" s="17">
        <v>1.0999999999999999E-2</v>
      </c>
      <c r="IF43" s="17">
        <v>0.06</v>
      </c>
      <c r="IG43" s="3" t="s">
        <v>708</v>
      </c>
      <c r="IH43" s="3">
        <v>203</v>
      </c>
      <c r="II43" s="3">
        <v>8</v>
      </c>
      <c r="IJ43" s="17">
        <v>3.9408866995073892E-2</v>
      </c>
      <c r="IK43" s="17">
        <v>2.0102050271229469E-2</v>
      </c>
      <c r="IL43" s="17">
        <v>7.5823877411838186E-2</v>
      </c>
      <c r="IM43" s="3" t="s">
        <v>708</v>
      </c>
      <c r="IN43" s="3">
        <v>175</v>
      </c>
      <c r="IO43" s="3">
        <v>11</v>
      </c>
      <c r="IP43" s="17">
        <v>6.2857142857142861E-2</v>
      </c>
      <c r="IQ43" s="17">
        <v>3.5457550361549364E-2</v>
      </c>
      <c r="IR43" s="17">
        <v>0.10903612012792414</v>
      </c>
      <c r="IS43" s="3" t="s">
        <v>707</v>
      </c>
      <c r="IT43" s="3">
        <v>141</v>
      </c>
      <c r="IU43" s="3">
        <v>7</v>
      </c>
      <c r="IV43" s="17">
        <v>4.9645390070921988E-2</v>
      </c>
      <c r="IW43" s="17">
        <v>2.4253530324488033E-2</v>
      </c>
      <c r="IX43" s="17">
        <v>9.8925695885742834E-2</v>
      </c>
      <c r="IY43" s="9" t="s">
        <v>707</v>
      </c>
      <c r="IZ43" s="9">
        <v>214</v>
      </c>
      <c r="JA43" s="9">
        <v>12</v>
      </c>
      <c r="JB43" s="393">
        <v>5.6074766355140186E-2</v>
      </c>
      <c r="JC43" s="393">
        <v>3.236469679512062E-2</v>
      </c>
      <c r="JD43" s="393">
        <v>9.5441364417545513E-2</v>
      </c>
      <c r="JE43" s="9" t="str">
        <f t="shared" si="0"/>
        <v>No Sig diff</v>
      </c>
      <c r="JF43" s="9">
        <v>238</v>
      </c>
      <c r="JG43" s="109">
        <v>11</v>
      </c>
      <c r="JH43" s="258">
        <v>4.6218487394957986E-2</v>
      </c>
      <c r="JI43" s="258">
        <v>2.6000773295914065E-2</v>
      </c>
      <c r="JJ43" s="258">
        <v>8.0852116802857102E-2</v>
      </c>
      <c r="JK43" s="662" t="str">
        <f t="shared" si="3"/>
        <v>Sig better than Eng.</v>
      </c>
      <c r="JL43" s="3">
        <v>174</v>
      </c>
      <c r="JM43" s="3">
        <v>14</v>
      </c>
      <c r="JN43" s="17">
        <v>0.08</v>
      </c>
      <c r="JO43" s="17">
        <v>4.9000000000000002E-2</v>
      </c>
      <c r="JP43" s="17">
        <v>0.13100000000000001</v>
      </c>
      <c r="JQ43" s="3" t="s">
        <v>708</v>
      </c>
      <c r="JR43" s="3">
        <v>162</v>
      </c>
      <c r="JS43" s="3">
        <v>21</v>
      </c>
      <c r="JT43" s="17">
        <v>0.13</v>
      </c>
      <c r="JU43" s="17">
        <v>8.5999999999999993E-2</v>
      </c>
      <c r="JV43" s="17">
        <v>0.19</v>
      </c>
      <c r="JW43" s="3" t="s">
        <v>707</v>
      </c>
      <c r="JX43" s="3">
        <v>169</v>
      </c>
      <c r="JY43" s="3">
        <v>20</v>
      </c>
      <c r="JZ43" s="17">
        <v>0.11834319526627218</v>
      </c>
      <c r="KA43" s="17">
        <v>7.7928809241215022E-2</v>
      </c>
      <c r="KB43" s="17">
        <v>0.17572247974828192</v>
      </c>
      <c r="KC43" s="3" t="s">
        <v>708</v>
      </c>
      <c r="KD43" s="3">
        <v>178</v>
      </c>
      <c r="KE43" s="3">
        <v>18</v>
      </c>
      <c r="KF43" s="17">
        <v>0.10112359550561797</v>
      </c>
      <c r="KG43" s="17">
        <v>6.4926616688432873E-2</v>
      </c>
      <c r="KH43" s="17">
        <v>0.1541733568768916</v>
      </c>
      <c r="KI43" s="3" t="s">
        <v>708</v>
      </c>
      <c r="KJ43" s="3">
        <v>171</v>
      </c>
      <c r="KK43" s="3">
        <v>6</v>
      </c>
      <c r="KL43" s="17">
        <v>3.5087719298245612E-2</v>
      </c>
      <c r="KM43" s="17">
        <v>1.6178397190256089E-2</v>
      </c>
      <c r="KN43" s="17">
        <v>7.4426307938291705E-2</v>
      </c>
      <c r="KO43" s="465" t="s">
        <v>708</v>
      </c>
      <c r="KP43" s="465">
        <v>171</v>
      </c>
      <c r="KQ43" s="465">
        <v>17</v>
      </c>
      <c r="KR43" s="393">
        <v>9.9415204678362568E-2</v>
      </c>
      <c r="KS43" s="393">
        <v>6.2999514524075845E-2</v>
      </c>
      <c r="KT43" s="393">
        <v>0.1534334703980062</v>
      </c>
      <c r="KU43" s="465" t="s">
        <v>708</v>
      </c>
      <c r="KV43" s="465">
        <v>175</v>
      </c>
      <c r="KW43" s="465">
        <v>17</v>
      </c>
      <c r="KX43" s="393">
        <v>9.7142857142857142E-2</v>
      </c>
      <c r="KY43" s="393">
        <v>6.153800943571764E-2</v>
      </c>
      <c r="KZ43" s="393">
        <v>0.1500541967016403</v>
      </c>
      <c r="LA43" s="660" t="str">
        <f t="shared" si="4"/>
        <v>Sig better than Eng.</v>
      </c>
      <c r="LB43" s="3">
        <v>230</v>
      </c>
      <c r="LC43" s="3">
        <v>126</v>
      </c>
      <c r="LD43" s="17">
        <v>0.54782608695652169</v>
      </c>
      <c r="LE43" s="17">
        <v>0.48324428174249945</v>
      </c>
      <c r="LF43" s="17">
        <v>0.61083655452558616</v>
      </c>
      <c r="LG43" s="3">
        <v>230</v>
      </c>
      <c r="LH43" s="3">
        <v>34</v>
      </c>
      <c r="LI43" s="3">
        <v>46</v>
      </c>
      <c r="LJ43" s="293">
        <v>24.347826086956513</v>
      </c>
      <c r="LK43" s="17">
        <v>0.28388746803069081</v>
      </c>
      <c r="LL43" s="3">
        <v>254</v>
      </c>
      <c r="LM43" s="3">
        <v>168</v>
      </c>
      <c r="LN43" s="17">
        <v>0.66141732283464572</v>
      </c>
      <c r="LO43" s="17">
        <v>0.60120044816600826</v>
      </c>
      <c r="LP43" s="17">
        <v>0.71682443571049714</v>
      </c>
      <c r="LQ43" s="3">
        <v>254</v>
      </c>
      <c r="LR43" s="3">
        <v>34</v>
      </c>
      <c r="LS43" s="3">
        <v>50</v>
      </c>
      <c r="LT43" s="293">
        <v>27.059999999999995</v>
      </c>
      <c r="LU43" s="18">
        <v>0.20411764705882368</v>
      </c>
      <c r="LV43" s="42">
        <v>267</v>
      </c>
      <c r="LW43" s="42">
        <v>203</v>
      </c>
      <c r="LX43" s="18">
        <v>0.76029962546816476</v>
      </c>
      <c r="LY43" s="18">
        <v>0.70563244150927928</v>
      </c>
      <c r="LZ43" s="18">
        <v>0.80758293033681072</v>
      </c>
      <c r="MA43" s="337">
        <v>34</v>
      </c>
      <c r="MB43" s="337">
        <v>53</v>
      </c>
      <c r="MC43" s="294">
        <v>28.4</v>
      </c>
      <c r="MD43" s="393">
        <v>0.16500000000000001</v>
      </c>
      <c r="ME43" s="337">
        <v>269</v>
      </c>
      <c r="MF43" s="337">
        <v>192</v>
      </c>
      <c r="MG43" s="393">
        <v>0.71375464684014867</v>
      </c>
      <c r="MH43" s="393">
        <v>0.65702716905111092</v>
      </c>
      <c r="MI43" s="393">
        <v>0.76446302711286607</v>
      </c>
      <c r="MJ43" s="337">
        <v>34</v>
      </c>
      <c r="MK43" s="337">
        <v>53</v>
      </c>
      <c r="ML43" s="294">
        <v>28.150943396226417</v>
      </c>
      <c r="MM43" s="93">
        <v>0.17203107658157599</v>
      </c>
      <c r="MN43" s="17">
        <v>0.91988817509650833</v>
      </c>
      <c r="MO43" s="17">
        <v>8.0111824903491571E-2</v>
      </c>
      <c r="MP43" s="17">
        <v>5.2836307068052514E-2</v>
      </c>
      <c r="MQ43" s="17">
        <v>0.14150749816822447</v>
      </c>
      <c r="MR43" s="17">
        <v>0.93379961088294428</v>
      </c>
      <c r="MS43" s="17">
        <v>6.620038911705578E-2</v>
      </c>
      <c r="MT43" s="17">
        <v>4.3420566103405354E-2</v>
      </c>
      <c r="MU43" s="17">
        <v>0.12650941504912244</v>
      </c>
      <c r="MV43" s="17">
        <v>0.90401766443433107</v>
      </c>
      <c r="MW43" s="17">
        <v>9.5982335565668889E-2</v>
      </c>
      <c r="MX43" s="17">
        <v>6.740122032002023E-2</v>
      </c>
      <c r="MY43" s="17">
        <v>0.16356332104188054</v>
      </c>
      <c r="MZ43" s="17">
        <v>0.8422166953416953</v>
      </c>
      <c r="NA43" s="17">
        <v>0.15778330465830465</v>
      </c>
      <c r="NB43" s="17">
        <v>0.11864352018350914</v>
      </c>
      <c r="NC43" s="93">
        <v>0.23439014159713753</v>
      </c>
      <c r="ND43" s="337">
        <v>6</v>
      </c>
      <c r="NE43" s="337">
        <v>97</v>
      </c>
      <c r="NF43" s="393">
        <v>6.1855670103092786E-2</v>
      </c>
      <c r="NG43" s="393">
        <v>2.8654885715718274E-2</v>
      </c>
      <c r="NH43" s="393">
        <v>0.12843783196165856</v>
      </c>
      <c r="NI43" s="337">
        <v>5</v>
      </c>
      <c r="NJ43" s="337">
        <v>97</v>
      </c>
      <c r="NK43" s="393">
        <v>5.1546391752577317E-2</v>
      </c>
      <c r="NL43" s="393">
        <v>2.2216051037510603E-2</v>
      </c>
      <c r="NM43" s="393">
        <v>0.11504355411462804</v>
      </c>
      <c r="NN43" s="337">
        <v>5</v>
      </c>
      <c r="NO43" s="337">
        <v>97</v>
      </c>
      <c r="NP43" s="393">
        <v>5.1546391752577317E-2</v>
      </c>
      <c r="NQ43" s="393">
        <v>2.2216051037510603E-2</v>
      </c>
      <c r="NR43" s="393">
        <v>0.11504355411462804</v>
      </c>
      <c r="NS43" s="337">
        <v>11</v>
      </c>
      <c r="NT43" s="337">
        <v>95</v>
      </c>
      <c r="NU43" s="393">
        <v>0.11578947368421053</v>
      </c>
      <c r="NV43" s="393">
        <v>6.5898575811164248E-2</v>
      </c>
      <c r="NW43" s="93">
        <v>0.19554494322443072</v>
      </c>
      <c r="NX43" s="3">
        <v>56</v>
      </c>
      <c r="NY43" s="3">
        <v>52</v>
      </c>
      <c r="NZ43" s="3">
        <v>52</v>
      </c>
      <c r="OA43" s="3">
        <v>53</v>
      </c>
      <c r="OB43" s="3">
        <v>52</v>
      </c>
      <c r="OC43" s="3">
        <v>70</v>
      </c>
      <c r="OD43" s="3">
        <v>63</v>
      </c>
      <c r="OE43" s="3">
        <v>63</v>
      </c>
      <c r="OF43" s="3">
        <v>60</v>
      </c>
      <c r="OG43" s="3">
        <v>64</v>
      </c>
      <c r="OH43" s="3">
        <v>67</v>
      </c>
      <c r="OI43" s="3">
        <v>67</v>
      </c>
      <c r="OJ43" s="3">
        <v>68</v>
      </c>
      <c r="OK43" s="3">
        <v>74</v>
      </c>
      <c r="OL43" s="3">
        <v>70</v>
      </c>
      <c r="OM43" s="3">
        <v>72</v>
      </c>
      <c r="ON43" s="3">
        <v>67</v>
      </c>
      <c r="OO43" s="3">
        <v>72</v>
      </c>
      <c r="OP43" s="3">
        <v>71</v>
      </c>
      <c r="OQ43" s="3">
        <v>56</v>
      </c>
      <c r="OR43" s="3">
        <v>71</v>
      </c>
      <c r="OS43" s="3">
        <v>67</v>
      </c>
      <c r="OT43" s="6">
        <v>72</v>
      </c>
      <c r="OU43" s="3">
        <v>180</v>
      </c>
      <c r="OV43" s="22">
        <v>0.96099999999999997</v>
      </c>
      <c r="OW43" s="22">
        <v>6.0000000000000001E-3</v>
      </c>
      <c r="OX43" s="22">
        <v>0.96099999999999997</v>
      </c>
      <c r="OY43" s="3">
        <v>173</v>
      </c>
      <c r="OZ43" s="3">
        <v>1</v>
      </c>
      <c r="PA43" s="3">
        <v>173</v>
      </c>
      <c r="PB43" s="3">
        <v>214</v>
      </c>
      <c r="PC43" s="22">
        <v>0.97199999999999998</v>
      </c>
      <c r="PD43" s="22">
        <v>0.93500000000000005</v>
      </c>
      <c r="PE43" s="22">
        <v>0.93899999999999995</v>
      </c>
      <c r="PF43" s="22">
        <v>0.93</v>
      </c>
      <c r="PG43" s="22">
        <v>0.93899999999999995</v>
      </c>
      <c r="PH43" s="3">
        <v>208</v>
      </c>
      <c r="PI43" s="3">
        <v>200</v>
      </c>
      <c r="PJ43" s="3">
        <v>201</v>
      </c>
      <c r="PK43" s="3">
        <v>199</v>
      </c>
      <c r="PL43" s="3">
        <v>201</v>
      </c>
      <c r="PM43" s="3">
        <v>261</v>
      </c>
      <c r="PN43" s="22">
        <v>0.96599999999999997</v>
      </c>
      <c r="PO43" s="22">
        <v>0.92300000000000004</v>
      </c>
      <c r="PP43" s="22">
        <v>0.96599999999999997</v>
      </c>
      <c r="PQ43" s="22">
        <v>0.96599999999999997</v>
      </c>
      <c r="PR43" s="22">
        <v>0.95399999999999996</v>
      </c>
      <c r="PS43" s="22">
        <v>0.85799999999999998</v>
      </c>
      <c r="PT43" s="22">
        <v>0.93100000000000005</v>
      </c>
      <c r="PU43" s="22">
        <v>0.9</v>
      </c>
      <c r="PV43" s="22">
        <v>0.95799999999999996</v>
      </c>
      <c r="PW43" s="22">
        <v>0.90800000000000003</v>
      </c>
      <c r="PX43" s="3">
        <v>252</v>
      </c>
      <c r="PY43" s="3">
        <v>241</v>
      </c>
      <c r="PZ43" s="3">
        <v>252</v>
      </c>
      <c r="QA43" s="3">
        <v>252</v>
      </c>
      <c r="QB43" s="3">
        <v>249</v>
      </c>
      <c r="QC43" s="3">
        <v>224</v>
      </c>
      <c r="QD43" s="3">
        <v>243</v>
      </c>
      <c r="QE43" s="3">
        <v>235</v>
      </c>
      <c r="QF43" s="3">
        <v>250</v>
      </c>
      <c r="QG43" s="6">
        <v>237</v>
      </c>
      <c r="QH43" s="37">
        <v>166</v>
      </c>
      <c r="QI43" s="17">
        <v>0.92771084337349397</v>
      </c>
      <c r="QJ43" s="17">
        <v>0.27710843373493976</v>
      </c>
      <c r="QK43" s="17">
        <v>0.92168674698795183</v>
      </c>
      <c r="QL43" s="37">
        <v>154</v>
      </c>
      <c r="QM43" s="37">
        <v>46</v>
      </c>
      <c r="QN43" s="37">
        <v>153</v>
      </c>
      <c r="QO43" s="37">
        <v>200</v>
      </c>
      <c r="QP43" s="17">
        <v>0.98499999999999999</v>
      </c>
      <c r="QQ43" s="17">
        <v>0.92500000000000004</v>
      </c>
      <c r="QR43" s="17">
        <v>0.79500000000000004</v>
      </c>
      <c r="QS43" s="17">
        <v>0.93500000000000005</v>
      </c>
      <c r="QT43" s="17">
        <v>0.76500000000000001</v>
      </c>
      <c r="QU43" s="37">
        <v>197</v>
      </c>
      <c r="QV43" s="37">
        <v>185</v>
      </c>
      <c r="QW43" s="37">
        <v>159</v>
      </c>
      <c r="QX43" s="37">
        <v>187</v>
      </c>
      <c r="QY43" s="37">
        <v>153</v>
      </c>
      <c r="QZ43" s="3">
        <v>269</v>
      </c>
      <c r="RA43" s="17">
        <v>0.97026022304832715</v>
      </c>
      <c r="RB43" s="17">
        <v>0.90334572490706322</v>
      </c>
      <c r="RC43" s="17">
        <v>0.96654275092936803</v>
      </c>
      <c r="RD43" s="17">
        <v>0.97026022304832715</v>
      </c>
      <c r="RE43" s="17">
        <v>0.70631970260223054</v>
      </c>
      <c r="RF43" s="17">
        <v>0.91078066914498146</v>
      </c>
      <c r="RG43" s="17">
        <v>0.93680297397769519</v>
      </c>
      <c r="RH43" s="17">
        <v>0.91078066914498146</v>
      </c>
      <c r="RI43" s="17">
        <v>0.71375464684014867</v>
      </c>
      <c r="RJ43" s="17">
        <v>0.66914498141263945</v>
      </c>
      <c r="RK43" s="37">
        <v>261</v>
      </c>
      <c r="RL43" s="37">
        <v>243</v>
      </c>
      <c r="RM43" s="37">
        <v>260</v>
      </c>
      <c r="RN43" s="37">
        <v>261</v>
      </c>
      <c r="RO43" s="37">
        <v>190.00000000000003</v>
      </c>
      <c r="RP43" s="37">
        <v>245</v>
      </c>
      <c r="RQ43" s="37">
        <v>252</v>
      </c>
      <c r="RR43" s="37">
        <v>245</v>
      </c>
      <c r="RS43" s="37">
        <v>192</v>
      </c>
      <c r="RT43" s="38">
        <v>180</v>
      </c>
    </row>
    <row r="44" spans="1:488" s="3" customFormat="1" ht="12.75" x14ac:dyDescent="0.2">
      <c r="A44" s="9" t="s">
        <v>68</v>
      </c>
      <c r="B44" s="6">
        <v>38</v>
      </c>
      <c r="C44" s="9" t="s">
        <v>246</v>
      </c>
      <c r="D44" s="9" t="s">
        <v>247</v>
      </c>
      <c r="E44" s="9" t="s">
        <v>286</v>
      </c>
      <c r="F44" s="9" t="s">
        <v>286</v>
      </c>
      <c r="G44" s="9" t="s">
        <v>248</v>
      </c>
      <c r="H44" s="9" t="s">
        <v>80</v>
      </c>
      <c r="I44" s="9" t="s">
        <v>80</v>
      </c>
      <c r="J44" s="9" t="s">
        <v>270</v>
      </c>
      <c r="K44" s="9" t="s">
        <v>390</v>
      </c>
      <c r="L44" s="9" t="s">
        <v>275</v>
      </c>
      <c r="M44" s="9" t="s">
        <v>361</v>
      </c>
      <c r="N44" s="3" t="s">
        <v>80</v>
      </c>
      <c r="O44" s="9">
        <v>530245</v>
      </c>
      <c r="P44" s="9">
        <v>119371</v>
      </c>
      <c r="Q44" s="109">
        <v>20500</v>
      </c>
      <c r="R44" s="109" t="s">
        <v>286</v>
      </c>
      <c r="S44" s="310" t="s">
        <v>797</v>
      </c>
      <c r="T44" s="36">
        <v>10735</v>
      </c>
      <c r="U44" s="37">
        <v>10835</v>
      </c>
      <c r="V44" s="37">
        <v>10865</v>
      </c>
      <c r="W44" s="37">
        <v>10945</v>
      </c>
      <c r="X44" s="37">
        <v>10870</v>
      </c>
      <c r="Y44" s="37">
        <v>11015</v>
      </c>
      <c r="Z44" s="37">
        <v>11065</v>
      </c>
      <c r="AA44" s="37">
        <v>11080</v>
      </c>
      <c r="AB44" s="37">
        <v>11015</v>
      </c>
      <c r="AC44" s="42">
        <v>10992</v>
      </c>
      <c r="AD44" s="42">
        <v>11174</v>
      </c>
      <c r="AE44" s="36">
        <v>880</v>
      </c>
      <c r="AF44" s="37">
        <v>890</v>
      </c>
      <c r="AG44" s="37">
        <v>855</v>
      </c>
      <c r="AH44" s="37">
        <v>850</v>
      </c>
      <c r="AI44" s="37">
        <v>815</v>
      </c>
      <c r="AJ44" s="37">
        <v>825</v>
      </c>
      <c r="AK44" s="37">
        <v>810</v>
      </c>
      <c r="AL44" s="37">
        <v>780</v>
      </c>
      <c r="AM44" s="37">
        <v>765</v>
      </c>
      <c r="AN44" s="42">
        <v>732</v>
      </c>
      <c r="AO44" s="42">
        <v>715</v>
      </c>
      <c r="AP44" s="13">
        <v>802</v>
      </c>
      <c r="AQ44" s="3">
        <v>714</v>
      </c>
      <c r="AR44" s="3">
        <v>18</v>
      </c>
      <c r="AS44" s="3">
        <v>31</v>
      </c>
      <c r="AT44" s="3">
        <v>35</v>
      </c>
      <c r="AU44" s="3">
        <v>4</v>
      </c>
      <c r="AV44" s="3">
        <v>0</v>
      </c>
      <c r="AW44" s="9">
        <v>88</v>
      </c>
      <c r="AX44" s="16">
        <v>0.89027431421446379</v>
      </c>
      <c r="AY44" s="17">
        <v>2.2443890274314215E-2</v>
      </c>
      <c r="AZ44" s="17">
        <v>3.8653366583541147E-2</v>
      </c>
      <c r="BA44" s="17">
        <v>4.3640897755610975E-2</v>
      </c>
      <c r="BB44" s="17">
        <v>4.9875311720698253E-3</v>
      </c>
      <c r="BC44" s="17">
        <v>0</v>
      </c>
      <c r="BD44" s="18">
        <v>0.10972568578553621</v>
      </c>
      <c r="BE44" s="13">
        <v>2111</v>
      </c>
      <c r="BF44" s="3">
        <v>2085</v>
      </c>
      <c r="BG44" s="3">
        <v>26</v>
      </c>
      <c r="BH44" s="3">
        <v>25</v>
      </c>
      <c r="BI44" s="3">
        <v>1</v>
      </c>
      <c r="BJ44" s="17">
        <v>0.96153846153846156</v>
      </c>
      <c r="BK44" s="18">
        <v>3.8461538461538464E-2</v>
      </c>
      <c r="BL44" s="13">
        <v>1614</v>
      </c>
      <c r="BM44" s="17">
        <v>0.71065675340768275</v>
      </c>
      <c r="BN44" s="17">
        <v>0.13444857496902107</v>
      </c>
      <c r="BO44" s="18">
        <v>0.15489467162329615</v>
      </c>
      <c r="BP44" s="36">
        <v>3273</v>
      </c>
      <c r="BQ44" s="37">
        <v>258</v>
      </c>
      <c r="BR44" s="37">
        <v>268</v>
      </c>
      <c r="BS44" s="37">
        <v>121</v>
      </c>
      <c r="BT44" s="37">
        <v>2925</v>
      </c>
      <c r="BU44" s="37">
        <v>1656</v>
      </c>
      <c r="BV44" s="18">
        <v>0.14070048309178743</v>
      </c>
      <c r="BW44" s="36">
        <v>1069</v>
      </c>
      <c r="BX44" s="37">
        <v>1</v>
      </c>
      <c r="BY44" s="37">
        <v>225</v>
      </c>
      <c r="BZ44" s="37">
        <v>291</v>
      </c>
      <c r="CA44" s="37">
        <v>70</v>
      </c>
      <c r="CB44" s="38">
        <v>1656</v>
      </c>
      <c r="CC44" s="37">
        <v>646</v>
      </c>
      <c r="CD44" s="37">
        <v>585</v>
      </c>
      <c r="CE44" s="37">
        <v>61</v>
      </c>
      <c r="CF44" s="37">
        <v>61</v>
      </c>
      <c r="CG44" s="17">
        <v>9.4427244582043338E-2</v>
      </c>
      <c r="CH44" s="93">
        <v>9.4427244582043338E-2</v>
      </c>
      <c r="CI44" s="37">
        <v>55</v>
      </c>
      <c r="CJ44" s="37">
        <v>50</v>
      </c>
      <c r="CK44" s="37">
        <v>45</v>
      </c>
      <c r="CL44" s="37">
        <v>55</v>
      </c>
      <c r="CM44" s="42">
        <v>60</v>
      </c>
      <c r="CN44" s="42">
        <v>35</v>
      </c>
      <c r="CO44" s="36">
        <v>291</v>
      </c>
      <c r="CP44" s="37">
        <v>68</v>
      </c>
      <c r="CQ44" s="17">
        <v>0.23367697594501718</v>
      </c>
      <c r="CR44" s="38">
        <v>18</v>
      </c>
      <c r="CS44" s="37">
        <v>147</v>
      </c>
      <c r="CT44" s="37">
        <v>149</v>
      </c>
      <c r="CU44" s="37">
        <v>139</v>
      </c>
      <c r="CV44" s="37">
        <v>139</v>
      </c>
      <c r="CW44" s="37">
        <v>139</v>
      </c>
      <c r="CX44" s="526" t="s">
        <v>471</v>
      </c>
      <c r="CY44" s="568">
        <v>132</v>
      </c>
      <c r="CZ44" s="37">
        <v>7</v>
      </c>
      <c r="DA44" s="37">
        <v>5</v>
      </c>
      <c r="DB44" s="37">
        <v>3</v>
      </c>
      <c r="DC44" s="37">
        <v>0</v>
      </c>
      <c r="DD44" s="37">
        <v>6</v>
      </c>
      <c r="DE44" s="528" t="s">
        <v>471</v>
      </c>
      <c r="DF44" s="716">
        <v>1</v>
      </c>
      <c r="DG44" s="13">
        <v>7</v>
      </c>
      <c r="DH44" s="13">
        <v>8</v>
      </c>
      <c r="DI44" s="17">
        <v>5.7553956834532377E-2</v>
      </c>
      <c r="DJ44" s="17">
        <v>2.9448901559716051E-2</v>
      </c>
      <c r="DK44" s="18">
        <v>0.10945656037343801</v>
      </c>
      <c r="DL44" s="425" t="s">
        <v>286</v>
      </c>
      <c r="DM44" s="258" t="s">
        <v>286</v>
      </c>
      <c r="DN44" s="258" t="s">
        <v>286</v>
      </c>
      <c r="DO44" s="258" t="s">
        <v>286</v>
      </c>
      <c r="DP44" s="337">
        <v>5</v>
      </c>
      <c r="DQ44" s="393">
        <v>3.787878787878788E-2</v>
      </c>
      <c r="DR44" s="393">
        <v>1.6286179128381463E-2</v>
      </c>
      <c r="DS44" s="393">
        <v>8.5608035943059685E-2</v>
      </c>
      <c r="DT44" s="13">
        <v>7</v>
      </c>
      <c r="DU44" s="18">
        <v>8.7281795511221939E-3</v>
      </c>
      <c r="DV44" s="328">
        <v>9</v>
      </c>
      <c r="DW44" s="333">
        <v>10</v>
      </c>
      <c r="DX44" s="337">
        <v>6</v>
      </c>
      <c r="DY44" s="393">
        <v>9.622437569884458E-2</v>
      </c>
      <c r="DZ44" s="337">
        <v>8</v>
      </c>
      <c r="EA44" s="93">
        <v>7.700473559589581E-2</v>
      </c>
      <c r="EB44" s="3">
        <v>96</v>
      </c>
      <c r="EC44" s="18">
        <v>2.2524636320976069E-2</v>
      </c>
      <c r="ED44" s="13">
        <v>95</v>
      </c>
      <c r="EE44" s="3">
        <v>90</v>
      </c>
      <c r="EF44" s="3">
        <v>80</v>
      </c>
      <c r="EG44" s="3">
        <v>70</v>
      </c>
      <c r="EH44" s="9">
        <v>60</v>
      </c>
      <c r="EI44" s="9">
        <v>65</v>
      </c>
      <c r="EJ44" s="13">
        <v>80</v>
      </c>
      <c r="EK44" s="17">
        <v>9.6385542168674704E-2</v>
      </c>
      <c r="EL44" s="17">
        <v>7.8127794989517718E-2</v>
      </c>
      <c r="EM44" s="17">
        <v>0.1183621457390422</v>
      </c>
      <c r="EN44" s="3">
        <v>85</v>
      </c>
      <c r="EO44" s="17">
        <v>0.10828025477707007</v>
      </c>
      <c r="EP44" s="17">
        <v>8.8419954473737863E-2</v>
      </c>
      <c r="EQ44" s="17">
        <v>0.13195570767843204</v>
      </c>
      <c r="ER44" s="3">
        <v>80</v>
      </c>
      <c r="ES44" s="17">
        <v>0.10126582278481013</v>
      </c>
      <c r="ET44" s="17">
        <v>8.2120879394970661E-2</v>
      </c>
      <c r="EU44" s="17">
        <v>0.12426977581733312</v>
      </c>
      <c r="EV44" s="3">
        <v>90</v>
      </c>
      <c r="EW44" s="17">
        <v>0.1125</v>
      </c>
      <c r="EX44" s="17">
        <v>9.2429904525941312E-2</v>
      </c>
      <c r="EY44" s="17">
        <v>0.13627372453345762</v>
      </c>
      <c r="EZ44" s="3">
        <v>65</v>
      </c>
      <c r="FA44" s="18">
        <v>8.6092715231788075E-2</v>
      </c>
      <c r="FB44" s="18">
        <v>6.812080248489831E-2</v>
      </c>
      <c r="FC44" s="18">
        <v>0.10825524716939369</v>
      </c>
      <c r="FD44" s="337">
        <v>70</v>
      </c>
      <c r="FE44" s="18">
        <v>0.10218978102189781</v>
      </c>
      <c r="FF44" s="18">
        <v>8.1680141215642127E-2</v>
      </c>
      <c r="FG44" s="393">
        <v>0.12713635346363086</v>
      </c>
      <c r="FH44" s="425" t="s">
        <v>286</v>
      </c>
      <c r="FI44" s="258" t="s">
        <v>286</v>
      </c>
      <c r="FJ44" s="258" t="s">
        <v>286</v>
      </c>
      <c r="FK44" s="258" t="s">
        <v>286</v>
      </c>
      <c r="FL44" s="36">
        <v>230</v>
      </c>
      <c r="FM44" s="18">
        <v>8.9147286821705432E-2</v>
      </c>
      <c r="FN44" s="42">
        <v>250</v>
      </c>
      <c r="FO44" s="18">
        <v>9.8619329388560162E-2</v>
      </c>
      <c r="FP44" s="42">
        <v>225</v>
      </c>
      <c r="FQ44" s="18">
        <v>8.7040618955512572E-2</v>
      </c>
      <c r="FR44" s="42">
        <v>245</v>
      </c>
      <c r="FS44" s="18">
        <v>9.5890410958904104E-2</v>
      </c>
      <c r="FT44" s="42">
        <v>200</v>
      </c>
      <c r="FU44" s="18">
        <v>8.1632653061224483E-2</v>
      </c>
      <c r="FV44" s="42">
        <v>200</v>
      </c>
      <c r="FW44" s="393">
        <v>8.1967213114754092E-2</v>
      </c>
      <c r="FX44" s="114" t="s">
        <v>286</v>
      </c>
      <c r="FY44" s="259" t="s">
        <v>286</v>
      </c>
      <c r="FZ44" s="3">
        <v>128</v>
      </c>
      <c r="GA44" s="3">
        <v>4</v>
      </c>
      <c r="GB44" s="3">
        <v>124</v>
      </c>
      <c r="GC44" s="17">
        <v>0.96875</v>
      </c>
      <c r="GD44" s="3">
        <v>50</v>
      </c>
      <c r="GE44" s="3">
        <v>63</v>
      </c>
      <c r="GF44" s="17">
        <v>0.40322580645161288</v>
      </c>
      <c r="GG44" s="17">
        <v>0.50806451612903225</v>
      </c>
      <c r="GH44" s="17">
        <v>0.32104885004590489</v>
      </c>
      <c r="GI44" s="17">
        <v>0.49121883120964888</v>
      </c>
      <c r="GJ44" s="17">
        <v>0.42115888884621255</v>
      </c>
      <c r="GK44" s="93">
        <v>0.59448547104915794</v>
      </c>
      <c r="GL44" s="337">
        <v>115</v>
      </c>
      <c r="GM44" s="337">
        <v>43</v>
      </c>
      <c r="GN44" s="337">
        <v>19</v>
      </c>
      <c r="GO44" s="337">
        <v>62</v>
      </c>
      <c r="GP44" s="393">
        <v>0.37391304347826088</v>
      </c>
      <c r="GQ44" s="393">
        <v>0.53913043478260869</v>
      </c>
      <c r="GR44" s="393">
        <v>0.29090380155349149</v>
      </c>
      <c r="GS44" s="393">
        <v>0.4650736133337266</v>
      </c>
      <c r="GT44" s="393">
        <v>0.4482376584453216</v>
      </c>
      <c r="GU44" s="93">
        <v>0.62749348865864507</v>
      </c>
      <c r="GV44" s="42">
        <v>140</v>
      </c>
      <c r="GW44" s="42">
        <v>26</v>
      </c>
      <c r="GX44" s="42">
        <v>114</v>
      </c>
      <c r="GY44" s="393">
        <f t="shared" si="2"/>
        <v>0.81428571428571428</v>
      </c>
      <c r="GZ44" s="42">
        <v>45</v>
      </c>
      <c r="HA44" s="42">
        <v>19</v>
      </c>
      <c r="HB44" s="42">
        <v>64</v>
      </c>
      <c r="HC44" s="393">
        <v>0.39473684210526316</v>
      </c>
      <c r="HD44" s="393">
        <v>0.56140350877192979</v>
      </c>
      <c r="HE44" s="393">
        <v>0.30984949400241069</v>
      </c>
      <c r="HF44" s="393">
        <v>0.48648703950471384</v>
      </c>
      <c r="HG44" s="393">
        <v>0.46978749853445911</v>
      </c>
      <c r="HH44" s="93">
        <v>0.64901619025305157</v>
      </c>
      <c r="HI44" s="696">
        <v>80</v>
      </c>
      <c r="HJ44" s="696">
        <v>4</v>
      </c>
      <c r="HK44" s="696">
        <v>76</v>
      </c>
      <c r="HL44" s="697">
        <v>0.95</v>
      </c>
      <c r="HM44" s="696">
        <v>26</v>
      </c>
      <c r="HN44" s="696">
        <v>13</v>
      </c>
      <c r="HO44" s="696">
        <v>39</v>
      </c>
      <c r="HP44" s="697">
        <v>0.34210526315789475</v>
      </c>
      <c r="HQ44" s="697">
        <v>0.51315789473684215</v>
      </c>
      <c r="HR44" s="697">
        <v>0.24536326817494694</v>
      </c>
      <c r="HS44" s="697">
        <v>0.45404102184562267</v>
      </c>
      <c r="HT44" s="697">
        <v>0.4028869302897975</v>
      </c>
      <c r="HU44" s="698">
        <v>0.62216271220848829</v>
      </c>
      <c r="HV44" s="3">
        <v>151</v>
      </c>
      <c r="HW44" s="3">
        <v>12</v>
      </c>
      <c r="HX44" s="17">
        <v>7.9470198675496692E-2</v>
      </c>
      <c r="HY44" s="17">
        <v>4.604266587121892E-2</v>
      </c>
      <c r="HZ44" s="17">
        <v>0.13376356324041996</v>
      </c>
      <c r="IA44" s="267" t="s">
        <v>707</v>
      </c>
      <c r="IB44" s="3">
        <v>141</v>
      </c>
      <c r="IC44" s="3">
        <v>7</v>
      </c>
      <c r="ID44" s="17">
        <v>4.9645390070921988E-2</v>
      </c>
      <c r="IE44" s="17">
        <v>2.4253530324488039E-2</v>
      </c>
      <c r="IF44" s="17">
        <v>9.8925695885742862E-2</v>
      </c>
      <c r="IG44" s="3" t="s">
        <v>707</v>
      </c>
      <c r="IH44" s="3">
        <v>143</v>
      </c>
      <c r="II44" s="3">
        <v>12</v>
      </c>
      <c r="IJ44" s="17">
        <v>8.3916083916083919E-2</v>
      </c>
      <c r="IK44" s="17">
        <v>4.8653962460813528E-2</v>
      </c>
      <c r="IL44" s="17">
        <v>0.14094820469479138</v>
      </c>
      <c r="IM44" s="3" t="s">
        <v>707</v>
      </c>
      <c r="IN44" s="3">
        <v>101</v>
      </c>
      <c r="IO44" s="3">
        <v>5</v>
      </c>
      <c r="IP44" s="17">
        <v>4.9504950495049507E-2</v>
      </c>
      <c r="IQ44" s="17">
        <v>2.1328509888006445E-2</v>
      </c>
      <c r="IR44" s="17">
        <v>0.11069425072968564</v>
      </c>
      <c r="IS44" s="3" t="s">
        <v>707</v>
      </c>
      <c r="IT44" s="3">
        <v>68</v>
      </c>
      <c r="IU44" s="3">
        <v>7</v>
      </c>
      <c r="IV44" s="17">
        <v>0.10294117647058823</v>
      </c>
      <c r="IW44" s="17">
        <v>5.0765771789929089E-2</v>
      </c>
      <c r="IX44" s="17">
        <v>0.19757911309365628</v>
      </c>
      <c r="IY44" s="9" t="s">
        <v>707</v>
      </c>
      <c r="IZ44" s="9">
        <v>138</v>
      </c>
      <c r="JA44" s="9">
        <v>10</v>
      </c>
      <c r="JB44" s="393">
        <v>7.2463768115942032E-2</v>
      </c>
      <c r="JC44" s="393">
        <v>3.9834286943926704E-2</v>
      </c>
      <c r="JD44" s="393">
        <v>0.12825097542518638</v>
      </c>
      <c r="JE44" s="9" t="str">
        <f t="shared" si="0"/>
        <v>No Sig diff</v>
      </c>
      <c r="JF44" s="9">
        <v>143</v>
      </c>
      <c r="JG44" s="109">
        <v>6</v>
      </c>
      <c r="JH44" s="258">
        <v>4.195804195804196E-2</v>
      </c>
      <c r="JI44" s="258">
        <v>1.9369375010116208E-2</v>
      </c>
      <c r="JJ44" s="258">
        <v>8.8512002278827023E-2</v>
      </c>
      <c r="JK44" s="662" t="str">
        <f t="shared" si="3"/>
        <v>Sig better than Eng.</v>
      </c>
      <c r="JL44" s="3">
        <v>159</v>
      </c>
      <c r="JM44" s="3">
        <v>34</v>
      </c>
      <c r="JN44" s="17">
        <v>0.21383647798742139</v>
      </c>
      <c r="JO44" s="17">
        <v>0.15725209441968857</v>
      </c>
      <c r="JP44" s="17">
        <v>0.28392215776997809</v>
      </c>
      <c r="JQ44" s="3" t="s">
        <v>707</v>
      </c>
      <c r="JR44" s="3">
        <v>120</v>
      </c>
      <c r="JS44" s="3">
        <v>18</v>
      </c>
      <c r="JT44" s="17">
        <v>0.15</v>
      </c>
      <c r="JU44" s="17">
        <v>9.7038122925847389E-2</v>
      </c>
      <c r="JV44" s="17">
        <v>0.22467529356724508</v>
      </c>
      <c r="JW44" s="3" t="s">
        <v>707</v>
      </c>
      <c r="JX44" s="3">
        <v>135</v>
      </c>
      <c r="JY44" s="3">
        <v>16</v>
      </c>
      <c r="JZ44" s="17">
        <v>0.11851851851851852</v>
      </c>
      <c r="KA44" s="17">
        <v>7.4283486027595741E-2</v>
      </c>
      <c r="KB44" s="17">
        <v>0.18386317365984914</v>
      </c>
      <c r="KC44" s="3" t="s">
        <v>708</v>
      </c>
      <c r="KD44" s="3">
        <v>128</v>
      </c>
      <c r="KE44" s="3">
        <v>21</v>
      </c>
      <c r="KF44" s="17">
        <v>0.1640625</v>
      </c>
      <c r="KG44" s="17">
        <v>0.10988331645919329</v>
      </c>
      <c r="KH44" s="17">
        <v>0.23781807603707014</v>
      </c>
      <c r="KI44" s="3" t="s">
        <v>707</v>
      </c>
      <c r="KJ44" s="3">
        <v>112</v>
      </c>
      <c r="KK44" s="3">
        <v>20</v>
      </c>
      <c r="KL44" s="17">
        <v>0.17857142857142858</v>
      </c>
      <c r="KM44" s="17">
        <v>0.11867660544910416</v>
      </c>
      <c r="KN44" s="17">
        <v>0.25978426052250259</v>
      </c>
      <c r="KO44" s="465" t="s">
        <v>707</v>
      </c>
      <c r="KP44" s="465">
        <v>112</v>
      </c>
      <c r="KQ44" s="465">
        <v>16</v>
      </c>
      <c r="KR44" s="393">
        <v>0.14285714285714285</v>
      </c>
      <c r="KS44" s="393">
        <v>8.9886610891018182E-2</v>
      </c>
      <c r="KT44" s="393">
        <v>0.21951435129965596</v>
      </c>
      <c r="KU44" s="465" t="s">
        <v>772</v>
      </c>
      <c r="KV44" s="465">
        <v>146</v>
      </c>
      <c r="KW44" s="465">
        <v>23</v>
      </c>
      <c r="KX44" s="393">
        <v>0.15753424657534246</v>
      </c>
      <c r="KY44" s="393">
        <v>0.10732642924119824</v>
      </c>
      <c r="KZ44" s="393">
        <v>0.22530153109077014</v>
      </c>
      <c r="LA44" s="660" t="str">
        <f t="shared" si="4"/>
        <v>No Sig diff</v>
      </c>
      <c r="LB44" s="3">
        <v>163</v>
      </c>
      <c r="LC44" s="3">
        <v>108</v>
      </c>
      <c r="LD44" s="17">
        <v>0.66257668711656437</v>
      </c>
      <c r="LE44" s="17">
        <v>0.58698917481437962</v>
      </c>
      <c r="LF44" s="17">
        <v>0.73067767115200299</v>
      </c>
      <c r="LG44" s="3">
        <v>163</v>
      </c>
      <c r="LH44" s="3">
        <v>35</v>
      </c>
      <c r="LI44" s="3">
        <v>32</v>
      </c>
      <c r="LJ44" s="293">
        <v>26.906250000000004</v>
      </c>
      <c r="LK44" s="17">
        <v>0.2312499999999999</v>
      </c>
      <c r="LL44" s="3">
        <v>150</v>
      </c>
      <c r="LM44" s="3">
        <v>107</v>
      </c>
      <c r="LN44" s="17">
        <v>0.71333333333333337</v>
      </c>
      <c r="LO44" s="17">
        <v>0.63635082260833997</v>
      </c>
      <c r="LP44" s="17">
        <v>0.77966187312794732</v>
      </c>
      <c r="LQ44" s="3">
        <v>150</v>
      </c>
      <c r="LR44" s="3">
        <v>34</v>
      </c>
      <c r="LS44" s="3">
        <v>30</v>
      </c>
      <c r="LT44" s="293">
        <v>29.633333333333329</v>
      </c>
      <c r="LU44" s="18">
        <v>0.12843137254901973</v>
      </c>
      <c r="LV44" s="42">
        <v>162</v>
      </c>
      <c r="LW44" s="42">
        <v>122</v>
      </c>
      <c r="LX44" s="18">
        <v>0.75308641975308643</v>
      </c>
      <c r="LY44" s="18">
        <v>0.68133366125497608</v>
      </c>
      <c r="LZ44" s="18">
        <v>0.81311447362701061</v>
      </c>
      <c r="MA44" s="337">
        <v>34</v>
      </c>
      <c r="MB44" s="337">
        <v>32</v>
      </c>
      <c r="MC44" s="294">
        <v>29.3</v>
      </c>
      <c r="MD44" s="393">
        <v>0.13800000000000001</v>
      </c>
      <c r="ME44" s="337">
        <v>150</v>
      </c>
      <c r="MF44" s="337">
        <v>104</v>
      </c>
      <c r="MG44" s="393">
        <v>0.69333333333333336</v>
      </c>
      <c r="MH44" s="393">
        <v>0.61548154867762572</v>
      </c>
      <c r="MI44" s="393">
        <v>0.76152995683338465</v>
      </c>
      <c r="MJ44" s="337">
        <v>34</v>
      </c>
      <c r="MK44" s="337">
        <v>30</v>
      </c>
      <c r="ML44" s="294">
        <v>28.466666666666665</v>
      </c>
      <c r="MM44" s="93">
        <v>0.16274509803921575</v>
      </c>
      <c r="MN44" s="17">
        <v>0.94065934065934076</v>
      </c>
      <c r="MO44" s="17">
        <v>5.9340659340659338E-2</v>
      </c>
      <c r="MP44" s="17">
        <v>2.5950008789329414E-2</v>
      </c>
      <c r="MQ44" s="17">
        <v>0.11697106055647577</v>
      </c>
      <c r="MR44" s="17">
        <v>0.9580586080586081</v>
      </c>
      <c r="MS44" s="17">
        <v>4.1941391941391945E-2</v>
      </c>
      <c r="MT44" s="17">
        <v>1.4631662528342755E-2</v>
      </c>
      <c r="MU44" s="17">
        <v>9.2201872895180545E-2</v>
      </c>
      <c r="MV44" s="17">
        <v>0.9580586080586081</v>
      </c>
      <c r="MW44" s="17">
        <v>4.1941391941391945E-2</v>
      </c>
      <c r="MX44" s="17">
        <v>1.4631662528342755E-2</v>
      </c>
      <c r="MY44" s="17">
        <v>9.2201872895180545E-2</v>
      </c>
      <c r="MZ44" s="17">
        <v>0.88284465534465539</v>
      </c>
      <c r="NA44" s="17">
        <v>0.11715534465534468</v>
      </c>
      <c r="NB44" s="17">
        <v>7.3800941708644846E-2</v>
      </c>
      <c r="NC44" s="93">
        <v>0.20037363859888463</v>
      </c>
      <c r="ND44" s="337">
        <v>1</v>
      </c>
      <c r="NE44" s="337">
        <v>66</v>
      </c>
      <c r="NF44" s="393">
        <v>1.5151515151515152E-2</v>
      </c>
      <c r="NG44" s="393">
        <v>2.6796405439821125E-3</v>
      </c>
      <c r="NH44" s="393">
        <v>8.0959202620663973E-2</v>
      </c>
      <c r="NI44" s="337">
        <v>1</v>
      </c>
      <c r="NJ44" s="337">
        <v>66</v>
      </c>
      <c r="NK44" s="393">
        <v>1.5151515151515152E-2</v>
      </c>
      <c r="NL44" s="393">
        <v>2.6796405439821125E-3</v>
      </c>
      <c r="NM44" s="393">
        <v>8.0959202620663973E-2</v>
      </c>
      <c r="NN44" s="337">
        <v>1</v>
      </c>
      <c r="NO44" s="337">
        <v>66</v>
      </c>
      <c r="NP44" s="393">
        <v>1.5151515151515152E-2</v>
      </c>
      <c r="NQ44" s="393">
        <v>2.6796405439821125E-3</v>
      </c>
      <c r="NR44" s="393">
        <v>8.0959202620663973E-2</v>
      </c>
      <c r="NS44" s="337">
        <v>13</v>
      </c>
      <c r="NT44" s="337">
        <v>65</v>
      </c>
      <c r="NU44" s="393">
        <v>0.2</v>
      </c>
      <c r="NV44" s="393">
        <v>0.12077959241205473</v>
      </c>
      <c r="NW44" s="93">
        <v>0.31270132638165932</v>
      </c>
      <c r="NX44" s="3">
        <v>35</v>
      </c>
      <c r="NY44" s="3">
        <v>34</v>
      </c>
      <c r="NZ44" s="3">
        <v>34</v>
      </c>
      <c r="OA44" s="3">
        <v>35</v>
      </c>
      <c r="OB44" s="3">
        <v>34</v>
      </c>
      <c r="OC44" s="3">
        <v>38</v>
      </c>
      <c r="OD44" s="3">
        <v>38</v>
      </c>
      <c r="OE44" s="3">
        <v>38</v>
      </c>
      <c r="OF44" s="3">
        <v>38</v>
      </c>
      <c r="OG44" s="3">
        <v>38</v>
      </c>
      <c r="OH44" s="3">
        <v>38</v>
      </c>
      <c r="OI44" s="3">
        <v>37</v>
      </c>
      <c r="OJ44" s="3">
        <v>38</v>
      </c>
      <c r="OK44" s="3">
        <v>46</v>
      </c>
      <c r="OL44" s="3">
        <v>45</v>
      </c>
      <c r="OM44" s="3">
        <v>43</v>
      </c>
      <c r="ON44" s="3">
        <v>44</v>
      </c>
      <c r="OO44" s="3">
        <v>43</v>
      </c>
      <c r="OP44" s="3">
        <v>43</v>
      </c>
      <c r="OQ44" s="3">
        <v>42</v>
      </c>
      <c r="OR44" s="3">
        <v>43</v>
      </c>
      <c r="OS44" s="3">
        <v>42</v>
      </c>
      <c r="OT44" s="6">
        <v>43</v>
      </c>
      <c r="OU44" s="3">
        <v>102</v>
      </c>
      <c r="OV44" s="22">
        <v>0.99</v>
      </c>
      <c r="OW44" s="22">
        <v>0.01</v>
      </c>
      <c r="OX44" s="22">
        <v>0.99</v>
      </c>
      <c r="OY44" s="3">
        <v>101</v>
      </c>
      <c r="OZ44" s="3">
        <v>1</v>
      </c>
      <c r="PA44" s="3">
        <v>101</v>
      </c>
      <c r="PB44" s="3">
        <v>95</v>
      </c>
      <c r="PC44" s="22">
        <v>0.96799999999999997</v>
      </c>
      <c r="PD44" s="22">
        <v>0.90500000000000003</v>
      </c>
      <c r="PE44" s="22">
        <v>0.94699999999999995</v>
      </c>
      <c r="PF44" s="22">
        <v>0.91600000000000004</v>
      </c>
      <c r="PG44" s="22">
        <v>0.90500000000000003</v>
      </c>
      <c r="PH44" s="3">
        <v>92</v>
      </c>
      <c r="PI44" s="3">
        <v>86</v>
      </c>
      <c r="PJ44" s="3">
        <v>90</v>
      </c>
      <c r="PK44" s="3">
        <v>87</v>
      </c>
      <c r="PL44" s="3">
        <v>86</v>
      </c>
      <c r="PM44" s="3">
        <v>120</v>
      </c>
      <c r="PN44" s="22">
        <v>0.99199999999999999</v>
      </c>
      <c r="PO44" s="22">
        <v>0.96699999999999997</v>
      </c>
      <c r="PP44" s="22">
        <v>0.99199999999999999</v>
      </c>
      <c r="PQ44" s="22">
        <v>0.99199999999999999</v>
      </c>
      <c r="PR44" s="22">
        <v>0.99199999999999999</v>
      </c>
      <c r="PS44" s="22">
        <v>0.90800000000000003</v>
      </c>
      <c r="PT44" s="22">
        <v>0.99199999999999999</v>
      </c>
      <c r="PU44" s="22">
        <v>0.97499999999999998</v>
      </c>
      <c r="PV44" s="22">
        <v>0.98299999999999998</v>
      </c>
      <c r="PW44" s="22">
        <v>0.94199999999999995</v>
      </c>
      <c r="PX44" s="3">
        <v>119</v>
      </c>
      <c r="PY44" s="3">
        <v>116</v>
      </c>
      <c r="PZ44" s="3">
        <v>119</v>
      </c>
      <c r="QA44" s="3">
        <v>119</v>
      </c>
      <c r="QB44" s="3">
        <v>119</v>
      </c>
      <c r="QC44" s="3">
        <v>109</v>
      </c>
      <c r="QD44" s="3">
        <v>119</v>
      </c>
      <c r="QE44" s="3">
        <v>117</v>
      </c>
      <c r="QF44" s="3">
        <v>118</v>
      </c>
      <c r="QG44" s="6">
        <v>113</v>
      </c>
      <c r="QH44" s="37">
        <v>81</v>
      </c>
      <c r="QI44" s="17">
        <v>0.93827160493827155</v>
      </c>
      <c r="QJ44" s="17">
        <v>0.25925925925925924</v>
      </c>
      <c r="QK44" s="17">
        <v>0.92592592592592593</v>
      </c>
      <c r="QL44" s="37">
        <v>76</v>
      </c>
      <c r="QM44" s="37">
        <v>21</v>
      </c>
      <c r="QN44" s="37">
        <v>75</v>
      </c>
      <c r="QO44" s="37">
        <v>105</v>
      </c>
      <c r="QP44" s="17">
        <v>0.99047619047619051</v>
      </c>
      <c r="QQ44" s="17">
        <v>0.8571428571428571</v>
      </c>
      <c r="QR44" s="17">
        <v>0.65714285714285714</v>
      </c>
      <c r="QS44" s="17">
        <v>0.8571428571428571</v>
      </c>
      <c r="QT44" s="17">
        <v>0.580952380952381</v>
      </c>
      <c r="QU44" s="37">
        <v>104</v>
      </c>
      <c r="QV44" s="37">
        <v>90</v>
      </c>
      <c r="QW44" s="37">
        <v>69</v>
      </c>
      <c r="QX44" s="37">
        <v>90</v>
      </c>
      <c r="QY44" s="37">
        <v>61.000000000000007</v>
      </c>
      <c r="QZ44" s="3">
        <v>107</v>
      </c>
      <c r="RA44" s="17">
        <v>0.9719626168224299</v>
      </c>
      <c r="RB44" s="17">
        <v>0.91588785046728971</v>
      </c>
      <c r="RC44" s="17">
        <v>0.9719626168224299</v>
      </c>
      <c r="RD44" s="17">
        <v>0.9719626168224299</v>
      </c>
      <c r="RE44" s="17">
        <v>0.73831775700934577</v>
      </c>
      <c r="RF44" s="17">
        <v>0.92523364485981308</v>
      </c>
      <c r="RG44" s="17">
        <v>0.95327102803738317</v>
      </c>
      <c r="RH44" s="17">
        <v>0.90654205607476634</v>
      </c>
      <c r="RI44" s="17">
        <v>0.73831775700934577</v>
      </c>
      <c r="RJ44" s="17">
        <v>0.71962616822429903</v>
      </c>
      <c r="RK44" s="37">
        <v>104</v>
      </c>
      <c r="RL44" s="37">
        <v>98</v>
      </c>
      <c r="RM44" s="37">
        <v>104</v>
      </c>
      <c r="RN44" s="37">
        <v>104</v>
      </c>
      <c r="RO44" s="37">
        <v>79</v>
      </c>
      <c r="RP44" s="37">
        <v>99</v>
      </c>
      <c r="RQ44" s="37">
        <v>102</v>
      </c>
      <c r="RR44" s="37">
        <v>97</v>
      </c>
      <c r="RS44" s="37">
        <v>79</v>
      </c>
      <c r="RT44" s="38">
        <v>77</v>
      </c>
    </row>
    <row r="45" spans="1:488" s="3" customFormat="1" ht="12.75" x14ac:dyDescent="0.2">
      <c r="A45" s="9" t="s">
        <v>61</v>
      </c>
      <c r="B45" s="6">
        <v>30</v>
      </c>
      <c r="C45" s="9" t="s">
        <v>226</v>
      </c>
      <c r="D45" s="9" t="s">
        <v>227</v>
      </c>
      <c r="E45" s="9" t="s">
        <v>286</v>
      </c>
      <c r="F45" s="9" t="s">
        <v>286</v>
      </c>
      <c r="G45" s="9" t="s">
        <v>228</v>
      </c>
      <c r="H45" s="9" t="s">
        <v>852</v>
      </c>
      <c r="I45" s="9" t="s">
        <v>83</v>
      </c>
      <c r="J45" s="9" t="s">
        <v>270</v>
      </c>
      <c r="K45" s="9" t="s">
        <v>385</v>
      </c>
      <c r="L45" s="9" t="s">
        <v>273</v>
      </c>
      <c r="M45" s="9" t="s">
        <v>353</v>
      </c>
      <c r="N45" s="3" t="s">
        <v>83</v>
      </c>
      <c r="O45" s="9">
        <v>516353</v>
      </c>
      <c r="P45" s="9">
        <v>130288</v>
      </c>
      <c r="Q45" s="109" t="s">
        <v>286</v>
      </c>
      <c r="R45" s="109" t="s">
        <v>286</v>
      </c>
      <c r="S45" s="109" t="s">
        <v>286</v>
      </c>
      <c r="T45" s="36">
        <v>13700</v>
      </c>
      <c r="U45" s="37">
        <v>14090</v>
      </c>
      <c r="V45" s="37">
        <v>14320</v>
      </c>
      <c r="W45" s="37">
        <v>14400</v>
      </c>
      <c r="X45" s="37">
        <v>14500</v>
      </c>
      <c r="Y45" s="37">
        <v>14600</v>
      </c>
      <c r="Z45" s="37">
        <v>14840</v>
      </c>
      <c r="AA45" s="37">
        <v>15055</v>
      </c>
      <c r="AB45" s="37">
        <v>15260</v>
      </c>
      <c r="AC45" s="42">
        <v>15603</v>
      </c>
      <c r="AD45" s="42">
        <v>15938</v>
      </c>
      <c r="AE45" s="36">
        <v>775</v>
      </c>
      <c r="AF45" s="37">
        <v>800</v>
      </c>
      <c r="AG45" s="37">
        <v>865</v>
      </c>
      <c r="AH45" s="37">
        <v>865</v>
      </c>
      <c r="AI45" s="37">
        <v>900</v>
      </c>
      <c r="AJ45" s="37">
        <v>900</v>
      </c>
      <c r="AK45" s="37">
        <v>915</v>
      </c>
      <c r="AL45" s="37">
        <v>940</v>
      </c>
      <c r="AM45" s="37">
        <v>985</v>
      </c>
      <c r="AN45" s="42">
        <v>1009</v>
      </c>
      <c r="AO45" s="42">
        <v>1015</v>
      </c>
      <c r="AP45" s="13">
        <v>893</v>
      </c>
      <c r="AQ45" s="3">
        <v>750</v>
      </c>
      <c r="AR45" s="3">
        <v>39</v>
      </c>
      <c r="AS45" s="3">
        <v>44</v>
      </c>
      <c r="AT45" s="3">
        <v>50</v>
      </c>
      <c r="AU45" s="3">
        <v>6</v>
      </c>
      <c r="AV45" s="3">
        <v>4</v>
      </c>
      <c r="AW45" s="9">
        <v>143</v>
      </c>
      <c r="AX45" s="16">
        <v>0.83986562150055988</v>
      </c>
      <c r="AY45" s="17">
        <v>4.3673012318029114E-2</v>
      </c>
      <c r="AZ45" s="17">
        <v>4.9272116461366179E-2</v>
      </c>
      <c r="BA45" s="17">
        <v>5.5991041433370664E-2</v>
      </c>
      <c r="BB45" s="17">
        <v>6.7189249720044789E-3</v>
      </c>
      <c r="BC45" s="17">
        <v>4.4792833146696529E-3</v>
      </c>
      <c r="BD45" s="18">
        <v>0.16013437849944012</v>
      </c>
      <c r="BE45" s="13">
        <v>2096</v>
      </c>
      <c r="BF45" s="3">
        <v>2025</v>
      </c>
      <c r="BG45" s="3">
        <v>71</v>
      </c>
      <c r="BH45" s="3">
        <v>56</v>
      </c>
      <c r="BI45" s="3">
        <v>15</v>
      </c>
      <c r="BJ45" s="17">
        <v>0.78873239436619713</v>
      </c>
      <c r="BK45" s="18">
        <v>0.21126760563380281</v>
      </c>
      <c r="BL45" s="13">
        <v>1709</v>
      </c>
      <c r="BM45" s="17">
        <v>0.66764189584552369</v>
      </c>
      <c r="BN45" s="17">
        <v>0.14921006436512579</v>
      </c>
      <c r="BO45" s="18">
        <v>0.18314803978935049</v>
      </c>
      <c r="BP45" s="36">
        <v>4294</v>
      </c>
      <c r="BQ45" s="37">
        <v>291</v>
      </c>
      <c r="BR45" s="37">
        <v>299</v>
      </c>
      <c r="BS45" s="37">
        <v>111</v>
      </c>
      <c r="BT45" s="37">
        <v>2953</v>
      </c>
      <c r="BU45" s="37">
        <v>1691</v>
      </c>
      <c r="BV45" s="18">
        <v>0.13601419278533411</v>
      </c>
      <c r="BW45" s="36">
        <v>1069</v>
      </c>
      <c r="BX45" s="37">
        <v>3</v>
      </c>
      <c r="BY45" s="37">
        <v>241</v>
      </c>
      <c r="BZ45" s="37">
        <v>288</v>
      </c>
      <c r="CA45" s="37">
        <v>96</v>
      </c>
      <c r="CB45" s="38">
        <v>1697</v>
      </c>
      <c r="CC45" s="37">
        <v>702</v>
      </c>
      <c r="CD45" s="37">
        <v>618</v>
      </c>
      <c r="CE45" s="37">
        <v>83</v>
      </c>
      <c r="CF45" s="37">
        <v>84</v>
      </c>
      <c r="CG45" s="17">
        <v>0.11823361823361823</v>
      </c>
      <c r="CH45" s="93">
        <v>0.11965811965811966</v>
      </c>
      <c r="CI45" s="37">
        <v>80</v>
      </c>
      <c r="CJ45" s="37">
        <v>70</v>
      </c>
      <c r="CK45" s="37">
        <v>60</v>
      </c>
      <c r="CL45" s="37">
        <v>65</v>
      </c>
      <c r="CM45" s="42">
        <v>55</v>
      </c>
      <c r="CN45" s="42">
        <v>65</v>
      </c>
      <c r="CO45" s="36">
        <v>286</v>
      </c>
      <c r="CP45" s="37">
        <v>85</v>
      </c>
      <c r="CQ45" s="17">
        <v>0.29720279720279719</v>
      </c>
      <c r="CR45" s="38">
        <v>31</v>
      </c>
      <c r="CS45" s="37">
        <v>177</v>
      </c>
      <c r="CT45" s="37">
        <v>164</v>
      </c>
      <c r="CU45" s="37">
        <v>195</v>
      </c>
      <c r="CV45" s="37">
        <v>156</v>
      </c>
      <c r="CW45" s="37">
        <v>196</v>
      </c>
      <c r="CX45" s="526" t="s">
        <v>471</v>
      </c>
      <c r="CY45" s="568">
        <v>135</v>
      </c>
      <c r="CZ45" s="37">
        <v>4</v>
      </c>
      <c r="DA45" s="37">
        <v>3</v>
      </c>
      <c r="DB45" s="37">
        <v>3</v>
      </c>
      <c r="DC45" s="37">
        <v>1</v>
      </c>
      <c r="DD45" s="37">
        <v>2</v>
      </c>
      <c r="DE45" s="528" t="s">
        <v>471</v>
      </c>
      <c r="DF45" s="716">
        <v>1</v>
      </c>
      <c r="DG45" s="13">
        <v>4</v>
      </c>
      <c r="DH45" s="13">
        <v>16</v>
      </c>
      <c r="DI45" s="17">
        <v>8.1632653061224483E-2</v>
      </c>
      <c r="DJ45" s="17">
        <v>5.0870551452464711E-2</v>
      </c>
      <c r="DK45" s="18">
        <v>0.12847891402983311</v>
      </c>
      <c r="DL45" s="425" t="s">
        <v>286</v>
      </c>
      <c r="DM45" s="258" t="s">
        <v>286</v>
      </c>
      <c r="DN45" s="258" t="s">
        <v>286</v>
      </c>
      <c r="DO45" s="258" t="s">
        <v>286</v>
      </c>
      <c r="DP45" s="337">
        <v>10</v>
      </c>
      <c r="DQ45" s="393">
        <v>7.407407407407407E-2</v>
      </c>
      <c r="DR45" s="393">
        <v>4.0730541592962438E-2</v>
      </c>
      <c r="DS45" s="393">
        <v>0.13098660271826246</v>
      </c>
      <c r="DT45" s="13">
        <v>17</v>
      </c>
      <c r="DU45" s="18">
        <v>1.9036954087346025E-2</v>
      </c>
      <c r="DV45" s="328">
        <v>9</v>
      </c>
      <c r="DW45" s="333">
        <v>8</v>
      </c>
      <c r="DX45" s="337">
        <v>7</v>
      </c>
      <c r="DY45" s="393">
        <v>9.2545174932718216E-2</v>
      </c>
      <c r="DZ45" s="337">
        <v>7</v>
      </c>
      <c r="EA45" s="93">
        <v>9.3297209133744105E-2</v>
      </c>
      <c r="EB45" s="3">
        <v>200</v>
      </c>
      <c r="EC45" s="18">
        <v>3.0211480362537766E-2</v>
      </c>
      <c r="ED45" s="13">
        <v>95</v>
      </c>
      <c r="EE45" s="3">
        <v>80</v>
      </c>
      <c r="EF45" s="3">
        <v>105</v>
      </c>
      <c r="EG45" s="3">
        <v>100</v>
      </c>
      <c r="EH45" s="9">
        <v>95</v>
      </c>
      <c r="EI45" s="9">
        <v>85</v>
      </c>
      <c r="EJ45" s="13">
        <v>75</v>
      </c>
      <c r="EK45" s="17">
        <v>9.6153846153846159E-2</v>
      </c>
      <c r="EL45" s="17">
        <v>7.7400480169143721E-2</v>
      </c>
      <c r="EM45" s="17">
        <v>0.11886555946105372</v>
      </c>
      <c r="EN45" s="3">
        <v>100</v>
      </c>
      <c r="EO45" s="17">
        <v>0.11976047904191617</v>
      </c>
      <c r="EP45" s="17">
        <v>9.9461101371022292E-2</v>
      </c>
      <c r="EQ45" s="17">
        <v>0.14354245630633625</v>
      </c>
      <c r="ER45" s="3">
        <v>80</v>
      </c>
      <c r="ES45" s="17">
        <v>9.6385542168674704E-2</v>
      </c>
      <c r="ET45" s="17">
        <v>7.8127794989517718E-2</v>
      </c>
      <c r="EU45" s="17">
        <v>0.1183621457390422</v>
      </c>
      <c r="EV45" s="3">
        <v>85</v>
      </c>
      <c r="EW45" s="17">
        <v>0.1</v>
      </c>
      <c r="EX45" s="17">
        <v>8.1596856102244236E-2</v>
      </c>
      <c r="EY45" s="17">
        <v>0.12200236834956429</v>
      </c>
      <c r="EZ45" s="3">
        <v>95</v>
      </c>
      <c r="FA45" s="18">
        <v>0.10919540229885058</v>
      </c>
      <c r="FB45" s="18">
        <v>9.0163366986237781E-2</v>
      </c>
      <c r="FC45" s="18">
        <v>0.13166343793818841</v>
      </c>
      <c r="FD45" s="337">
        <v>90</v>
      </c>
      <c r="FE45" s="18">
        <v>0.10909090909090909</v>
      </c>
      <c r="FF45" s="18">
        <v>8.9601669529293923E-2</v>
      </c>
      <c r="FG45" s="393">
        <v>0.13220366714181139</v>
      </c>
      <c r="FH45" s="425" t="s">
        <v>286</v>
      </c>
      <c r="FI45" s="258" t="s">
        <v>286</v>
      </c>
      <c r="FJ45" s="258" t="s">
        <v>286</v>
      </c>
      <c r="FK45" s="258" t="s">
        <v>286</v>
      </c>
      <c r="FL45" s="36">
        <v>250</v>
      </c>
      <c r="FM45" s="18">
        <v>0.10482180293501048</v>
      </c>
      <c r="FN45" s="42">
        <v>245</v>
      </c>
      <c r="FO45" s="18">
        <v>0.10040983606557377</v>
      </c>
      <c r="FP45" s="42">
        <v>235</v>
      </c>
      <c r="FQ45" s="18">
        <v>9.7916666666666666E-2</v>
      </c>
      <c r="FR45" s="42">
        <v>235</v>
      </c>
      <c r="FS45" s="18">
        <v>9.494949494949495E-2</v>
      </c>
      <c r="FT45" s="42">
        <v>230</v>
      </c>
      <c r="FU45" s="18">
        <v>8.9668615984405453E-2</v>
      </c>
      <c r="FV45" s="42">
        <v>220</v>
      </c>
      <c r="FW45" s="393">
        <v>8.3018867924528297E-2</v>
      </c>
      <c r="FX45" s="114" t="s">
        <v>286</v>
      </c>
      <c r="FY45" s="259" t="s">
        <v>286</v>
      </c>
      <c r="FZ45" s="3">
        <v>154</v>
      </c>
      <c r="GA45" s="3">
        <v>3</v>
      </c>
      <c r="GB45" s="3">
        <v>151</v>
      </c>
      <c r="GC45" s="17">
        <v>0.98051948051948057</v>
      </c>
      <c r="GD45" s="3">
        <v>73</v>
      </c>
      <c r="GE45" s="3">
        <v>92</v>
      </c>
      <c r="GF45" s="17">
        <v>0.48344370860927155</v>
      </c>
      <c r="GG45" s="17">
        <v>0.60927152317880795</v>
      </c>
      <c r="GH45" s="17">
        <v>0.40514083756405994</v>
      </c>
      <c r="GI45" s="17">
        <v>0.56256809853579959</v>
      </c>
      <c r="GJ45" s="17">
        <v>0.52966070139484978</v>
      </c>
      <c r="GK45" s="93">
        <v>0.68346032034607762</v>
      </c>
      <c r="GL45" s="337">
        <v>142</v>
      </c>
      <c r="GM45" s="337">
        <v>73</v>
      </c>
      <c r="GN45" s="337">
        <v>20</v>
      </c>
      <c r="GO45" s="337">
        <v>93</v>
      </c>
      <c r="GP45" s="393">
        <v>0.5140845070422535</v>
      </c>
      <c r="GQ45" s="393">
        <v>0.65492957746478875</v>
      </c>
      <c r="GR45" s="393">
        <v>0.43259691690651036</v>
      </c>
      <c r="GS45" s="393">
        <v>0.59483012635227817</v>
      </c>
      <c r="GT45" s="393">
        <v>0.57358683538556365</v>
      </c>
      <c r="GU45" s="93">
        <v>0.72811064046110985</v>
      </c>
      <c r="GV45" s="42">
        <v>157</v>
      </c>
      <c r="GW45" s="42">
        <v>23</v>
      </c>
      <c r="GX45" s="42">
        <v>134</v>
      </c>
      <c r="GY45" s="393">
        <f t="shared" si="2"/>
        <v>0.85350318471337583</v>
      </c>
      <c r="GZ45" s="42">
        <v>53</v>
      </c>
      <c r="HA45" s="42">
        <v>19</v>
      </c>
      <c r="HB45" s="42">
        <v>72</v>
      </c>
      <c r="HC45" s="393">
        <v>0.39552238805970147</v>
      </c>
      <c r="HD45" s="393">
        <v>0.53731343283582089</v>
      </c>
      <c r="HE45" s="393">
        <v>0.31675513296250329</v>
      </c>
      <c r="HF45" s="393">
        <v>0.48011294838577417</v>
      </c>
      <c r="HG45" s="393">
        <v>0.45303024631726829</v>
      </c>
      <c r="HH45" s="93">
        <v>0.61951686748691837</v>
      </c>
      <c r="HI45" s="696">
        <v>145</v>
      </c>
      <c r="HJ45" s="696">
        <v>18</v>
      </c>
      <c r="HK45" s="696">
        <v>127</v>
      </c>
      <c r="HL45" s="697">
        <v>0.87586206896551722</v>
      </c>
      <c r="HM45" s="696">
        <v>57</v>
      </c>
      <c r="HN45" s="696">
        <v>16</v>
      </c>
      <c r="HO45" s="696">
        <v>73</v>
      </c>
      <c r="HP45" s="697">
        <v>0.44881889763779526</v>
      </c>
      <c r="HQ45" s="697">
        <v>0.57480314960629919</v>
      </c>
      <c r="HR45" s="697">
        <v>0.36508505294958643</v>
      </c>
      <c r="HS45" s="697">
        <v>0.5355580603482003</v>
      </c>
      <c r="HT45" s="697">
        <v>0.48786940574104443</v>
      </c>
      <c r="HU45" s="698">
        <v>0.65734450559295943</v>
      </c>
      <c r="HV45" s="3">
        <v>149</v>
      </c>
      <c r="HW45" s="3">
        <v>5</v>
      </c>
      <c r="HX45" s="17">
        <v>3.3557046979865772E-2</v>
      </c>
      <c r="HY45" s="17">
        <v>1.4417106348108081E-2</v>
      </c>
      <c r="HZ45" s="17">
        <v>7.6143785490357191E-2</v>
      </c>
      <c r="IA45" s="267" t="s">
        <v>708</v>
      </c>
      <c r="IB45" s="3">
        <v>141</v>
      </c>
      <c r="IC45" s="3">
        <v>9</v>
      </c>
      <c r="ID45" s="17">
        <v>6.3829787234042548E-2</v>
      </c>
      <c r="IE45" s="17">
        <v>3.3941271284132213E-2</v>
      </c>
      <c r="IF45" s="17">
        <v>0.11685435725018591</v>
      </c>
      <c r="IG45" s="3" t="s">
        <v>707</v>
      </c>
      <c r="IH45" s="3">
        <v>80</v>
      </c>
      <c r="II45" s="3">
        <v>8</v>
      </c>
      <c r="IJ45" s="17">
        <v>0.1</v>
      </c>
      <c r="IK45" s="17">
        <v>5.1547615567380821E-2</v>
      </c>
      <c r="IL45" s="17">
        <v>0.18510688806104081</v>
      </c>
      <c r="IM45" s="3" t="s">
        <v>707</v>
      </c>
      <c r="IN45" s="3">
        <v>133</v>
      </c>
      <c r="IO45" s="3">
        <v>7</v>
      </c>
      <c r="IP45" s="17">
        <v>5.2631578947368418E-2</v>
      </c>
      <c r="IQ45" s="17">
        <v>2.5725728312537676E-2</v>
      </c>
      <c r="IR45" s="17">
        <v>0.10465477898731589</v>
      </c>
      <c r="IS45" s="3" t="s">
        <v>707</v>
      </c>
      <c r="IT45" s="3">
        <v>91</v>
      </c>
      <c r="IU45" s="3">
        <v>2</v>
      </c>
      <c r="IV45" s="17">
        <v>2.197802197802198E-2</v>
      </c>
      <c r="IW45" s="17">
        <v>6.0480060829811409E-3</v>
      </c>
      <c r="IX45" s="17">
        <v>7.6631646024849356E-2</v>
      </c>
      <c r="IY45" s="9" t="s">
        <v>708</v>
      </c>
      <c r="IZ45" s="9">
        <v>162</v>
      </c>
      <c r="JA45" s="9">
        <v>6</v>
      </c>
      <c r="JB45" s="393">
        <v>3.7037037037037035E-2</v>
      </c>
      <c r="JC45" s="393">
        <v>1.7082991141909622E-2</v>
      </c>
      <c r="JD45" s="393">
        <v>7.8438713342261157E-2</v>
      </c>
      <c r="JE45" s="9" t="str">
        <f t="shared" si="0"/>
        <v>Sig better than Eng.</v>
      </c>
      <c r="JF45" s="9">
        <v>149</v>
      </c>
      <c r="JG45" s="109">
        <v>6</v>
      </c>
      <c r="JH45" s="258">
        <v>4.0268456375838924E-2</v>
      </c>
      <c r="JI45" s="258">
        <v>1.8583917969500614E-2</v>
      </c>
      <c r="JJ45" s="258">
        <v>8.5062428662655801E-2</v>
      </c>
      <c r="JK45" s="662" t="str">
        <f t="shared" si="3"/>
        <v>Sig better than Eng.</v>
      </c>
      <c r="JL45" s="3">
        <v>125</v>
      </c>
      <c r="JM45" s="3">
        <v>23</v>
      </c>
      <c r="JN45" s="17">
        <v>0.184</v>
      </c>
      <c r="JO45" s="17">
        <v>0.12585414090214395</v>
      </c>
      <c r="JP45" s="17">
        <v>0.26098918792151837</v>
      </c>
      <c r="JQ45" s="3" t="s">
        <v>707</v>
      </c>
      <c r="JR45" s="3">
        <v>158</v>
      </c>
      <c r="JS45" s="3">
        <v>24</v>
      </c>
      <c r="JT45" s="17">
        <v>0.15189873417721519</v>
      </c>
      <c r="JU45" s="17">
        <v>0.10425003468710974</v>
      </c>
      <c r="JV45" s="17">
        <v>0.21607245374355769</v>
      </c>
      <c r="JW45" s="3" t="s">
        <v>707</v>
      </c>
      <c r="JX45" s="3">
        <v>117</v>
      </c>
      <c r="JY45" s="3">
        <v>10</v>
      </c>
      <c r="JZ45" s="17">
        <v>8.5470085470085472E-2</v>
      </c>
      <c r="KA45" s="17">
        <v>4.7087483244617576E-2</v>
      </c>
      <c r="KB45" s="17">
        <v>0.15020787427064</v>
      </c>
      <c r="KC45" s="3" t="s">
        <v>708</v>
      </c>
      <c r="KD45" s="3">
        <v>119</v>
      </c>
      <c r="KE45" s="3">
        <v>9</v>
      </c>
      <c r="KF45" s="17">
        <v>7.5630252100840331E-2</v>
      </c>
      <c r="KG45" s="17">
        <v>4.0297241660835648E-2</v>
      </c>
      <c r="KH45" s="17">
        <v>0.13750477266215499</v>
      </c>
      <c r="KI45" s="3" t="s">
        <v>708</v>
      </c>
      <c r="KJ45" s="3">
        <v>157</v>
      </c>
      <c r="KK45" s="3">
        <v>18</v>
      </c>
      <c r="KL45" s="17">
        <v>0.11464968152866242</v>
      </c>
      <c r="KM45" s="17">
        <v>7.3763243796413538E-2</v>
      </c>
      <c r="KN45" s="17">
        <v>0.17394315673499008</v>
      </c>
      <c r="KO45" s="465" t="s">
        <v>708</v>
      </c>
      <c r="KP45" s="465">
        <v>131</v>
      </c>
      <c r="KQ45" s="465">
        <v>23</v>
      </c>
      <c r="KR45" s="393">
        <v>0.17557251908396945</v>
      </c>
      <c r="KS45" s="393">
        <v>0.11993766480499095</v>
      </c>
      <c r="KT45" s="393">
        <v>0.24969241229889863</v>
      </c>
      <c r="KU45" s="465" t="s">
        <v>772</v>
      </c>
      <c r="KV45" s="465">
        <v>151</v>
      </c>
      <c r="KW45" s="465">
        <v>15</v>
      </c>
      <c r="KX45" s="393">
        <v>9.9337748344370855E-2</v>
      </c>
      <c r="KY45" s="393">
        <v>6.1127405803767153E-2</v>
      </c>
      <c r="KZ45" s="393">
        <v>0.15742813531834546</v>
      </c>
      <c r="LA45" s="660" t="str">
        <f t="shared" si="4"/>
        <v>Sig better than Eng.</v>
      </c>
      <c r="LB45" s="3">
        <v>162</v>
      </c>
      <c r="LC45" s="3">
        <v>96</v>
      </c>
      <c r="LD45" s="17">
        <v>0.59259259259259256</v>
      </c>
      <c r="LE45" s="17">
        <v>0.51563559092203559</v>
      </c>
      <c r="LF45" s="17">
        <v>0.66526006818113026</v>
      </c>
      <c r="LG45" s="3">
        <v>162</v>
      </c>
      <c r="LH45" s="3">
        <v>34</v>
      </c>
      <c r="LI45" s="3">
        <v>32</v>
      </c>
      <c r="LJ45" s="293">
        <v>24.46875</v>
      </c>
      <c r="LK45" s="17">
        <v>0.28033088235294118</v>
      </c>
      <c r="LL45" s="3">
        <v>185</v>
      </c>
      <c r="LM45" s="3">
        <v>101</v>
      </c>
      <c r="LN45" s="17">
        <v>0.54594594594594592</v>
      </c>
      <c r="LO45" s="17">
        <v>0.47399376090072665</v>
      </c>
      <c r="LP45" s="17">
        <v>0.61602884380781664</v>
      </c>
      <c r="LQ45" s="3">
        <v>185</v>
      </c>
      <c r="LR45" s="3">
        <v>34</v>
      </c>
      <c r="LS45" s="3">
        <v>37</v>
      </c>
      <c r="LT45" s="293">
        <v>24.783783783783782</v>
      </c>
      <c r="LU45" s="18">
        <v>0.27106518282988873</v>
      </c>
      <c r="LV45" s="42">
        <v>194</v>
      </c>
      <c r="LW45" s="42">
        <v>139</v>
      </c>
      <c r="LX45" s="18">
        <v>0.71649484536082475</v>
      </c>
      <c r="LY45" s="18">
        <v>0.6493482383929976</v>
      </c>
      <c r="LZ45" s="18">
        <v>0.77523415450236677</v>
      </c>
      <c r="MA45" s="337">
        <v>35</v>
      </c>
      <c r="MB45" s="337">
        <v>38</v>
      </c>
      <c r="MC45" s="294">
        <v>27.3</v>
      </c>
      <c r="MD45" s="393">
        <v>0.22</v>
      </c>
      <c r="ME45" s="337">
        <v>198</v>
      </c>
      <c r="MF45" s="337">
        <v>130</v>
      </c>
      <c r="MG45" s="393">
        <v>0.65656565656565657</v>
      </c>
      <c r="MH45" s="393">
        <v>0.58800872192429454</v>
      </c>
      <c r="MI45" s="393">
        <v>0.7191630571653409</v>
      </c>
      <c r="MJ45" s="337">
        <v>34</v>
      </c>
      <c r="MK45" s="337">
        <v>39</v>
      </c>
      <c r="ML45" s="294">
        <v>25.179487179487179</v>
      </c>
      <c r="MM45" s="93">
        <v>0.2594268476621418</v>
      </c>
      <c r="MN45" s="17">
        <v>0.95912975912975917</v>
      </c>
      <c r="MO45" s="17">
        <v>4.0870240870240868E-2</v>
      </c>
      <c r="MP45" s="17">
        <v>1.7224087727905863E-2</v>
      </c>
      <c r="MQ45" s="17">
        <v>0.10763251528174392</v>
      </c>
      <c r="MR45" s="17">
        <v>0.96767676767676769</v>
      </c>
      <c r="MS45" s="17">
        <v>3.2323232323232323E-2</v>
      </c>
      <c r="MT45" s="17">
        <v>1.1274202463345791E-2</v>
      </c>
      <c r="MU45" s="17">
        <v>9.2494607847741314E-2</v>
      </c>
      <c r="MV45" s="17">
        <v>0.95912975912975895</v>
      </c>
      <c r="MW45" s="17">
        <v>4.0870240870240875E-2</v>
      </c>
      <c r="MX45" s="17">
        <v>1.7224087727905863E-2</v>
      </c>
      <c r="MY45" s="17">
        <v>0.10763251528174392</v>
      </c>
      <c r="MZ45" s="17">
        <v>0.83677356594023267</v>
      </c>
      <c r="NA45" s="17">
        <v>0.16322643405976739</v>
      </c>
      <c r="NB45" s="17">
        <v>9.607722097921384E-2</v>
      </c>
      <c r="NC45" s="93">
        <v>0.24688972487264566</v>
      </c>
      <c r="ND45" s="337">
        <v>5</v>
      </c>
      <c r="NE45" s="337">
        <v>78</v>
      </c>
      <c r="NF45" s="393">
        <v>6.4102564102564097E-2</v>
      </c>
      <c r="NG45" s="393">
        <v>2.7689315373790935E-2</v>
      </c>
      <c r="NH45" s="393">
        <v>0.14143595463171177</v>
      </c>
      <c r="NI45" s="337">
        <v>4</v>
      </c>
      <c r="NJ45" s="337">
        <v>78</v>
      </c>
      <c r="NK45" s="393">
        <v>5.128205128205128E-2</v>
      </c>
      <c r="NL45" s="393">
        <v>2.0121012473896145E-2</v>
      </c>
      <c r="NM45" s="393">
        <v>0.12456676547294485</v>
      </c>
      <c r="NN45" s="337">
        <v>5</v>
      </c>
      <c r="NO45" s="337">
        <v>76</v>
      </c>
      <c r="NP45" s="393">
        <v>6.5789473684210523E-2</v>
      </c>
      <c r="NQ45" s="393">
        <v>2.8426532219532126E-2</v>
      </c>
      <c r="NR45" s="393">
        <v>0.14493526533703446</v>
      </c>
      <c r="NS45" s="337">
        <v>9</v>
      </c>
      <c r="NT45" s="337">
        <v>78</v>
      </c>
      <c r="NU45" s="393">
        <v>0.11538461538461539</v>
      </c>
      <c r="NV45" s="393">
        <v>6.1905106255333193E-2</v>
      </c>
      <c r="NW45" s="93">
        <v>0.2049701319848162</v>
      </c>
      <c r="NX45" s="3">
        <v>49</v>
      </c>
      <c r="NY45" s="3">
        <v>45</v>
      </c>
      <c r="NZ45" s="3">
        <v>45</v>
      </c>
      <c r="OA45" s="3">
        <v>47</v>
      </c>
      <c r="OB45" s="3">
        <v>45</v>
      </c>
      <c r="OC45" s="3">
        <v>54</v>
      </c>
      <c r="OD45" s="3">
        <v>50</v>
      </c>
      <c r="OE45" s="3">
        <v>50</v>
      </c>
      <c r="OF45" s="3">
        <v>50</v>
      </c>
      <c r="OG45" s="3">
        <v>50</v>
      </c>
      <c r="OH45" s="3">
        <v>49</v>
      </c>
      <c r="OI45" s="3">
        <v>50</v>
      </c>
      <c r="OJ45" s="3">
        <v>50</v>
      </c>
      <c r="OK45" s="3">
        <v>48</v>
      </c>
      <c r="OL45" s="3">
        <v>45</v>
      </c>
      <c r="OM45" s="3">
        <v>45</v>
      </c>
      <c r="ON45" s="3">
        <v>43</v>
      </c>
      <c r="OO45" s="3">
        <v>45</v>
      </c>
      <c r="OP45" s="3">
        <v>46</v>
      </c>
      <c r="OQ45" s="3">
        <v>43</v>
      </c>
      <c r="OR45" s="3">
        <v>46</v>
      </c>
      <c r="OS45" s="3">
        <v>45</v>
      </c>
      <c r="OT45" s="6">
        <v>45</v>
      </c>
      <c r="OU45" s="3">
        <v>172</v>
      </c>
      <c r="OV45" s="22">
        <v>0.97699999999999998</v>
      </c>
      <c r="OW45" s="22">
        <v>6.0000000000000001E-3</v>
      </c>
      <c r="OX45" s="22">
        <v>0.97099999999999997</v>
      </c>
      <c r="OY45" s="3">
        <v>168</v>
      </c>
      <c r="OZ45" s="3">
        <v>1</v>
      </c>
      <c r="PA45" s="3">
        <v>167</v>
      </c>
      <c r="PB45" s="3">
        <v>161</v>
      </c>
      <c r="PC45" s="22">
        <v>0.99399999999999999</v>
      </c>
      <c r="PD45" s="22">
        <v>0.95699999999999996</v>
      </c>
      <c r="PE45" s="22">
        <v>0.96299999999999997</v>
      </c>
      <c r="PF45" s="22">
        <v>0.97499999999999998</v>
      </c>
      <c r="PG45" s="22">
        <v>0.97499999999999998</v>
      </c>
      <c r="PH45" s="3">
        <v>160</v>
      </c>
      <c r="PI45" s="3">
        <v>154</v>
      </c>
      <c r="PJ45" s="3">
        <v>155</v>
      </c>
      <c r="PK45" s="3">
        <v>157</v>
      </c>
      <c r="PL45" s="3">
        <v>157</v>
      </c>
      <c r="PM45" s="3">
        <v>197</v>
      </c>
      <c r="PN45" s="22">
        <v>0.98499999999999999</v>
      </c>
      <c r="PO45" s="22">
        <v>0.94899999999999995</v>
      </c>
      <c r="PP45" s="22">
        <v>0.98499999999999999</v>
      </c>
      <c r="PQ45" s="22">
        <v>0.98</v>
      </c>
      <c r="PR45" s="22">
        <v>0.97</v>
      </c>
      <c r="PS45" s="22">
        <v>0.84299999999999997</v>
      </c>
      <c r="PT45" s="22">
        <v>0.88800000000000001</v>
      </c>
      <c r="PU45" s="22">
        <v>0.94399999999999995</v>
      </c>
      <c r="PV45" s="22">
        <v>0.97</v>
      </c>
      <c r="PW45" s="22">
        <v>0.93899999999999995</v>
      </c>
      <c r="PX45" s="3">
        <v>194</v>
      </c>
      <c r="PY45" s="3">
        <v>187</v>
      </c>
      <c r="PZ45" s="3">
        <v>194</v>
      </c>
      <c r="QA45" s="3">
        <v>193</v>
      </c>
      <c r="QB45" s="3">
        <v>191</v>
      </c>
      <c r="QC45" s="3">
        <v>166</v>
      </c>
      <c r="QD45" s="3">
        <v>175</v>
      </c>
      <c r="QE45" s="3">
        <v>186</v>
      </c>
      <c r="QF45" s="3">
        <v>191</v>
      </c>
      <c r="QG45" s="6">
        <v>185</v>
      </c>
      <c r="QH45" s="37">
        <v>153</v>
      </c>
      <c r="QI45" s="17">
        <v>0.99346405228758172</v>
      </c>
      <c r="QJ45" s="17">
        <v>0.22875816993464052</v>
      </c>
      <c r="QK45" s="17">
        <v>0.99346405228758172</v>
      </c>
      <c r="QL45" s="37">
        <v>152</v>
      </c>
      <c r="QM45" s="37">
        <v>35</v>
      </c>
      <c r="QN45" s="37">
        <v>152</v>
      </c>
      <c r="QO45" s="37">
        <v>167</v>
      </c>
      <c r="QP45" s="17">
        <v>0.97005988023952094</v>
      </c>
      <c r="QQ45" s="17">
        <v>0.95209580838323349</v>
      </c>
      <c r="QR45" s="17">
        <v>0.71257485029940115</v>
      </c>
      <c r="QS45" s="17">
        <v>0.94610778443113774</v>
      </c>
      <c r="QT45" s="17">
        <v>0.70658682634730541</v>
      </c>
      <c r="QU45" s="37">
        <v>162</v>
      </c>
      <c r="QV45" s="37">
        <v>159</v>
      </c>
      <c r="QW45" s="37">
        <v>119</v>
      </c>
      <c r="QX45" s="37">
        <v>158</v>
      </c>
      <c r="QY45" s="37">
        <v>118</v>
      </c>
      <c r="QZ45" s="3">
        <v>156</v>
      </c>
      <c r="RA45" s="17">
        <v>1</v>
      </c>
      <c r="RB45" s="17">
        <v>0.94871794871794868</v>
      </c>
      <c r="RC45" s="17">
        <v>1</v>
      </c>
      <c r="RD45" s="17">
        <v>1</v>
      </c>
      <c r="RE45" s="17">
        <v>0.8141025641025641</v>
      </c>
      <c r="RF45" s="17">
        <v>0.97435897435897434</v>
      </c>
      <c r="RG45" s="17">
        <v>0.97435897435897434</v>
      </c>
      <c r="RH45" s="17">
        <v>0.96794871794871795</v>
      </c>
      <c r="RI45" s="17">
        <v>0.8141025641025641</v>
      </c>
      <c r="RJ45" s="17">
        <v>0.76923076923076927</v>
      </c>
      <c r="RK45" s="37">
        <v>156</v>
      </c>
      <c r="RL45" s="37">
        <v>148</v>
      </c>
      <c r="RM45" s="37">
        <v>156</v>
      </c>
      <c r="RN45" s="37">
        <v>156</v>
      </c>
      <c r="RO45" s="37">
        <v>127</v>
      </c>
      <c r="RP45" s="37">
        <v>152</v>
      </c>
      <c r="RQ45" s="37">
        <v>152</v>
      </c>
      <c r="RR45" s="37">
        <v>151</v>
      </c>
      <c r="RS45" s="37">
        <v>127</v>
      </c>
      <c r="RT45" s="38">
        <v>120</v>
      </c>
    </row>
    <row r="46" spans="1:488" s="3" customFormat="1" ht="12.75" x14ac:dyDescent="0.2">
      <c r="A46" s="9" t="s">
        <v>40</v>
      </c>
      <c r="B46" s="6">
        <v>8</v>
      </c>
      <c r="C46" s="9" t="s">
        <v>160</v>
      </c>
      <c r="D46" s="9" t="s">
        <v>161</v>
      </c>
      <c r="E46" s="9" t="s">
        <v>286</v>
      </c>
      <c r="F46" s="9" t="s">
        <v>286</v>
      </c>
      <c r="G46" s="9" t="s">
        <v>162</v>
      </c>
      <c r="H46" s="9" t="s">
        <v>76</v>
      </c>
      <c r="I46" s="9" t="s">
        <v>82</v>
      </c>
      <c r="J46" s="9" t="s">
        <v>268</v>
      </c>
      <c r="K46" s="9" t="s">
        <v>368</v>
      </c>
      <c r="L46" s="9" t="s">
        <v>395</v>
      </c>
      <c r="M46" s="9" t="s">
        <v>866</v>
      </c>
      <c r="N46" s="3" t="s">
        <v>403</v>
      </c>
      <c r="O46" s="9">
        <v>497818</v>
      </c>
      <c r="P46" s="9">
        <v>103291</v>
      </c>
      <c r="Q46" s="109">
        <v>23273</v>
      </c>
      <c r="R46" s="109">
        <v>80374</v>
      </c>
      <c r="S46" s="310" t="s">
        <v>797</v>
      </c>
      <c r="T46" s="36">
        <v>21405</v>
      </c>
      <c r="U46" s="37">
        <v>21340</v>
      </c>
      <c r="V46" s="37">
        <v>21505</v>
      </c>
      <c r="W46" s="37">
        <v>21720</v>
      </c>
      <c r="X46" s="37">
        <v>21695</v>
      </c>
      <c r="Y46" s="37">
        <v>21740</v>
      </c>
      <c r="Z46" s="37">
        <v>21775</v>
      </c>
      <c r="AA46" s="37">
        <v>21950</v>
      </c>
      <c r="AB46" s="37">
        <v>22015</v>
      </c>
      <c r="AC46" s="42">
        <v>21914</v>
      </c>
      <c r="AD46" s="42">
        <v>22021</v>
      </c>
      <c r="AE46" s="36">
        <v>1050</v>
      </c>
      <c r="AF46" s="37">
        <v>1060</v>
      </c>
      <c r="AG46" s="37">
        <v>1040</v>
      </c>
      <c r="AH46" s="37">
        <v>1035</v>
      </c>
      <c r="AI46" s="37">
        <v>1035</v>
      </c>
      <c r="AJ46" s="37">
        <v>1020</v>
      </c>
      <c r="AK46" s="37">
        <v>1020</v>
      </c>
      <c r="AL46" s="37">
        <v>1030</v>
      </c>
      <c r="AM46" s="37">
        <v>1030</v>
      </c>
      <c r="AN46" s="42">
        <v>956</v>
      </c>
      <c r="AO46" s="42">
        <v>999</v>
      </c>
      <c r="AP46" s="13">
        <v>1028</v>
      </c>
      <c r="AQ46" s="3">
        <v>962</v>
      </c>
      <c r="AR46" s="3">
        <v>26</v>
      </c>
      <c r="AS46" s="3">
        <v>25</v>
      </c>
      <c r="AT46" s="3">
        <v>15</v>
      </c>
      <c r="AU46" s="3">
        <v>0</v>
      </c>
      <c r="AV46" s="3">
        <v>0</v>
      </c>
      <c r="AW46" s="9">
        <v>66</v>
      </c>
      <c r="AX46" s="16">
        <v>0.93579766536964981</v>
      </c>
      <c r="AY46" s="17">
        <v>2.5291828793774319E-2</v>
      </c>
      <c r="AZ46" s="17">
        <v>2.4319066147859923E-2</v>
      </c>
      <c r="BA46" s="17">
        <v>1.4591439688715954E-2</v>
      </c>
      <c r="BB46" s="17">
        <v>0</v>
      </c>
      <c r="BC46" s="17">
        <v>0</v>
      </c>
      <c r="BD46" s="18">
        <v>6.4202334630350189E-2</v>
      </c>
      <c r="BE46" s="13">
        <v>3058</v>
      </c>
      <c r="BF46" s="3">
        <v>3021</v>
      </c>
      <c r="BG46" s="3">
        <v>37</v>
      </c>
      <c r="BH46" s="3">
        <v>36</v>
      </c>
      <c r="BI46" s="3">
        <v>1</v>
      </c>
      <c r="BJ46" s="17">
        <v>0.97297297297297303</v>
      </c>
      <c r="BK46" s="18">
        <v>2.7027027027027029E-2</v>
      </c>
      <c r="BL46" s="13">
        <v>2186</v>
      </c>
      <c r="BM46" s="17">
        <v>0.69258920402561752</v>
      </c>
      <c r="BN46" s="17">
        <v>0.12305580969807868</v>
      </c>
      <c r="BO46" s="18">
        <v>0.18435498627630376</v>
      </c>
      <c r="BP46" s="36">
        <v>6385</v>
      </c>
      <c r="BQ46" s="37">
        <v>269</v>
      </c>
      <c r="BR46" s="37">
        <v>371</v>
      </c>
      <c r="BS46" s="37">
        <v>159</v>
      </c>
      <c r="BT46" s="37">
        <v>4219</v>
      </c>
      <c r="BU46" s="37">
        <v>2354</v>
      </c>
      <c r="BV46" s="18">
        <v>0.14485981308411214</v>
      </c>
      <c r="BW46" s="36">
        <v>1475</v>
      </c>
      <c r="BX46" s="37">
        <v>2</v>
      </c>
      <c r="BY46" s="37">
        <v>285</v>
      </c>
      <c r="BZ46" s="37">
        <v>418</v>
      </c>
      <c r="CA46" s="37">
        <v>190</v>
      </c>
      <c r="CB46" s="38">
        <v>2370</v>
      </c>
      <c r="CC46" s="37">
        <v>807</v>
      </c>
      <c r="CD46" s="37">
        <v>694</v>
      </c>
      <c r="CE46" s="37">
        <v>110</v>
      </c>
      <c r="CF46" s="37">
        <v>113</v>
      </c>
      <c r="CG46" s="17">
        <v>0.13630731102850063</v>
      </c>
      <c r="CH46" s="93">
        <v>0.14002478314745972</v>
      </c>
      <c r="CI46" s="37">
        <v>95</v>
      </c>
      <c r="CJ46" s="37">
        <v>90</v>
      </c>
      <c r="CK46" s="37">
        <v>70</v>
      </c>
      <c r="CL46" s="37">
        <v>70</v>
      </c>
      <c r="CM46" s="42">
        <v>65</v>
      </c>
      <c r="CN46" s="42">
        <v>60</v>
      </c>
      <c r="CO46" s="36">
        <v>416</v>
      </c>
      <c r="CP46" s="37">
        <v>126</v>
      </c>
      <c r="CQ46" s="17">
        <v>0.30288461538461536</v>
      </c>
      <c r="CR46" s="38">
        <v>43</v>
      </c>
      <c r="CS46" s="37">
        <v>184</v>
      </c>
      <c r="CT46" s="37">
        <v>192</v>
      </c>
      <c r="CU46" s="37">
        <v>176</v>
      </c>
      <c r="CV46" s="37">
        <v>212</v>
      </c>
      <c r="CW46" s="37">
        <v>164</v>
      </c>
      <c r="CX46" s="526" t="s">
        <v>471</v>
      </c>
      <c r="CY46" s="568">
        <v>206</v>
      </c>
      <c r="CZ46" s="37">
        <v>5</v>
      </c>
      <c r="DA46" s="37">
        <v>6</v>
      </c>
      <c r="DB46" s="37">
        <v>6</v>
      </c>
      <c r="DC46" s="37">
        <v>4</v>
      </c>
      <c r="DD46" s="37">
        <v>6</v>
      </c>
      <c r="DE46" s="528" t="s">
        <v>471</v>
      </c>
      <c r="DF46" s="716">
        <v>3</v>
      </c>
      <c r="DG46" s="13">
        <v>12</v>
      </c>
      <c r="DH46" s="13">
        <v>10</v>
      </c>
      <c r="DI46" s="17">
        <v>6.097560975609756E-2</v>
      </c>
      <c r="DJ46" s="17">
        <v>3.3454561325115796E-2</v>
      </c>
      <c r="DK46" s="18">
        <v>0.10859293390169864</v>
      </c>
      <c r="DL46" s="425" t="s">
        <v>286</v>
      </c>
      <c r="DM46" s="258" t="s">
        <v>286</v>
      </c>
      <c r="DN46" s="258" t="s">
        <v>286</v>
      </c>
      <c r="DO46" s="258" t="s">
        <v>286</v>
      </c>
      <c r="DP46" s="337">
        <v>16</v>
      </c>
      <c r="DQ46" s="393">
        <v>7.7669902912621352E-2</v>
      </c>
      <c r="DR46" s="393">
        <v>4.8371550760649973E-2</v>
      </c>
      <c r="DS46" s="393">
        <v>0.12243101143140962</v>
      </c>
      <c r="DT46" s="13">
        <v>19</v>
      </c>
      <c r="DU46" s="18">
        <v>1.8482490272373541E-2</v>
      </c>
      <c r="DV46" s="328">
        <v>4</v>
      </c>
      <c r="DW46" s="333">
        <v>6</v>
      </c>
      <c r="DX46" s="337">
        <v>6</v>
      </c>
      <c r="DY46" s="393">
        <v>0.11994601889338732</v>
      </c>
      <c r="DZ46" s="337">
        <v>6</v>
      </c>
      <c r="EA46" s="93">
        <v>0.10671029810298102</v>
      </c>
      <c r="EB46" s="3">
        <v>251</v>
      </c>
      <c r="EC46" s="18">
        <v>2.7713370873357623E-2</v>
      </c>
      <c r="ED46" s="13">
        <v>110</v>
      </c>
      <c r="EE46" s="3">
        <v>135</v>
      </c>
      <c r="EF46" s="3">
        <v>155</v>
      </c>
      <c r="EG46" s="3">
        <v>140</v>
      </c>
      <c r="EH46" s="9">
        <v>100</v>
      </c>
      <c r="EI46" s="9">
        <v>100</v>
      </c>
      <c r="EJ46" s="13">
        <v>130</v>
      </c>
      <c r="EK46" s="17">
        <v>0.12264150943396226</v>
      </c>
      <c r="EL46" s="17">
        <v>0.10424570855848288</v>
      </c>
      <c r="EM46" s="17">
        <v>0.14376254176217274</v>
      </c>
      <c r="EN46" s="3">
        <v>130</v>
      </c>
      <c r="EO46" s="17">
        <v>0.12621359223300971</v>
      </c>
      <c r="EP46" s="17">
        <v>0.10731179473345716</v>
      </c>
      <c r="EQ46" s="17">
        <v>0.14789315624776855</v>
      </c>
      <c r="ER46" s="3">
        <v>130</v>
      </c>
      <c r="ES46" s="17">
        <v>0.12682926829268293</v>
      </c>
      <c r="ET46" s="17">
        <v>0.10784043661952747</v>
      </c>
      <c r="EU46" s="17">
        <v>0.14860476838136888</v>
      </c>
      <c r="EV46" s="3">
        <v>150</v>
      </c>
      <c r="EW46" s="17">
        <v>0.14925373134328357</v>
      </c>
      <c r="EX46" s="17">
        <v>0.12856009226592366</v>
      </c>
      <c r="EY46" s="17">
        <v>0.17261850835966505</v>
      </c>
      <c r="EZ46" s="3">
        <v>130</v>
      </c>
      <c r="FA46" s="18">
        <v>0.12560386473429952</v>
      </c>
      <c r="FB46" s="18">
        <v>0.10678831221076798</v>
      </c>
      <c r="FC46" s="18">
        <v>0.14718832356983544</v>
      </c>
      <c r="FD46" s="337">
        <v>125</v>
      </c>
      <c r="FE46" s="18">
        <v>0.13812154696132597</v>
      </c>
      <c r="FF46" s="18">
        <v>0.11716756149671541</v>
      </c>
      <c r="FG46" s="393">
        <v>0.16213468242828874</v>
      </c>
      <c r="FH46" s="425" t="s">
        <v>286</v>
      </c>
      <c r="FI46" s="258" t="s">
        <v>286</v>
      </c>
      <c r="FJ46" s="258" t="s">
        <v>286</v>
      </c>
      <c r="FK46" s="258" t="s">
        <v>286</v>
      </c>
      <c r="FL46" s="36">
        <v>415</v>
      </c>
      <c r="FM46" s="18">
        <v>0.11369863013698631</v>
      </c>
      <c r="FN46" s="42">
        <v>435</v>
      </c>
      <c r="FO46" s="18">
        <v>0.11917808219178082</v>
      </c>
      <c r="FP46" s="42">
        <v>385</v>
      </c>
      <c r="FQ46" s="18">
        <v>0.1056241426611797</v>
      </c>
      <c r="FR46" s="42">
        <v>420</v>
      </c>
      <c r="FS46" s="18">
        <v>0.11506849315068493</v>
      </c>
      <c r="FT46" s="42">
        <v>365</v>
      </c>
      <c r="FU46" s="18">
        <v>9.9455040871934602E-2</v>
      </c>
      <c r="FV46" s="42">
        <v>385</v>
      </c>
      <c r="FW46" s="393">
        <v>0.10620689655172413</v>
      </c>
      <c r="FX46" s="114" t="s">
        <v>286</v>
      </c>
      <c r="FY46" s="259" t="s">
        <v>286</v>
      </c>
      <c r="FZ46" s="3">
        <v>207</v>
      </c>
      <c r="GA46" s="3">
        <v>14</v>
      </c>
      <c r="GB46" s="3">
        <v>193</v>
      </c>
      <c r="GC46" s="17">
        <v>0.93236714975845414</v>
      </c>
      <c r="GD46" s="3">
        <v>85</v>
      </c>
      <c r="GE46" s="3">
        <v>110</v>
      </c>
      <c r="GF46" s="17">
        <v>0.44041450777202074</v>
      </c>
      <c r="GG46" s="17">
        <v>0.56994818652849744</v>
      </c>
      <c r="GH46" s="17">
        <v>0.37221521505149513</v>
      </c>
      <c r="GI46" s="17">
        <v>0.51093956523884998</v>
      </c>
      <c r="GJ46" s="17">
        <v>0.49940629268557302</v>
      </c>
      <c r="GK46" s="93">
        <v>0.63775983479967402</v>
      </c>
      <c r="GL46" s="337">
        <v>182</v>
      </c>
      <c r="GM46" s="337">
        <v>74</v>
      </c>
      <c r="GN46" s="337">
        <v>31</v>
      </c>
      <c r="GO46" s="337">
        <v>105</v>
      </c>
      <c r="GP46" s="393">
        <v>0.40659340659340659</v>
      </c>
      <c r="GQ46" s="393">
        <v>0.57692307692307687</v>
      </c>
      <c r="GR46" s="393">
        <v>0.33787690835078121</v>
      </c>
      <c r="GS46" s="393">
        <v>0.47917144988017574</v>
      </c>
      <c r="GT46" s="393">
        <v>0.50428464587921862</v>
      </c>
      <c r="GU46" s="93">
        <v>0.64638141204822863</v>
      </c>
      <c r="GV46" s="42">
        <v>219</v>
      </c>
      <c r="GW46" s="42">
        <v>27</v>
      </c>
      <c r="GX46" s="42">
        <v>192</v>
      </c>
      <c r="GY46" s="393">
        <f t="shared" si="2"/>
        <v>0.87671232876712324</v>
      </c>
      <c r="GZ46" s="42">
        <v>80</v>
      </c>
      <c r="HA46" s="42">
        <v>35</v>
      </c>
      <c r="HB46" s="42">
        <v>115</v>
      </c>
      <c r="HC46" s="393">
        <v>0.41666666666666669</v>
      </c>
      <c r="HD46" s="393">
        <v>0.59895833333333337</v>
      </c>
      <c r="HE46" s="393">
        <v>0.34923432270749649</v>
      </c>
      <c r="HF46" s="393">
        <v>0.48736820163696254</v>
      </c>
      <c r="HG46" s="393">
        <v>0.52834798540367167</v>
      </c>
      <c r="HH46" s="93">
        <v>0.6656865169372832</v>
      </c>
      <c r="HI46" s="696">
        <v>213</v>
      </c>
      <c r="HJ46" s="696">
        <v>14</v>
      </c>
      <c r="HK46" s="696">
        <v>199</v>
      </c>
      <c r="HL46" s="697">
        <v>0.93427230046948362</v>
      </c>
      <c r="HM46" s="696">
        <v>83</v>
      </c>
      <c r="HN46" s="696">
        <v>34</v>
      </c>
      <c r="HO46" s="696">
        <v>117</v>
      </c>
      <c r="HP46" s="697">
        <v>0.41708542713567837</v>
      </c>
      <c r="HQ46" s="697">
        <v>0.5879396984924623</v>
      </c>
      <c r="HR46" s="697">
        <v>0.35078207287892826</v>
      </c>
      <c r="HS46" s="697">
        <v>0.48652929240182025</v>
      </c>
      <c r="HT46" s="697">
        <v>0.51851827888517155</v>
      </c>
      <c r="HU46" s="698">
        <v>0.65403027308979211</v>
      </c>
      <c r="HV46" s="3">
        <v>174</v>
      </c>
      <c r="HW46" s="3">
        <v>27</v>
      </c>
      <c r="HX46" s="17">
        <v>0.15517241379310345</v>
      </c>
      <c r="HY46" s="17">
        <v>0.10888846203868341</v>
      </c>
      <c r="HZ46" s="17">
        <v>0.21635324034192896</v>
      </c>
      <c r="IA46" s="267" t="s">
        <v>709</v>
      </c>
      <c r="IB46" s="3">
        <v>178</v>
      </c>
      <c r="IC46" s="3">
        <v>13</v>
      </c>
      <c r="ID46" s="17">
        <v>7.3033707865168537E-2</v>
      </c>
      <c r="IE46" s="17">
        <v>4.3175025310267297E-2</v>
      </c>
      <c r="IF46" s="17">
        <v>0.12093198864698146</v>
      </c>
      <c r="IG46" s="3" t="s">
        <v>707</v>
      </c>
      <c r="IH46" s="3">
        <v>194</v>
      </c>
      <c r="II46" s="3">
        <v>14</v>
      </c>
      <c r="IJ46" s="17">
        <v>7.2164948453608241E-2</v>
      </c>
      <c r="IK46" s="17">
        <v>4.3470708676375661E-2</v>
      </c>
      <c r="IL46" s="17">
        <v>0.11747361012564239</v>
      </c>
      <c r="IM46" s="3" t="s">
        <v>707</v>
      </c>
      <c r="IN46" s="3">
        <v>212</v>
      </c>
      <c r="IO46" s="3">
        <v>24</v>
      </c>
      <c r="IP46" s="17">
        <v>0.11320754716981132</v>
      </c>
      <c r="IQ46" s="17">
        <v>7.7264917405978337E-2</v>
      </c>
      <c r="IR46" s="17">
        <v>0.1629181276120798</v>
      </c>
      <c r="IS46" s="3" t="s">
        <v>707</v>
      </c>
      <c r="IT46" s="3">
        <v>140</v>
      </c>
      <c r="IU46" s="3">
        <v>13</v>
      </c>
      <c r="IV46" s="17">
        <v>9.285714285714286E-2</v>
      </c>
      <c r="IW46" s="17">
        <v>5.5070172649584123E-2</v>
      </c>
      <c r="IX46" s="17">
        <v>0.15239059050836642</v>
      </c>
      <c r="IY46" s="9" t="s">
        <v>707</v>
      </c>
      <c r="IZ46" s="9">
        <v>156</v>
      </c>
      <c r="JA46" s="9">
        <v>13</v>
      </c>
      <c r="JB46" s="393">
        <v>8.3333333333333329E-2</v>
      </c>
      <c r="JC46" s="393">
        <v>4.9345650854239156E-2</v>
      </c>
      <c r="JD46" s="393">
        <v>0.13734845867693993</v>
      </c>
      <c r="JE46" s="9" t="str">
        <f t="shared" si="0"/>
        <v>No Sig diff</v>
      </c>
      <c r="JF46" s="9">
        <v>187</v>
      </c>
      <c r="JG46" s="109">
        <v>17</v>
      </c>
      <c r="JH46" s="258">
        <v>9.0909090909090912E-2</v>
      </c>
      <c r="JI46" s="258">
        <v>5.7534002367966477E-2</v>
      </c>
      <c r="JJ46" s="258">
        <v>0.14075340883993159</v>
      </c>
      <c r="JK46" s="662" t="str">
        <f t="shared" si="3"/>
        <v>No Sig diff</v>
      </c>
      <c r="JL46" s="3">
        <v>180</v>
      </c>
      <c r="JM46" s="3">
        <v>24</v>
      </c>
      <c r="JN46" s="17">
        <v>0.13333333333333333</v>
      </c>
      <c r="JO46" s="17">
        <v>9.1262810536594019E-2</v>
      </c>
      <c r="JP46" s="17">
        <v>0.1907272212725889</v>
      </c>
      <c r="JQ46" s="3" t="s">
        <v>707</v>
      </c>
      <c r="JR46" s="3">
        <v>181</v>
      </c>
      <c r="JS46" s="3">
        <v>38</v>
      </c>
      <c r="JT46" s="17">
        <v>0.20994475138121546</v>
      </c>
      <c r="JU46" s="17">
        <v>0.15695179474513435</v>
      </c>
      <c r="JV46" s="17">
        <v>0.27499382681666318</v>
      </c>
      <c r="JW46" s="3" t="s">
        <v>707</v>
      </c>
      <c r="JX46" s="3">
        <v>177</v>
      </c>
      <c r="JY46" s="3">
        <v>29</v>
      </c>
      <c r="JZ46" s="17">
        <v>0.16384180790960451</v>
      </c>
      <c r="KA46" s="17">
        <v>0.11656641651721572</v>
      </c>
      <c r="KB46" s="17">
        <v>0.22539863521359599</v>
      </c>
      <c r="KC46" s="3" t="s">
        <v>707</v>
      </c>
      <c r="KD46" s="3">
        <v>182</v>
      </c>
      <c r="KE46" s="3">
        <v>23</v>
      </c>
      <c r="KF46" s="17">
        <v>0.12637362637362637</v>
      </c>
      <c r="KG46" s="17">
        <v>8.5705065885255408E-2</v>
      </c>
      <c r="KH46" s="17">
        <v>0.18248836703857232</v>
      </c>
      <c r="KI46" s="3" t="s">
        <v>708</v>
      </c>
      <c r="KJ46" s="3">
        <v>202</v>
      </c>
      <c r="KK46" s="3">
        <v>23</v>
      </c>
      <c r="KL46" s="17">
        <v>0.11386138613861387</v>
      </c>
      <c r="KM46" s="17">
        <v>7.7080194865233778E-2</v>
      </c>
      <c r="KN46" s="17">
        <v>0.16505498580364392</v>
      </c>
      <c r="KO46" s="465" t="s">
        <v>708</v>
      </c>
      <c r="KP46" s="465">
        <v>208</v>
      </c>
      <c r="KQ46" s="465">
        <v>33</v>
      </c>
      <c r="KR46" s="393">
        <v>0.15865384615384615</v>
      </c>
      <c r="KS46" s="393">
        <v>0.11525695893346342</v>
      </c>
      <c r="KT46" s="393">
        <v>0.21443043658154298</v>
      </c>
      <c r="KU46" s="465" t="s">
        <v>772</v>
      </c>
      <c r="KV46" s="465">
        <v>175</v>
      </c>
      <c r="KW46" s="465">
        <v>38</v>
      </c>
      <c r="KX46" s="393">
        <v>0.21714285714285714</v>
      </c>
      <c r="KY46" s="393">
        <v>0.16248728307291163</v>
      </c>
      <c r="KZ46" s="393">
        <v>0.28394979783204183</v>
      </c>
      <c r="LA46" s="660" t="str">
        <f t="shared" si="4"/>
        <v>No Sig diff</v>
      </c>
      <c r="LB46" s="3">
        <v>241</v>
      </c>
      <c r="LC46" s="3">
        <v>129</v>
      </c>
      <c r="LD46" s="17">
        <v>0.53526970954356845</v>
      </c>
      <c r="LE46" s="17">
        <v>0.47224088134498177</v>
      </c>
      <c r="LF46" s="17">
        <v>0.59719180412373907</v>
      </c>
      <c r="LG46" s="3">
        <v>241</v>
      </c>
      <c r="LH46" s="3">
        <v>34</v>
      </c>
      <c r="LI46" s="3">
        <v>48</v>
      </c>
      <c r="LJ46" s="293">
        <v>24.562500000000007</v>
      </c>
      <c r="LK46" s="17">
        <v>0.2775735294117645</v>
      </c>
      <c r="LL46" s="3">
        <v>209</v>
      </c>
      <c r="LM46" s="3">
        <v>137</v>
      </c>
      <c r="LN46" s="17">
        <v>0.65550239234449759</v>
      </c>
      <c r="LO46" s="17">
        <v>0.58879307370670031</v>
      </c>
      <c r="LP46" s="17">
        <v>0.71659855610146839</v>
      </c>
      <c r="LQ46" s="3">
        <v>209</v>
      </c>
      <c r="LR46" s="3">
        <v>34</v>
      </c>
      <c r="LS46" s="3">
        <v>41</v>
      </c>
      <c r="LT46" s="293">
        <v>25.512195121951219</v>
      </c>
      <c r="LU46" s="18">
        <v>0.24964131994261121</v>
      </c>
      <c r="LV46" s="42">
        <v>210</v>
      </c>
      <c r="LW46" s="42">
        <v>143</v>
      </c>
      <c r="LX46" s="18">
        <v>0.68095238095238098</v>
      </c>
      <c r="LY46" s="18">
        <v>0.6151448195663155</v>
      </c>
      <c r="LZ46" s="18">
        <v>0.74025866682556296</v>
      </c>
      <c r="MA46" s="337">
        <v>34</v>
      </c>
      <c r="MB46" s="337">
        <v>42</v>
      </c>
      <c r="MC46" s="294">
        <v>24.6</v>
      </c>
      <c r="MD46" s="393">
        <v>0.27800000000000002</v>
      </c>
      <c r="ME46" s="337">
        <v>219</v>
      </c>
      <c r="MF46" s="337">
        <v>144</v>
      </c>
      <c r="MG46" s="393">
        <v>0.65753424657534243</v>
      </c>
      <c r="MH46" s="393">
        <v>0.59245515578056129</v>
      </c>
      <c r="MI46" s="393">
        <v>0.71718202019718069</v>
      </c>
      <c r="MJ46" s="337">
        <v>34</v>
      </c>
      <c r="MK46" s="337">
        <v>43</v>
      </c>
      <c r="ML46" s="294">
        <v>23.511627906976745</v>
      </c>
      <c r="MM46" s="93">
        <v>0.30848153214774277</v>
      </c>
      <c r="MN46" s="17">
        <v>0.91651404151404159</v>
      </c>
      <c r="MO46" s="17">
        <v>8.3485958485958481E-2</v>
      </c>
      <c r="MP46" s="17">
        <v>6.9158620605686214E-2</v>
      </c>
      <c r="MQ46" s="17">
        <v>0.16758575632747763</v>
      </c>
      <c r="MR46" s="17">
        <v>0.93107448107448121</v>
      </c>
      <c r="MS46" s="17">
        <v>6.8925518925518917E-2</v>
      </c>
      <c r="MT46" s="17">
        <v>5.4210515626730349E-2</v>
      </c>
      <c r="MU46" s="17">
        <v>0.14499669951626121</v>
      </c>
      <c r="MV46" s="17">
        <v>0.89275684632827512</v>
      </c>
      <c r="MW46" s="17">
        <v>0.1072431536717251</v>
      </c>
      <c r="MX46" s="17">
        <v>8.4547343075125556E-2</v>
      </c>
      <c r="MY46" s="17">
        <v>0.18973419564821054</v>
      </c>
      <c r="MZ46" s="17">
        <v>0.73381301238444085</v>
      </c>
      <c r="NA46" s="17">
        <v>0.26618698761555903</v>
      </c>
      <c r="NB46" s="17">
        <v>0.20578932597912503</v>
      </c>
      <c r="NC46" s="93">
        <v>0.34376473253880774</v>
      </c>
      <c r="ND46" s="337">
        <v>8</v>
      </c>
      <c r="NE46" s="337">
        <v>91</v>
      </c>
      <c r="NF46" s="393">
        <v>8.7912087912087919E-2</v>
      </c>
      <c r="NG46" s="393">
        <v>4.5220207808304075E-2</v>
      </c>
      <c r="NH46" s="393">
        <v>0.16398638883637737</v>
      </c>
      <c r="NI46" s="337">
        <v>5</v>
      </c>
      <c r="NJ46" s="337">
        <v>91</v>
      </c>
      <c r="NK46" s="393">
        <v>5.4945054945054944E-2</v>
      </c>
      <c r="NL46" s="393">
        <v>2.3695099703426772E-2</v>
      </c>
      <c r="NM46" s="393">
        <v>0.12224802467282921</v>
      </c>
      <c r="NN46" s="337">
        <v>7</v>
      </c>
      <c r="NO46" s="337">
        <v>90</v>
      </c>
      <c r="NP46" s="393">
        <v>7.7777777777777779E-2</v>
      </c>
      <c r="NQ46" s="393">
        <v>3.8184815317288991E-2</v>
      </c>
      <c r="NR46" s="393">
        <v>0.15193860182592023</v>
      </c>
      <c r="NS46" s="337">
        <v>16</v>
      </c>
      <c r="NT46" s="337">
        <v>90</v>
      </c>
      <c r="NU46" s="393">
        <v>0.17777777777777778</v>
      </c>
      <c r="NV46" s="393">
        <v>0.1124973715833035</v>
      </c>
      <c r="NW46" s="93">
        <v>0.26943892044704038</v>
      </c>
      <c r="NX46" s="3">
        <v>61</v>
      </c>
      <c r="NY46" s="3">
        <v>58</v>
      </c>
      <c r="NZ46" s="3">
        <v>58</v>
      </c>
      <c r="OA46" s="3">
        <v>60</v>
      </c>
      <c r="OB46" s="3">
        <v>59</v>
      </c>
      <c r="OC46" s="3">
        <v>53</v>
      </c>
      <c r="OD46" s="3">
        <v>52</v>
      </c>
      <c r="OE46" s="3">
        <v>53</v>
      </c>
      <c r="OF46" s="3">
        <v>52</v>
      </c>
      <c r="OG46" s="3">
        <v>53</v>
      </c>
      <c r="OH46" s="3">
        <v>53</v>
      </c>
      <c r="OI46" s="3">
        <v>51</v>
      </c>
      <c r="OJ46" s="3">
        <v>53</v>
      </c>
      <c r="OK46" s="3">
        <v>67</v>
      </c>
      <c r="OL46" s="3">
        <v>64</v>
      </c>
      <c r="OM46" s="3">
        <v>65</v>
      </c>
      <c r="ON46" s="3">
        <v>61</v>
      </c>
      <c r="OO46" s="3">
        <v>64</v>
      </c>
      <c r="OP46" s="3">
        <v>64</v>
      </c>
      <c r="OQ46" s="3">
        <v>57</v>
      </c>
      <c r="OR46" s="3">
        <v>61</v>
      </c>
      <c r="OS46" s="3">
        <v>61</v>
      </c>
      <c r="OT46" s="6">
        <v>65</v>
      </c>
      <c r="OU46" s="3">
        <v>205</v>
      </c>
      <c r="OV46" s="22">
        <v>0.92200000000000004</v>
      </c>
      <c r="OW46" s="22">
        <v>0</v>
      </c>
      <c r="OX46" s="22">
        <v>0.93700000000000006</v>
      </c>
      <c r="OY46" s="3">
        <v>189</v>
      </c>
      <c r="OZ46" s="3">
        <v>0</v>
      </c>
      <c r="PA46" s="3">
        <v>192</v>
      </c>
      <c r="PB46" s="3">
        <v>225</v>
      </c>
      <c r="PC46" s="22">
        <v>0.97799999999999998</v>
      </c>
      <c r="PD46" s="22">
        <v>0.80400000000000005</v>
      </c>
      <c r="PE46" s="22">
        <v>0.98699999999999999</v>
      </c>
      <c r="PF46" s="22">
        <v>0.82199999999999995</v>
      </c>
      <c r="PG46" s="22">
        <v>0.80400000000000005</v>
      </c>
      <c r="PH46" s="3">
        <v>220</v>
      </c>
      <c r="PI46" s="3">
        <v>181</v>
      </c>
      <c r="PJ46" s="3">
        <v>222</v>
      </c>
      <c r="PK46" s="3">
        <v>185</v>
      </c>
      <c r="PL46" s="3">
        <v>181</v>
      </c>
      <c r="PM46" s="3">
        <v>230</v>
      </c>
      <c r="PN46" s="22">
        <v>0.96099999999999997</v>
      </c>
      <c r="PO46" s="22">
        <v>0.91300000000000003</v>
      </c>
      <c r="PP46" s="22">
        <v>0.96099999999999997</v>
      </c>
      <c r="PQ46" s="22">
        <v>0.96099999999999997</v>
      </c>
      <c r="PR46" s="22">
        <v>0.97</v>
      </c>
      <c r="PS46" s="22">
        <v>0.81299999999999994</v>
      </c>
      <c r="PT46" s="22">
        <v>0.91700000000000004</v>
      </c>
      <c r="PU46" s="22">
        <v>0.90400000000000003</v>
      </c>
      <c r="PV46" s="22">
        <v>0.97</v>
      </c>
      <c r="PW46" s="22">
        <v>0.88700000000000001</v>
      </c>
      <c r="PX46" s="3">
        <v>221</v>
      </c>
      <c r="PY46" s="3">
        <v>210</v>
      </c>
      <c r="PZ46" s="3">
        <v>221</v>
      </c>
      <c r="QA46" s="3">
        <v>221</v>
      </c>
      <c r="QB46" s="3">
        <v>223</v>
      </c>
      <c r="QC46" s="3">
        <v>187</v>
      </c>
      <c r="QD46" s="3">
        <v>211</v>
      </c>
      <c r="QE46" s="3">
        <v>208</v>
      </c>
      <c r="QF46" s="3">
        <v>223</v>
      </c>
      <c r="QG46" s="6">
        <v>204</v>
      </c>
      <c r="QH46" s="37">
        <v>204</v>
      </c>
      <c r="QI46" s="17">
        <v>0.80882352941176472</v>
      </c>
      <c r="QJ46" s="17">
        <v>0.25</v>
      </c>
      <c r="QK46" s="17">
        <v>0.85784313725490191</v>
      </c>
      <c r="QL46" s="37">
        <v>165</v>
      </c>
      <c r="QM46" s="37">
        <v>51</v>
      </c>
      <c r="QN46" s="37">
        <v>175</v>
      </c>
      <c r="QO46" s="37">
        <v>215</v>
      </c>
      <c r="QP46" s="17">
        <v>0.90697674418604646</v>
      </c>
      <c r="QQ46" s="17">
        <v>0.8</v>
      </c>
      <c r="QR46" s="17">
        <v>0.73023255813953492</v>
      </c>
      <c r="QS46" s="17">
        <v>0.8</v>
      </c>
      <c r="QT46" s="17">
        <v>0.61860465116279073</v>
      </c>
      <c r="QU46" s="37">
        <v>195</v>
      </c>
      <c r="QV46" s="37">
        <v>172</v>
      </c>
      <c r="QW46" s="37">
        <v>157</v>
      </c>
      <c r="QX46" s="37">
        <v>172</v>
      </c>
      <c r="QY46" s="37">
        <v>133</v>
      </c>
      <c r="QZ46" s="3">
        <v>254</v>
      </c>
      <c r="RA46" s="17">
        <v>0.96850393700787396</v>
      </c>
      <c r="RB46" s="17">
        <v>0.86220472440944884</v>
      </c>
      <c r="RC46" s="17">
        <v>0.96850393700787396</v>
      </c>
      <c r="RD46" s="17">
        <v>0.96850393700787396</v>
      </c>
      <c r="RE46" s="17">
        <v>0.74409448818897639</v>
      </c>
      <c r="RF46" s="17">
        <v>0.81889763779527558</v>
      </c>
      <c r="RG46" s="17">
        <v>0.81889763779527558</v>
      </c>
      <c r="RH46" s="17">
        <v>0.90551181102362199</v>
      </c>
      <c r="RI46" s="17">
        <v>0.74409448818897639</v>
      </c>
      <c r="RJ46" s="17">
        <v>0.58267716535433067</v>
      </c>
      <c r="RK46" s="37">
        <v>246</v>
      </c>
      <c r="RL46" s="37">
        <v>219</v>
      </c>
      <c r="RM46" s="37">
        <v>246</v>
      </c>
      <c r="RN46" s="37">
        <v>246</v>
      </c>
      <c r="RO46" s="37">
        <v>189</v>
      </c>
      <c r="RP46" s="37">
        <v>208</v>
      </c>
      <c r="RQ46" s="37">
        <v>208</v>
      </c>
      <c r="RR46" s="37">
        <v>230</v>
      </c>
      <c r="RS46" s="37">
        <v>189</v>
      </c>
      <c r="RT46" s="38">
        <v>148</v>
      </c>
    </row>
    <row r="47" spans="1:488" s="3" customFormat="1" ht="12.75" x14ac:dyDescent="0.2">
      <c r="A47" s="9" t="s">
        <v>72</v>
      </c>
      <c r="B47" s="6">
        <v>43</v>
      </c>
      <c r="C47" s="9" t="s">
        <v>261</v>
      </c>
      <c r="D47" s="9" t="s">
        <v>262</v>
      </c>
      <c r="E47" s="9" t="s">
        <v>286</v>
      </c>
      <c r="F47" s="9" t="s">
        <v>286</v>
      </c>
      <c r="G47" s="9" t="s">
        <v>263</v>
      </c>
      <c r="H47" s="9" t="s">
        <v>81</v>
      </c>
      <c r="I47" s="9" t="s">
        <v>81</v>
      </c>
      <c r="J47" s="9" t="s">
        <v>268</v>
      </c>
      <c r="K47" s="9" t="s">
        <v>81</v>
      </c>
      <c r="L47" s="9" t="s">
        <v>271</v>
      </c>
      <c r="M47" s="9" t="s">
        <v>365</v>
      </c>
      <c r="N47" s="9" t="s">
        <v>400</v>
      </c>
      <c r="O47" s="9">
        <v>515199</v>
      </c>
      <c r="P47" s="9">
        <v>104360</v>
      </c>
      <c r="Q47" s="109">
        <v>23275</v>
      </c>
      <c r="R47" s="109">
        <v>80773</v>
      </c>
      <c r="S47" s="310" t="s">
        <v>797</v>
      </c>
      <c r="T47" s="36">
        <v>13320</v>
      </c>
      <c r="U47" s="42">
        <v>13405</v>
      </c>
      <c r="V47" s="42">
        <v>13530</v>
      </c>
      <c r="W47" s="42">
        <v>13660</v>
      </c>
      <c r="X47" s="42">
        <v>13830</v>
      </c>
      <c r="Y47" s="42">
        <v>13930</v>
      </c>
      <c r="Z47" s="42">
        <v>14030</v>
      </c>
      <c r="AA47" s="42">
        <v>14190</v>
      </c>
      <c r="AB47" s="42">
        <v>14215</v>
      </c>
      <c r="AC47" s="42">
        <v>14380</v>
      </c>
      <c r="AD47" s="42">
        <v>14361</v>
      </c>
      <c r="AE47" s="36">
        <v>890</v>
      </c>
      <c r="AF47" s="42">
        <v>900</v>
      </c>
      <c r="AG47" s="42">
        <v>915</v>
      </c>
      <c r="AH47" s="42">
        <v>950</v>
      </c>
      <c r="AI47" s="42">
        <v>995</v>
      </c>
      <c r="AJ47" s="42">
        <v>995</v>
      </c>
      <c r="AK47" s="42">
        <v>1000</v>
      </c>
      <c r="AL47" s="42">
        <v>1010</v>
      </c>
      <c r="AM47" s="42">
        <v>965</v>
      </c>
      <c r="AN47" s="42">
        <v>974</v>
      </c>
      <c r="AO47" s="42">
        <v>952</v>
      </c>
      <c r="AP47" s="13">
        <v>1017</v>
      </c>
      <c r="AQ47" s="9">
        <v>849</v>
      </c>
      <c r="AR47" s="9">
        <v>29</v>
      </c>
      <c r="AS47" s="9">
        <v>67</v>
      </c>
      <c r="AT47" s="9">
        <v>52</v>
      </c>
      <c r="AU47" s="9">
        <v>15</v>
      </c>
      <c r="AV47" s="9">
        <v>5</v>
      </c>
      <c r="AW47" s="9">
        <v>168</v>
      </c>
      <c r="AX47" s="16">
        <v>0.83480825958702065</v>
      </c>
      <c r="AY47" s="393">
        <v>2.8515240904621434E-2</v>
      </c>
      <c r="AZ47" s="393">
        <v>6.5880039331366769E-2</v>
      </c>
      <c r="BA47" s="393">
        <v>5.1130776794493606E-2</v>
      </c>
      <c r="BB47" s="393">
        <v>1.4749262536873156E-2</v>
      </c>
      <c r="BC47" s="393">
        <v>4.9164208456243851E-3</v>
      </c>
      <c r="BD47" s="393">
        <v>0.16519174041297935</v>
      </c>
      <c r="BE47" s="13">
        <v>2577</v>
      </c>
      <c r="BF47" s="9">
        <v>2501</v>
      </c>
      <c r="BG47" s="9">
        <v>76</v>
      </c>
      <c r="BH47" s="9">
        <v>65</v>
      </c>
      <c r="BI47" s="9">
        <v>11</v>
      </c>
      <c r="BJ47" s="393">
        <v>0.85526315789473684</v>
      </c>
      <c r="BK47" s="393">
        <v>0.14473684210526316</v>
      </c>
      <c r="BL47" s="36">
        <v>1993</v>
      </c>
      <c r="BM47" s="393">
        <v>0.66984445559458106</v>
      </c>
      <c r="BN47" s="393">
        <v>0.10386352232814852</v>
      </c>
      <c r="BO47" s="393">
        <v>0.22629202207727045</v>
      </c>
      <c r="BP47" s="36">
        <v>3880</v>
      </c>
      <c r="BQ47" s="42">
        <v>292</v>
      </c>
      <c r="BR47" s="42">
        <v>331</v>
      </c>
      <c r="BS47" s="42">
        <v>171</v>
      </c>
      <c r="BT47" s="42">
        <v>3591</v>
      </c>
      <c r="BU47" s="42">
        <v>1975</v>
      </c>
      <c r="BV47" s="393">
        <v>0.16151898734177214</v>
      </c>
      <c r="BW47" s="36">
        <v>1130</v>
      </c>
      <c r="BX47" s="42">
        <v>1</v>
      </c>
      <c r="BY47" s="42">
        <v>243</v>
      </c>
      <c r="BZ47" s="42">
        <v>476</v>
      </c>
      <c r="CA47" s="42">
        <v>134</v>
      </c>
      <c r="CB47" s="38">
        <v>1984</v>
      </c>
      <c r="CC47" s="42">
        <v>802</v>
      </c>
      <c r="CD47" s="42">
        <v>655</v>
      </c>
      <c r="CE47" s="42">
        <v>145</v>
      </c>
      <c r="CF47" s="42">
        <v>147</v>
      </c>
      <c r="CG47" s="393">
        <v>0.18079800498753118</v>
      </c>
      <c r="CH47" s="93">
        <v>0.18329177057356608</v>
      </c>
      <c r="CI47" s="42">
        <v>140</v>
      </c>
      <c r="CJ47" s="42">
        <v>120</v>
      </c>
      <c r="CK47" s="42">
        <v>105</v>
      </c>
      <c r="CL47" s="42">
        <v>100</v>
      </c>
      <c r="CM47" s="42">
        <v>85</v>
      </c>
      <c r="CN47" s="42">
        <v>75</v>
      </c>
      <c r="CO47" s="36">
        <v>476</v>
      </c>
      <c r="CP47" s="42">
        <v>162</v>
      </c>
      <c r="CQ47" s="393">
        <v>0.34033613445378152</v>
      </c>
      <c r="CR47" s="38">
        <v>35</v>
      </c>
      <c r="CS47" s="42">
        <v>181</v>
      </c>
      <c r="CT47" s="42">
        <v>161</v>
      </c>
      <c r="CU47" s="42">
        <v>183</v>
      </c>
      <c r="CV47" s="42">
        <v>166</v>
      </c>
      <c r="CW47" s="42">
        <v>151</v>
      </c>
      <c r="CX47" s="526" t="s">
        <v>471</v>
      </c>
      <c r="CY47" s="568">
        <v>163</v>
      </c>
      <c r="CZ47" s="42">
        <v>11</v>
      </c>
      <c r="DA47" s="42">
        <v>5</v>
      </c>
      <c r="DB47" s="42">
        <v>10</v>
      </c>
      <c r="DC47" s="42">
        <v>8</v>
      </c>
      <c r="DD47" s="42">
        <v>8</v>
      </c>
      <c r="DE47" s="533" t="s">
        <v>471</v>
      </c>
      <c r="DF47" s="716">
        <v>2</v>
      </c>
      <c r="DG47" s="13">
        <v>17</v>
      </c>
      <c r="DH47" s="13">
        <v>9</v>
      </c>
      <c r="DI47" s="393">
        <v>5.9602649006622516E-2</v>
      </c>
      <c r="DJ47" s="393">
        <v>3.167075659834806E-2</v>
      </c>
      <c r="DK47" s="393">
        <v>0.10938616050281703</v>
      </c>
      <c r="DL47" s="425" t="s">
        <v>286</v>
      </c>
      <c r="DM47" s="258" t="s">
        <v>286</v>
      </c>
      <c r="DN47" s="258" t="s">
        <v>286</v>
      </c>
      <c r="DO47" s="258" t="s">
        <v>286</v>
      </c>
      <c r="DP47" s="337">
        <v>11</v>
      </c>
      <c r="DQ47" s="393">
        <v>6.7484662576687116E-2</v>
      </c>
      <c r="DR47" s="393">
        <v>3.8096986536392215E-2</v>
      </c>
      <c r="DS47" s="393">
        <v>0.1167893289115334</v>
      </c>
      <c r="DT47" s="13">
        <v>20</v>
      </c>
      <c r="DU47" s="393">
        <v>1.966568338249754E-2</v>
      </c>
      <c r="DV47" s="328">
        <v>4</v>
      </c>
      <c r="DW47" s="333">
        <v>4</v>
      </c>
      <c r="DX47" s="337">
        <v>4</v>
      </c>
      <c r="DY47" s="393">
        <v>0.13574611748818366</v>
      </c>
      <c r="DZ47" s="337">
        <v>4</v>
      </c>
      <c r="EA47" s="93">
        <v>0.13756740506329115</v>
      </c>
      <c r="EB47" s="9">
        <v>315</v>
      </c>
      <c r="EC47" s="393">
        <v>5.4254219772648986E-2</v>
      </c>
      <c r="ED47" s="13">
        <v>175</v>
      </c>
      <c r="EE47" s="9">
        <v>155</v>
      </c>
      <c r="EF47" s="9">
        <v>160</v>
      </c>
      <c r="EG47" s="9">
        <v>135</v>
      </c>
      <c r="EH47" s="9">
        <v>125</v>
      </c>
      <c r="EI47" s="9">
        <v>110</v>
      </c>
      <c r="EJ47" s="13">
        <v>125</v>
      </c>
      <c r="EK47" s="393">
        <v>0.13736263736263737</v>
      </c>
      <c r="EL47" s="393">
        <v>0.11651673444217239</v>
      </c>
      <c r="EM47" s="393">
        <v>0.16125733278856444</v>
      </c>
      <c r="EN47" s="9">
        <v>165</v>
      </c>
      <c r="EO47" s="393">
        <v>0.1736842105263158</v>
      </c>
      <c r="EP47" s="393">
        <v>0.15092091805592797</v>
      </c>
      <c r="EQ47" s="393">
        <v>0.19907588249565156</v>
      </c>
      <c r="ER47" s="9">
        <v>160</v>
      </c>
      <c r="ES47" s="393">
        <v>0.17112299465240641</v>
      </c>
      <c r="ET47" s="393">
        <v>0.14834030882261542</v>
      </c>
      <c r="EU47" s="393">
        <v>0.19659701342504152</v>
      </c>
      <c r="EV47" s="9">
        <v>145</v>
      </c>
      <c r="EW47" s="393">
        <v>0.15591397849462366</v>
      </c>
      <c r="EX47" s="393">
        <v>0.1340190253681591</v>
      </c>
      <c r="EY47" s="393">
        <v>0.18063980247160413</v>
      </c>
      <c r="EZ47" s="9">
        <v>135</v>
      </c>
      <c r="FA47" s="393">
        <v>0.13989637305699482</v>
      </c>
      <c r="FB47" s="393">
        <v>0.11943516768138612</v>
      </c>
      <c r="FC47" s="393">
        <v>0.16321320200545925</v>
      </c>
      <c r="FD47" s="337">
        <v>140</v>
      </c>
      <c r="FE47" s="393">
        <v>0.16279069767441862</v>
      </c>
      <c r="FF47" s="393">
        <v>0.13962604907368953</v>
      </c>
      <c r="FG47" s="393">
        <v>0.18895445134381883</v>
      </c>
      <c r="FH47" s="425" t="s">
        <v>286</v>
      </c>
      <c r="FI47" s="258" t="s">
        <v>286</v>
      </c>
      <c r="FJ47" s="258" t="s">
        <v>286</v>
      </c>
      <c r="FK47" s="258" t="s">
        <v>286</v>
      </c>
      <c r="FL47" s="36">
        <v>405</v>
      </c>
      <c r="FM47" s="393">
        <v>0.13705583756345177</v>
      </c>
      <c r="FN47" s="42">
        <v>485</v>
      </c>
      <c r="FO47" s="393">
        <v>0.16086235489220563</v>
      </c>
      <c r="FP47" s="42">
        <v>455</v>
      </c>
      <c r="FQ47" s="393">
        <v>0.15041322314049588</v>
      </c>
      <c r="FR47" s="42">
        <v>440</v>
      </c>
      <c r="FS47" s="393">
        <v>0.14497528830313014</v>
      </c>
      <c r="FT47" s="42">
        <v>410</v>
      </c>
      <c r="FU47" s="393">
        <v>0.13333333333333333</v>
      </c>
      <c r="FV47" s="42">
        <v>420</v>
      </c>
      <c r="FW47" s="393">
        <v>0.14023372287145242</v>
      </c>
      <c r="FX47" s="114" t="s">
        <v>286</v>
      </c>
      <c r="FY47" s="259" t="s">
        <v>286</v>
      </c>
      <c r="FZ47" s="9">
        <v>172</v>
      </c>
      <c r="GA47" s="9">
        <v>4</v>
      </c>
      <c r="GB47" s="9">
        <v>168</v>
      </c>
      <c r="GC47" s="393">
        <v>0.97674418604651159</v>
      </c>
      <c r="GD47" s="9">
        <v>70</v>
      </c>
      <c r="GE47" s="9">
        <v>87</v>
      </c>
      <c r="GF47" s="393">
        <v>0.41666666666666669</v>
      </c>
      <c r="GG47" s="393">
        <v>0.5178571428571429</v>
      </c>
      <c r="GH47" s="393">
        <v>0.34479298206061598</v>
      </c>
      <c r="GI47" s="393">
        <v>0.49226626319780803</v>
      </c>
      <c r="GJ47" s="393">
        <v>0.44274583327172728</v>
      </c>
      <c r="GK47" s="93">
        <v>0.59217004274432472</v>
      </c>
      <c r="GL47" s="337">
        <v>142</v>
      </c>
      <c r="GM47" s="337">
        <v>60</v>
      </c>
      <c r="GN47" s="337">
        <v>19</v>
      </c>
      <c r="GO47" s="337">
        <v>79</v>
      </c>
      <c r="GP47" s="393">
        <v>0.42253521126760563</v>
      </c>
      <c r="GQ47" s="393">
        <v>0.55633802816901412</v>
      </c>
      <c r="GR47" s="393">
        <v>0.34438153085241952</v>
      </c>
      <c r="GS47" s="393">
        <v>0.50476973122424373</v>
      </c>
      <c r="GT47" s="393">
        <v>0.47420924282303534</v>
      </c>
      <c r="GU47" s="93">
        <v>0.63549893021211867</v>
      </c>
      <c r="GV47" s="42">
        <v>158</v>
      </c>
      <c r="GW47" s="42">
        <v>43</v>
      </c>
      <c r="GX47" s="42">
        <v>115</v>
      </c>
      <c r="GY47" s="393">
        <f t="shared" si="2"/>
        <v>0.72784810126582278</v>
      </c>
      <c r="GZ47" s="42">
        <v>43</v>
      </c>
      <c r="HA47" s="42">
        <v>20</v>
      </c>
      <c r="HB47" s="42">
        <v>63</v>
      </c>
      <c r="HC47" s="393">
        <v>0.37391304347826088</v>
      </c>
      <c r="HD47" s="393">
        <v>0.54782608695652169</v>
      </c>
      <c r="HE47" s="393">
        <v>0.29090380155349149</v>
      </c>
      <c r="HF47" s="393">
        <v>0.4650736133337266</v>
      </c>
      <c r="HG47" s="393">
        <v>0.45678427144329625</v>
      </c>
      <c r="HH47" s="93">
        <v>0.63577601946155204</v>
      </c>
      <c r="HI47" s="696">
        <v>304</v>
      </c>
      <c r="HJ47" s="696">
        <v>26</v>
      </c>
      <c r="HK47" s="696">
        <v>278</v>
      </c>
      <c r="HL47" s="697">
        <v>0.91447368421052633</v>
      </c>
      <c r="HM47" s="696">
        <v>125</v>
      </c>
      <c r="HN47" s="696">
        <v>42</v>
      </c>
      <c r="HO47" s="696">
        <v>167</v>
      </c>
      <c r="HP47" s="697">
        <v>0.44964028776978415</v>
      </c>
      <c r="HQ47" s="697">
        <v>0.60071942446043169</v>
      </c>
      <c r="HR47" s="697">
        <v>0.39224597464486799</v>
      </c>
      <c r="HS47" s="697">
        <v>0.5084073922616188</v>
      </c>
      <c r="HT47" s="697">
        <v>0.5421532586039719</v>
      </c>
      <c r="HU47" s="698">
        <v>0.65654000758305442</v>
      </c>
      <c r="HV47" s="9">
        <v>130</v>
      </c>
      <c r="HW47" s="9">
        <v>14</v>
      </c>
      <c r="HX47" s="393">
        <v>0.1076923076923077</v>
      </c>
      <c r="HY47" s="393">
        <v>6.5241339616437855E-2</v>
      </c>
      <c r="HZ47" s="393">
        <v>0.17266296224380834</v>
      </c>
      <c r="IA47" s="265" t="s">
        <v>707</v>
      </c>
      <c r="IB47" s="9">
        <v>186</v>
      </c>
      <c r="IC47" s="9">
        <v>13</v>
      </c>
      <c r="ID47" s="393">
        <v>6.9892473118279563E-2</v>
      </c>
      <c r="IE47" s="393">
        <v>4.1297216253746931E-2</v>
      </c>
      <c r="IF47" s="393">
        <v>0.11589425818008303</v>
      </c>
      <c r="IG47" s="9" t="s">
        <v>707</v>
      </c>
      <c r="IH47" s="9">
        <v>159</v>
      </c>
      <c r="II47" s="9">
        <v>13</v>
      </c>
      <c r="IJ47" s="393">
        <v>8.1761006289308172E-2</v>
      </c>
      <c r="IK47" s="393">
        <v>4.8402298802567148E-2</v>
      </c>
      <c r="IL47" s="393">
        <v>0.13485237747463791</v>
      </c>
      <c r="IM47" s="9" t="s">
        <v>707</v>
      </c>
      <c r="IN47" s="9">
        <v>192</v>
      </c>
      <c r="IO47" s="9">
        <v>25</v>
      </c>
      <c r="IP47" s="393">
        <v>0.13020833333333334</v>
      </c>
      <c r="IQ47" s="393">
        <v>8.9774224743510128E-2</v>
      </c>
      <c r="IR47" s="393">
        <v>0.18514947703502674</v>
      </c>
      <c r="IS47" s="9" t="s">
        <v>707</v>
      </c>
      <c r="IT47" s="9">
        <v>114</v>
      </c>
      <c r="IU47" s="9">
        <v>13</v>
      </c>
      <c r="IV47" s="393">
        <v>0.11403508771929824</v>
      </c>
      <c r="IW47" s="393">
        <v>6.786521821254024E-2</v>
      </c>
      <c r="IX47" s="393">
        <v>0.18536873798024975</v>
      </c>
      <c r="IY47" s="9" t="s">
        <v>707</v>
      </c>
      <c r="IZ47" s="9">
        <v>181</v>
      </c>
      <c r="JA47" s="9">
        <v>12</v>
      </c>
      <c r="JB47" s="393">
        <v>6.6298342541436461E-2</v>
      </c>
      <c r="JC47" s="393">
        <v>3.8328830686219811E-2</v>
      </c>
      <c r="JD47" s="393">
        <v>0.11229462250618219</v>
      </c>
      <c r="JE47" s="9" t="str">
        <f t="shared" si="0"/>
        <v>No Sig diff</v>
      </c>
      <c r="JF47" s="9">
        <v>157</v>
      </c>
      <c r="JG47" s="109">
        <v>15</v>
      </c>
      <c r="JH47" s="258">
        <v>9.5541401273885357E-2</v>
      </c>
      <c r="JI47" s="258">
        <v>5.8756000760953095E-2</v>
      </c>
      <c r="JJ47" s="258">
        <v>0.15164658492076807</v>
      </c>
      <c r="JK47" s="662" t="str">
        <f t="shared" si="3"/>
        <v>No Sig diff</v>
      </c>
      <c r="JL47" s="9">
        <v>152</v>
      </c>
      <c r="JM47" s="9">
        <v>20</v>
      </c>
      <c r="JN47" s="393">
        <v>0.13157894736842105</v>
      </c>
      <c r="JO47" s="393">
        <v>8.6817115241413917E-2</v>
      </c>
      <c r="JP47" s="393">
        <v>0.19450378070282012</v>
      </c>
      <c r="JQ47" s="9" t="s">
        <v>707</v>
      </c>
      <c r="JR47" s="9">
        <v>163</v>
      </c>
      <c r="JS47" s="9">
        <v>32</v>
      </c>
      <c r="JT47" s="393">
        <v>0.19631901840490798</v>
      </c>
      <c r="JU47" s="393">
        <v>0.14263444430709368</v>
      </c>
      <c r="JV47" s="393">
        <v>0.26398786228400306</v>
      </c>
      <c r="JW47" s="9" t="s">
        <v>707</v>
      </c>
      <c r="JX47" s="9">
        <v>148</v>
      </c>
      <c r="JY47" s="9">
        <v>17</v>
      </c>
      <c r="JZ47" s="393">
        <v>0.11486486486486487</v>
      </c>
      <c r="KA47" s="393">
        <v>7.2964239324355348E-2</v>
      </c>
      <c r="KB47" s="393">
        <v>0.17625266832785691</v>
      </c>
      <c r="KC47" s="9" t="s">
        <v>708</v>
      </c>
      <c r="KD47" s="9">
        <v>146</v>
      </c>
      <c r="KE47" s="9">
        <v>22</v>
      </c>
      <c r="KF47" s="393">
        <v>0.15068493150684931</v>
      </c>
      <c r="KG47" s="393">
        <v>0.10166464144505639</v>
      </c>
      <c r="KH47" s="393">
        <v>0.21761587809355135</v>
      </c>
      <c r="KI47" s="9" t="s">
        <v>707</v>
      </c>
      <c r="KJ47" s="9">
        <v>167</v>
      </c>
      <c r="KK47" s="9">
        <v>28</v>
      </c>
      <c r="KL47" s="393">
        <v>0.16766467065868262</v>
      </c>
      <c r="KM47" s="393">
        <v>0.11862396675614247</v>
      </c>
      <c r="KN47" s="393">
        <v>0.23165083910055798</v>
      </c>
      <c r="KO47" s="465" t="s">
        <v>707</v>
      </c>
      <c r="KP47" s="465">
        <v>151</v>
      </c>
      <c r="KQ47" s="465">
        <v>19</v>
      </c>
      <c r="KR47" s="393">
        <v>0.12582781456953643</v>
      </c>
      <c r="KS47" s="393">
        <v>8.2053702469154652E-2</v>
      </c>
      <c r="KT47" s="393">
        <v>0.18816758800025629</v>
      </c>
      <c r="KU47" s="465" t="s">
        <v>708</v>
      </c>
      <c r="KV47" s="465">
        <v>164</v>
      </c>
      <c r="KW47" s="465">
        <v>27</v>
      </c>
      <c r="KX47" s="393">
        <v>0.16463414634146342</v>
      </c>
      <c r="KY47" s="393">
        <v>0.11568280400165568</v>
      </c>
      <c r="KZ47" s="393">
        <v>0.22893681040771646</v>
      </c>
      <c r="LA47" s="660" t="str">
        <f t="shared" si="4"/>
        <v>No Sig diff</v>
      </c>
      <c r="LB47" s="9">
        <v>222</v>
      </c>
      <c r="LC47" s="9">
        <v>118</v>
      </c>
      <c r="LD47" s="393">
        <v>0.53153153153153154</v>
      </c>
      <c r="LE47" s="393">
        <v>0.46591247372915356</v>
      </c>
      <c r="LF47" s="393">
        <v>0.59607791578172553</v>
      </c>
      <c r="LG47" s="9">
        <v>222</v>
      </c>
      <c r="LH47" s="9">
        <v>34</v>
      </c>
      <c r="LI47" s="9">
        <v>44</v>
      </c>
      <c r="LJ47" s="294">
        <v>24.886363636363633</v>
      </c>
      <c r="LK47" s="393">
        <v>0.26804812834224606</v>
      </c>
      <c r="LL47" s="9">
        <v>203</v>
      </c>
      <c r="LM47" s="9">
        <v>141</v>
      </c>
      <c r="LN47" s="393">
        <v>0.69458128078817738</v>
      </c>
      <c r="LO47" s="393">
        <v>0.62809552282698589</v>
      </c>
      <c r="LP47" s="393">
        <v>0.75383951307161123</v>
      </c>
      <c r="LQ47" s="9">
        <v>203</v>
      </c>
      <c r="LR47" s="9">
        <v>34</v>
      </c>
      <c r="LS47" s="9">
        <v>40</v>
      </c>
      <c r="LT47" s="294">
        <v>26.025000000000006</v>
      </c>
      <c r="LU47" s="393">
        <v>0.2345588235294116</v>
      </c>
      <c r="LV47" s="42">
        <v>197</v>
      </c>
      <c r="LW47" s="42">
        <v>133</v>
      </c>
      <c r="LX47" s="393">
        <v>0.67512690355329952</v>
      </c>
      <c r="LY47" s="393">
        <v>0.60692115957551818</v>
      </c>
      <c r="LZ47" s="393">
        <v>0.7366334053293373</v>
      </c>
      <c r="MA47" s="337">
        <v>34</v>
      </c>
      <c r="MB47" s="337">
        <v>39</v>
      </c>
      <c r="MC47" s="294">
        <v>25.6</v>
      </c>
      <c r="MD47" s="393">
        <v>0.248</v>
      </c>
      <c r="ME47" s="337">
        <v>207</v>
      </c>
      <c r="MF47" s="337">
        <v>152</v>
      </c>
      <c r="MG47" s="393">
        <v>0.7342995169082126</v>
      </c>
      <c r="MH47" s="393">
        <v>0.67025653491866277</v>
      </c>
      <c r="MI47" s="393">
        <v>0.78980478576538582</v>
      </c>
      <c r="MJ47" s="337">
        <v>34</v>
      </c>
      <c r="MK47" s="337">
        <v>41</v>
      </c>
      <c r="ML47" s="294">
        <v>24.487804878048781</v>
      </c>
      <c r="MM47" s="93">
        <v>0.27977044476327118</v>
      </c>
      <c r="MN47" s="393">
        <v>0.88145604395604382</v>
      </c>
      <c r="MO47" s="393">
        <v>0.11854395604395604</v>
      </c>
      <c r="MP47" s="393">
        <v>7.1709958980432961E-2</v>
      </c>
      <c r="MQ47" s="393">
        <v>0.19511025818384223</v>
      </c>
      <c r="MR47" s="393">
        <v>0.92870879120879124</v>
      </c>
      <c r="MS47" s="393">
        <v>7.1291208791208788E-2</v>
      </c>
      <c r="MT47" s="393">
        <v>3.8009793445671562E-2</v>
      </c>
      <c r="MU47" s="393">
        <v>0.13939825508010059</v>
      </c>
      <c r="MV47" s="393">
        <v>0.88305860805860803</v>
      </c>
      <c r="MW47" s="393">
        <v>0.11694139194139194</v>
      </c>
      <c r="MX47" s="393">
        <v>7.1709958980432961E-2</v>
      </c>
      <c r="MY47" s="393">
        <v>0.19511025818384223</v>
      </c>
      <c r="MZ47" s="393">
        <v>0.81379731379731379</v>
      </c>
      <c r="NA47" s="393">
        <v>0.18620268620268621</v>
      </c>
      <c r="NB47" s="393">
        <v>0.12319860172367546</v>
      </c>
      <c r="NC47" s="93">
        <v>0.26879865153450394</v>
      </c>
      <c r="ND47" s="337">
        <v>7</v>
      </c>
      <c r="NE47" s="337">
        <v>63</v>
      </c>
      <c r="NF47" s="393">
        <v>0.1111111111111111</v>
      </c>
      <c r="NG47" s="393">
        <v>5.4875486623837205E-2</v>
      </c>
      <c r="NH47" s="393">
        <v>0.21204655750082518</v>
      </c>
      <c r="NI47" s="337">
        <v>6</v>
      </c>
      <c r="NJ47" s="337">
        <v>63</v>
      </c>
      <c r="NK47" s="393">
        <v>9.5238095238095233E-2</v>
      </c>
      <c r="NL47" s="393">
        <v>4.438348427689201E-2</v>
      </c>
      <c r="NM47" s="393">
        <v>0.19261701062836886</v>
      </c>
      <c r="NN47" s="337">
        <v>7</v>
      </c>
      <c r="NO47" s="337">
        <v>63</v>
      </c>
      <c r="NP47" s="393">
        <v>0.1111111111111111</v>
      </c>
      <c r="NQ47" s="393">
        <v>5.4875486623837205E-2</v>
      </c>
      <c r="NR47" s="393">
        <v>0.21204655750082518</v>
      </c>
      <c r="NS47" s="337">
        <v>16</v>
      </c>
      <c r="NT47" s="337">
        <v>63</v>
      </c>
      <c r="NU47" s="393">
        <v>0.25396825396825395</v>
      </c>
      <c r="NV47" s="393">
        <v>0.16280411273321163</v>
      </c>
      <c r="NW47" s="93">
        <v>0.37341187436606454</v>
      </c>
      <c r="NX47" s="9">
        <v>38</v>
      </c>
      <c r="NY47" s="9">
        <v>36</v>
      </c>
      <c r="NZ47" s="9">
        <v>36</v>
      </c>
      <c r="OA47" s="9">
        <v>37</v>
      </c>
      <c r="OB47" s="9">
        <v>36</v>
      </c>
      <c r="OC47" s="9">
        <v>54</v>
      </c>
      <c r="OD47" s="9">
        <v>50</v>
      </c>
      <c r="OE47" s="9">
        <v>51</v>
      </c>
      <c r="OF47" s="9">
        <v>50</v>
      </c>
      <c r="OG47" s="9">
        <v>52</v>
      </c>
      <c r="OH47" s="9">
        <v>53</v>
      </c>
      <c r="OI47" s="9">
        <v>49</v>
      </c>
      <c r="OJ47" s="9">
        <v>52</v>
      </c>
      <c r="OK47" s="9">
        <v>52</v>
      </c>
      <c r="OL47" s="9">
        <v>48</v>
      </c>
      <c r="OM47" s="9">
        <v>47</v>
      </c>
      <c r="ON47" s="9">
        <v>45</v>
      </c>
      <c r="OO47" s="9">
        <v>48</v>
      </c>
      <c r="OP47" s="9">
        <v>51</v>
      </c>
      <c r="OQ47" s="9">
        <v>47</v>
      </c>
      <c r="OR47" s="9">
        <v>50</v>
      </c>
      <c r="OS47" s="9">
        <v>46</v>
      </c>
      <c r="OT47" s="6">
        <v>50</v>
      </c>
      <c r="OU47" s="9">
        <v>286</v>
      </c>
      <c r="OV47" s="389">
        <v>0.88800000000000001</v>
      </c>
      <c r="OW47" s="389">
        <v>0.01</v>
      </c>
      <c r="OX47" s="389">
        <v>0.88800000000000001</v>
      </c>
      <c r="OY47" s="9">
        <v>254</v>
      </c>
      <c r="OZ47" s="9">
        <v>3</v>
      </c>
      <c r="PA47" s="9">
        <v>254</v>
      </c>
      <c r="PB47" s="9">
        <v>299</v>
      </c>
      <c r="PC47" s="389">
        <v>0.98</v>
      </c>
      <c r="PD47" s="389">
        <v>0.94299999999999995</v>
      </c>
      <c r="PE47" s="389">
        <v>0.96699999999999997</v>
      </c>
      <c r="PF47" s="389">
        <v>0.92300000000000004</v>
      </c>
      <c r="PG47" s="389">
        <v>0.93</v>
      </c>
      <c r="PH47" s="9">
        <v>293</v>
      </c>
      <c r="PI47" s="9">
        <v>282</v>
      </c>
      <c r="PJ47" s="9">
        <v>289</v>
      </c>
      <c r="PK47" s="9">
        <v>276</v>
      </c>
      <c r="PL47" s="9">
        <v>278</v>
      </c>
      <c r="PM47" s="9">
        <v>342</v>
      </c>
      <c r="PN47" s="389">
        <v>0.96799999999999997</v>
      </c>
      <c r="PO47" s="389">
        <v>0.94199999999999995</v>
      </c>
      <c r="PP47" s="389">
        <v>0.96799999999999997</v>
      </c>
      <c r="PQ47" s="389">
        <v>0.96499999999999997</v>
      </c>
      <c r="PR47" s="389">
        <v>0.97099999999999997</v>
      </c>
      <c r="PS47" s="389">
        <v>0.91800000000000004</v>
      </c>
      <c r="PT47" s="389">
        <v>0.93899999999999995</v>
      </c>
      <c r="PU47" s="389">
        <v>0.93899999999999995</v>
      </c>
      <c r="PV47" s="389">
        <v>0.97699999999999998</v>
      </c>
      <c r="PW47" s="389">
        <v>0.90400000000000003</v>
      </c>
      <c r="PX47" s="9">
        <v>331</v>
      </c>
      <c r="PY47" s="9">
        <v>322</v>
      </c>
      <c r="PZ47" s="9">
        <v>331</v>
      </c>
      <c r="QA47" s="9">
        <v>330</v>
      </c>
      <c r="QB47" s="9">
        <v>332</v>
      </c>
      <c r="QC47" s="9">
        <v>314</v>
      </c>
      <c r="QD47" s="9">
        <v>321</v>
      </c>
      <c r="QE47" s="9">
        <v>321</v>
      </c>
      <c r="QF47" s="9">
        <v>334</v>
      </c>
      <c r="QG47" s="6">
        <v>309</v>
      </c>
      <c r="QH47" s="37">
        <v>313</v>
      </c>
      <c r="QI47" s="17">
        <v>0.74440894568690097</v>
      </c>
      <c r="QJ47" s="17">
        <v>0.24920127795527156</v>
      </c>
      <c r="QK47" s="17">
        <v>0.7539936102236422</v>
      </c>
      <c r="QL47" s="37">
        <v>233</v>
      </c>
      <c r="QM47" s="37">
        <v>78</v>
      </c>
      <c r="QN47" s="37">
        <v>236</v>
      </c>
      <c r="QO47" s="37">
        <v>295</v>
      </c>
      <c r="QP47" s="17">
        <v>0.85423728813559319</v>
      </c>
      <c r="QQ47" s="17">
        <v>0.84745762711864403</v>
      </c>
      <c r="QR47" s="17">
        <v>0.71186440677966101</v>
      </c>
      <c r="QS47" s="17">
        <v>0.84745762711864403</v>
      </c>
      <c r="QT47" s="17">
        <v>0.62372881355932208</v>
      </c>
      <c r="QU47" s="37">
        <v>252</v>
      </c>
      <c r="QV47" s="37">
        <v>250</v>
      </c>
      <c r="QW47" s="37">
        <v>210</v>
      </c>
      <c r="QX47" s="37">
        <v>250</v>
      </c>
      <c r="QY47" s="37">
        <v>184</v>
      </c>
      <c r="QZ47" s="3">
        <v>335</v>
      </c>
      <c r="RA47" s="17">
        <v>0.9731343283582089</v>
      </c>
      <c r="RB47" s="17">
        <v>0.85373134328358213</v>
      </c>
      <c r="RC47" s="17">
        <v>0.9731343283582089</v>
      </c>
      <c r="RD47" s="17">
        <v>0.97014925373134331</v>
      </c>
      <c r="RE47" s="17">
        <v>0.70149253731343286</v>
      </c>
      <c r="RF47" s="17">
        <v>0.94328358208955221</v>
      </c>
      <c r="RG47" s="17">
        <v>0.94328358208955221</v>
      </c>
      <c r="RH47" s="17">
        <v>0.87164179104477613</v>
      </c>
      <c r="RI47" s="17">
        <v>0.70746268656716416</v>
      </c>
      <c r="RJ47" s="17">
        <v>0.68059701492537317</v>
      </c>
      <c r="RK47" s="37">
        <v>326</v>
      </c>
      <c r="RL47" s="37">
        <v>286</v>
      </c>
      <c r="RM47" s="37">
        <v>326</v>
      </c>
      <c r="RN47" s="37">
        <v>325</v>
      </c>
      <c r="RO47" s="37">
        <v>235</v>
      </c>
      <c r="RP47" s="37">
        <v>316</v>
      </c>
      <c r="RQ47" s="37">
        <v>316</v>
      </c>
      <c r="RR47" s="37">
        <v>292</v>
      </c>
      <c r="RS47" s="37">
        <v>237</v>
      </c>
      <c r="RT47" s="38">
        <v>228</v>
      </c>
    </row>
    <row r="48" spans="1:488" s="4" customFormat="1" ht="12.75" x14ac:dyDescent="0.2">
      <c r="A48" s="4" t="s">
        <v>41</v>
      </c>
      <c r="B48" s="7">
        <v>9</v>
      </c>
      <c r="C48" s="4" t="s">
        <v>163</v>
      </c>
      <c r="D48" s="4" t="s">
        <v>164</v>
      </c>
      <c r="E48" s="4" t="s">
        <v>286</v>
      </c>
      <c r="F48" s="4" t="s">
        <v>286</v>
      </c>
      <c r="G48" s="4" t="s">
        <v>165</v>
      </c>
      <c r="H48" s="4" t="s">
        <v>76</v>
      </c>
      <c r="I48" s="4" t="s">
        <v>82</v>
      </c>
      <c r="J48" s="4" t="s">
        <v>268</v>
      </c>
      <c r="K48" s="4" t="s">
        <v>372</v>
      </c>
      <c r="L48" s="4" t="s">
        <v>274</v>
      </c>
      <c r="M48" s="4" t="s">
        <v>334</v>
      </c>
      <c r="N48" s="4" t="s">
        <v>403</v>
      </c>
      <c r="O48" s="4">
        <v>493070</v>
      </c>
      <c r="P48" s="4">
        <v>100629</v>
      </c>
      <c r="Q48" s="110">
        <v>23269</v>
      </c>
      <c r="R48" s="110">
        <v>80374</v>
      </c>
      <c r="S48" s="311" t="s">
        <v>797</v>
      </c>
      <c r="T48" s="39">
        <v>13435</v>
      </c>
      <c r="U48" s="40">
        <v>13285</v>
      </c>
      <c r="V48" s="40">
        <v>13270</v>
      </c>
      <c r="W48" s="40">
        <v>13255</v>
      </c>
      <c r="X48" s="40">
        <v>13215</v>
      </c>
      <c r="Y48" s="40">
        <v>13290</v>
      </c>
      <c r="Z48" s="40">
        <v>13380</v>
      </c>
      <c r="AA48" s="40">
        <v>13845</v>
      </c>
      <c r="AB48" s="40">
        <v>14270</v>
      </c>
      <c r="AC48" s="40">
        <v>14475</v>
      </c>
      <c r="AD48" s="40">
        <v>14829</v>
      </c>
      <c r="AE48" s="39">
        <v>780</v>
      </c>
      <c r="AF48" s="40">
        <v>770</v>
      </c>
      <c r="AG48" s="40">
        <v>780</v>
      </c>
      <c r="AH48" s="40">
        <v>805</v>
      </c>
      <c r="AI48" s="40">
        <v>855</v>
      </c>
      <c r="AJ48" s="40">
        <v>870</v>
      </c>
      <c r="AK48" s="40">
        <v>900</v>
      </c>
      <c r="AL48" s="40">
        <v>960</v>
      </c>
      <c r="AM48" s="40">
        <v>1055</v>
      </c>
      <c r="AN48" s="40">
        <v>1032</v>
      </c>
      <c r="AO48" s="40">
        <v>1025</v>
      </c>
      <c r="AP48" s="14">
        <v>872</v>
      </c>
      <c r="AQ48" s="4">
        <v>712</v>
      </c>
      <c r="AR48" s="4">
        <v>101</v>
      </c>
      <c r="AS48" s="4">
        <v>25</v>
      </c>
      <c r="AT48" s="4">
        <v>25</v>
      </c>
      <c r="AU48" s="4">
        <v>5</v>
      </c>
      <c r="AV48" s="4">
        <v>4</v>
      </c>
      <c r="AW48" s="4">
        <v>160</v>
      </c>
      <c r="AX48" s="19">
        <v>0.8165137614678899</v>
      </c>
      <c r="AY48" s="20">
        <v>0.11582568807339449</v>
      </c>
      <c r="AZ48" s="20">
        <v>2.8669724770642203E-2</v>
      </c>
      <c r="BA48" s="20">
        <v>2.8669724770642203E-2</v>
      </c>
      <c r="BB48" s="20">
        <v>5.7339449541284407E-3</v>
      </c>
      <c r="BC48" s="20">
        <v>4.5871559633027525E-3</v>
      </c>
      <c r="BD48" s="20">
        <v>0.1834862385321101</v>
      </c>
      <c r="BE48" s="14">
        <v>1967</v>
      </c>
      <c r="BF48" s="4">
        <v>1849</v>
      </c>
      <c r="BG48" s="4">
        <v>118</v>
      </c>
      <c r="BH48" s="4">
        <v>101</v>
      </c>
      <c r="BI48" s="4">
        <v>17</v>
      </c>
      <c r="BJ48" s="20">
        <v>0.85593220338983056</v>
      </c>
      <c r="BK48" s="20">
        <v>0.1440677966101695</v>
      </c>
      <c r="BL48" s="14">
        <v>1591</v>
      </c>
      <c r="BM48" s="20">
        <v>0.55499685732243875</v>
      </c>
      <c r="BN48" s="20">
        <v>0.17284726587052168</v>
      </c>
      <c r="BO48" s="20">
        <v>0.27215587680703962</v>
      </c>
      <c r="BP48" s="39">
        <v>3821</v>
      </c>
      <c r="BQ48" s="40">
        <v>278</v>
      </c>
      <c r="BR48" s="40">
        <v>265</v>
      </c>
      <c r="BS48" s="40">
        <v>130</v>
      </c>
      <c r="BT48" s="40">
        <v>2858</v>
      </c>
      <c r="BU48" s="40">
        <v>1626</v>
      </c>
      <c r="BV48" s="20">
        <v>0.14206642066420663</v>
      </c>
      <c r="BW48" s="39">
        <v>778</v>
      </c>
      <c r="BX48" s="40">
        <v>1</v>
      </c>
      <c r="BY48" s="40">
        <v>284</v>
      </c>
      <c r="BZ48" s="40">
        <v>410</v>
      </c>
      <c r="CA48" s="40">
        <v>156</v>
      </c>
      <c r="CB48" s="41">
        <v>1629</v>
      </c>
      <c r="CC48" s="40">
        <v>681</v>
      </c>
      <c r="CD48" s="40">
        <v>544</v>
      </c>
      <c r="CE48" s="40">
        <v>132</v>
      </c>
      <c r="CF48" s="40">
        <v>137</v>
      </c>
      <c r="CG48" s="20">
        <v>0.19383259911894274</v>
      </c>
      <c r="CH48" s="94">
        <v>0.2011747430249633</v>
      </c>
      <c r="CI48" s="40">
        <v>145</v>
      </c>
      <c r="CJ48" s="40">
        <v>140</v>
      </c>
      <c r="CK48" s="40">
        <v>135</v>
      </c>
      <c r="CL48" s="40">
        <v>145</v>
      </c>
      <c r="CM48" s="40">
        <v>125</v>
      </c>
      <c r="CN48" s="40">
        <v>105</v>
      </c>
      <c r="CO48" s="39">
        <v>409</v>
      </c>
      <c r="CP48" s="40">
        <v>162</v>
      </c>
      <c r="CQ48" s="20">
        <v>0.39608801955990219</v>
      </c>
      <c r="CR48" s="41">
        <v>34</v>
      </c>
      <c r="CS48" s="40">
        <v>177</v>
      </c>
      <c r="CT48" s="40">
        <v>204</v>
      </c>
      <c r="CU48" s="40">
        <v>185</v>
      </c>
      <c r="CV48" s="40">
        <v>208</v>
      </c>
      <c r="CW48" s="40">
        <v>219</v>
      </c>
      <c r="CX48" s="527" t="s">
        <v>471</v>
      </c>
      <c r="CY48" s="569">
        <v>183</v>
      </c>
      <c r="CZ48" s="40">
        <v>16</v>
      </c>
      <c r="DA48" s="40">
        <v>8</v>
      </c>
      <c r="DB48" s="40">
        <v>15</v>
      </c>
      <c r="DC48" s="40">
        <v>12</v>
      </c>
      <c r="DD48" s="40">
        <v>15</v>
      </c>
      <c r="DE48" s="529" t="s">
        <v>471</v>
      </c>
      <c r="DF48" s="717">
        <v>4</v>
      </c>
      <c r="DG48" s="14">
        <v>25</v>
      </c>
      <c r="DH48" s="14">
        <v>10</v>
      </c>
      <c r="DI48" s="20">
        <v>4.5662100456621002E-2</v>
      </c>
      <c r="DJ48" s="20">
        <v>2.4989013068053595E-2</v>
      </c>
      <c r="DK48" s="20">
        <v>8.1999421430922537E-2</v>
      </c>
      <c r="DL48" s="426" t="s">
        <v>286</v>
      </c>
      <c r="DM48" s="260" t="s">
        <v>286</v>
      </c>
      <c r="DN48" s="260" t="s">
        <v>286</v>
      </c>
      <c r="DO48" s="260" t="s">
        <v>286</v>
      </c>
      <c r="DP48" s="338">
        <v>8</v>
      </c>
      <c r="DQ48" s="20">
        <v>4.3715846994535519E-2</v>
      </c>
      <c r="DR48" s="20">
        <v>2.2315352127696308E-2</v>
      </c>
      <c r="DS48" s="20">
        <v>8.3878738551799753E-2</v>
      </c>
      <c r="DT48" s="14">
        <v>17</v>
      </c>
      <c r="DU48" s="20">
        <v>1.9495412844036698E-2</v>
      </c>
      <c r="DV48" s="329">
        <v>1</v>
      </c>
      <c r="DW48" s="334">
        <v>1</v>
      </c>
      <c r="DX48" s="329">
        <v>2</v>
      </c>
      <c r="DY48" s="20">
        <v>0.21654021244309557</v>
      </c>
      <c r="DZ48" s="338">
        <v>2</v>
      </c>
      <c r="EA48" s="94">
        <v>0.21744926442851753</v>
      </c>
      <c r="EB48" s="4">
        <v>382</v>
      </c>
      <c r="EC48" s="20">
        <v>6.7694488747120321E-2</v>
      </c>
      <c r="ED48" s="14">
        <v>185</v>
      </c>
      <c r="EE48" s="4">
        <v>170</v>
      </c>
      <c r="EF48" s="4">
        <v>190</v>
      </c>
      <c r="EG48" s="4">
        <v>220</v>
      </c>
      <c r="EH48" s="4">
        <v>180</v>
      </c>
      <c r="EI48" s="7">
        <v>165</v>
      </c>
      <c r="EJ48" s="14">
        <v>170</v>
      </c>
      <c r="EK48" s="20">
        <v>0.21518987341772153</v>
      </c>
      <c r="EL48" s="20">
        <v>0.18794750390615364</v>
      </c>
      <c r="EM48" s="20">
        <v>0.24518867838834907</v>
      </c>
      <c r="EN48" s="4">
        <v>195</v>
      </c>
      <c r="EO48" s="20">
        <v>0.23780487804878048</v>
      </c>
      <c r="EP48" s="20">
        <v>0.20993010848671037</v>
      </c>
      <c r="EQ48" s="20">
        <v>0.2681248068175851</v>
      </c>
      <c r="ER48" s="4">
        <v>180</v>
      </c>
      <c r="ES48" s="20">
        <v>0.21052631578947367</v>
      </c>
      <c r="ET48" s="20">
        <v>0.1845248500851728</v>
      </c>
      <c r="EU48" s="20">
        <v>0.23911731935585281</v>
      </c>
      <c r="EV48" s="4">
        <v>200</v>
      </c>
      <c r="EW48" s="20">
        <v>0.21505376344086022</v>
      </c>
      <c r="EX48" s="20">
        <v>0.1898483850630254</v>
      </c>
      <c r="EY48" s="20">
        <v>0.24260345674177852</v>
      </c>
      <c r="EZ48" s="4">
        <v>220</v>
      </c>
      <c r="FA48" s="20">
        <v>0.22680412371134021</v>
      </c>
      <c r="FB48" s="20">
        <v>0.2015585983478673</v>
      </c>
      <c r="FC48" s="20">
        <v>0.25420497055808045</v>
      </c>
      <c r="FD48" s="338">
        <v>210</v>
      </c>
      <c r="FE48" s="20">
        <v>0.1990521327014218</v>
      </c>
      <c r="FF48" s="20">
        <v>0.17606902481455933</v>
      </c>
      <c r="FG48" s="20">
        <v>0.22421890808594883</v>
      </c>
      <c r="FH48" s="426" t="s">
        <v>286</v>
      </c>
      <c r="FI48" s="260" t="s">
        <v>286</v>
      </c>
      <c r="FJ48" s="260" t="s">
        <v>286</v>
      </c>
      <c r="FK48" s="260" t="s">
        <v>286</v>
      </c>
      <c r="FL48" s="39">
        <v>575</v>
      </c>
      <c r="FM48" s="20">
        <v>0.22417153996101363</v>
      </c>
      <c r="FN48" s="40">
        <v>585</v>
      </c>
      <c r="FO48" s="20">
        <v>0.22941176470588234</v>
      </c>
      <c r="FP48" s="40">
        <v>540</v>
      </c>
      <c r="FQ48" s="20">
        <v>0.2125984251968504</v>
      </c>
      <c r="FR48" s="40">
        <v>535</v>
      </c>
      <c r="FS48" s="20">
        <v>0.20150659133709981</v>
      </c>
      <c r="FT48" s="40">
        <v>515</v>
      </c>
      <c r="FU48" s="20">
        <v>0.18864468864468864</v>
      </c>
      <c r="FV48" s="40">
        <v>505</v>
      </c>
      <c r="FW48" s="20">
        <v>0.17719298245614035</v>
      </c>
      <c r="FX48" s="64" t="s">
        <v>286</v>
      </c>
      <c r="FY48" s="261" t="s">
        <v>286</v>
      </c>
      <c r="FZ48" s="4">
        <v>200</v>
      </c>
      <c r="GA48" s="4">
        <v>7</v>
      </c>
      <c r="GB48" s="4">
        <v>193</v>
      </c>
      <c r="GC48" s="20">
        <v>0.96499999999999997</v>
      </c>
      <c r="GD48" s="4">
        <v>79</v>
      </c>
      <c r="GE48" s="4">
        <v>93</v>
      </c>
      <c r="GF48" s="20">
        <v>0.40932642487046633</v>
      </c>
      <c r="GG48" s="20">
        <v>0.48186528497409326</v>
      </c>
      <c r="GH48" s="20">
        <v>0.34238121808503996</v>
      </c>
      <c r="GI48" s="20">
        <v>0.47981083887852871</v>
      </c>
      <c r="GJ48" s="20">
        <v>0.41241407003029495</v>
      </c>
      <c r="GK48" s="94">
        <v>0.55202434136241874</v>
      </c>
      <c r="GL48" s="338">
        <v>209</v>
      </c>
      <c r="GM48" s="338">
        <v>64</v>
      </c>
      <c r="GN48" s="338">
        <v>31</v>
      </c>
      <c r="GO48" s="338">
        <v>95</v>
      </c>
      <c r="GP48" s="20">
        <v>0.30622009569377989</v>
      </c>
      <c r="GQ48" s="20">
        <v>0.45454545454545453</v>
      </c>
      <c r="GR48" s="20">
        <v>0.24769644721436151</v>
      </c>
      <c r="GS48" s="20">
        <v>0.37173859871699755</v>
      </c>
      <c r="GT48" s="20">
        <v>0.38846669222114139</v>
      </c>
      <c r="GU48" s="94">
        <v>0.52226498521954778</v>
      </c>
      <c r="GV48" s="40">
        <v>190</v>
      </c>
      <c r="GW48" s="40">
        <v>21</v>
      </c>
      <c r="GX48" s="40">
        <v>169</v>
      </c>
      <c r="GY48" s="20">
        <f t="shared" si="2"/>
        <v>0.88947368421052631</v>
      </c>
      <c r="GZ48" s="40">
        <v>61</v>
      </c>
      <c r="HA48" s="40">
        <v>28</v>
      </c>
      <c r="HB48" s="40">
        <v>89</v>
      </c>
      <c r="HC48" s="20">
        <v>0.36094674556213019</v>
      </c>
      <c r="HD48" s="20">
        <v>0.52662721893491127</v>
      </c>
      <c r="HE48" s="20">
        <v>0.29237038561229722</v>
      </c>
      <c r="HF48" s="20">
        <v>0.43570411502728695</v>
      </c>
      <c r="HG48" s="20">
        <v>0.45159802839319757</v>
      </c>
      <c r="HH48" s="94">
        <v>0.60047281190986079</v>
      </c>
      <c r="HI48" s="699">
        <v>153</v>
      </c>
      <c r="HJ48" s="699">
        <v>1</v>
      </c>
      <c r="HK48" s="699">
        <v>152</v>
      </c>
      <c r="HL48" s="700">
        <v>0.99346405228758172</v>
      </c>
      <c r="HM48" s="699">
        <v>52</v>
      </c>
      <c r="HN48" s="699">
        <v>22</v>
      </c>
      <c r="HO48" s="699">
        <v>74</v>
      </c>
      <c r="HP48" s="700">
        <v>0.34210526315789475</v>
      </c>
      <c r="HQ48" s="700">
        <v>0.48684210526315791</v>
      </c>
      <c r="HR48" s="700">
        <v>0.27141142849952499</v>
      </c>
      <c r="HS48" s="700">
        <v>0.42058324119086105</v>
      </c>
      <c r="HT48" s="700">
        <v>0.40869170715931197</v>
      </c>
      <c r="HU48" s="701">
        <v>0.56564118198155355</v>
      </c>
      <c r="HV48" s="4">
        <v>132</v>
      </c>
      <c r="HW48" s="4">
        <v>14</v>
      </c>
      <c r="HX48" s="20">
        <v>0.106</v>
      </c>
      <c r="HY48" s="20">
        <v>6.4000000000000001E-2</v>
      </c>
      <c r="HZ48" s="20">
        <v>0.17</v>
      </c>
      <c r="IA48" s="266" t="s">
        <v>707</v>
      </c>
      <c r="IB48" s="4">
        <v>141</v>
      </c>
      <c r="IC48" s="4">
        <v>14</v>
      </c>
      <c r="ID48" s="20">
        <v>9.9000000000000005E-2</v>
      </c>
      <c r="IE48" s="20">
        <v>0.06</v>
      </c>
      <c r="IF48" s="20">
        <v>0.16</v>
      </c>
      <c r="IG48" s="4" t="s">
        <v>707</v>
      </c>
      <c r="IH48" s="4">
        <v>157</v>
      </c>
      <c r="II48" s="4">
        <v>23</v>
      </c>
      <c r="IJ48" s="20">
        <v>0.1464968152866242</v>
      </c>
      <c r="IK48" s="20">
        <v>9.9644421057218227E-2</v>
      </c>
      <c r="IL48" s="20">
        <v>0.21023500422365618</v>
      </c>
      <c r="IM48" s="4" t="s">
        <v>709</v>
      </c>
      <c r="IN48" s="4">
        <v>177</v>
      </c>
      <c r="IO48" s="4">
        <v>17</v>
      </c>
      <c r="IP48" s="20">
        <v>9.6045197740112997E-2</v>
      </c>
      <c r="IQ48" s="20">
        <v>6.0832403068680117E-2</v>
      </c>
      <c r="IR48" s="20">
        <v>0.14841971791876588</v>
      </c>
      <c r="IS48" s="4" t="s">
        <v>707</v>
      </c>
      <c r="IT48" s="4">
        <v>141</v>
      </c>
      <c r="IU48" s="4">
        <v>10</v>
      </c>
      <c r="IV48" s="20">
        <v>7.0921985815602842E-2</v>
      </c>
      <c r="IW48" s="20">
        <v>3.897663408844456E-2</v>
      </c>
      <c r="IX48" s="20">
        <v>0.12562719560791713</v>
      </c>
      <c r="IY48" s="4" t="s">
        <v>707</v>
      </c>
      <c r="IZ48" s="4">
        <v>165</v>
      </c>
      <c r="JA48" s="4">
        <v>13</v>
      </c>
      <c r="JB48" s="20">
        <v>7.8787878787878782E-2</v>
      </c>
      <c r="JC48" s="20">
        <v>4.6619841145313409E-2</v>
      </c>
      <c r="JD48" s="20">
        <v>0.13012264277497235</v>
      </c>
      <c r="JE48" s="4" t="str">
        <f t="shared" si="0"/>
        <v>No Sig diff</v>
      </c>
      <c r="JF48" s="4">
        <v>166</v>
      </c>
      <c r="JG48" s="110">
        <v>13</v>
      </c>
      <c r="JH48" s="260">
        <v>7.8313253012048195E-2</v>
      </c>
      <c r="JI48" s="260">
        <v>4.6335453531704554E-2</v>
      </c>
      <c r="JJ48" s="260">
        <v>0.12936639822993448</v>
      </c>
      <c r="JK48" s="663" t="str">
        <f t="shared" si="3"/>
        <v>No Sig diff</v>
      </c>
      <c r="JL48" s="4">
        <v>155</v>
      </c>
      <c r="JM48" s="4">
        <v>33</v>
      </c>
      <c r="JN48" s="20">
        <v>0.2129032258064516</v>
      </c>
      <c r="JO48" s="20">
        <v>0.15580823566402421</v>
      </c>
      <c r="JP48" s="20">
        <v>0.28388464640358285</v>
      </c>
      <c r="JQ48" s="4" t="s">
        <v>707</v>
      </c>
      <c r="JR48" s="4">
        <v>124</v>
      </c>
      <c r="JS48" s="4">
        <v>25</v>
      </c>
      <c r="JT48" s="20">
        <v>0.20161290322580644</v>
      </c>
      <c r="JU48" s="20">
        <v>0.14045648042948655</v>
      </c>
      <c r="JV48" s="20">
        <v>0.28070156420930498</v>
      </c>
      <c r="JW48" s="4" t="s">
        <v>707</v>
      </c>
      <c r="JX48" s="4">
        <v>114</v>
      </c>
      <c r="JY48" s="4">
        <v>22</v>
      </c>
      <c r="JZ48" s="20">
        <v>0.19298245614035087</v>
      </c>
      <c r="KA48" s="20">
        <v>0.13103892161535791</v>
      </c>
      <c r="KB48" s="20">
        <v>0.27494263444708866</v>
      </c>
      <c r="KC48" s="4" t="s">
        <v>707</v>
      </c>
      <c r="KD48" s="4">
        <v>112</v>
      </c>
      <c r="KE48" s="4">
        <v>20</v>
      </c>
      <c r="KF48" s="20">
        <v>0.17857142857142858</v>
      </c>
      <c r="KG48" s="20">
        <v>0.11867660544910416</v>
      </c>
      <c r="KH48" s="20">
        <v>0.25978426052250259</v>
      </c>
      <c r="KI48" s="4" t="s">
        <v>707</v>
      </c>
      <c r="KJ48" s="4">
        <v>155</v>
      </c>
      <c r="KK48" s="4">
        <v>40</v>
      </c>
      <c r="KL48" s="20">
        <v>0.25806451612903225</v>
      </c>
      <c r="KM48" s="20">
        <v>0.19561676753450549</v>
      </c>
      <c r="KN48" s="20">
        <v>0.33221431285954539</v>
      </c>
      <c r="KO48" s="466" t="s">
        <v>709</v>
      </c>
      <c r="KP48" s="466">
        <v>128</v>
      </c>
      <c r="KQ48" s="466">
        <v>36</v>
      </c>
      <c r="KR48" s="20">
        <v>0.28125</v>
      </c>
      <c r="KS48" s="20">
        <v>0.21061322708681729</v>
      </c>
      <c r="KT48" s="20">
        <v>0.36463419128284263</v>
      </c>
      <c r="KU48" s="466" t="s">
        <v>709</v>
      </c>
      <c r="KV48" s="466">
        <v>146</v>
      </c>
      <c r="KW48" s="466">
        <v>30</v>
      </c>
      <c r="KX48" s="20">
        <v>0.20547945205479451</v>
      </c>
      <c r="KY48" s="20">
        <v>0.14789617331996002</v>
      </c>
      <c r="KZ48" s="20">
        <v>0.27816387256553277</v>
      </c>
      <c r="LA48" s="661" t="str">
        <f t="shared" si="4"/>
        <v>No Sig diff</v>
      </c>
      <c r="LB48" s="4">
        <v>174</v>
      </c>
      <c r="LC48" s="4">
        <v>66</v>
      </c>
      <c r="LD48" s="20">
        <v>0.37931034482758619</v>
      </c>
      <c r="LE48" s="20">
        <v>0.31055707756930351</v>
      </c>
      <c r="LF48" s="20">
        <v>0.45327751826391088</v>
      </c>
      <c r="LG48" s="4">
        <v>174</v>
      </c>
      <c r="LH48" s="4">
        <v>31</v>
      </c>
      <c r="LI48" s="4">
        <v>34</v>
      </c>
      <c r="LJ48" s="295">
        <v>19.382352941176478</v>
      </c>
      <c r="LK48" s="20">
        <v>0.37476280834914588</v>
      </c>
      <c r="LL48" s="4">
        <v>199</v>
      </c>
      <c r="LM48" s="4">
        <v>88</v>
      </c>
      <c r="LN48" s="20">
        <v>0.44221105527638194</v>
      </c>
      <c r="LO48" s="20">
        <v>0.37494971073800898</v>
      </c>
      <c r="LP48" s="20">
        <v>0.5116612408213006</v>
      </c>
      <c r="LQ48" s="4">
        <v>199</v>
      </c>
      <c r="LR48" s="4">
        <v>33</v>
      </c>
      <c r="LS48" s="4">
        <v>39</v>
      </c>
      <c r="LT48" s="295">
        <v>20.333333333333332</v>
      </c>
      <c r="LU48" s="20">
        <v>0.38383838383838387</v>
      </c>
      <c r="LV48" s="40">
        <v>184</v>
      </c>
      <c r="LW48" s="40">
        <v>93</v>
      </c>
      <c r="LX48" s="20">
        <v>0.50543478260869568</v>
      </c>
      <c r="LY48" s="20">
        <v>0.43382508794978164</v>
      </c>
      <c r="LZ48" s="20">
        <v>0.57682218881519032</v>
      </c>
      <c r="MA48" s="338">
        <v>33</v>
      </c>
      <c r="MB48" s="338">
        <v>36</v>
      </c>
      <c r="MC48" s="295">
        <v>18.100000000000001</v>
      </c>
      <c r="MD48" s="20">
        <v>0.45200000000000001</v>
      </c>
      <c r="ME48" s="338">
        <v>190</v>
      </c>
      <c r="MF48" s="338">
        <v>117</v>
      </c>
      <c r="MG48" s="20">
        <v>0.61578947368421055</v>
      </c>
      <c r="MH48" s="20">
        <v>0.54498240320636537</v>
      </c>
      <c r="MI48" s="20">
        <v>0.68200722155033111</v>
      </c>
      <c r="MJ48" s="338">
        <v>34</v>
      </c>
      <c r="MK48" s="338">
        <v>38</v>
      </c>
      <c r="ML48" s="295">
        <v>20.394736842105264</v>
      </c>
      <c r="MM48" s="94">
        <v>0.40015479876160986</v>
      </c>
      <c r="MN48" s="20">
        <v>0.80888710055376711</v>
      </c>
      <c r="MO48" s="20">
        <v>0.1911128994462328</v>
      </c>
      <c r="MP48" s="20">
        <v>0.12559204496833837</v>
      </c>
      <c r="MQ48" s="20">
        <v>0.27354270907748762</v>
      </c>
      <c r="MR48" s="20">
        <v>0.8403833820500487</v>
      </c>
      <c r="MS48" s="20">
        <v>0.1596166179499513</v>
      </c>
      <c r="MT48" s="20">
        <v>0.11019873582848602</v>
      </c>
      <c r="MU48" s="20">
        <v>0.25251994270496581</v>
      </c>
      <c r="MV48" s="20">
        <v>0.85686689853356524</v>
      </c>
      <c r="MW48" s="20">
        <v>0.14313310146643482</v>
      </c>
      <c r="MX48" s="20">
        <v>9.5097773135579794E-2</v>
      </c>
      <c r="MY48" s="20">
        <v>0.23120482988549781</v>
      </c>
      <c r="MZ48" s="20">
        <v>0.65537163453830127</v>
      </c>
      <c r="NA48" s="20">
        <v>0.34462836546169878</v>
      </c>
      <c r="NB48" s="20">
        <v>0.26503550667530684</v>
      </c>
      <c r="NC48" s="94">
        <v>0.44363588922569969</v>
      </c>
      <c r="ND48" s="338">
        <v>13</v>
      </c>
      <c r="NE48" s="338">
        <v>104</v>
      </c>
      <c r="NF48" s="20">
        <v>0.125</v>
      </c>
      <c r="NG48" s="20">
        <v>7.4526025237809115E-2</v>
      </c>
      <c r="NH48" s="20">
        <v>0.20218999054152978</v>
      </c>
      <c r="NI48" s="338">
        <v>8</v>
      </c>
      <c r="NJ48" s="338">
        <v>105</v>
      </c>
      <c r="NK48" s="20">
        <v>7.6190476190476197E-2</v>
      </c>
      <c r="NL48" s="20">
        <v>3.9110652430768944E-2</v>
      </c>
      <c r="NM48" s="20">
        <v>0.14318623182342891</v>
      </c>
      <c r="NN48" s="338">
        <v>10</v>
      </c>
      <c r="NO48" s="338">
        <v>104</v>
      </c>
      <c r="NP48" s="20">
        <v>9.6153846153846159E-2</v>
      </c>
      <c r="NQ48" s="20">
        <v>5.3069968681280236E-2</v>
      </c>
      <c r="NR48" s="20">
        <v>0.1680088175426232</v>
      </c>
      <c r="NS48" s="338">
        <v>26</v>
      </c>
      <c r="NT48" s="338">
        <v>104</v>
      </c>
      <c r="NU48" s="20">
        <v>0.25</v>
      </c>
      <c r="NV48" s="20">
        <v>0.17669640355383198</v>
      </c>
      <c r="NW48" s="94">
        <v>0.34111427363239394</v>
      </c>
      <c r="NX48" s="4">
        <v>55</v>
      </c>
      <c r="NY48" s="4">
        <v>53</v>
      </c>
      <c r="NZ48" s="4">
        <v>54</v>
      </c>
      <c r="OA48" s="4">
        <v>53</v>
      </c>
      <c r="OB48" s="4">
        <v>54</v>
      </c>
      <c r="OC48" s="4">
        <v>50</v>
      </c>
      <c r="OD48" s="4">
        <v>46</v>
      </c>
      <c r="OE48" s="4">
        <v>44</v>
      </c>
      <c r="OF48" s="4">
        <v>46</v>
      </c>
      <c r="OG48" s="4">
        <v>44</v>
      </c>
      <c r="OH48" s="4">
        <v>45</v>
      </c>
      <c r="OI48" s="4">
        <v>45</v>
      </c>
      <c r="OJ48" s="4">
        <v>45</v>
      </c>
      <c r="OK48" s="4">
        <v>49</v>
      </c>
      <c r="OL48" s="4">
        <v>42</v>
      </c>
      <c r="OM48" s="4">
        <v>44</v>
      </c>
      <c r="ON48" s="4">
        <v>39</v>
      </c>
      <c r="OO48" s="4">
        <v>44</v>
      </c>
      <c r="OP48" s="4">
        <v>45</v>
      </c>
      <c r="OQ48" s="4">
        <v>41</v>
      </c>
      <c r="OR48" s="4">
        <v>45</v>
      </c>
      <c r="OS48" s="4">
        <v>41</v>
      </c>
      <c r="OT48" s="7">
        <v>47</v>
      </c>
      <c r="OU48" s="4">
        <v>139</v>
      </c>
      <c r="OV48" s="23">
        <v>0.97799999999999998</v>
      </c>
      <c r="OW48" s="23">
        <v>1.4E-2</v>
      </c>
      <c r="OX48" s="23">
        <v>0.97099999999999997</v>
      </c>
      <c r="OY48" s="4">
        <v>136</v>
      </c>
      <c r="OZ48" s="4">
        <v>2</v>
      </c>
      <c r="PA48" s="4">
        <v>135</v>
      </c>
      <c r="PB48" s="4">
        <v>174</v>
      </c>
      <c r="PC48" s="23">
        <v>0.97099999999999997</v>
      </c>
      <c r="PD48" s="23">
        <v>0.95399999999999996</v>
      </c>
      <c r="PE48" s="23">
        <v>0.97699999999999998</v>
      </c>
      <c r="PF48" s="23">
        <v>0.94799999999999995</v>
      </c>
      <c r="PG48" s="23">
        <v>0.95399999999999996</v>
      </c>
      <c r="PH48" s="4">
        <v>169</v>
      </c>
      <c r="PI48" s="4">
        <v>166</v>
      </c>
      <c r="PJ48" s="4">
        <v>170</v>
      </c>
      <c r="PK48" s="4">
        <v>165</v>
      </c>
      <c r="PL48" s="4">
        <v>166</v>
      </c>
      <c r="PM48" s="4">
        <v>149</v>
      </c>
      <c r="PN48" s="23">
        <v>0.97299999999999998</v>
      </c>
      <c r="PO48" s="23">
        <v>0.96</v>
      </c>
      <c r="PP48" s="23">
        <v>0.97299999999999998</v>
      </c>
      <c r="PQ48" s="23">
        <v>0.97299999999999998</v>
      </c>
      <c r="PR48" s="23">
        <v>0.95299999999999996</v>
      </c>
      <c r="PS48" s="23">
        <v>0.95299999999999996</v>
      </c>
      <c r="PT48" s="23">
        <v>0.95299999999999996</v>
      </c>
      <c r="PU48" s="23">
        <v>0.94</v>
      </c>
      <c r="PV48" s="23">
        <v>0.95299999999999996</v>
      </c>
      <c r="PW48" s="23">
        <v>0.94</v>
      </c>
      <c r="PX48" s="4">
        <v>145</v>
      </c>
      <c r="PY48" s="4">
        <v>143</v>
      </c>
      <c r="PZ48" s="4">
        <v>145</v>
      </c>
      <c r="QA48" s="4">
        <v>145</v>
      </c>
      <c r="QB48" s="4">
        <v>142</v>
      </c>
      <c r="QC48" s="4">
        <v>142</v>
      </c>
      <c r="QD48" s="4">
        <v>142</v>
      </c>
      <c r="QE48" s="4">
        <v>140</v>
      </c>
      <c r="QF48" s="4">
        <v>142</v>
      </c>
      <c r="QG48" s="7">
        <v>140</v>
      </c>
      <c r="QH48" s="40">
        <v>154</v>
      </c>
      <c r="QI48" s="20">
        <v>0.90259740259740262</v>
      </c>
      <c r="QJ48" s="20">
        <v>0.21428571428571427</v>
      </c>
      <c r="QK48" s="20">
        <v>0.90909090909090906</v>
      </c>
      <c r="QL48" s="40">
        <v>139</v>
      </c>
      <c r="QM48" s="40">
        <v>33</v>
      </c>
      <c r="QN48" s="40">
        <v>140</v>
      </c>
      <c r="QO48" s="40">
        <v>139</v>
      </c>
      <c r="QP48" s="20">
        <v>0.97122302158273377</v>
      </c>
      <c r="QQ48" s="20">
        <v>0.92805755395683454</v>
      </c>
      <c r="QR48" s="20">
        <v>0.76978417266187049</v>
      </c>
      <c r="QS48" s="20">
        <v>0.92805755395683454</v>
      </c>
      <c r="QT48" s="20">
        <v>0.74820143884892087</v>
      </c>
      <c r="QU48" s="40">
        <v>135</v>
      </c>
      <c r="QV48" s="40">
        <v>129</v>
      </c>
      <c r="QW48" s="40">
        <v>107</v>
      </c>
      <c r="QX48" s="40">
        <v>129</v>
      </c>
      <c r="QY48" s="40">
        <v>104</v>
      </c>
      <c r="QZ48" s="4">
        <v>144</v>
      </c>
      <c r="RA48" s="20">
        <v>0.97222222222222221</v>
      </c>
      <c r="RB48" s="20">
        <v>0.92361111111111116</v>
      </c>
      <c r="RC48" s="20">
        <v>0.97222222222222221</v>
      </c>
      <c r="RD48" s="20">
        <v>0.97222222222222221</v>
      </c>
      <c r="RE48" s="20">
        <v>0.74305555555555558</v>
      </c>
      <c r="RF48" s="20">
        <v>0.95138888888888884</v>
      </c>
      <c r="RG48" s="20">
        <v>0.98611111111111116</v>
      </c>
      <c r="RH48" s="20">
        <v>0.93055555555555558</v>
      </c>
      <c r="RI48" s="20">
        <v>0.74305555555555558</v>
      </c>
      <c r="RJ48" s="20">
        <v>0.74305555555555558</v>
      </c>
      <c r="RK48" s="40">
        <v>140</v>
      </c>
      <c r="RL48" s="40">
        <v>133</v>
      </c>
      <c r="RM48" s="40">
        <v>140</v>
      </c>
      <c r="RN48" s="40">
        <v>140</v>
      </c>
      <c r="RO48" s="40">
        <v>107</v>
      </c>
      <c r="RP48" s="40">
        <v>137</v>
      </c>
      <c r="RQ48" s="40">
        <v>142</v>
      </c>
      <c r="RR48" s="40">
        <v>134</v>
      </c>
      <c r="RS48" s="40">
        <v>107</v>
      </c>
      <c r="RT48" s="41">
        <v>107</v>
      </c>
    </row>
    <row r="49" spans="1:488" s="3" customFormat="1" ht="12.75" x14ac:dyDescent="0.2">
      <c r="A49" s="9" t="s">
        <v>113</v>
      </c>
      <c r="B49" s="6">
        <v>1</v>
      </c>
      <c r="C49" s="9" t="s">
        <v>286</v>
      </c>
      <c r="D49" s="9" t="s">
        <v>286</v>
      </c>
      <c r="E49" s="9" t="s">
        <v>286</v>
      </c>
      <c r="F49" s="9" t="s">
        <v>286</v>
      </c>
      <c r="G49" s="9" t="s">
        <v>286</v>
      </c>
      <c r="H49" s="9" t="s">
        <v>73</v>
      </c>
      <c r="I49" s="9" t="s">
        <v>398</v>
      </c>
      <c r="J49" s="9" t="s">
        <v>268</v>
      </c>
      <c r="K49" s="9" t="s">
        <v>286</v>
      </c>
      <c r="L49" s="9" t="s">
        <v>286</v>
      </c>
      <c r="M49" s="9" t="s">
        <v>286</v>
      </c>
      <c r="N49" s="9" t="s">
        <v>400</v>
      </c>
      <c r="O49" s="109" t="s">
        <v>286</v>
      </c>
      <c r="P49" s="109" t="s">
        <v>286</v>
      </c>
      <c r="Q49" s="109" t="s">
        <v>286</v>
      </c>
      <c r="R49" s="109" t="s">
        <v>286</v>
      </c>
      <c r="S49" s="109" t="s">
        <v>286</v>
      </c>
      <c r="T49" s="36">
        <v>27205</v>
      </c>
      <c r="U49" s="37">
        <v>27465</v>
      </c>
      <c r="V49" s="37">
        <v>27495</v>
      </c>
      <c r="W49" s="37">
        <v>27515</v>
      </c>
      <c r="X49" s="37">
        <v>27770</v>
      </c>
      <c r="Y49" s="37">
        <v>27820</v>
      </c>
      <c r="Z49" s="37">
        <v>27855</v>
      </c>
      <c r="AA49" s="37">
        <v>28125</v>
      </c>
      <c r="AB49" s="37">
        <v>28580</v>
      </c>
      <c r="AC49" s="42">
        <v>28885</v>
      </c>
      <c r="AD49" s="42">
        <v>28977</v>
      </c>
      <c r="AE49" s="36">
        <v>1455</v>
      </c>
      <c r="AF49" s="37">
        <v>1510</v>
      </c>
      <c r="AG49" s="37">
        <v>1510</v>
      </c>
      <c r="AH49" s="37">
        <v>1565</v>
      </c>
      <c r="AI49" s="37">
        <v>1590</v>
      </c>
      <c r="AJ49" s="37">
        <v>1630</v>
      </c>
      <c r="AK49" s="37">
        <v>1710</v>
      </c>
      <c r="AL49" s="37">
        <v>1770</v>
      </c>
      <c r="AM49" s="37">
        <v>1825</v>
      </c>
      <c r="AN49" s="42">
        <v>1880</v>
      </c>
      <c r="AO49" s="42">
        <v>1912</v>
      </c>
      <c r="AP49" s="13">
        <v>1696</v>
      </c>
      <c r="AQ49" s="3">
        <v>1517</v>
      </c>
      <c r="AR49" s="3">
        <v>34</v>
      </c>
      <c r="AS49" s="3">
        <v>69</v>
      </c>
      <c r="AT49" s="3">
        <v>50</v>
      </c>
      <c r="AU49" s="3">
        <v>6</v>
      </c>
      <c r="AV49" s="3">
        <v>20</v>
      </c>
      <c r="AW49" s="9">
        <v>179</v>
      </c>
      <c r="AX49" s="16">
        <v>0.8944575471698113</v>
      </c>
      <c r="AY49" s="17">
        <v>2.0047169811320754E-2</v>
      </c>
      <c r="AZ49" s="17">
        <v>4.0683962264150941E-2</v>
      </c>
      <c r="BA49" s="17">
        <v>2.9481132075471699E-2</v>
      </c>
      <c r="BB49" s="17">
        <v>3.5377358490566039E-3</v>
      </c>
      <c r="BC49" s="17">
        <v>1.179245283018868E-2</v>
      </c>
      <c r="BD49" s="18">
        <v>0.1055424528301887</v>
      </c>
      <c r="BE49" s="13">
        <v>4052</v>
      </c>
      <c r="BF49" s="3">
        <v>3973</v>
      </c>
      <c r="BG49" s="3">
        <v>79</v>
      </c>
      <c r="BH49" s="3">
        <v>73</v>
      </c>
      <c r="BI49" s="3">
        <v>6</v>
      </c>
      <c r="BJ49" s="17">
        <v>0.92405063291139244</v>
      </c>
      <c r="BK49" s="18">
        <v>7.5949367088607597E-2</v>
      </c>
      <c r="BL49" s="36">
        <v>3208</v>
      </c>
      <c r="BM49" s="17">
        <v>0.5960099750623441</v>
      </c>
      <c r="BN49" s="17">
        <v>0.20511221945137156</v>
      </c>
      <c r="BO49" s="18">
        <v>0.19887780548628428</v>
      </c>
      <c r="BP49" s="36">
        <v>8149</v>
      </c>
      <c r="BQ49" s="37">
        <v>555</v>
      </c>
      <c r="BR49" s="37">
        <v>572</v>
      </c>
      <c r="BS49" s="37">
        <v>212</v>
      </c>
      <c r="BT49" s="37">
        <v>5787</v>
      </c>
      <c r="BU49" s="37">
        <v>3366</v>
      </c>
      <c r="BV49" s="18">
        <v>0.11913250148544266</v>
      </c>
      <c r="BW49" s="36">
        <v>1740</v>
      </c>
      <c r="BX49" s="37">
        <v>4</v>
      </c>
      <c r="BY49" s="37">
        <v>585</v>
      </c>
      <c r="BZ49" s="37">
        <v>790</v>
      </c>
      <c r="CA49" s="37">
        <v>259</v>
      </c>
      <c r="CB49" s="38">
        <v>3378</v>
      </c>
      <c r="CC49" s="37">
        <v>1346</v>
      </c>
      <c r="CD49" s="37">
        <v>1065</v>
      </c>
      <c r="CE49" s="37">
        <v>279</v>
      </c>
      <c r="CF49" s="37">
        <v>281</v>
      </c>
      <c r="CG49" s="17">
        <v>0.2072808320950966</v>
      </c>
      <c r="CH49" s="93">
        <v>0.20876671619613671</v>
      </c>
      <c r="CI49" s="37">
        <v>270</v>
      </c>
      <c r="CJ49" s="37">
        <v>220</v>
      </c>
      <c r="CK49" s="37">
        <v>220</v>
      </c>
      <c r="CL49" s="37">
        <v>195</v>
      </c>
      <c r="CM49" s="42">
        <v>210</v>
      </c>
      <c r="CN49" s="42">
        <v>170</v>
      </c>
      <c r="CO49" s="36">
        <v>789</v>
      </c>
      <c r="CP49" s="37">
        <v>307</v>
      </c>
      <c r="CQ49" s="17">
        <v>0.38910012674271227</v>
      </c>
      <c r="CR49" s="38">
        <v>64</v>
      </c>
      <c r="CS49" s="107">
        <v>257</v>
      </c>
      <c r="CT49" s="107">
        <v>294</v>
      </c>
      <c r="CU49" s="107">
        <v>274</v>
      </c>
      <c r="CV49" s="107">
        <v>316</v>
      </c>
      <c r="CW49" s="107">
        <v>317</v>
      </c>
      <c r="CX49" s="528" t="s">
        <v>471</v>
      </c>
      <c r="CY49" s="568">
        <v>372</v>
      </c>
      <c r="CZ49" s="37">
        <v>17</v>
      </c>
      <c r="DA49" s="37">
        <v>13</v>
      </c>
      <c r="DB49" s="37">
        <v>12</v>
      </c>
      <c r="DC49" s="37">
        <v>11</v>
      </c>
      <c r="DD49" s="37">
        <v>13</v>
      </c>
      <c r="DE49" s="534" t="s">
        <v>471</v>
      </c>
      <c r="DF49" s="716">
        <v>14</v>
      </c>
      <c r="DG49" s="13">
        <v>24</v>
      </c>
      <c r="DH49" s="13">
        <v>21</v>
      </c>
      <c r="DI49" s="17">
        <v>6.6246056782334389E-2</v>
      </c>
      <c r="DJ49" s="17">
        <v>4.373390669612897E-2</v>
      </c>
      <c r="DK49" s="18">
        <v>9.9144943777846523E-2</v>
      </c>
      <c r="DL49" s="425" t="s">
        <v>286</v>
      </c>
      <c r="DM49" s="258" t="s">
        <v>286</v>
      </c>
      <c r="DN49" s="258" t="s">
        <v>286</v>
      </c>
      <c r="DO49" s="258" t="s">
        <v>286</v>
      </c>
      <c r="DP49" s="337">
        <v>31</v>
      </c>
      <c r="DQ49" s="393">
        <v>8.3333333333333329E-2</v>
      </c>
      <c r="DR49" s="393">
        <v>5.932717089629206E-2</v>
      </c>
      <c r="DS49" s="393">
        <v>0.11585695867602762</v>
      </c>
      <c r="DT49" s="13">
        <v>48</v>
      </c>
      <c r="DU49" s="18">
        <v>2.8301886792452831E-2</v>
      </c>
      <c r="DV49" s="368" t="s">
        <v>286</v>
      </c>
      <c r="DW49" s="369" t="s">
        <v>286</v>
      </c>
      <c r="DX49" s="420" t="s">
        <v>286</v>
      </c>
      <c r="DY49" s="420" t="s">
        <v>286</v>
      </c>
      <c r="DZ49" s="420" t="s">
        <v>286</v>
      </c>
      <c r="EA49" s="369" t="s">
        <v>286</v>
      </c>
      <c r="EB49" s="3">
        <v>645</v>
      </c>
      <c r="EC49" s="18">
        <v>5.3580328958298722E-2</v>
      </c>
      <c r="ED49" s="13">
        <v>380</v>
      </c>
      <c r="EE49" s="3">
        <v>375</v>
      </c>
      <c r="EF49" s="3">
        <v>370</v>
      </c>
      <c r="EG49" s="3">
        <v>340</v>
      </c>
      <c r="EH49" s="9">
        <v>295</v>
      </c>
      <c r="EI49" s="9">
        <v>285</v>
      </c>
      <c r="EJ49" s="13">
        <v>320</v>
      </c>
      <c r="EK49" s="17">
        <v>0.20578778135048231</v>
      </c>
      <c r="EL49" s="17">
        <v>0.18643074241511742</v>
      </c>
      <c r="EM49" s="17">
        <v>0.2265948768212209</v>
      </c>
      <c r="EN49" s="3">
        <v>350</v>
      </c>
      <c r="EO49" s="17">
        <v>0.22364217252396165</v>
      </c>
      <c r="EP49" s="17">
        <v>0.20368881790318874</v>
      </c>
      <c r="EQ49" s="17">
        <v>0.24494890445135387</v>
      </c>
      <c r="ER49" s="3">
        <v>350</v>
      </c>
      <c r="ES49" s="17">
        <v>0.21806853582554517</v>
      </c>
      <c r="ET49" s="17">
        <v>0.19855275198917474</v>
      </c>
      <c r="EU49" s="17">
        <v>0.2389306650136547</v>
      </c>
      <c r="EV49" s="3">
        <v>340</v>
      </c>
      <c r="EW49" s="17">
        <v>0.20606060606060606</v>
      </c>
      <c r="EX49" s="17">
        <v>0.18723778895097926</v>
      </c>
      <c r="EY49" s="17">
        <v>0.22624891811725537</v>
      </c>
      <c r="EZ49" s="3">
        <v>345</v>
      </c>
      <c r="FA49" s="18">
        <v>0.2</v>
      </c>
      <c r="FB49" s="18">
        <v>0.18179964380999059</v>
      </c>
      <c r="FC49" s="18">
        <v>0.21953354685399823</v>
      </c>
      <c r="FD49" s="337">
        <v>310</v>
      </c>
      <c r="FE49" s="18">
        <v>0.17867435158501441</v>
      </c>
      <c r="FF49" s="18">
        <v>0.16136466706929228</v>
      </c>
      <c r="FG49" s="393">
        <v>0.19740378514129159</v>
      </c>
      <c r="FH49" s="425" t="s">
        <v>286</v>
      </c>
      <c r="FI49" s="258" t="s">
        <v>286</v>
      </c>
      <c r="FJ49" s="258" t="s">
        <v>286</v>
      </c>
      <c r="FK49" s="258" t="s">
        <v>286</v>
      </c>
      <c r="FL49" s="36">
        <v>935</v>
      </c>
      <c r="FM49" s="18">
        <v>0.18551587301587302</v>
      </c>
      <c r="FN49" s="42">
        <v>975</v>
      </c>
      <c r="FO49" s="18">
        <v>0.19306930693069307</v>
      </c>
      <c r="FP49" s="42">
        <v>905</v>
      </c>
      <c r="FQ49" s="18">
        <v>0.1802788844621514</v>
      </c>
      <c r="FR49" s="42">
        <v>895</v>
      </c>
      <c r="FS49" s="18">
        <v>0.1781094527363184</v>
      </c>
      <c r="FT49" s="42">
        <v>930</v>
      </c>
      <c r="FU49" s="18">
        <v>0.18058252427184465</v>
      </c>
      <c r="FV49" s="42">
        <v>865</v>
      </c>
      <c r="FW49" s="393">
        <v>0.16367076631977295</v>
      </c>
      <c r="FX49" s="114" t="s">
        <v>286</v>
      </c>
      <c r="FY49" s="259" t="s">
        <v>286</v>
      </c>
      <c r="FZ49" s="3">
        <v>319</v>
      </c>
      <c r="GA49" s="3">
        <v>20</v>
      </c>
      <c r="GB49" s="3">
        <v>299</v>
      </c>
      <c r="GC49" s="17">
        <v>0.93730407523510972</v>
      </c>
      <c r="GD49" s="3">
        <v>124</v>
      </c>
      <c r="GE49" s="3">
        <v>166</v>
      </c>
      <c r="GF49" s="17">
        <v>0.41471571906354515</v>
      </c>
      <c r="GG49" s="17">
        <v>0.55518394648829428</v>
      </c>
      <c r="GH49" s="17">
        <v>0.36029897736062799</v>
      </c>
      <c r="GI49" s="17">
        <v>0.47129607505194154</v>
      </c>
      <c r="GJ49" s="17">
        <v>0.49851037608616161</v>
      </c>
      <c r="GK49" s="93">
        <v>0.61045753117629342</v>
      </c>
      <c r="GL49" s="337">
        <v>256</v>
      </c>
      <c r="GM49" s="337">
        <v>103</v>
      </c>
      <c r="GN49" s="337">
        <v>48</v>
      </c>
      <c r="GO49" s="337">
        <v>151</v>
      </c>
      <c r="GP49" s="393">
        <v>0.40234375</v>
      </c>
      <c r="GQ49" s="393">
        <v>0.58984375</v>
      </c>
      <c r="GR49" s="393">
        <v>0.34414640417856113</v>
      </c>
      <c r="GS49" s="393">
        <v>0.46342856777961688</v>
      </c>
      <c r="GT49" s="393">
        <v>0.52869582953128547</v>
      </c>
      <c r="GU49" s="93">
        <v>0.64833519626719083</v>
      </c>
      <c r="GV49" s="42">
        <v>366</v>
      </c>
      <c r="GW49" s="42">
        <v>217</v>
      </c>
      <c r="GX49" s="42">
        <v>149</v>
      </c>
      <c r="GY49" s="393">
        <f t="shared" si="2"/>
        <v>0.40710382513661203</v>
      </c>
      <c r="GZ49" s="42">
        <v>63</v>
      </c>
      <c r="HA49" s="42">
        <v>24</v>
      </c>
      <c r="HB49" s="42">
        <v>87</v>
      </c>
      <c r="HC49" s="393">
        <v>0.42281879194630873</v>
      </c>
      <c r="HD49" s="393">
        <v>0.58389261744966447</v>
      </c>
      <c r="HE49" s="393">
        <v>0.34641676852419739</v>
      </c>
      <c r="HF49" s="393">
        <v>0.50310050134835438</v>
      </c>
      <c r="HG49" s="393">
        <v>0.50361145872702562</v>
      </c>
      <c r="HH49" s="93">
        <v>0.65995672619411372</v>
      </c>
      <c r="HI49" s="696">
        <v>391</v>
      </c>
      <c r="HJ49" s="696">
        <v>52</v>
      </c>
      <c r="HK49" s="696">
        <v>339</v>
      </c>
      <c r="HL49" s="697">
        <v>0.86700767263427114</v>
      </c>
      <c r="HM49" s="696">
        <v>142</v>
      </c>
      <c r="HN49" s="696">
        <v>59</v>
      </c>
      <c r="HO49" s="696">
        <v>201</v>
      </c>
      <c r="HP49" s="697">
        <v>0.41887905604719766</v>
      </c>
      <c r="HQ49" s="697">
        <v>0.59292035398230092</v>
      </c>
      <c r="HR49" s="697">
        <v>0.3675550205996635</v>
      </c>
      <c r="HS49" s="697">
        <v>0.47202097412049382</v>
      </c>
      <c r="HT49" s="697">
        <v>0.53986447680183047</v>
      </c>
      <c r="HU49" s="698">
        <v>0.64389392924598932</v>
      </c>
      <c r="HV49" s="3">
        <v>213</v>
      </c>
      <c r="HW49" s="3">
        <v>10</v>
      </c>
      <c r="HX49" s="17">
        <v>4.6948356807511735E-2</v>
      </c>
      <c r="HY49" s="17">
        <v>2.5698400422747351E-2</v>
      </c>
      <c r="HZ49" s="17">
        <v>8.425040249694056E-2</v>
      </c>
      <c r="IA49" s="267" t="s">
        <v>708</v>
      </c>
      <c r="IB49" s="3">
        <v>276</v>
      </c>
      <c r="IC49" s="3">
        <v>15</v>
      </c>
      <c r="ID49" s="17">
        <v>5.434782608695652E-2</v>
      </c>
      <c r="IE49" s="17">
        <v>3.3208743744781791E-2</v>
      </c>
      <c r="IF49" s="17">
        <v>8.7722082456984568E-2</v>
      </c>
      <c r="IG49" s="3" t="s">
        <v>708</v>
      </c>
      <c r="IH49" s="3">
        <v>224</v>
      </c>
      <c r="II49" s="3">
        <v>22</v>
      </c>
      <c r="IJ49" s="17">
        <v>9.8214285714285712E-2</v>
      </c>
      <c r="IK49" s="17">
        <v>6.5756221573603557E-2</v>
      </c>
      <c r="IL49" s="17">
        <v>0.14422074692160006</v>
      </c>
      <c r="IM49" s="3" t="s">
        <v>707</v>
      </c>
      <c r="IN49" s="3">
        <v>279</v>
      </c>
      <c r="IO49" s="3">
        <v>28</v>
      </c>
      <c r="IP49" s="17">
        <v>0.1003584229390681</v>
      </c>
      <c r="IQ49" s="17">
        <v>7.0350311392395601E-2</v>
      </c>
      <c r="IR49" s="17">
        <v>0.14122213300879916</v>
      </c>
      <c r="IS49" s="3" t="s">
        <v>707</v>
      </c>
      <c r="IT49" s="3">
        <v>198</v>
      </c>
      <c r="IU49" s="3">
        <v>21</v>
      </c>
      <c r="IV49" s="17">
        <v>0.10606060606060606</v>
      </c>
      <c r="IW49" s="17">
        <v>7.0422539851911908E-2</v>
      </c>
      <c r="IX49" s="17">
        <v>0.15669362889029573</v>
      </c>
      <c r="IY49" s="9" t="s">
        <v>707</v>
      </c>
      <c r="IZ49" s="9">
        <v>294</v>
      </c>
      <c r="JA49" s="9">
        <v>12</v>
      </c>
      <c r="JB49" s="393">
        <v>4.0816326530612242E-2</v>
      </c>
      <c r="JC49" s="393">
        <v>2.3500330981513766E-2</v>
      </c>
      <c r="JD49" s="393">
        <v>6.9977114807707866E-2</v>
      </c>
      <c r="JE49" s="9" t="str">
        <f t="shared" ref="JE49:JE70" si="5">IF(JC49&gt;$JD$78, "Sig worse than Eng.", IF(JD49&lt;$JC$78,"Sig better than Eng.", "No Sig diff"))</f>
        <v>Sig better than Eng.</v>
      </c>
      <c r="JF49" s="9">
        <v>305</v>
      </c>
      <c r="JG49" s="109">
        <v>21</v>
      </c>
      <c r="JH49" s="258">
        <v>6.8852459016393447E-2</v>
      </c>
      <c r="JI49" s="258">
        <v>4.5471502547842081E-2</v>
      </c>
      <c r="JJ49" s="258">
        <v>0.10295888952367239</v>
      </c>
      <c r="JK49" s="662" t="str">
        <f t="shared" si="3"/>
        <v>No Sig diff</v>
      </c>
      <c r="JL49" s="3">
        <v>238</v>
      </c>
      <c r="JM49" s="3">
        <v>44</v>
      </c>
      <c r="JN49" s="17">
        <v>0.18487394957983194</v>
      </c>
      <c r="JO49" s="17">
        <v>0.14069884589089099</v>
      </c>
      <c r="JP49" s="17">
        <v>0.23906010556658902</v>
      </c>
      <c r="JQ49" s="3" t="s">
        <v>707</v>
      </c>
      <c r="JR49" s="3">
        <v>214</v>
      </c>
      <c r="JS49" s="3">
        <v>46</v>
      </c>
      <c r="JT49" s="17">
        <v>0.21495327102803738</v>
      </c>
      <c r="JU49" s="17">
        <v>0.16519838423066768</v>
      </c>
      <c r="JV49" s="17">
        <v>0.2747612971795706</v>
      </c>
      <c r="JW49" s="3" t="s">
        <v>707</v>
      </c>
      <c r="JX49" s="3">
        <v>218</v>
      </c>
      <c r="JY49" s="3">
        <v>36</v>
      </c>
      <c r="JZ49" s="17">
        <v>0.16513761467889909</v>
      </c>
      <c r="KA49" s="17">
        <v>0.12173288009530026</v>
      </c>
      <c r="KB49" s="17">
        <v>0.22013946073704996</v>
      </c>
      <c r="KC49" s="3" t="s">
        <v>707</v>
      </c>
      <c r="KD49" s="3">
        <v>215</v>
      </c>
      <c r="KE49" s="3">
        <v>46</v>
      </c>
      <c r="KF49" s="17">
        <v>0.21395348837209302</v>
      </c>
      <c r="KG49" s="17">
        <v>0.16440969363966532</v>
      </c>
      <c r="KH49" s="17">
        <v>0.27353958405739576</v>
      </c>
      <c r="KI49" s="3" t="s">
        <v>707</v>
      </c>
      <c r="KJ49" s="3">
        <v>228</v>
      </c>
      <c r="KK49" s="3">
        <v>31</v>
      </c>
      <c r="KL49" s="17">
        <v>0.13596491228070176</v>
      </c>
      <c r="KM49" s="17">
        <v>9.7466711078696797E-2</v>
      </c>
      <c r="KN49" s="17">
        <v>0.18652675219404694</v>
      </c>
      <c r="KO49" s="9" t="s">
        <v>708</v>
      </c>
      <c r="KP49" s="9">
        <v>233</v>
      </c>
      <c r="KQ49" s="9">
        <v>45</v>
      </c>
      <c r="KR49" s="393">
        <v>0.19313304721030042</v>
      </c>
      <c r="KS49" s="393">
        <v>0.14758992748754876</v>
      </c>
      <c r="KT49" s="393">
        <v>0.24863064676477759</v>
      </c>
      <c r="KU49" s="9" t="s">
        <v>772</v>
      </c>
      <c r="KV49" s="9">
        <v>213</v>
      </c>
      <c r="KW49" s="9">
        <v>42</v>
      </c>
      <c r="KX49" s="393">
        <v>0.19718309859154928</v>
      </c>
      <c r="KY49" s="393">
        <v>0.14932004085510234</v>
      </c>
      <c r="KZ49" s="393">
        <v>0.2557752730134974</v>
      </c>
      <c r="LA49" s="662" t="str">
        <f t="shared" si="4"/>
        <v>No Sig diff</v>
      </c>
      <c r="LB49" s="3">
        <v>314</v>
      </c>
      <c r="LC49" s="3">
        <v>156</v>
      </c>
      <c r="LD49" s="17">
        <v>0.49681528662420382</v>
      </c>
      <c r="LE49" s="17">
        <v>0.44188651347485403</v>
      </c>
      <c r="LF49" s="17">
        <v>0.55182104120532927</v>
      </c>
      <c r="LG49" s="3">
        <v>314</v>
      </c>
      <c r="LH49" s="3">
        <v>34</v>
      </c>
      <c r="LI49" s="3">
        <v>62</v>
      </c>
      <c r="LJ49" s="293">
        <v>22.870967741935495</v>
      </c>
      <c r="LK49" s="17">
        <v>0.32732447817836779</v>
      </c>
      <c r="LL49" s="3">
        <v>294</v>
      </c>
      <c r="LM49" s="3">
        <v>174</v>
      </c>
      <c r="LN49" s="17">
        <v>0.59183673469387754</v>
      </c>
      <c r="LO49" s="17">
        <v>0.53482179706187938</v>
      </c>
      <c r="LP49" s="17">
        <v>0.64648271378027622</v>
      </c>
      <c r="LQ49" s="3">
        <v>294</v>
      </c>
      <c r="LR49" s="3">
        <v>34</v>
      </c>
      <c r="LS49" s="3">
        <v>58</v>
      </c>
      <c r="LT49" s="293">
        <v>25.379310344827587</v>
      </c>
      <c r="LU49" s="18">
        <v>0.25354969574036507</v>
      </c>
      <c r="LV49" s="42">
        <v>333</v>
      </c>
      <c r="LW49" s="42">
        <v>228</v>
      </c>
      <c r="LX49" s="18">
        <v>0.68468468468468469</v>
      </c>
      <c r="LY49" s="18">
        <v>0.63291420545379795</v>
      </c>
      <c r="LZ49" s="18">
        <v>0.73224274532842382</v>
      </c>
      <c r="MA49" s="337">
        <v>34</v>
      </c>
      <c r="MB49" s="337">
        <v>66</v>
      </c>
      <c r="MC49" s="294">
        <v>24.6</v>
      </c>
      <c r="MD49" s="393">
        <v>0.27500000000000002</v>
      </c>
      <c r="ME49" s="337">
        <v>367</v>
      </c>
      <c r="MF49" s="337">
        <v>236</v>
      </c>
      <c r="MG49" s="393">
        <v>0.64305177111716616</v>
      </c>
      <c r="MH49" s="393">
        <v>0.59278564251750765</v>
      </c>
      <c r="MI49" s="393">
        <v>0.6903542208998904</v>
      </c>
      <c r="MJ49" s="337">
        <v>34</v>
      </c>
      <c r="MK49" s="337">
        <v>73</v>
      </c>
      <c r="ML49" s="294">
        <v>24.82191780821918</v>
      </c>
      <c r="MM49" s="93">
        <v>0.2699435938759065</v>
      </c>
      <c r="MN49" s="17"/>
      <c r="MO49" s="17"/>
      <c r="MP49" s="17"/>
      <c r="MQ49" s="17"/>
      <c r="MR49" s="17"/>
      <c r="MS49" s="17"/>
      <c r="MT49" s="17"/>
      <c r="MU49" s="17"/>
      <c r="MV49" s="17"/>
      <c r="MW49" s="17"/>
      <c r="MX49" s="17"/>
      <c r="MY49" s="17"/>
      <c r="MZ49" s="17"/>
      <c r="NA49" s="17"/>
      <c r="NB49" s="17"/>
      <c r="NC49" s="93"/>
      <c r="ND49" s="337">
        <v>12</v>
      </c>
      <c r="NE49" s="337">
        <v>81</v>
      </c>
      <c r="NF49" s="393">
        <v>0.14814814814814814</v>
      </c>
      <c r="NG49" s="393">
        <v>8.6827082099597538E-2</v>
      </c>
      <c r="NH49" s="393">
        <v>0.241331570612102</v>
      </c>
      <c r="NI49" s="337">
        <v>8</v>
      </c>
      <c r="NJ49" s="337">
        <v>81</v>
      </c>
      <c r="NK49" s="393">
        <v>9.8765432098765427E-2</v>
      </c>
      <c r="NL49" s="393">
        <v>5.0900116268798354E-2</v>
      </c>
      <c r="NM49" s="393">
        <v>0.18296501401647305</v>
      </c>
      <c r="NN49" s="337">
        <v>10</v>
      </c>
      <c r="NO49" s="337">
        <v>81</v>
      </c>
      <c r="NP49" s="393">
        <v>0.12345679012345678</v>
      </c>
      <c r="NQ49" s="393">
        <v>6.8461159118717613E-2</v>
      </c>
      <c r="NR49" s="393">
        <v>0.21255073237976788</v>
      </c>
      <c r="NS49" s="337">
        <v>17</v>
      </c>
      <c r="NT49" s="337">
        <v>80</v>
      </c>
      <c r="NU49" s="393">
        <v>0.21249999999999999</v>
      </c>
      <c r="NV49" s="393">
        <v>0.13712386717696148</v>
      </c>
      <c r="NW49" s="93">
        <v>0.31422155730596651</v>
      </c>
      <c r="NX49" s="3">
        <v>93</v>
      </c>
      <c r="NY49" s="3">
        <v>85</v>
      </c>
      <c r="NZ49" s="3">
        <v>86</v>
      </c>
      <c r="OA49" s="3">
        <v>88</v>
      </c>
      <c r="OB49" s="3">
        <v>86</v>
      </c>
      <c r="OC49" s="3">
        <v>66</v>
      </c>
      <c r="OD49" s="3">
        <v>64</v>
      </c>
      <c r="OE49" s="3">
        <v>65</v>
      </c>
      <c r="OF49" s="3">
        <v>62</v>
      </c>
      <c r="OG49" s="3">
        <v>65</v>
      </c>
      <c r="OH49" s="3">
        <v>65</v>
      </c>
      <c r="OI49" s="3">
        <v>62</v>
      </c>
      <c r="OJ49" s="3">
        <v>65</v>
      </c>
      <c r="OK49" s="3">
        <v>71</v>
      </c>
      <c r="OL49" s="3">
        <v>67</v>
      </c>
      <c r="OM49" s="3">
        <v>67</v>
      </c>
      <c r="ON49" s="3">
        <v>64</v>
      </c>
      <c r="OO49" s="3">
        <v>67</v>
      </c>
      <c r="OP49" s="3">
        <v>68</v>
      </c>
      <c r="OQ49" s="3">
        <v>63</v>
      </c>
      <c r="OR49" s="3">
        <v>66</v>
      </c>
      <c r="OS49" s="3">
        <v>63</v>
      </c>
      <c r="OT49" s="6">
        <v>68</v>
      </c>
      <c r="OU49" s="3">
        <v>397</v>
      </c>
      <c r="OV49" s="22">
        <v>0.95499999999999996</v>
      </c>
      <c r="OW49" s="22">
        <v>8.0000000000000002E-3</v>
      </c>
      <c r="OX49" s="22">
        <v>0.94199999999999995</v>
      </c>
      <c r="OY49" s="3">
        <v>379</v>
      </c>
      <c r="OZ49" s="3">
        <v>3</v>
      </c>
      <c r="PA49" s="3">
        <v>374</v>
      </c>
      <c r="PB49" s="3">
        <v>439</v>
      </c>
      <c r="PC49" s="22">
        <v>0.95899999999999996</v>
      </c>
      <c r="PD49" s="22">
        <v>0.91600000000000004</v>
      </c>
      <c r="PE49" s="22">
        <v>0.95</v>
      </c>
      <c r="PF49" s="22">
        <v>0.92700000000000005</v>
      </c>
      <c r="PG49" s="22">
        <v>0.92500000000000004</v>
      </c>
      <c r="PH49" s="3">
        <v>421</v>
      </c>
      <c r="PI49" s="3">
        <v>402</v>
      </c>
      <c r="PJ49" s="3">
        <v>417</v>
      </c>
      <c r="PK49" s="3">
        <v>407</v>
      </c>
      <c r="PL49" s="3">
        <v>406</v>
      </c>
      <c r="PM49" s="3">
        <v>416</v>
      </c>
      <c r="PN49" s="22">
        <v>0.97099999999999997</v>
      </c>
      <c r="PO49" s="22">
        <v>0.93</v>
      </c>
      <c r="PP49" s="22">
        <v>0.97099999999999997</v>
      </c>
      <c r="PQ49" s="22">
        <v>0.97099999999999997</v>
      </c>
      <c r="PR49" s="22">
        <v>0.97399999999999998</v>
      </c>
      <c r="PS49" s="22">
        <v>0.91300000000000003</v>
      </c>
      <c r="PT49" s="22">
        <v>0.95699999999999996</v>
      </c>
      <c r="PU49" s="22">
        <v>0.95</v>
      </c>
      <c r="PV49" s="22">
        <v>0.97399999999999998</v>
      </c>
      <c r="PW49" s="22">
        <v>0.93799999999999994</v>
      </c>
      <c r="PX49" s="3">
        <v>404</v>
      </c>
      <c r="PY49" s="3">
        <v>387</v>
      </c>
      <c r="PZ49" s="3">
        <v>404</v>
      </c>
      <c r="QA49" s="3">
        <v>404</v>
      </c>
      <c r="QB49" s="3">
        <v>405</v>
      </c>
      <c r="QC49" s="3">
        <v>380</v>
      </c>
      <c r="QD49" s="3">
        <v>398</v>
      </c>
      <c r="QE49" s="3">
        <v>395</v>
      </c>
      <c r="QF49" s="3">
        <v>405</v>
      </c>
      <c r="QG49" s="6">
        <v>390</v>
      </c>
      <c r="QH49" s="37">
        <v>423</v>
      </c>
      <c r="QI49" s="17">
        <v>0.88416075650118209</v>
      </c>
      <c r="QJ49" s="17">
        <v>0.29550827423167847</v>
      </c>
      <c r="QK49" s="17">
        <v>0.88652482269503541</v>
      </c>
      <c r="QL49" s="37">
        <v>374</v>
      </c>
      <c r="QM49" s="37">
        <v>125</v>
      </c>
      <c r="QN49" s="37">
        <v>375</v>
      </c>
      <c r="QO49" s="37">
        <v>413</v>
      </c>
      <c r="QP49" s="17">
        <v>0.95157384987893467</v>
      </c>
      <c r="QQ49" s="17">
        <v>0.89346246973365617</v>
      </c>
      <c r="QR49" s="17">
        <v>0.74576271186440679</v>
      </c>
      <c r="QS49" s="17">
        <v>0.89346246973365617</v>
      </c>
      <c r="QT49" s="17">
        <v>0.70217917675544794</v>
      </c>
      <c r="QU49" s="37">
        <v>393</v>
      </c>
      <c r="QV49" s="37">
        <v>369</v>
      </c>
      <c r="QW49" s="37">
        <v>308</v>
      </c>
      <c r="QX49" s="37">
        <v>369</v>
      </c>
      <c r="QY49" s="37">
        <v>290</v>
      </c>
      <c r="QZ49" s="3">
        <v>447</v>
      </c>
      <c r="RA49" s="17">
        <v>0.96420581655480986</v>
      </c>
      <c r="RB49" s="17">
        <v>0.86353467561521258</v>
      </c>
      <c r="RC49" s="17">
        <v>0.96420581655480986</v>
      </c>
      <c r="RD49" s="17">
        <v>0.96196868008948544</v>
      </c>
      <c r="RE49" s="17">
        <v>0.71588366890380317</v>
      </c>
      <c r="RF49" s="17">
        <v>0.91275167785234901</v>
      </c>
      <c r="RG49" s="17">
        <v>0.91051454138702459</v>
      </c>
      <c r="RH49" s="17">
        <v>0.92841163310961972</v>
      </c>
      <c r="RI49" s="17">
        <v>0.71588366890380317</v>
      </c>
      <c r="RJ49" s="17">
        <v>0.64429530201342278</v>
      </c>
      <c r="RK49" s="37">
        <v>431</v>
      </c>
      <c r="RL49" s="37">
        <v>386</v>
      </c>
      <c r="RM49" s="37">
        <v>431</v>
      </c>
      <c r="RN49" s="37">
        <v>430</v>
      </c>
      <c r="RO49" s="37">
        <v>320</v>
      </c>
      <c r="RP49" s="37">
        <v>408</v>
      </c>
      <c r="RQ49" s="37">
        <v>407</v>
      </c>
      <c r="RR49" s="37">
        <v>415</v>
      </c>
      <c r="RS49" s="37">
        <v>320</v>
      </c>
      <c r="RT49" s="38">
        <v>288</v>
      </c>
    </row>
    <row r="50" spans="1:488" s="3" customFormat="1" ht="12.75" x14ac:dyDescent="0.2">
      <c r="A50" s="9" t="s">
        <v>114</v>
      </c>
      <c r="B50" s="6">
        <v>2</v>
      </c>
      <c r="C50" s="9" t="s">
        <v>286</v>
      </c>
      <c r="D50" s="9" t="s">
        <v>286</v>
      </c>
      <c r="E50" s="9" t="s">
        <v>286</v>
      </c>
      <c r="F50" s="9" t="s">
        <v>286</v>
      </c>
      <c r="G50" s="9" t="s">
        <v>286</v>
      </c>
      <c r="H50" s="9" t="s">
        <v>74</v>
      </c>
      <c r="I50" s="9" t="s">
        <v>398</v>
      </c>
      <c r="J50" s="9" t="s">
        <v>268</v>
      </c>
      <c r="K50" s="9" t="s">
        <v>286</v>
      </c>
      <c r="L50" s="9" t="s">
        <v>286</v>
      </c>
      <c r="M50" s="9" t="s">
        <v>286</v>
      </c>
      <c r="N50" s="9" t="s">
        <v>400</v>
      </c>
      <c r="O50" s="109" t="s">
        <v>286</v>
      </c>
      <c r="P50" s="109" t="s">
        <v>286</v>
      </c>
      <c r="Q50" s="109" t="s">
        <v>286</v>
      </c>
      <c r="R50" s="109" t="s">
        <v>286</v>
      </c>
      <c r="S50" s="109" t="s">
        <v>286</v>
      </c>
      <c r="T50" s="36">
        <v>29685</v>
      </c>
      <c r="U50" s="37">
        <v>29960</v>
      </c>
      <c r="V50" s="37">
        <v>30165</v>
      </c>
      <c r="W50" s="37">
        <v>30300</v>
      </c>
      <c r="X50" s="37">
        <v>30380</v>
      </c>
      <c r="Y50" s="37">
        <v>30535</v>
      </c>
      <c r="Z50" s="37">
        <v>30635</v>
      </c>
      <c r="AA50" s="37">
        <v>30915</v>
      </c>
      <c r="AB50" s="37">
        <v>31085</v>
      </c>
      <c r="AC50" s="42">
        <v>31470</v>
      </c>
      <c r="AD50" s="42">
        <v>31578</v>
      </c>
      <c r="AE50" s="36">
        <v>1435</v>
      </c>
      <c r="AF50" s="37">
        <v>1470</v>
      </c>
      <c r="AG50" s="37">
        <v>1535</v>
      </c>
      <c r="AH50" s="37">
        <v>1520</v>
      </c>
      <c r="AI50" s="37">
        <v>1640</v>
      </c>
      <c r="AJ50" s="37">
        <v>1725</v>
      </c>
      <c r="AK50" s="37">
        <v>1755</v>
      </c>
      <c r="AL50" s="37">
        <v>1805</v>
      </c>
      <c r="AM50" s="37">
        <v>1840</v>
      </c>
      <c r="AN50" s="42">
        <v>1924</v>
      </c>
      <c r="AO50" s="42">
        <v>1860</v>
      </c>
      <c r="AP50" s="13">
        <v>1725</v>
      </c>
      <c r="AQ50" s="3">
        <v>1543</v>
      </c>
      <c r="AR50" s="3">
        <v>60</v>
      </c>
      <c r="AS50" s="3">
        <v>74</v>
      </c>
      <c r="AT50" s="3">
        <v>31</v>
      </c>
      <c r="AU50" s="3">
        <v>7</v>
      </c>
      <c r="AV50" s="3">
        <v>10</v>
      </c>
      <c r="AW50" s="9">
        <v>182</v>
      </c>
      <c r="AX50" s="16">
        <v>0.89449275362318836</v>
      </c>
      <c r="AY50" s="17">
        <v>3.4782608695652174E-2</v>
      </c>
      <c r="AZ50" s="17">
        <v>4.2898550724637684E-2</v>
      </c>
      <c r="BA50" s="17">
        <v>1.7971014492753623E-2</v>
      </c>
      <c r="BB50" s="17">
        <v>4.0579710144927538E-3</v>
      </c>
      <c r="BC50" s="17">
        <v>5.7971014492753624E-3</v>
      </c>
      <c r="BD50" s="18">
        <v>0.10550724637681164</v>
      </c>
      <c r="BE50" s="13">
        <v>4003</v>
      </c>
      <c r="BF50" s="3">
        <v>3955</v>
      </c>
      <c r="BG50" s="3">
        <v>48</v>
      </c>
      <c r="BH50" s="3">
        <v>39</v>
      </c>
      <c r="BI50" s="3">
        <v>9</v>
      </c>
      <c r="BJ50" s="17">
        <v>0.8125</v>
      </c>
      <c r="BK50" s="18">
        <v>0.1875</v>
      </c>
      <c r="BL50" s="36">
        <v>3211</v>
      </c>
      <c r="BM50" s="17">
        <v>0.62099034568670197</v>
      </c>
      <c r="BN50" s="17">
        <v>0.16256617876051074</v>
      </c>
      <c r="BO50" s="18">
        <v>0.21644347555278728</v>
      </c>
      <c r="BP50" s="36">
        <v>9097</v>
      </c>
      <c r="BQ50" s="37">
        <v>589</v>
      </c>
      <c r="BR50" s="37">
        <v>517</v>
      </c>
      <c r="BS50" s="37">
        <v>247</v>
      </c>
      <c r="BT50" s="37">
        <v>5743</v>
      </c>
      <c r="BU50" s="37">
        <v>3320</v>
      </c>
      <c r="BV50" s="18">
        <v>0.13042168674698795</v>
      </c>
      <c r="BW50" s="36">
        <v>1712</v>
      </c>
      <c r="BX50" s="37">
        <v>2</v>
      </c>
      <c r="BY50" s="37">
        <v>565</v>
      </c>
      <c r="BZ50" s="37">
        <v>802</v>
      </c>
      <c r="CA50" s="37">
        <v>267</v>
      </c>
      <c r="CB50" s="38">
        <v>3348</v>
      </c>
      <c r="CC50" s="37">
        <v>1366</v>
      </c>
      <c r="CD50" s="37">
        <v>1098</v>
      </c>
      <c r="CE50" s="37">
        <v>260</v>
      </c>
      <c r="CF50" s="37">
        <v>268</v>
      </c>
      <c r="CG50" s="17">
        <v>0.19033674963396779</v>
      </c>
      <c r="CH50" s="93">
        <v>0.19619326500732065</v>
      </c>
      <c r="CI50" s="37">
        <v>270</v>
      </c>
      <c r="CJ50" s="37">
        <v>275</v>
      </c>
      <c r="CK50" s="37">
        <v>250</v>
      </c>
      <c r="CL50" s="37">
        <v>200</v>
      </c>
      <c r="CM50" s="42">
        <v>205</v>
      </c>
      <c r="CN50" s="42">
        <v>165</v>
      </c>
      <c r="CO50" s="36">
        <v>802</v>
      </c>
      <c r="CP50" s="37">
        <v>325</v>
      </c>
      <c r="CQ50" s="17">
        <v>0.40523690773067333</v>
      </c>
      <c r="CR50" s="38">
        <v>92</v>
      </c>
      <c r="CS50" s="107">
        <v>351</v>
      </c>
      <c r="CT50" s="107">
        <v>348</v>
      </c>
      <c r="CU50" s="107">
        <v>344</v>
      </c>
      <c r="CV50" s="107">
        <v>377</v>
      </c>
      <c r="CW50" s="107">
        <v>371</v>
      </c>
      <c r="CX50" s="528" t="s">
        <v>471</v>
      </c>
      <c r="CY50" s="568">
        <v>318</v>
      </c>
      <c r="CZ50" s="37">
        <v>23</v>
      </c>
      <c r="DA50" s="37">
        <v>28</v>
      </c>
      <c r="DB50" s="37">
        <v>14</v>
      </c>
      <c r="DC50" s="37">
        <v>21</v>
      </c>
      <c r="DD50" s="37">
        <v>11</v>
      </c>
      <c r="DE50" s="534" t="s">
        <v>471</v>
      </c>
      <c r="DF50" s="716">
        <v>5</v>
      </c>
      <c r="DG50" s="13">
        <v>27</v>
      </c>
      <c r="DH50" s="13">
        <v>22</v>
      </c>
      <c r="DI50" s="17">
        <v>5.9299191374663072E-2</v>
      </c>
      <c r="DJ50" s="17">
        <v>3.9483053394127665E-2</v>
      </c>
      <c r="DK50" s="18">
        <v>8.8148129589767241E-2</v>
      </c>
      <c r="DL50" s="425" t="s">
        <v>286</v>
      </c>
      <c r="DM50" s="258" t="s">
        <v>286</v>
      </c>
      <c r="DN50" s="258" t="s">
        <v>286</v>
      </c>
      <c r="DO50" s="258" t="s">
        <v>286</v>
      </c>
      <c r="DP50" s="337">
        <v>15</v>
      </c>
      <c r="DQ50" s="393">
        <v>4.716981132075472E-2</v>
      </c>
      <c r="DR50" s="393">
        <v>2.8790940687040332E-2</v>
      </c>
      <c r="DS50" s="393">
        <v>7.6358529318152624E-2</v>
      </c>
      <c r="DT50" s="13">
        <v>31</v>
      </c>
      <c r="DU50" s="18">
        <v>1.7971014492753623E-2</v>
      </c>
      <c r="DV50" s="368" t="s">
        <v>286</v>
      </c>
      <c r="DW50" s="369" t="s">
        <v>286</v>
      </c>
      <c r="DX50" s="420" t="s">
        <v>286</v>
      </c>
      <c r="DY50" s="420" t="s">
        <v>286</v>
      </c>
      <c r="DZ50" s="420" t="s">
        <v>286</v>
      </c>
      <c r="EA50" s="369" t="s">
        <v>286</v>
      </c>
      <c r="EB50" s="3">
        <v>644</v>
      </c>
      <c r="EC50" s="18">
        <v>4.6592388945159893E-2</v>
      </c>
      <c r="ED50" s="13">
        <v>380</v>
      </c>
      <c r="EE50" s="3">
        <v>340</v>
      </c>
      <c r="EF50" s="3">
        <v>355</v>
      </c>
      <c r="EG50" s="3">
        <v>335</v>
      </c>
      <c r="EH50" s="9">
        <v>295</v>
      </c>
      <c r="EI50" s="9">
        <v>275</v>
      </c>
      <c r="EJ50" s="13">
        <v>320</v>
      </c>
      <c r="EK50" s="17">
        <v>0.20645161290322581</v>
      </c>
      <c r="EL50" s="17">
        <v>0.18703903485072806</v>
      </c>
      <c r="EM50" s="17">
        <v>0.22731563123556947</v>
      </c>
      <c r="EN50" s="3">
        <v>345</v>
      </c>
      <c r="EO50" s="17">
        <v>0.20909090909090908</v>
      </c>
      <c r="EP50" s="17">
        <v>0.19015605898113824</v>
      </c>
      <c r="EQ50" s="17">
        <v>0.22937717688020737</v>
      </c>
      <c r="ER50" s="3">
        <v>330</v>
      </c>
      <c r="ES50" s="17">
        <v>0.19298245614035087</v>
      </c>
      <c r="ET50" s="17">
        <v>0.17497423387895666</v>
      </c>
      <c r="EU50" s="17">
        <v>0.21236699620045099</v>
      </c>
      <c r="EV50" s="3">
        <v>335</v>
      </c>
      <c r="EW50" s="17">
        <v>0.19252873563218389</v>
      </c>
      <c r="EX50" s="17">
        <v>0.17468794766441104</v>
      </c>
      <c r="EY50" s="17">
        <v>0.21172416303078498</v>
      </c>
      <c r="EZ50" s="3">
        <v>310</v>
      </c>
      <c r="FA50" s="18">
        <v>0.17222222222222222</v>
      </c>
      <c r="FB50" s="18">
        <v>0.15548217966760686</v>
      </c>
      <c r="FC50" s="18">
        <v>0.19035833517927214</v>
      </c>
      <c r="FD50" s="337">
        <v>300</v>
      </c>
      <c r="FE50" s="18">
        <v>0.17094017094017094</v>
      </c>
      <c r="FF50" s="18">
        <v>0.15405079339494945</v>
      </c>
      <c r="FG50" s="393">
        <v>0.1892669375991623</v>
      </c>
      <c r="FH50" s="425" t="s">
        <v>286</v>
      </c>
      <c r="FI50" s="258" t="s">
        <v>286</v>
      </c>
      <c r="FJ50" s="258" t="s">
        <v>286</v>
      </c>
      <c r="FK50" s="258" t="s">
        <v>286</v>
      </c>
      <c r="FL50" s="36">
        <v>880</v>
      </c>
      <c r="FM50" s="18">
        <v>0.17959183673469387</v>
      </c>
      <c r="FN50" s="42">
        <v>985</v>
      </c>
      <c r="FO50" s="18">
        <v>0.19621513944223107</v>
      </c>
      <c r="FP50" s="42">
        <v>855</v>
      </c>
      <c r="FQ50" s="18">
        <v>0.16830708661417323</v>
      </c>
      <c r="FR50" s="42">
        <v>870</v>
      </c>
      <c r="FS50" s="18">
        <v>0.17125984251968504</v>
      </c>
      <c r="FT50" s="42">
        <v>785</v>
      </c>
      <c r="FU50" s="18">
        <v>0.15287244401168451</v>
      </c>
      <c r="FV50" s="42">
        <v>760</v>
      </c>
      <c r="FW50" s="393">
        <v>0.14785992217898833</v>
      </c>
      <c r="FX50" s="114" t="s">
        <v>286</v>
      </c>
      <c r="FY50" s="259" t="s">
        <v>286</v>
      </c>
      <c r="FZ50" s="3">
        <v>379</v>
      </c>
      <c r="GA50" s="3">
        <v>26</v>
      </c>
      <c r="GB50" s="3">
        <v>353</v>
      </c>
      <c r="GC50" s="17">
        <v>0.93139841688654357</v>
      </c>
      <c r="GD50" s="3">
        <v>131</v>
      </c>
      <c r="GE50" s="3">
        <v>163</v>
      </c>
      <c r="GF50" s="17">
        <v>0.37110481586402266</v>
      </c>
      <c r="GG50" s="17">
        <v>0.46175637393767704</v>
      </c>
      <c r="GH50" s="17">
        <v>0.32234894432887634</v>
      </c>
      <c r="GI50" s="17">
        <v>0.42263584443210189</v>
      </c>
      <c r="GJ50" s="17">
        <v>0.41044073960374611</v>
      </c>
      <c r="GK50" s="93">
        <v>0.51389540651214849</v>
      </c>
      <c r="GL50" s="337">
        <v>265</v>
      </c>
      <c r="GM50" s="337">
        <v>84</v>
      </c>
      <c r="GN50" s="337">
        <v>34</v>
      </c>
      <c r="GO50" s="337">
        <v>118</v>
      </c>
      <c r="GP50" s="393">
        <v>0.31698113207547168</v>
      </c>
      <c r="GQ50" s="393">
        <v>0.44528301886792454</v>
      </c>
      <c r="GR50" s="393">
        <v>0.26391457050487149</v>
      </c>
      <c r="GS50" s="393">
        <v>0.37527798400103568</v>
      </c>
      <c r="GT50" s="393">
        <v>0.38665051340640849</v>
      </c>
      <c r="GU50" s="93">
        <v>0.50547921938401741</v>
      </c>
      <c r="GV50" s="42">
        <v>332</v>
      </c>
      <c r="GW50" s="42">
        <v>194</v>
      </c>
      <c r="GX50" s="42">
        <v>138</v>
      </c>
      <c r="GY50" s="393">
        <f t="shared" si="2"/>
        <v>0.41566265060240964</v>
      </c>
      <c r="GZ50" s="42">
        <v>49</v>
      </c>
      <c r="HA50" s="42">
        <v>21</v>
      </c>
      <c r="HB50" s="42">
        <v>70</v>
      </c>
      <c r="HC50" s="393">
        <v>0.35507246376811596</v>
      </c>
      <c r="HD50" s="393">
        <v>0.50724637681159424</v>
      </c>
      <c r="HE50" s="393">
        <v>0.28014795607538495</v>
      </c>
      <c r="HF50" s="393">
        <v>0.43784704811753478</v>
      </c>
      <c r="HG50" s="393">
        <v>0.42477432337448939</v>
      </c>
      <c r="HH50" s="93">
        <v>0.58932592641586456</v>
      </c>
      <c r="HI50" s="696">
        <v>276</v>
      </c>
      <c r="HJ50" s="696">
        <v>73</v>
      </c>
      <c r="HK50" s="696">
        <v>203</v>
      </c>
      <c r="HL50" s="697">
        <v>0.73550724637681164</v>
      </c>
      <c r="HM50" s="696">
        <v>53</v>
      </c>
      <c r="HN50" s="696">
        <v>25</v>
      </c>
      <c r="HO50" s="696">
        <v>78</v>
      </c>
      <c r="HP50" s="697">
        <v>0.26108374384236455</v>
      </c>
      <c r="HQ50" s="697">
        <v>0.38423645320197042</v>
      </c>
      <c r="HR50" s="697">
        <v>0.2054994020218113</v>
      </c>
      <c r="HS50" s="697">
        <v>0.3255423893432024</v>
      </c>
      <c r="HT50" s="697">
        <v>0.3200634580363898</v>
      </c>
      <c r="HU50" s="698">
        <v>0.4527093687074828</v>
      </c>
      <c r="HV50" s="3">
        <v>264</v>
      </c>
      <c r="HW50" s="3">
        <v>17</v>
      </c>
      <c r="HX50" s="17">
        <v>6.4393939393939392E-2</v>
      </c>
      <c r="HY50" s="17">
        <v>4.0589617518918868E-2</v>
      </c>
      <c r="HZ50" s="17">
        <v>0.10069343472889242</v>
      </c>
      <c r="IA50" s="267" t="s">
        <v>707</v>
      </c>
      <c r="IB50" s="3">
        <v>287</v>
      </c>
      <c r="IC50" s="3">
        <v>27</v>
      </c>
      <c r="ID50" s="17">
        <v>9.4076655052264813E-2</v>
      </c>
      <c r="IE50" s="17">
        <v>6.5461356844761939E-2</v>
      </c>
      <c r="IF50" s="17">
        <v>0.13341489365690332</v>
      </c>
      <c r="IG50" s="3" t="s">
        <v>707</v>
      </c>
      <c r="IH50" s="3">
        <v>272</v>
      </c>
      <c r="II50" s="3">
        <v>29</v>
      </c>
      <c r="IJ50" s="17">
        <v>0.10661764705882353</v>
      </c>
      <c r="IK50" s="17">
        <v>7.5265326856754355E-2</v>
      </c>
      <c r="IL50" s="17">
        <v>0.14892671115335882</v>
      </c>
      <c r="IM50" s="3" t="s">
        <v>707</v>
      </c>
      <c r="IN50" s="3">
        <v>315</v>
      </c>
      <c r="IO50" s="3">
        <v>22</v>
      </c>
      <c r="IP50" s="17">
        <v>6.9841269841269843E-2</v>
      </c>
      <c r="IQ50" s="17">
        <v>4.6571287675486066E-2</v>
      </c>
      <c r="IR50" s="17">
        <v>0.10347651036698424</v>
      </c>
      <c r="IS50" s="3" t="s">
        <v>707</v>
      </c>
      <c r="IT50" s="3">
        <v>181</v>
      </c>
      <c r="IU50" s="3">
        <v>19</v>
      </c>
      <c r="IV50" s="17">
        <v>0.10497237569060773</v>
      </c>
      <c r="IW50" s="17">
        <v>6.8237879338407095E-2</v>
      </c>
      <c r="IX50" s="17">
        <v>0.15812615764575522</v>
      </c>
      <c r="IY50" s="9" t="s">
        <v>707</v>
      </c>
      <c r="IZ50" s="9">
        <v>334</v>
      </c>
      <c r="JA50" s="9">
        <v>33</v>
      </c>
      <c r="JB50" s="393">
        <v>9.880239520958084E-2</v>
      </c>
      <c r="JC50" s="393">
        <v>7.121998422242147E-2</v>
      </c>
      <c r="JD50" s="393">
        <v>0.1355085181481587</v>
      </c>
      <c r="JE50" s="9" t="str">
        <f t="shared" si="5"/>
        <v>No Sig diff</v>
      </c>
      <c r="JF50" s="9">
        <v>326</v>
      </c>
      <c r="JG50" s="109">
        <v>27</v>
      </c>
      <c r="JH50" s="258">
        <v>8.2822085889570546E-2</v>
      </c>
      <c r="JI50" s="258">
        <v>5.7542761245016463E-2</v>
      </c>
      <c r="JJ50" s="258">
        <v>0.11781863518919422</v>
      </c>
      <c r="JK50" s="662" t="str">
        <f t="shared" si="3"/>
        <v>No Sig diff</v>
      </c>
      <c r="JL50" s="3">
        <v>244</v>
      </c>
      <c r="JM50" s="3">
        <v>45</v>
      </c>
      <c r="JN50" s="17">
        <v>0.18442622950819673</v>
      </c>
      <c r="JO50" s="17">
        <v>0.14078630607299766</v>
      </c>
      <c r="JP50" s="17">
        <v>0.23784872644827881</v>
      </c>
      <c r="JQ50" s="3" t="s">
        <v>707</v>
      </c>
      <c r="JR50" s="3">
        <v>254</v>
      </c>
      <c r="JS50" s="3">
        <v>33</v>
      </c>
      <c r="JT50" s="17">
        <v>0.12992125984251968</v>
      </c>
      <c r="JU50" s="17">
        <v>9.4027695335937009E-2</v>
      </c>
      <c r="JV50" s="17">
        <v>0.17684208309353841</v>
      </c>
      <c r="JW50" s="3" t="s">
        <v>708</v>
      </c>
      <c r="JX50" s="3">
        <v>222</v>
      </c>
      <c r="JY50" s="3">
        <v>39</v>
      </c>
      <c r="JZ50" s="17">
        <v>0.17567567567567569</v>
      </c>
      <c r="KA50" s="17">
        <v>0.13125584687818342</v>
      </c>
      <c r="KB50" s="17">
        <v>0.23112871815277405</v>
      </c>
      <c r="KC50" s="3" t="s">
        <v>707</v>
      </c>
      <c r="KD50" s="3">
        <v>246</v>
      </c>
      <c r="KE50" s="3">
        <v>32</v>
      </c>
      <c r="KF50" s="17">
        <v>0.13008130081300814</v>
      </c>
      <c r="KG50" s="17">
        <v>9.3670872414040679E-2</v>
      </c>
      <c r="KH50" s="17">
        <v>0.1778671627099957</v>
      </c>
      <c r="KI50" s="3" t="s">
        <v>708</v>
      </c>
      <c r="KJ50" s="3">
        <v>254</v>
      </c>
      <c r="KK50" s="3">
        <v>42</v>
      </c>
      <c r="KL50" s="17">
        <v>0.16535433070866143</v>
      </c>
      <c r="KM50" s="17">
        <v>0.1247216685347977</v>
      </c>
      <c r="KN50" s="17">
        <v>0.21595845025781304</v>
      </c>
      <c r="KO50" s="9" t="s">
        <v>707</v>
      </c>
      <c r="KP50" s="9">
        <v>241</v>
      </c>
      <c r="KQ50" s="9">
        <v>36</v>
      </c>
      <c r="KR50" s="393">
        <v>0.14937759336099585</v>
      </c>
      <c r="KS50" s="393">
        <v>0.10989158431644629</v>
      </c>
      <c r="KT50" s="393">
        <v>0.19986583661215329</v>
      </c>
      <c r="KU50" s="9" t="s">
        <v>772</v>
      </c>
      <c r="KV50" s="9">
        <v>266</v>
      </c>
      <c r="KW50" s="9">
        <v>56</v>
      </c>
      <c r="KX50" s="393">
        <v>0.21052631578947367</v>
      </c>
      <c r="KY50" s="393">
        <v>0.16583052204801293</v>
      </c>
      <c r="KZ50" s="393">
        <v>0.26346399528436315</v>
      </c>
      <c r="LA50" s="662" t="str">
        <f t="shared" si="4"/>
        <v>No Sig diff</v>
      </c>
      <c r="LB50" s="3">
        <v>347</v>
      </c>
      <c r="LC50" s="3">
        <v>171</v>
      </c>
      <c r="LD50" s="17">
        <v>0.49279538904899134</v>
      </c>
      <c r="LE50" s="17">
        <v>0.4405602602109211</v>
      </c>
      <c r="LF50" s="17">
        <v>0.54518828838762023</v>
      </c>
      <c r="LG50" s="3">
        <v>347</v>
      </c>
      <c r="LH50" s="3">
        <v>34</v>
      </c>
      <c r="LI50" s="3">
        <v>69</v>
      </c>
      <c r="LJ50" s="293">
        <v>21.420289855072468</v>
      </c>
      <c r="LK50" s="17">
        <v>0.36999147485080974</v>
      </c>
      <c r="LL50" s="3">
        <v>335</v>
      </c>
      <c r="LM50" s="3">
        <v>184</v>
      </c>
      <c r="LN50" s="17">
        <v>0.54925373134328359</v>
      </c>
      <c r="LO50" s="17">
        <v>0.49571356302278635</v>
      </c>
      <c r="LP50" s="17">
        <v>0.60167711672122548</v>
      </c>
      <c r="LQ50" s="3">
        <v>335</v>
      </c>
      <c r="LR50" s="3">
        <v>34</v>
      </c>
      <c r="LS50" s="3">
        <v>66</v>
      </c>
      <c r="LT50" s="293">
        <v>21.621212121212125</v>
      </c>
      <c r="LU50" s="18">
        <v>0.36408199643493749</v>
      </c>
      <c r="LV50" s="42">
        <v>366</v>
      </c>
      <c r="LW50" s="42">
        <v>245</v>
      </c>
      <c r="LX50" s="18">
        <v>0.6693989071038251</v>
      </c>
      <c r="LY50" s="18">
        <v>0.61966304980983655</v>
      </c>
      <c r="LZ50" s="18">
        <v>0.71561574882835899</v>
      </c>
      <c r="MA50" s="337">
        <v>34</v>
      </c>
      <c r="MB50" s="337">
        <v>73</v>
      </c>
      <c r="MC50" s="294">
        <v>24.3</v>
      </c>
      <c r="MD50" s="393">
        <v>0.28599999999999998</v>
      </c>
      <c r="ME50" s="337">
        <v>355</v>
      </c>
      <c r="MF50" s="337">
        <v>243</v>
      </c>
      <c r="MG50" s="393">
        <v>0.6845070422535211</v>
      </c>
      <c r="MH50" s="393">
        <v>0.63440952565308839</v>
      </c>
      <c r="MI50" s="393">
        <v>0.73065420034591344</v>
      </c>
      <c r="MJ50" s="337">
        <v>34</v>
      </c>
      <c r="MK50" s="337">
        <v>71</v>
      </c>
      <c r="ML50" s="294">
        <v>24.380281690140844</v>
      </c>
      <c r="MM50" s="93">
        <v>0.28293289146644574</v>
      </c>
      <c r="MN50" s="17"/>
      <c r="MO50" s="17"/>
      <c r="MP50" s="17"/>
      <c r="MQ50" s="17"/>
      <c r="MR50" s="17"/>
      <c r="MS50" s="17"/>
      <c r="MT50" s="17"/>
      <c r="MU50" s="17"/>
      <c r="MV50" s="17"/>
      <c r="MW50" s="17"/>
      <c r="MX50" s="17"/>
      <c r="MY50" s="17"/>
      <c r="MZ50" s="17"/>
      <c r="NA50" s="17"/>
      <c r="NB50" s="17"/>
      <c r="NC50" s="93"/>
      <c r="ND50" s="337">
        <v>13</v>
      </c>
      <c r="NE50" s="337">
        <v>79</v>
      </c>
      <c r="NF50" s="393">
        <v>0.16455696202531644</v>
      </c>
      <c r="NG50" s="393">
        <v>9.8767072002203596E-2</v>
      </c>
      <c r="NH50" s="393">
        <v>0.26145665227194698</v>
      </c>
      <c r="NI50" s="337">
        <v>8</v>
      </c>
      <c r="NJ50" s="337">
        <v>80</v>
      </c>
      <c r="NK50" s="393">
        <v>0.1</v>
      </c>
      <c r="NL50" s="393">
        <v>5.1547615567380821E-2</v>
      </c>
      <c r="NM50" s="393">
        <v>0.18510688806104081</v>
      </c>
      <c r="NN50" s="337">
        <v>10</v>
      </c>
      <c r="NO50" s="337">
        <v>79</v>
      </c>
      <c r="NP50" s="393">
        <v>0.12658227848101267</v>
      </c>
      <c r="NQ50" s="393">
        <v>7.0232634696755142E-2</v>
      </c>
      <c r="NR50" s="393">
        <v>0.21756358666503511</v>
      </c>
      <c r="NS50" s="337">
        <v>12</v>
      </c>
      <c r="NT50" s="337">
        <v>79</v>
      </c>
      <c r="NU50" s="393">
        <v>0.15189873417721519</v>
      </c>
      <c r="NV50" s="393">
        <v>8.908267892631741E-2</v>
      </c>
      <c r="NW50" s="93">
        <v>0.24699854437704641</v>
      </c>
      <c r="NX50" s="3">
        <v>96</v>
      </c>
      <c r="NY50" s="3">
        <v>94</v>
      </c>
      <c r="NZ50" s="3">
        <v>94</v>
      </c>
      <c r="OA50" s="3">
        <v>95</v>
      </c>
      <c r="OB50" s="3">
        <v>94</v>
      </c>
      <c r="OC50" s="3">
        <v>106</v>
      </c>
      <c r="OD50" s="3">
        <v>101</v>
      </c>
      <c r="OE50" s="3">
        <v>104</v>
      </c>
      <c r="OF50" s="3">
        <v>100</v>
      </c>
      <c r="OG50" s="3">
        <v>103</v>
      </c>
      <c r="OH50" s="3">
        <v>105</v>
      </c>
      <c r="OI50" s="3">
        <v>102</v>
      </c>
      <c r="OJ50" s="3">
        <v>104</v>
      </c>
      <c r="OK50" s="3">
        <v>88</v>
      </c>
      <c r="OL50" s="3">
        <v>84</v>
      </c>
      <c r="OM50" s="3">
        <v>82</v>
      </c>
      <c r="ON50" s="3">
        <v>80</v>
      </c>
      <c r="OO50" s="3">
        <v>82</v>
      </c>
      <c r="OP50" s="3">
        <v>83</v>
      </c>
      <c r="OQ50" s="3">
        <v>82</v>
      </c>
      <c r="OR50" s="3">
        <v>84</v>
      </c>
      <c r="OS50" s="3">
        <v>83</v>
      </c>
      <c r="OT50" s="6">
        <v>83</v>
      </c>
      <c r="OU50" s="3">
        <v>324</v>
      </c>
      <c r="OV50" s="22">
        <v>0.96</v>
      </c>
      <c r="OW50" s="22">
        <v>0</v>
      </c>
      <c r="OX50" s="22">
        <v>0.96</v>
      </c>
      <c r="OY50" s="3">
        <v>311</v>
      </c>
      <c r="OZ50" s="3">
        <v>0</v>
      </c>
      <c r="PA50" s="3">
        <v>311</v>
      </c>
      <c r="PB50" s="3">
        <v>296</v>
      </c>
      <c r="PC50" s="22">
        <v>0.98299999999999998</v>
      </c>
      <c r="PD50" s="22">
        <v>0.95599999999999996</v>
      </c>
      <c r="PE50" s="22">
        <v>0.97599999999999998</v>
      </c>
      <c r="PF50" s="22">
        <v>0.95299999999999996</v>
      </c>
      <c r="PG50" s="22">
        <v>0.94899999999999995</v>
      </c>
      <c r="PH50" s="3">
        <v>291</v>
      </c>
      <c r="PI50" s="3">
        <v>283</v>
      </c>
      <c r="PJ50" s="3">
        <v>289</v>
      </c>
      <c r="PK50" s="3">
        <v>282</v>
      </c>
      <c r="PL50" s="3">
        <v>281</v>
      </c>
      <c r="PM50" s="3">
        <v>328</v>
      </c>
      <c r="PN50" s="22">
        <v>0.96599999999999997</v>
      </c>
      <c r="PO50" s="22">
        <v>0.93899999999999995</v>
      </c>
      <c r="PP50" s="22">
        <v>0.96599999999999997</v>
      </c>
      <c r="PQ50" s="22">
        <v>0.96599999999999997</v>
      </c>
      <c r="PR50" s="22">
        <v>0.96599999999999997</v>
      </c>
      <c r="PS50" s="22">
        <v>0.88700000000000001</v>
      </c>
      <c r="PT50" s="22">
        <v>0.94799999999999995</v>
      </c>
      <c r="PU50" s="22">
        <v>0.94199999999999995</v>
      </c>
      <c r="PV50" s="22">
        <v>0.97299999999999998</v>
      </c>
      <c r="PW50" s="22">
        <v>0.90500000000000003</v>
      </c>
      <c r="PX50" s="3">
        <v>317</v>
      </c>
      <c r="PY50" s="3">
        <v>308</v>
      </c>
      <c r="PZ50" s="3">
        <v>317</v>
      </c>
      <c r="QA50" s="3">
        <v>317</v>
      </c>
      <c r="QB50" s="3">
        <v>317</v>
      </c>
      <c r="QC50" s="3">
        <v>291</v>
      </c>
      <c r="QD50" s="3">
        <v>311</v>
      </c>
      <c r="QE50" s="3">
        <v>309</v>
      </c>
      <c r="QF50" s="3">
        <v>319</v>
      </c>
      <c r="QG50" s="6">
        <v>297</v>
      </c>
      <c r="QH50" s="37">
        <v>284</v>
      </c>
      <c r="QI50" s="17">
        <v>0.96478873239436624</v>
      </c>
      <c r="QJ50" s="17">
        <v>0.20774647887323944</v>
      </c>
      <c r="QK50" s="17">
        <v>0.97535211267605637</v>
      </c>
      <c r="QL50" s="37">
        <v>274</v>
      </c>
      <c r="QM50" s="37">
        <v>59</v>
      </c>
      <c r="QN50" s="37">
        <v>277</v>
      </c>
      <c r="QO50" s="37">
        <v>320</v>
      </c>
      <c r="QP50" s="17">
        <v>0.953125</v>
      </c>
      <c r="QQ50" s="17">
        <v>0.90625</v>
      </c>
      <c r="QR50" s="17">
        <v>0.71250000000000002</v>
      </c>
      <c r="QS50" s="17">
        <v>0.91249999999999998</v>
      </c>
      <c r="QT50" s="17">
        <v>0.68437499999999996</v>
      </c>
      <c r="QU50" s="37">
        <v>305</v>
      </c>
      <c r="QV50" s="37">
        <v>290</v>
      </c>
      <c r="QW50" s="37">
        <v>228</v>
      </c>
      <c r="QX50" s="37">
        <v>292</v>
      </c>
      <c r="QY50" s="37">
        <v>219</v>
      </c>
      <c r="QZ50" s="3">
        <v>292</v>
      </c>
      <c r="RA50" s="17">
        <v>0.96575342465753422</v>
      </c>
      <c r="RB50" s="17">
        <v>0.92465753424657537</v>
      </c>
      <c r="RC50" s="17">
        <v>0.96575342465753422</v>
      </c>
      <c r="RD50" s="17">
        <v>0.96575342465753422</v>
      </c>
      <c r="RE50" s="17">
        <v>0.77054794520547942</v>
      </c>
      <c r="RF50" s="17">
        <v>0.94863013698630139</v>
      </c>
      <c r="RG50" s="17">
        <v>0.95890410958904104</v>
      </c>
      <c r="RH50" s="17">
        <v>0.92808219178082196</v>
      </c>
      <c r="RI50" s="17">
        <v>0.76712328767123283</v>
      </c>
      <c r="RJ50" s="17">
        <v>0.72602739726027399</v>
      </c>
      <c r="RK50" s="37">
        <v>282</v>
      </c>
      <c r="RL50" s="37">
        <v>270</v>
      </c>
      <c r="RM50" s="37">
        <v>282</v>
      </c>
      <c r="RN50" s="37">
        <v>282</v>
      </c>
      <c r="RO50" s="37">
        <v>225</v>
      </c>
      <c r="RP50" s="37">
        <v>277</v>
      </c>
      <c r="RQ50" s="37">
        <v>280</v>
      </c>
      <c r="RR50" s="37">
        <v>271</v>
      </c>
      <c r="RS50" s="37">
        <v>224</v>
      </c>
      <c r="RT50" s="38">
        <v>212</v>
      </c>
    </row>
    <row r="51" spans="1:488" s="3" customFormat="1" ht="12.75" x14ac:dyDescent="0.2">
      <c r="A51" s="9" t="s">
        <v>115</v>
      </c>
      <c r="B51" s="6">
        <v>3</v>
      </c>
      <c r="C51" s="9" t="s">
        <v>286</v>
      </c>
      <c r="D51" s="9" t="s">
        <v>286</v>
      </c>
      <c r="E51" s="9" t="s">
        <v>286</v>
      </c>
      <c r="F51" s="9" t="s">
        <v>286</v>
      </c>
      <c r="G51" s="9" t="s">
        <v>286</v>
      </c>
      <c r="H51" s="9" t="s">
        <v>75</v>
      </c>
      <c r="I51" s="9" t="s">
        <v>82</v>
      </c>
      <c r="J51" s="9" t="s">
        <v>268</v>
      </c>
      <c r="K51" s="9" t="s">
        <v>286</v>
      </c>
      <c r="L51" s="9" t="s">
        <v>286</v>
      </c>
      <c r="M51" s="9" t="s">
        <v>286</v>
      </c>
      <c r="N51" s="9" t="s">
        <v>808</v>
      </c>
      <c r="O51" s="109" t="s">
        <v>286</v>
      </c>
      <c r="P51" s="109" t="s">
        <v>286</v>
      </c>
      <c r="Q51" s="109" t="s">
        <v>286</v>
      </c>
      <c r="R51" s="109" t="s">
        <v>286</v>
      </c>
      <c r="S51" s="109" t="s">
        <v>286</v>
      </c>
      <c r="T51" s="36">
        <v>53925</v>
      </c>
      <c r="U51" s="37">
        <v>54555</v>
      </c>
      <c r="V51" s="37">
        <v>54965</v>
      </c>
      <c r="W51" s="37">
        <v>55265</v>
      </c>
      <c r="X51" s="37">
        <v>55595</v>
      </c>
      <c r="Y51" s="37">
        <v>55840</v>
      </c>
      <c r="Z51" s="37">
        <v>56205</v>
      </c>
      <c r="AA51" s="37">
        <v>56680</v>
      </c>
      <c r="AB51" s="37">
        <v>57130</v>
      </c>
      <c r="AC51" s="42">
        <v>57705</v>
      </c>
      <c r="AD51" s="42">
        <v>57877</v>
      </c>
      <c r="AE51" s="36">
        <v>2700</v>
      </c>
      <c r="AF51" s="37">
        <v>2735</v>
      </c>
      <c r="AG51" s="37">
        <v>2740</v>
      </c>
      <c r="AH51" s="37">
        <v>2760</v>
      </c>
      <c r="AI51" s="37">
        <v>2835</v>
      </c>
      <c r="AJ51" s="37">
        <v>2865</v>
      </c>
      <c r="AK51" s="37">
        <v>2935</v>
      </c>
      <c r="AL51" s="37">
        <v>3070</v>
      </c>
      <c r="AM51" s="37">
        <v>3090</v>
      </c>
      <c r="AN51" s="42">
        <v>3120</v>
      </c>
      <c r="AO51" s="42">
        <v>3056</v>
      </c>
      <c r="AP51" s="13">
        <v>2890</v>
      </c>
      <c r="AQ51" s="3">
        <v>2559</v>
      </c>
      <c r="AR51" s="3">
        <v>147</v>
      </c>
      <c r="AS51" s="3">
        <v>111</v>
      </c>
      <c r="AT51" s="3">
        <v>57</v>
      </c>
      <c r="AU51" s="3">
        <v>10</v>
      </c>
      <c r="AV51" s="3">
        <v>6</v>
      </c>
      <c r="AW51" s="9">
        <v>331</v>
      </c>
      <c r="AX51" s="16">
        <v>0.88546712802768168</v>
      </c>
      <c r="AY51" s="17">
        <v>5.0865051903114189E-2</v>
      </c>
      <c r="AZ51" s="17">
        <v>3.8408304498269895E-2</v>
      </c>
      <c r="BA51" s="17">
        <v>1.9723183391003461E-2</v>
      </c>
      <c r="BB51" s="17">
        <v>3.4602076124567475E-3</v>
      </c>
      <c r="BC51" s="17">
        <v>2.0761245674740486E-3</v>
      </c>
      <c r="BD51" s="18">
        <v>0.11453287197231832</v>
      </c>
      <c r="BE51" s="13">
        <v>7538</v>
      </c>
      <c r="BF51" s="3">
        <v>7332</v>
      </c>
      <c r="BG51" s="3">
        <v>206</v>
      </c>
      <c r="BH51" s="3">
        <v>166</v>
      </c>
      <c r="BI51" s="3">
        <v>40</v>
      </c>
      <c r="BJ51" s="17">
        <v>0.80582524271844658</v>
      </c>
      <c r="BK51" s="18">
        <v>0.1941747572815534</v>
      </c>
      <c r="BL51" s="36">
        <v>5674</v>
      </c>
      <c r="BM51" s="17">
        <v>0.57737046175537543</v>
      </c>
      <c r="BN51" s="17">
        <v>0.1473387381036306</v>
      </c>
      <c r="BO51" s="18">
        <v>0.275290800140994</v>
      </c>
      <c r="BP51" s="36">
        <v>16581</v>
      </c>
      <c r="BQ51" s="37">
        <v>987</v>
      </c>
      <c r="BR51" s="37">
        <v>889</v>
      </c>
      <c r="BS51" s="37">
        <v>436</v>
      </c>
      <c r="BT51" s="37">
        <v>10574</v>
      </c>
      <c r="BU51" s="37">
        <v>6051</v>
      </c>
      <c r="BV51" s="18">
        <v>0.14344736407205422</v>
      </c>
      <c r="BW51" s="36">
        <v>3197</v>
      </c>
      <c r="BX51" s="37">
        <v>3</v>
      </c>
      <c r="BY51" s="37">
        <v>898</v>
      </c>
      <c r="BZ51" s="37">
        <v>1483</v>
      </c>
      <c r="CA51" s="37">
        <v>498</v>
      </c>
      <c r="CB51" s="38">
        <v>6079</v>
      </c>
      <c r="CC51" s="37">
        <v>2333</v>
      </c>
      <c r="CD51" s="37">
        <v>1845</v>
      </c>
      <c r="CE51" s="37">
        <v>482</v>
      </c>
      <c r="CF51" s="37">
        <v>488</v>
      </c>
      <c r="CG51" s="17">
        <v>0.20660094299185597</v>
      </c>
      <c r="CH51" s="93">
        <v>0.20917273896270897</v>
      </c>
      <c r="CI51" s="37">
        <v>455</v>
      </c>
      <c r="CJ51" s="37">
        <v>430</v>
      </c>
      <c r="CK51" s="37">
        <v>370</v>
      </c>
      <c r="CL51" s="37">
        <v>360</v>
      </c>
      <c r="CM51" s="42">
        <v>310</v>
      </c>
      <c r="CN51" s="42">
        <v>310</v>
      </c>
      <c r="CO51" s="36">
        <v>1482</v>
      </c>
      <c r="CP51" s="37">
        <v>508</v>
      </c>
      <c r="CQ51" s="17">
        <v>0.34278002699055332</v>
      </c>
      <c r="CR51" s="38">
        <v>137</v>
      </c>
      <c r="CS51" s="107">
        <v>572</v>
      </c>
      <c r="CT51" s="107">
        <v>579</v>
      </c>
      <c r="CU51" s="107">
        <v>640</v>
      </c>
      <c r="CV51" s="107">
        <v>629</v>
      </c>
      <c r="CW51" s="107">
        <v>560</v>
      </c>
      <c r="CX51" s="528" t="s">
        <v>471</v>
      </c>
      <c r="CY51" s="568">
        <v>534</v>
      </c>
      <c r="CZ51" s="37">
        <v>43</v>
      </c>
      <c r="DA51" s="37">
        <v>32</v>
      </c>
      <c r="DB51" s="37">
        <v>46</v>
      </c>
      <c r="DC51" s="37">
        <v>32</v>
      </c>
      <c r="DD51" s="37">
        <v>26</v>
      </c>
      <c r="DE51" s="534" t="s">
        <v>471</v>
      </c>
      <c r="DF51" s="716">
        <v>17</v>
      </c>
      <c r="DG51" s="13">
        <v>55</v>
      </c>
      <c r="DH51" s="13">
        <v>38</v>
      </c>
      <c r="DI51" s="17">
        <v>6.7857142857142852E-2</v>
      </c>
      <c r="DJ51" s="17">
        <v>4.9834490003291265E-2</v>
      </c>
      <c r="DK51" s="18">
        <v>9.1768184953756049E-2</v>
      </c>
      <c r="DL51" s="425" t="s">
        <v>286</v>
      </c>
      <c r="DM51" s="258" t="s">
        <v>286</v>
      </c>
      <c r="DN51" s="258" t="s">
        <v>286</v>
      </c>
      <c r="DO51" s="258" t="s">
        <v>286</v>
      </c>
      <c r="DP51" s="337">
        <v>40</v>
      </c>
      <c r="DQ51" s="393">
        <v>7.4906367041198504E-2</v>
      </c>
      <c r="DR51" s="393">
        <v>5.5489227192869278E-2</v>
      </c>
      <c r="DS51" s="393">
        <v>0.10039585277945252</v>
      </c>
      <c r="DT51" s="13">
        <v>53</v>
      </c>
      <c r="DU51" s="18">
        <v>1.8345448251990307E-2</v>
      </c>
      <c r="DV51" s="368" t="s">
        <v>286</v>
      </c>
      <c r="DW51" s="369" t="s">
        <v>286</v>
      </c>
      <c r="DX51" s="420" t="s">
        <v>286</v>
      </c>
      <c r="DY51" s="420" t="s">
        <v>286</v>
      </c>
      <c r="DZ51" s="420" t="s">
        <v>286</v>
      </c>
      <c r="EA51" s="369" t="s">
        <v>286</v>
      </c>
      <c r="EB51" s="3">
        <v>1108</v>
      </c>
      <c r="EC51" s="18">
        <v>4.3713259951868068E-2</v>
      </c>
      <c r="ED51" s="13">
        <v>605</v>
      </c>
      <c r="EE51" s="3">
        <v>655</v>
      </c>
      <c r="EF51" s="3">
        <v>650</v>
      </c>
      <c r="EG51" s="3">
        <v>610</v>
      </c>
      <c r="EH51" s="9">
        <v>530</v>
      </c>
      <c r="EI51" s="9">
        <v>485</v>
      </c>
      <c r="EJ51" s="13">
        <v>540</v>
      </c>
      <c r="EK51" s="17">
        <v>0.19424460431654678</v>
      </c>
      <c r="EL51" s="17">
        <v>0.17996437044752092</v>
      </c>
      <c r="EM51" s="17">
        <v>0.20936866983266683</v>
      </c>
      <c r="EN51" s="3">
        <v>585</v>
      </c>
      <c r="EO51" s="17">
        <v>0.20744680851063829</v>
      </c>
      <c r="EP51" s="17">
        <v>0.19288417998609383</v>
      </c>
      <c r="EQ51" s="17">
        <v>0.22280539605367403</v>
      </c>
      <c r="ER51" s="3">
        <v>600</v>
      </c>
      <c r="ES51" s="17">
        <v>0.20942408376963351</v>
      </c>
      <c r="ET51" s="17">
        <v>0.19491859679414683</v>
      </c>
      <c r="EU51" s="17">
        <v>0.22470774927642403</v>
      </c>
      <c r="EV51" s="3">
        <v>625</v>
      </c>
      <c r="EW51" s="17">
        <v>0.21551724137931033</v>
      </c>
      <c r="EX51" s="17">
        <v>0.20093357276125537</v>
      </c>
      <c r="EY51" s="17">
        <v>0.23085358800540132</v>
      </c>
      <c r="EZ51" s="3">
        <v>610</v>
      </c>
      <c r="FA51" s="18">
        <v>0.20265780730897009</v>
      </c>
      <c r="FB51" s="18">
        <v>0.18868047509518449</v>
      </c>
      <c r="FC51" s="18">
        <v>0.21739312749556988</v>
      </c>
      <c r="FD51" s="337">
        <v>575</v>
      </c>
      <c r="FE51" s="18">
        <v>0.19458544839255498</v>
      </c>
      <c r="FF51" s="18">
        <v>0.18071210177949917</v>
      </c>
      <c r="FG51" s="393">
        <v>0.20925183338875442</v>
      </c>
      <c r="FH51" s="425" t="s">
        <v>286</v>
      </c>
      <c r="FI51" s="258" t="s">
        <v>286</v>
      </c>
      <c r="FJ51" s="258" t="s">
        <v>286</v>
      </c>
      <c r="FK51" s="258" t="s">
        <v>286</v>
      </c>
      <c r="FL51" s="36">
        <v>1690</v>
      </c>
      <c r="FM51" s="18">
        <v>0.18181818181818182</v>
      </c>
      <c r="FN51" s="42">
        <v>1805</v>
      </c>
      <c r="FO51" s="18">
        <v>0.19191919191919191</v>
      </c>
      <c r="FP51" s="42">
        <v>1735</v>
      </c>
      <c r="FQ51" s="18">
        <v>0.18379237288135594</v>
      </c>
      <c r="FR51" s="42">
        <v>1745</v>
      </c>
      <c r="FS51" s="18">
        <v>0.1842661034846885</v>
      </c>
      <c r="FT51" s="42">
        <v>1655</v>
      </c>
      <c r="FU51" s="18">
        <v>0.17239583333333333</v>
      </c>
      <c r="FV51" s="42">
        <v>1530</v>
      </c>
      <c r="FW51" s="393">
        <v>0.15962441314553991</v>
      </c>
      <c r="FX51" s="114" t="s">
        <v>286</v>
      </c>
      <c r="FY51" s="259" t="s">
        <v>286</v>
      </c>
      <c r="FZ51" s="3">
        <v>588</v>
      </c>
      <c r="GA51" s="3">
        <v>23</v>
      </c>
      <c r="GB51" s="3">
        <v>565</v>
      </c>
      <c r="GC51" s="17">
        <v>0.96088435374149661</v>
      </c>
      <c r="GD51" s="3">
        <v>207</v>
      </c>
      <c r="GE51" s="3">
        <v>263</v>
      </c>
      <c r="GF51" s="17">
        <v>0.36637168141592918</v>
      </c>
      <c r="GG51" s="17">
        <v>0.46548672566371679</v>
      </c>
      <c r="GH51" s="17">
        <v>0.32766968695072873</v>
      </c>
      <c r="GI51" s="17">
        <v>0.40687849399049719</v>
      </c>
      <c r="GJ51" s="17">
        <v>0.42472843243816932</v>
      </c>
      <c r="GK51" s="93">
        <v>0.50671116396386917</v>
      </c>
      <c r="GL51" s="337">
        <v>518</v>
      </c>
      <c r="GM51" s="337">
        <v>184</v>
      </c>
      <c r="GN51" s="337">
        <v>50</v>
      </c>
      <c r="GO51" s="337">
        <v>234</v>
      </c>
      <c r="GP51" s="393">
        <v>0.35521235521235522</v>
      </c>
      <c r="GQ51" s="393">
        <v>0.45173745173745172</v>
      </c>
      <c r="GR51" s="393">
        <v>0.31520320001766267</v>
      </c>
      <c r="GS51" s="393">
        <v>0.39735317612963705</v>
      </c>
      <c r="GT51" s="393">
        <v>0.40939240508838509</v>
      </c>
      <c r="GU51" s="93">
        <v>0.49479305362738152</v>
      </c>
      <c r="GV51" s="42">
        <v>560</v>
      </c>
      <c r="GW51" s="42">
        <v>50</v>
      </c>
      <c r="GX51" s="42">
        <v>510</v>
      </c>
      <c r="GY51" s="393">
        <f t="shared" si="2"/>
        <v>0.9107142857142857</v>
      </c>
      <c r="GZ51" s="42">
        <v>183</v>
      </c>
      <c r="HA51" s="42">
        <v>68</v>
      </c>
      <c r="HB51" s="42">
        <v>251</v>
      </c>
      <c r="HC51" s="393">
        <v>0.35882352941176471</v>
      </c>
      <c r="HD51" s="393">
        <v>0.49215686274509801</v>
      </c>
      <c r="HE51" s="393">
        <v>0.31839278827223638</v>
      </c>
      <c r="HF51" s="393">
        <v>0.40136513019060793</v>
      </c>
      <c r="HG51" s="393">
        <v>0.44898895656612736</v>
      </c>
      <c r="HH51" s="93">
        <v>0.53544203890403064</v>
      </c>
      <c r="HI51" s="696">
        <v>571</v>
      </c>
      <c r="HJ51" s="696">
        <v>53</v>
      </c>
      <c r="HK51" s="696">
        <v>518</v>
      </c>
      <c r="HL51" s="697">
        <v>0.90718038528896672</v>
      </c>
      <c r="HM51" s="696">
        <v>186</v>
      </c>
      <c r="HN51" s="696">
        <v>51</v>
      </c>
      <c r="HO51" s="696">
        <v>237</v>
      </c>
      <c r="HP51" s="697">
        <v>0.35907335907335908</v>
      </c>
      <c r="HQ51" s="697">
        <v>0.4575289575289575</v>
      </c>
      <c r="HR51" s="697">
        <v>0.31893777497973014</v>
      </c>
      <c r="HS51" s="697">
        <v>0.40128376447030822</v>
      </c>
      <c r="HT51" s="697">
        <v>0.41509633904828613</v>
      </c>
      <c r="HU51" s="698">
        <v>0.50058686462158852</v>
      </c>
      <c r="HV51" s="3">
        <v>416</v>
      </c>
      <c r="HW51" s="3">
        <v>22</v>
      </c>
      <c r="HX51" s="17">
        <v>5.2884615384615384E-2</v>
      </c>
      <c r="HY51" s="17">
        <v>3.5180459502092254E-2</v>
      </c>
      <c r="HZ51" s="17">
        <v>7.877078998879293E-2</v>
      </c>
      <c r="IA51" s="267" t="s">
        <v>708</v>
      </c>
      <c r="IB51" s="3">
        <v>472</v>
      </c>
      <c r="IC51" s="3">
        <v>40</v>
      </c>
      <c r="ID51" s="17">
        <v>8.4745762711864403E-2</v>
      </c>
      <c r="IE51" s="17">
        <v>6.2851118482604509E-2</v>
      </c>
      <c r="IF51" s="17">
        <v>0.1133450856659019</v>
      </c>
      <c r="IG51" s="3" t="s">
        <v>707</v>
      </c>
      <c r="IH51" s="3">
        <v>364</v>
      </c>
      <c r="II51" s="3">
        <v>27</v>
      </c>
      <c r="IJ51" s="17">
        <v>7.4175824175824176E-2</v>
      </c>
      <c r="IK51" s="17">
        <v>5.1475936681714074E-2</v>
      </c>
      <c r="IL51" s="17">
        <v>0.10576968485897578</v>
      </c>
      <c r="IM51" s="3" t="s">
        <v>707</v>
      </c>
      <c r="IN51" s="3">
        <v>513</v>
      </c>
      <c r="IO51" s="3">
        <v>47</v>
      </c>
      <c r="IP51" s="17">
        <v>9.1617933723196876E-2</v>
      </c>
      <c r="IQ51" s="17">
        <v>6.9597686036753315E-2</v>
      </c>
      <c r="IR51" s="17">
        <v>0.11970883562647475</v>
      </c>
      <c r="IS51" s="3" t="s">
        <v>707</v>
      </c>
      <c r="IT51" s="3">
        <v>350</v>
      </c>
      <c r="IU51" s="3">
        <v>36</v>
      </c>
      <c r="IV51" s="17">
        <v>0.10285714285714286</v>
      </c>
      <c r="IW51" s="17">
        <v>7.5225073935989512E-2</v>
      </c>
      <c r="IX51" s="17">
        <v>0.13911232754732872</v>
      </c>
      <c r="IY51" s="9" t="s">
        <v>707</v>
      </c>
      <c r="IZ51" s="9">
        <v>524</v>
      </c>
      <c r="JA51" s="9">
        <v>55</v>
      </c>
      <c r="JB51" s="393">
        <v>0.1049618320610687</v>
      </c>
      <c r="JC51" s="393">
        <v>8.1531554702597084E-2</v>
      </c>
      <c r="JD51" s="393">
        <v>0.13414202856431653</v>
      </c>
      <c r="JE51" s="9" t="str">
        <f t="shared" si="5"/>
        <v>No Sig diff</v>
      </c>
      <c r="JF51" s="9">
        <v>571</v>
      </c>
      <c r="JG51" s="109">
        <v>53</v>
      </c>
      <c r="JH51" s="258">
        <v>9.2819614711033269E-2</v>
      </c>
      <c r="JI51" s="258">
        <v>7.1663678167201733E-2</v>
      </c>
      <c r="JJ51" s="258">
        <v>0.11941763153171497</v>
      </c>
      <c r="JK51" s="662" t="str">
        <f t="shared" si="3"/>
        <v>No Sig diff</v>
      </c>
      <c r="JL51" s="3">
        <v>486</v>
      </c>
      <c r="JM51" s="3">
        <v>73</v>
      </c>
      <c r="JN51" s="17">
        <v>0.15020576131687244</v>
      </c>
      <c r="JO51" s="17">
        <v>0.12119140050135882</v>
      </c>
      <c r="JP51" s="17">
        <v>0.18470646935522964</v>
      </c>
      <c r="JQ51" s="3" t="s">
        <v>708</v>
      </c>
      <c r="JR51" s="3">
        <v>495</v>
      </c>
      <c r="JS51" s="3">
        <v>84</v>
      </c>
      <c r="JT51" s="17">
        <v>0.16969696969696971</v>
      </c>
      <c r="JU51" s="17">
        <v>0.13920260146623115</v>
      </c>
      <c r="JV51" s="17">
        <v>0.20527850727509667</v>
      </c>
      <c r="JW51" s="3" t="s">
        <v>707</v>
      </c>
      <c r="JX51" s="3">
        <v>500</v>
      </c>
      <c r="JY51" s="3">
        <v>103</v>
      </c>
      <c r="JZ51" s="17">
        <v>0.20599999999999999</v>
      </c>
      <c r="KA51" s="17">
        <v>0.17285664127336728</v>
      </c>
      <c r="KB51" s="17">
        <v>0.24362647091802545</v>
      </c>
      <c r="KC51" s="3" t="s">
        <v>707</v>
      </c>
      <c r="KD51" s="3">
        <v>506</v>
      </c>
      <c r="KE51" s="3">
        <v>73</v>
      </c>
      <c r="KF51" s="17">
        <v>0.14426877470355731</v>
      </c>
      <c r="KG51" s="17">
        <v>0.11633254008067927</v>
      </c>
      <c r="KH51" s="17">
        <v>0.17756560458431117</v>
      </c>
      <c r="KI51" s="3" t="s">
        <v>708</v>
      </c>
      <c r="KJ51" s="3">
        <v>496</v>
      </c>
      <c r="KK51" s="3">
        <v>105</v>
      </c>
      <c r="KL51" s="17">
        <v>0.21169354838709678</v>
      </c>
      <c r="KM51" s="17">
        <v>0.17802841657796614</v>
      </c>
      <c r="KN51" s="17">
        <v>0.24979015478508781</v>
      </c>
      <c r="KO51" s="9" t="s">
        <v>707</v>
      </c>
      <c r="KP51" s="9">
        <v>527</v>
      </c>
      <c r="KQ51" s="9">
        <v>82</v>
      </c>
      <c r="KR51" s="393">
        <v>0.15559772296015181</v>
      </c>
      <c r="KS51" s="393">
        <v>0.12715458766145521</v>
      </c>
      <c r="KT51" s="393">
        <v>0.1890254243398061</v>
      </c>
      <c r="KU51" s="9" t="s">
        <v>708</v>
      </c>
      <c r="KV51" s="9">
        <v>497</v>
      </c>
      <c r="KW51" s="9">
        <v>91</v>
      </c>
      <c r="KX51" s="393">
        <v>0.18309859154929578</v>
      </c>
      <c r="KY51" s="393">
        <v>0.15157134032828948</v>
      </c>
      <c r="KZ51" s="393">
        <v>0.21948711649013275</v>
      </c>
      <c r="LA51" s="662" t="str">
        <f t="shared" si="4"/>
        <v>No Sig diff</v>
      </c>
      <c r="LB51" s="3">
        <v>573</v>
      </c>
      <c r="LC51" s="3">
        <v>306</v>
      </c>
      <c r="LD51" s="17">
        <v>0.53403141361256545</v>
      </c>
      <c r="LE51" s="17">
        <v>0.49309598153954287</v>
      </c>
      <c r="LF51" s="17">
        <v>0.57451358327872171</v>
      </c>
      <c r="LG51" s="3">
        <v>573</v>
      </c>
      <c r="LH51" s="3">
        <v>34</v>
      </c>
      <c r="LI51" s="3">
        <v>114</v>
      </c>
      <c r="LJ51" s="293">
        <v>24.087719298245613</v>
      </c>
      <c r="LK51" s="17">
        <v>0.29153766769865846</v>
      </c>
      <c r="LL51" s="3">
        <v>623</v>
      </c>
      <c r="LM51" s="3">
        <v>370</v>
      </c>
      <c r="LN51" s="17">
        <v>0.593900481540931</v>
      </c>
      <c r="LO51" s="17">
        <v>0.55487551037941496</v>
      </c>
      <c r="LP51" s="17">
        <v>0.6317745561623187</v>
      </c>
      <c r="LQ51" s="3">
        <v>623</v>
      </c>
      <c r="LR51" s="3">
        <v>34</v>
      </c>
      <c r="LS51" s="3">
        <v>123</v>
      </c>
      <c r="LT51" s="293">
        <v>24.869918699186982</v>
      </c>
      <c r="LU51" s="18">
        <v>0.26853180296508877</v>
      </c>
      <c r="LV51" s="42">
        <v>601</v>
      </c>
      <c r="LW51" s="42">
        <v>355</v>
      </c>
      <c r="LX51" s="18">
        <v>0.59068219633943431</v>
      </c>
      <c r="LY51" s="18">
        <v>0.5509156965881441</v>
      </c>
      <c r="LZ51" s="18">
        <v>0.6292968176342203</v>
      </c>
      <c r="MA51" s="337">
        <v>34</v>
      </c>
      <c r="MB51" s="337">
        <v>120</v>
      </c>
      <c r="MC51" s="294">
        <v>22</v>
      </c>
      <c r="MD51" s="393">
        <v>0.35199999999999998</v>
      </c>
      <c r="ME51" s="337">
        <v>643</v>
      </c>
      <c r="MF51" s="337">
        <v>419</v>
      </c>
      <c r="MG51" s="393">
        <v>0.65163297045101087</v>
      </c>
      <c r="MH51" s="393">
        <v>0.61400424081737925</v>
      </c>
      <c r="MI51" s="393">
        <v>0.68746066583149157</v>
      </c>
      <c r="MJ51" s="337">
        <v>34</v>
      </c>
      <c r="MK51" s="337">
        <v>128</v>
      </c>
      <c r="ML51" s="294">
        <v>24.5</v>
      </c>
      <c r="MM51" s="93">
        <v>0.27941176470588236</v>
      </c>
      <c r="MN51" s="17"/>
      <c r="MO51" s="17"/>
      <c r="MP51" s="17"/>
      <c r="MQ51" s="17"/>
      <c r="MR51" s="17"/>
      <c r="MS51" s="17"/>
      <c r="MT51" s="17"/>
      <c r="MU51" s="17"/>
      <c r="MV51" s="17"/>
      <c r="MW51" s="17"/>
      <c r="MX51" s="17"/>
      <c r="MY51" s="17"/>
      <c r="MZ51" s="17"/>
      <c r="NA51" s="17"/>
      <c r="NB51" s="17"/>
      <c r="NC51" s="93"/>
      <c r="ND51" s="337">
        <v>48</v>
      </c>
      <c r="NE51" s="337">
        <v>293</v>
      </c>
      <c r="NF51" s="393">
        <v>0.16382252559726962</v>
      </c>
      <c r="NG51" s="393">
        <v>0.12584501384235816</v>
      </c>
      <c r="NH51" s="393">
        <v>0.21050105862793969</v>
      </c>
      <c r="NI51" s="337">
        <v>38</v>
      </c>
      <c r="NJ51" s="337">
        <v>292</v>
      </c>
      <c r="NK51" s="393">
        <v>0.13013698630136986</v>
      </c>
      <c r="NL51" s="393">
        <v>9.6300654935659369E-2</v>
      </c>
      <c r="NM51" s="393">
        <v>0.17357855381001225</v>
      </c>
      <c r="NN51" s="337">
        <v>44</v>
      </c>
      <c r="NO51" s="337">
        <v>291</v>
      </c>
      <c r="NP51" s="393">
        <v>0.15120274914089346</v>
      </c>
      <c r="NQ51" s="393">
        <v>0.11460370258279746</v>
      </c>
      <c r="NR51" s="393">
        <v>0.19689068218941633</v>
      </c>
      <c r="NS51" s="337">
        <v>66</v>
      </c>
      <c r="NT51" s="337">
        <v>292</v>
      </c>
      <c r="NU51" s="393">
        <v>0.22602739726027396</v>
      </c>
      <c r="NV51" s="393">
        <v>0.18179144374431072</v>
      </c>
      <c r="NW51" s="93">
        <v>0.27737834051174232</v>
      </c>
      <c r="NX51" s="3">
        <v>184</v>
      </c>
      <c r="NY51" s="3">
        <v>176</v>
      </c>
      <c r="NZ51" s="3">
        <v>176</v>
      </c>
      <c r="OA51" s="3">
        <v>182</v>
      </c>
      <c r="OB51" s="3">
        <v>176</v>
      </c>
      <c r="OC51" s="3">
        <v>163</v>
      </c>
      <c r="OD51" s="3">
        <v>150</v>
      </c>
      <c r="OE51" s="3">
        <v>155</v>
      </c>
      <c r="OF51" s="3">
        <v>152</v>
      </c>
      <c r="OG51" s="3">
        <v>155</v>
      </c>
      <c r="OH51" s="3">
        <v>160</v>
      </c>
      <c r="OI51" s="3">
        <v>148</v>
      </c>
      <c r="OJ51" s="3">
        <v>156</v>
      </c>
      <c r="OK51" s="3">
        <v>143</v>
      </c>
      <c r="OL51" s="3">
        <v>137</v>
      </c>
      <c r="OM51" s="3">
        <v>132</v>
      </c>
      <c r="ON51" s="3">
        <v>130</v>
      </c>
      <c r="OO51" s="3">
        <v>133</v>
      </c>
      <c r="OP51" s="3">
        <v>133</v>
      </c>
      <c r="OQ51" s="3">
        <v>131</v>
      </c>
      <c r="OR51" s="3">
        <v>137</v>
      </c>
      <c r="OS51" s="3">
        <v>130</v>
      </c>
      <c r="OT51" s="6">
        <v>138</v>
      </c>
      <c r="OU51" s="3">
        <v>576</v>
      </c>
      <c r="OV51" s="22">
        <v>0.95699999999999996</v>
      </c>
      <c r="OW51" s="22">
        <v>5.0000000000000001E-3</v>
      </c>
      <c r="OX51" s="22">
        <v>0.95299999999999996</v>
      </c>
      <c r="OY51" s="3">
        <v>551</v>
      </c>
      <c r="OZ51" s="3">
        <v>3</v>
      </c>
      <c r="PA51" s="3">
        <v>549</v>
      </c>
      <c r="PB51" s="3">
        <v>639</v>
      </c>
      <c r="PC51" s="22">
        <v>0.97499999999999998</v>
      </c>
      <c r="PD51" s="22">
        <v>0.95299999999999996</v>
      </c>
      <c r="PE51" s="22">
        <v>0.96399999999999997</v>
      </c>
      <c r="PF51" s="22">
        <v>0.95899999999999996</v>
      </c>
      <c r="PG51" s="22">
        <v>0.95899999999999996</v>
      </c>
      <c r="PH51" s="3">
        <v>623</v>
      </c>
      <c r="PI51" s="3">
        <v>609</v>
      </c>
      <c r="PJ51" s="3">
        <v>616</v>
      </c>
      <c r="PK51" s="3">
        <v>613</v>
      </c>
      <c r="PL51" s="3">
        <v>613</v>
      </c>
      <c r="PM51" s="3">
        <v>631</v>
      </c>
      <c r="PN51" s="22">
        <v>0.96699999999999997</v>
      </c>
      <c r="PO51" s="22">
        <v>0.91</v>
      </c>
      <c r="PP51" s="22">
        <v>0.96699999999999997</v>
      </c>
      <c r="PQ51" s="22">
        <v>0.96199999999999997</v>
      </c>
      <c r="PR51" s="22">
        <v>0.96399999999999997</v>
      </c>
      <c r="PS51" s="22">
        <v>0.92400000000000004</v>
      </c>
      <c r="PT51" s="22">
        <v>0.94899999999999995</v>
      </c>
      <c r="PU51" s="22">
        <v>0.91600000000000004</v>
      </c>
      <c r="PV51" s="22">
        <v>0.96699999999999997</v>
      </c>
      <c r="PW51" s="22">
        <v>0.93300000000000005</v>
      </c>
      <c r="PX51" s="3">
        <v>610</v>
      </c>
      <c r="PY51" s="3">
        <v>574</v>
      </c>
      <c r="PZ51" s="3">
        <v>610</v>
      </c>
      <c r="QA51" s="3">
        <v>607</v>
      </c>
      <c r="QB51" s="3">
        <v>608</v>
      </c>
      <c r="QC51" s="3">
        <v>583</v>
      </c>
      <c r="QD51" s="3">
        <v>599</v>
      </c>
      <c r="QE51" s="3">
        <v>578</v>
      </c>
      <c r="QF51" s="3">
        <v>610</v>
      </c>
      <c r="QG51" s="6">
        <v>589</v>
      </c>
      <c r="QH51" s="37">
        <v>590</v>
      </c>
      <c r="QI51" s="17">
        <v>0.9576271186440678</v>
      </c>
      <c r="QJ51" s="17">
        <v>0.23050847457627119</v>
      </c>
      <c r="QK51" s="17">
        <v>0.95593220338983054</v>
      </c>
      <c r="QL51" s="37">
        <v>565</v>
      </c>
      <c r="QM51" s="37">
        <v>136</v>
      </c>
      <c r="QN51" s="37">
        <v>564</v>
      </c>
      <c r="QO51" s="37">
        <v>570</v>
      </c>
      <c r="QP51" s="17">
        <v>0.96140350877192982</v>
      </c>
      <c r="QQ51" s="17">
        <v>0.93508771929824563</v>
      </c>
      <c r="QR51" s="17">
        <v>0.73157894736842111</v>
      </c>
      <c r="QS51" s="17">
        <v>0.93859649122807021</v>
      </c>
      <c r="QT51" s="17">
        <v>0.71578947368421053</v>
      </c>
      <c r="QU51" s="37">
        <v>548</v>
      </c>
      <c r="QV51" s="37">
        <v>533</v>
      </c>
      <c r="QW51" s="37">
        <v>417</v>
      </c>
      <c r="QX51" s="37">
        <v>535</v>
      </c>
      <c r="QY51" s="37">
        <v>408</v>
      </c>
      <c r="QZ51" s="3">
        <v>632</v>
      </c>
      <c r="RA51" s="17">
        <v>0.97626582278481011</v>
      </c>
      <c r="RB51" s="17">
        <v>0.87183544303797467</v>
      </c>
      <c r="RC51" s="17">
        <v>0.97626582278481011</v>
      </c>
      <c r="RD51" s="17">
        <v>0.97626582278481011</v>
      </c>
      <c r="RE51" s="17">
        <v>0.73417721518987344</v>
      </c>
      <c r="RF51" s="17">
        <v>0.92563291139240511</v>
      </c>
      <c r="RG51" s="17">
        <v>0.944620253164557</v>
      </c>
      <c r="RH51" s="17">
        <v>0.90189873417721522</v>
      </c>
      <c r="RI51" s="17">
        <v>0.73575949367088611</v>
      </c>
      <c r="RJ51" s="17">
        <v>0.68829113924050633</v>
      </c>
      <c r="RK51" s="37">
        <v>617</v>
      </c>
      <c r="RL51" s="37">
        <v>551</v>
      </c>
      <c r="RM51" s="37">
        <v>617</v>
      </c>
      <c r="RN51" s="37">
        <v>617</v>
      </c>
      <c r="RO51" s="37">
        <v>464</v>
      </c>
      <c r="RP51" s="37">
        <v>585</v>
      </c>
      <c r="RQ51" s="37">
        <v>597</v>
      </c>
      <c r="RR51" s="37">
        <v>570</v>
      </c>
      <c r="RS51" s="37">
        <v>465</v>
      </c>
      <c r="RT51" s="38">
        <v>435</v>
      </c>
    </row>
    <row r="52" spans="1:488" s="3" customFormat="1" ht="12.75" x14ac:dyDescent="0.2">
      <c r="A52" s="9" t="s">
        <v>116</v>
      </c>
      <c r="B52" s="6">
        <v>4</v>
      </c>
      <c r="C52" s="9" t="s">
        <v>286</v>
      </c>
      <c r="D52" s="9" t="s">
        <v>286</v>
      </c>
      <c r="E52" s="9" t="s">
        <v>286</v>
      </c>
      <c r="F52" s="9" t="s">
        <v>286</v>
      </c>
      <c r="G52" s="9" t="s">
        <v>286</v>
      </c>
      <c r="H52" s="9" t="s">
        <v>76</v>
      </c>
      <c r="I52" s="9" t="s">
        <v>82</v>
      </c>
      <c r="J52" s="9" t="s">
        <v>268</v>
      </c>
      <c r="K52" s="9" t="s">
        <v>286</v>
      </c>
      <c r="L52" s="9" t="s">
        <v>286</v>
      </c>
      <c r="M52" s="9" t="s">
        <v>286</v>
      </c>
      <c r="N52" s="9" t="s">
        <v>403</v>
      </c>
      <c r="O52" s="109" t="s">
        <v>286</v>
      </c>
      <c r="P52" s="109" t="s">
        <v>286</v>
      </c>
      <c r="Q52" s="109" t="s">
        <v>286</v>
      </c>
      <c r="R52" s="109" t="s">
        <v>286</v>
      </c>
      <c r="S52" s="109" t="s">
        <v>286</v>
      </c>
      <c r="T52" s="36">
        <v>34840</v>
      </c>
      <c r="U52" s="37">
        <v>34625</v>
      </c>
      <c r="V52" s="37">
        <v>34775</v>
      </c>
      <c r="W52" s="37">
        <v>34970</v>
      </c>
      <c r="X52" s="37">
        <v>34910</v>
      </c>
      <c r="Y52" s="37">
        <v>35030</v>
      </c>
      <c r="Z52" s="37">
        <v>35155</v>
      </c>
      <c r="AA52" s="37">
        <v>35795</v>
      </c>
      <c r="AB52" s="37">
        <v>36285</v>
      </c>
      <c r="AC52" s="42">
        <v>36390</v>
      </c>
      <c r="AD52" s="42">
        <v>36850</v>
      </c>
      <c r="AE52" s="36">
        <v>1830</v>
      </c>
      <c r="AF52" s="37">
        <v>1830</v>
      </c>
      <c r="AG52" s="37">
        <v>1815</v>
      </c>
      <c r="AH52" s="37">
        <v>1845</v>
      </c>
      <c r="AI52" s="37">
        <v>1885</v>
      </c>
      <c r="AJ52" s="37">
        <v>1890</v>
      </c>
      <c r="AK52" s="37">
        <v>1920</v>
      </c>
      <c r="AL52" s="37">
        <v>1995</v>
      </c>
      <c r="AM52" s="37">
        <v>2085</v>
      </c>
      <c r="AN52" s="42">
        <v>1988</v>
      </c>
      <c r="AO52" s="42">
        <v>2024</v>
      </c>
      <c r="AP52" s="13">
        <v>1900</v>
      </c>
      <c r="AQ52" s="3">
        <v>1674</v>
      </c>
      <c r="AR52" s="3">
        <v>127</v>
      </c>
      <c r="AS52" s="3">
        <v>50</v>
      </c>
      <c r="AT52" s="3">
        <v>40</v>
      </c>
      <c r="AU52" s="3">
        <v>5</v>
      </c>
      <c r="AV52" s="3">
        <v>4</v>
      </c>
      <c r="AW52" s="9">
        <v>226</v>
      </c>
      <c r="AX52" s="16">
        <v>0.88105263157894742</v>
      </c>
      <c r="AY52" s="17">
        <v>6.6842105263157897E-2</v>
      </c>
      <c r="AZ52" s="17">
        <v>2.6315789473684209E-2</v>
      </c>
      <c r="BA52" s="17">
        <v>2.1052631578947368E-2</v>
      </c>
      <c r="BB52" s="17">
        <v>2.631578947368421E-3</v>
      </c>
      <c r="BC52" s="17">
        <v>2.1052631578947368E-3</v>
      </c>
      <c r="BD52" s="18">
        <v>0.11894736842105258</v>
      </c>
      <c r="BE52" s="13">
        <v>5025</v>
      </c>
      <c r="BF52" s="3">
        <v>4870</v>
      </c>
      <c r="BG52" s="3">
        <v>155</v>
      </c>
      <c r="BH52" s="3">
        <v>137</v>
      </c>
      <c r="BI52" s="3">
        <v>18</v>
      </c>
      <c r="BJ52" s="17">
        <v>0.88387096774193552</v>
      </c>
      <c r="BK52" s="18">
        <v>0.11612903225806452</v>
      </c>
      <c r="BL52" s="36">
        <v>3777</v>
      </c>
      <c r="BM52" s="17">
        <v>0.6346306592533757</v>
      </c>
      <c r="BN52" s="17">
        <v>0.14402965316388669</v>
      </c>
      <c r="BO52" s="18">
        <v>0.22133968758273762</v>
      </c>
      <c r="BP52" s="36">
        <v>10206</v>
      </c>
      <c r="BQ52" s="37">
        <v>547</v>
      </c>
      <c r="BR52" s="37">
        <v>636</v>
      </c>
      <c r="BS52" s="37">
        <v>289</v>
      </c>
      <c r="BT52" s="37">
        <v>7077</v>
      </c>
      <c r="BU52" s="37">
        <v>3980</v>
      </c>
      <c r="BV52" s="18">
        <v>0.14371859296482412</v>
      </c>
      <c r="BW52" s="36">
        <v>2253</v>
      </c>
      <c r="BX52" s="37">
        <v>3</v>
      </c>
      <c r="BY52" s="37">
        <v>569</v>
      </c>
      <c r="BZ52" s="37">
        <v>828</v>
      </c>
      <c r="CA52" s="37">
        <v>346</v>
      </c>
      <c r="CB52" s="38">
        <v>3999</v>
      </c>
      <c r="CC52" s="37">
        <v>1488</v>
      </c>
      <c r="CD52" s="37">
        <v>1238</v>
      </c>
      <c r="CE52" s="37">
        <v>242</v>
      </c>
      <c r="CF52" s="37">
        <v>250</v>
      </c>
      <c r="CG52" s="17">
        <v>0.16263440860215053</v>
      </c>
      <c r="CH52" s="93">
        <v>0.16801075268817203</v>
      </c>
      <c r="CI52" s="37">
        <v>240</v>
      </c>
      <c r="CJ52" s="37">
        <v>230</v>
      </c>
      <c r="CK52" s="37">
        <v>205</v>
      </c>
      <c r="CL52" s="37">
        <v>215</v>
      </c>
      <c r="CM52" s="42">
        <v>190</v>
      </c>
      <c r="CN52" s="42">
        <v>165</v>
      </c>
      <c r="CO52" s="36">
        <v>825</v>
      </c>
      <c r="CP52" s="37">
        <v>288</v>
      </c>
      <c r="CQ52" s="17">
        <v>0.34909090909090912</v>
      </c>
      <c r="CR52" s="38">
        <v>77</v>
      </c>
      <c r="CS52" s="107">
        <v>361</v>
      </c>
      <c r="CT52" s="107">
        <v>396</v>
      </c>
      <c r="CU52" s="107">
        <v>361</v>
      </c>
      <c r="CV52" s="107">
        <v>420</v>
      </c>
      <c r="CW52" s="107">
        <v>383</v>
      </c>
      <c r="CX52" s="528" t="s">
        <v>471</v>
      </c>
      <c r="CY52" s="568">
        <v>389</v>
      </c>
      <c r="CZ52" s="37">
        <v>21</v>
      </c>
      <c r="DA52" s="37">
        <v>14</v>
      </c>
      <c r="DB52" s="37">
        <v>21</v>
      </c>
      <c r="DC52" s="37">
        <v>16</v>
      </c>
      <c r="DD52" s="37">
        <v>21</v>
      </c>
      <c r="DE52" s="534" t="s">
        <v>471</v>
      </c>
      <c r="DF52" s="716">
        <v>7</v>
      </c>
      <c r="DG52" s="13">
        <v>37</v>
      </c>
      <c r="DH52" s="13">
        <v>20</v>
      </c>
      <c r="DI52" s="17">
        <v>5.2219321148825062E-2</v>
      </c>
      <c r="DJ52" s="17">
        <v>3.405512727403584E-2</v>
      </c>
      <c r="DK52" s="18">
        <v>7.9276724369650539E-2</v>
      </c>
      <c r="DL52" s="425" t="s">
        <v>286</v>
      </c>
      <c r="DM52" s="258" t="s">
        <v>286</v>
      </c>
      <c r="DN52" s="258" t="s">
        <v>286</v>
      </c>
      <c r="DO52" s="258" t="s">
        <v>286</v>
      </c>
      <c r="DP52" s="337">
        <v>24</v>
      </c>
      <c r="DQ52" s="393">
        <v>6.1696658097686374E-2</v>
      </c>
      <c r="DR52" s="393">
        <v>4.1807112981302547E-2</v>
      </c>
      <c r="DS52" s="393">
        <v>9.0158232469561089E-2</v>
      </c>
      <c r="DT52" s="13">
        <v>36</v>
      </c>
      <c r="DU52" s="18">
        <v>1.8947368421052633E-2</v>
      </c>
      <c r="DV52" s="368" t="s">
        <v>286</v>
      </c>
      <c r="DW52" s="369" t="s">
        <v>286</v>
      </c>
      <c r="DX52" s="420" t="s">
        <v>286</v>
      </c>
      <c r="DY52" s="420" t="s">
        <v>286</v>
      </c>
      <c r="DZ52" s="420" t="s">
        <v>286</v>
      </c>
      <c r="EA52" s="369" t="s">
        <v>286</v>
      </c>
      <c r="EB52" s="3">
        <v>633</v>
      </c>
      <c r="EC52" s="18">
        <v>4.3061224489795921E-2</v>
      </c>
      <c r="ED52" s="13">
        <v>295</v>
      </c>
      <c r="EE52" s="3">
        <v>305</v>
      </c>
      <c r="EF52" s="3">
        <v>345</v>
      </c>
      <c r="EG52" s="3">
        <v>360</v>
      </c>
      <c r="EH52" s="9">
        <v>280</v>
      </c>
      <c r="EI52" s="9">
        <v>265</v>
      </c>
      <c r="EJ52" s="13">
        <v>300</v>
      </c>
      <c r="EK52" s="17">
        <v>0.16216216216216217</v>
      </c>
      <c r="EL52" s="17">
        <v>0.14606860106171005</v>
      </c>
      <c r="EM52" s="17">
        <v>0.17965583235603375</v>
      </c>
      <c r="EN52" s="3">
        <v>325</v>
      </c>
      <c r="EO52" s="17">
        <v>0.17567567567567569</v>
      </c>
      <c r="EP52" s="17">
        <v>0.15901195318594102</v>
      </c>
      <c r="EQ52" s="17">
        <v>0.19368350289509301</v>
      </c>
      <c r="ER52" s="3">
        <v>310</v>
      </c>
      <c r="ES52" s="17">
        <v>0.16489361702127658</v>
      </c>
      <c r="ET52" s="17">
        <v>0.14880593100628797</v>
      </c>
      <c r="EU52" s="17">
        <v>0.18234797576207984</v>
      </c>
      <c r="EV52" s="3">
        <v>350</v>
      </c>
      <c r="EW52" s="17">
        <v>0.18087855297157623</v>
      </c>
      <c r="EX52" s="17">
        <v>0.16436572857421031</v>
      </c>
      <c r="EY52" s="17">
        <v>0.19865593862740183</v>
      </c>
      <c r="EZ52" s="3">
        <v>350</v>
      </c>
      <c r="FA52" s="18">
        <v>0.1745635910224439</v>
      </c>
      <c r="FB52" s="18">
        <v>0.15857479576250239</v>
      </c>
      <c r="FC52" s="18">
        <v>0.19179703459283573</v>
      </c>
      <c r="FD52" s="337">
        <v>335</v>
      </c>
      <c r="FE52" s="18">
        <v>0.17091836734693877</v>
      </c>
      <c r="FF52" s="18">
        <v>0.15490065235164155</v>
      </c>
      <c r="FG52" s="393">
        <v>0.18822351166582577</v>
      </c>
      <c r="FH52" s="425" t="s">
        <v>286</v>
      </c>
      <c r="FI52" s="258" t="s">
        <v>286</v>
      </c>
      <c r="FJ52" s="258" t="s">
        <v>286</v>
      </c>
      <c r="FK52" s="258" t="s">
        <v>286</v>
      </c>
      <c r="FL52" s="36">
        <v>990</v>
      </c>
      <c r="FM52" s="18">
        <v>0.15929203539823009</v>
      </c>
      <c r="FN52" s="42">
        <v>1020</v>
      </c>
      <c r="FO52" s="18">
        <v>0.16451612903225807</v>
      </c>
      <c r="FP52" s="42">
        <v>925</v>
      </c>
      <c r="FQ52" s="18">
        <v>0.14955537590945836</v>
      </c>
      <c r="FR52" s="42">
        <v>955</v>
      </c>
      <c r="FS52" s="18">
        <v>0.1514670896114195</v>
      </c>
      <c r="FT52" s="42">
        <v>880</v>
      </c>
      <c r="FU52" s="18">
        <v>0.13750000000000001</v>
      </c>
      <c r="FV52" s="42">
        <v>890</v>
      </c>
      <c r="FW52" s="393">
        <v>0.13745173745173744</v>
      </c>
      <c r="FX52" s="114" t="s">
        <v>286</v>
      </c>
      <c r="FY52" s="259" t="s">
        <v>286</v>
      </c>
      <c r="FZ52" s="3">
        <v>407</v>
      </c>
      <c r="GA52" s="3">
        <v>21</v>
      </c>
      <c r="GB52" s="3">
        <v>386</v>
      </c>
      <c r="GC52" s="17">
        <v>0.94840294840294836</v>
      </c>
      <c r="GD52" s="3">
        <v>164</v>
      </c>
      <c r="GE52" s="3">
        <v>203</v>
      </c>
      <c r="GF52" s="17">
        <v>0.42487046632124353</v>
      </c>
      <c r="GG52" s="17">
        <v>0.52590673575129532</v>
      </c>
      <c r="GH52" s="17">
        <v>0.37653529950140968</v>
      </c>
      <c r="GI52" s="17">
        <v>0.47468627099174598</v>
      </c>
      <c r="GJ52" s="17">
        <v>0.47608405802744896</v>
      </c>
      <c r="GK52" s="93">
        <v>0.57521884869904905</v>
      </c>
      <c r="GL52" s="337">
        <v>391</v>
      </c>
      <c r="GM52" s="337">
        <v>138</v>
      </c>
      <c r="GN52" s="337">
        <v>62</v>
      </c>
      <c r="GO52" s="337">
        <v>200</v>
      </c>
      <c r="GP52" s="393">
        <v>0.35294117647058826</v>
      </c>
      <c r="GQ52" s="393">
        <v>0.51150895140664965</v>
      </c>
      <c r="GR52" s="393">
        <v>0.30721345611408934</v>
      </c>
      <c r="GS52" s="393">
        <v>0.40153040188025579</v>
      </c>
      <c r="GT52" s="393">
        <v>0.46209177534965556</v>
      </c>
      <c r="GU52" s="93">
        <v>0.56070218358991741</v>
      </c>
      <c r="GV52" s="42">
        <v>409</v>
      </c>
      <c r="GW52" s="42">
        <v>48</v>
      </c>
      <c r="GX52" s="42">
        <v>361</v>
      </c>
      <c r="GY52" s="393">
        <f t="shared" si="2"/>
        <v>0.88264058679706603</v>
      </c>
      <c r="GZ52" s="42">
        <v>141</v>
      </c>
      <c r="HA52" s="42">
        <v>63</v>
      </c>
      <c r="HB52" s="42">
        <v>204</v>
      </c>
      <c r="HC52" s="393">
        <v>0.39058171745152354</v>
      </c>
      <c r="HD52" s="393">
        <v>0.5650969529085873</v>
      </c>
      <c r="HE52" s="393">
        <v>0.34165836817723516</v>
      </c>
      <c r="HF52" s="393">
        <v>0.44180922277211049</v>
      </c>
      <c r="HG52" s="393">
        <v>0.51353786256563683</v>
      </c>
      <c r="HH52" s="93">
        <v>0.61528521623665122</v>
      </c>
      <c r="HI52" s="696">
        <v>366</v>
      </c>
      <c r="HJ52" s="696">
        <v>15</v>
      </c>
      <c r="HK52" s="696">
        <v>351</v>
      </c>
      <c r="HL52" s="697">
        <v>0.95901639344262291</v>
      </c>
      <c r="HM52" s="696">
        <v>135</v>
      </c>
      <c r="HN52" s="696">
        <v>56</v>
      </c>
      <c r="HO52" s="696">
        <v>191</v>
      </c>
      <c r="HP52" s="697">
        <v>0.38461538461538464</v>
      </c>
      <c r="HQ52" s="697">
        <v>0.54415954415954415</v>
      </c>
      <c r="HR52" s="697">
        <v>0.33522964487370094</v>
      </c>
      <c r="HS52" s="697">
        <v>0.43649939640236279</v>
      </c>
      <c r="HT52" s="697">
        <v>0.49185890917282571</v>
      </c>
      <c r="HU52" s="698">
        <v>0.59550405033880427</v>
      </c>
      <c r="HV52" s="3">
        <v>306</v>
      </c>
      <c r="HW52" s="3">
        <v>41</v>
      </c>
      <c r="HX52" s="17">
        <v>0.13398692810457516</v>
      </c>
      <c r="HY52" s="17">
        <v>0.10032528329781232</v>
      </c>
      <c r="HZ52" s="17">
        <v>0.17672433797437112</v>
      </c>
      <c r="IA52" s="267" t="s">
        <v>709</v>
      </c>
      <c r="IB52" s="3">
        <v>319</v>
      </c>
      <c r="IC52" s="3">
        <v>27</v>
      </c>
      <c r="ID52" s="17">
        <v>8.4639498432601878E-2</v>
      </c>
      <c r="IE52" s="17">
        <v>5.8819812484351107E-2</v>
      </c>
      <c r="IF52" s="17">
        <v>0.12034385203377765</v>
      </c>
      <c r="IG52" s="3" t="s">
        <v>707</v>
      </c>
      <c r="IH52" s="3">
        <v>351</v>
      </c>
      <c r="II52" s="3">
        <v>37</v>
      </c>
      <c r="IJ52" s="17">
        <v>0.10541310541310542</v>
      </c>
      <c r="IK52" s="17">
        <v>7.7449182248717607E-2</v>
      </c>
      <c r="IL52" s="17">
        <v>0.14192050211510529</v>
      </c>
      <c r="IM52" s="3" t="s">
        <v>707</v>
      </c>
      <c r="IN52" s="3">
        <v>389</v>
      </c>
      <c r="IO52" s="3">
        <v>41</v>
      </c>
      <c r="IP52" s="17">
        <v>0.10539845758354756</v>
      </c>
      <c r="IQ52" s="17">
        <v>7.8648068865521378E-2</v>
      </c>
      <c r="IR52" s="17">
        <v>0.13986618642308607</v>
      </c>
      <c r="IS52" s="3" t="s">
        <v>707</v>
      </c>
      <c r="IT52" s="3">
        <v>281</v>
      </c>
      <c r="IU52" s="3">
        <v>23</v>
      </c>
      <c r="IV52" s="17">
        <v>8.1850533807829182E-2</v>
      </c>
      <c r="IW52" s="17">
        <v>5.5158551624166031E-2</v>
      </c>
      <c r="IX52" s="17">
        <v>0.11982109855403714</v>
      </c>
      <c r="IY52" s="9" t="s">
        <v>707</v>
      </c>
      <c r="IZ52" s="9">
        <v>321</v>
      </c>
      <c r="JA52" s="9">
        <v>26</v>
      </c>
      <c r="JB52" s="393">
        <v>8.0996884735202487E-2</v>
      </c>
      <c r="JC52" s="393">
        <v>5.5871806871377397E-2</v>
      </c>
      <c r="JD52" s="393">
        <v>0.11603192433159529</v>
      </c>
      <c r="JE52" s="9" t="str">
        <f t="shared" si="5"/>
        <v>No Sig diff</v>
      </c>
      <c r="JF52" s="9">
        <v>353</v>
      </c>
      <c r="JG52" s="109">
        <v>30</v>
      </c>
      <c r="JH52" s="258">
        <v>8.4985835694050993E-2</v>
      </c>
      <c r="JI52" s="258">
        <v>6.0177351640745259E-2</v>
      </c>
      <c r="JJ52" s="258">
        <v>0.11872971546877804</v>
      </c>
      <c r="JK52" s="662" t="str">
        <f t="shared" si="3"/>
        <v>No Sig diff</v>
      </c>
      <c r="JL52" s="3">
        <v>335</v>
      </c>
      <c r="JM52" s="3">
        <v>57</v>
      </c>
      <c r="JN52" s="17">
        <v>0.17014925373134329</v>
      </c>
      <c r="JO52" s="17">
        <v>0.13370474763443638</v>
      </c>
      <c r="JP52" s="17">
        <v>0.21407282135263578</v>
      </c>
      <c r="JQ52" s="3" t="s">
        <v>707</v>
      </c>
      <c r="JR52" s="3">
        <v>305</v>
      </c>
      <c r="JS52" s="3">
        <v>63</v>
      </c>
      <c r="JT52" s="17">
        <v>0.20655737704918034</v>
      </c>
      <c r="JU52" s="17">
        <v>0.16490994305307338</v>
      </c>
      <c r="JV52" s="17">
        <v>0.25550465839483955</v>
      </c>
      <c r="JW52" s="3" t="s">
        <v>707</v>
      </c>
      <c r="JX52" s="3">
        <v>291</v>
      </c>
      <c r="JY52" s="3">
        <v>51</v>
      </c>
      <c r="JZ52" s="17">
        <v>0.17525773195876287</v>
      </c>
      <c r="KA52" s="17">
        <v>0.13588681157015609</v>
      </c>
      <c r="KB52" s="17">
        <v>0.22309071907983608</v>
      </c>
      <c r="KC52" s="3" t="s">
        <v>707</v>
      </c>
      <c r="KD52" s="3">
        <v>294</v>
      </c>
      <c r="KE52" s="3">
        <v>43</v>
      </c>
      <c r="KF52" s="17">
        <v>0.14625850340136054</v>
      </c>
      <c r="KG52" s="17">
        <v>0.11043149100924214</v>
      </c>
      <c r="KH52" s="17">
        <v>0.19121039315430638</v>
      </c>
      <c r="KI52" s="3" t="s">
        <v>707</v>
      </c>
      <c r="KJ52" s="3">
        <v>357</v>
      </c>
      <c r="KK52" s="3">
        <v>63</v>
      </c>
      <c r="KL52" s="17">
        <v>0.17647058823529413</v>
      </c>
      <c r="KM52" s="17">
        <v>0.14043054818622616</v>
      </c>
      <c r="KN52" s="17">
        <v>0.21939911009373803</v>
      </c>
      <c r="KO52" s="9" t="s">
        <v>707</v>
      </c>
      <c r="KP52" s="9">
        <v>336</v>
      </c>
      <c r="KQ52" s="9">
        <v>69</v>
      </c>
      <c r="KR52" s="393">
        <v>0.20535714285714285</v>
      </c>
      <c r="KS52" s="393">
        <v>0.16560996990723667</v>
      </c>
      <c r="KT52" s="393">
        <v>0.25176541246343515</v>
      </c>
      <c r="KU52" s="9" t="s">
        <v>772</v>
      </c>
      <c r="KV52" s="9">
        <v>321</v>
      </c>
      <c r="KW52" s="9">
        <v>68</v>
      </c>
      <c r="KX52" s="393">
        <v>0.21183800623052959</v>
      </c>
      <c r="KY52" s="393">
        <v>0.17068055067964896</v>
      </c>
      <c r="KZ52" s="393">
        <v>0.25981086297295308</v>
      </c>
      <c r="LA52" s="662" t="str">
        <f t="shared" si="4"/>
        <v>No Sig diff</v>
      </c>
      <c r="LB52" s="3">
        <v>415</v>
      </c>
      <c r="LC52" s="3">
        <v>195</v>
      </c>
      <c r="LD52" s="17">
        <v>0.46987951807228917</v>
      </c>
      <c r="LE52" s="17">
        <v>0.4223576247956472</v>
      </c>
      <c r="LF52" s="17">
        <v>0.51795391917043732</v>
      </c>
      <c r="LG52" s="3">
        <v>415</v>
      </c>
      <c r="LH52" s="3">
        <v>33</v>
      </c>
      <c r="LI52" s="3">
        <v>83</v>
      </c>
      <c r="LJ52" s="293">
        <v>21.674698795180728</v>
      </c>
      <c r="LK52" s="17">
        <v>0.343190945600584</v>
      </c>
      <c r="LL52" s="3">
        <v>408</v>
      </c>
      <c r="LM52" s="3">
        <v>225</v>
      </c>
      <c r="LN52" s="17">
        <v>0.55147058823529416</v>
      </c>
      <c r="LO52" s="17">
        <v>0.50295509749998391</v>
      </c>
      <c r="LP52" s="17">
        <v>0.59902589324404365</v>
      </c>
      <c r="LQ52" s="3">
        <v>408</v>
      </c>
      <c r="LR52" s="3">
        <v>34</v>
      </c>
      <c r="LS52" s="3">
        <v>80</v>
      </c>
      <c r="LT52" s="293">
        <v>22.987500000000008</v>
      </c>
      <c r="LU52" s="18">
        <v>0.3238970588235292</v>
      </c>
      <c r="LV52" s="42">
        <v>394</v>
      </c>
      <c r="LW52" s="42">
        <v>236</v>
      </c>
      <c r="LX52" s="18">
        <v>0.59898477157360408</v>
      </c>
      <c r="LY52" s="18">
        <v>0.54986007959142413</v>
      </c>
      <c r="LZ52" s="18">
        <v>0.64619791856495801</v>
      </c>
      <c r="MA52" s="337">
        <v>34</v>
      </c>
      <c r="MB52" s="337">
        <v>78</v>
      </c>
      <c r="MC52" s="294">
        <v>21.7</v>
      </c>
      <c r="MD52" s="393">
        <v>0.36099999999999999</v>
      </c>
      <c r="ME52" s="337">
        <v>409</v>
      </c>
      <c r="MF52" s="337">
        <v>261</v>
      </c>
      <c r="MG52" s="393">
        <v>0.63814180929095354</v>
      </c>
      <c r="MH52" s="393">
        <v>0.59048490874976522</v>
      </c>
      <c r="MI52" s="393">
        <v>0.68322791147616635</v>
      </c>
      <c r="MJ52" s="337">
        <v>34</v>
      </c>
      <c r="MK52" s="337">
        <v>81</v>
      </c>
      <c r="ML52" s="294">
        <v>21.802469135802468</v>
      </c>
      <c r="MM52" s="93">
        <v>0.35875090777051566</v>
      </c>
      <c r="MN52" s="17"/>
      <c r="MO52" s="17"/>
      <c r="MP52" s="17"/>
      <c r="MQ52" s="17"/>
      <c r="MR52" s="17"/>
      <c r="MS52" s="17"/>
      <c r="MT52" s="17"/>
      <c r="MU52" s="17"/>
      <c r="MV52" s="17"/>
      <c r="MW52" s="17"/>
      <c r="MX52" s="17"/>
      <c r="MY52" s="17"/>
      <c r="MZ52" s="17"/>
      <c r="NA52" s="17"/>
      <c r="NB52" s="17"/>
      <c r="NC52" s="93"/>
      <c r="ND52" s="337">
        <v>21</v>
      </c>
      <c r="NE52" s="337">
        <v>195</v>
      </c>
      <c r="NF52" s="393">
        <v>0.1076923076923077</v>
      </c>
      <c r="NG52" s="393">
        <v>7.152306580694269E-2</v>
      </c>
      <c r="NH52" s="393">
        <v>0.15901969470474614</v>
      </c>
      <c r="NI52" s="337">
        <v>13</v>
      </c>
      <c r="NJ52" s="337">
        <v>196</v>
      </c>
      <c r="NK52" s="393">
        <v>6.6326530612244902E-2</v>
      </c>
      <c r="NL52" s="393">
        <v>3.9167849192518686E-2</v>
      </c>
      <c r="NM52" s="393">
        <v>0.11015781624644855</v>
      </c>
      <c r="NN52" s="337">
        <v>17</v>
      </c>
      <c r="NO52" s="337">
        <v>194</v>
      </c>
      <c r="NP52" s="393">
        <v>8.7628865979381437E-2</v>
      </c>
      <c r="NQ52" s="393">
        <v>5.5430223402076761E-2</v>
      </c>
      <c r="NR52" s="393">
        <v>0.1358414091781816</v>
      </c>
      <c r="NS52" s="337">
        <v>42</v>
      </c>
      <c r="NT52" s="337">
        <v>194</v>
      </c>
      <c r="NU52" s="393">
        <v>0.21649484536082475</v>
      </c>
      <c r="NV52" s="393">
        <v>0.16434649562909701</v>
      </c>
      <c r="NW52" s="93">
        <v>0.27965275176983062</v>
      </c>
      <c r="NX52" s="3">
        <v>116</v>
      </c>
      <c r="NY52" s="3">
        <v>111</v>
      </c>
      <c r="NZ52" s="3">
        <v>112</v>
      </c>
      <c r="OA52" s="3">
        <v>113</v>
      </c>
      <c r="OB52" s="3">
        <v>113</v>
      </c>
      <c r="OC52" s="3">
        <v>103</v>
      </c>
      <c r="OD52" s="3">
        <v>98</v>
      </c>
      <c r="OE52" s="3">
        <v>97</v>
      </c>
      <c r="OF52" s="3">
        <v>98</v>
      </c>
      <c r="OG52" s="3">
        <v>97</v>
      </c>
      <c r="OH52" s="3">
        <v>98</v>
      </c>
      <c r="OI52" s="3">
        <v>96</v>
      </c>
      <c r="OJ52" s="3">
        <v>98</v>
      </c>
      <c r="OK52" s="3">
        <v>116</v>
      </c>
      <c r="OL52" s="3">
        <v>106</v>
      </c>
      <c r="OM52" s="3">
        <v>109</v>
      </c>
      <c r="ON52" s="3">
        <v>100</v>
      </c>
      <c r="OO52" s="3">
        <v>108</v>
      </c>
      <c r="OP52" s="3">
        <v>109</v>
      </c>
      <c r="OQ52" s="3">
        <v>98</v>
      </c>
      <c r="OR52" s="3">
        <v>106</v>
      </c>
      <c r="OS52" s="3">
        <v>102</v>
      </c>
      <c r="OT52" s="6">
        <v>112</v>
      </c>
      <c r="OU52" s="3">
        <v>344</v>
      </c>
      <c r="OV52" s="22">
        <v>0.94499999999999995</v>
      </c>
      <c r="OW52" s="22">
        <v>6.0000000000000001E-3</v>
      </c>
      <c r="OX52" s="22">
        <v>0.95099999999999996</v>
      </c>
      <c r="OY52" s="3">
        <v>325</v>
      </c>
      <c r="OZ52" s="3">
        <v>2</v>
      </c>
      <c r="PA52" s="3">
        <v>327</v>
      </c>
      <c r="PB52" s="3">
        <v>399</v>
      </c>
      <c r="PC52" s="22">
        <v>0.97499999999999998</v>
      </c>
      <c r="PD52" s="22">
        <v>0.87</v>
      </c>
      <c r="PE52" s="22">
        <v>0.98199999999999998</v>
      </c>
      <c r="PF52" s="22">
        <v>0.877</v>
      </c>
      <c r="PG52" s="22">
        <v>0.87</v>
      </c>
      <c r="PH52" s="3">
        <v>389</v>
      </c>
      <c r="PI52" s="3">
        <v>347</v>
      </c>
      <c r="PJ52" s="3">
        <v>392</v>
      </c>
      <c r="PK52" s="3">
        <v>350</v>
      </c>
      <c r="PL52" s="3">
        <v>347</v>
      </c>
      <c r="PM52" s="3">
        <v>379</v>
      </c>
      <c r="PN52" s="22">
        <v>0.96599999999999997</v>
      </c>
      <c r="PO52" s="22">
        <v>0.93100000000000005</v>
      </c>
      <c r="PP52" s="22">
        <v>0.96599999999999997</v>
      </c>
      <c r="PQ52" s="22">
        <v>0.96599999999999997</v>
      </c>
      <c r="PR52" s="22">
        <v>0.96299999999999997</v>
      </c>
      <c r="PS52" s="22">
        <v>0.86799999999999999</v>
      </c>
      <c r="PT52" s="22">
        <v>0.93100000000000005</v>
      </c>
      <c r="PU52" s="22">
        <v>0.91800000000000004</v>
      </c>
      <c r="PV52" s="22">
        <v>0.96299999999999997</v>
      </c>
      <c r="PW52" s="22">
        <v>0.90800000000000003</v>
      </c>
      <c r="PX52" s="3">
        <v>366</v>
      </c>
      <c r="PY52" s="3">
        <v>353</v>
      </c>
      <c r="PZ52" s="3">
        <v>366</v>
      </c>
      <c r="QA52" s="3">
        <v>366</v>
      </c>
      <c r="QB52" s="3">
        <v>365</v>
      </c>
      <c r="QC52" s="3">
        <v>329</v>
      </c>
      <c r="QD52" s="3">
        <v>353</v>
      </c>
      <c r="QE52" s="3">
        <v>348</v>
      </c>
      <c r="QF52" s="3">
        <v>365</v>
      </c>
      <c r="QG52" s="6">
        <v>344</v>
      </c>
      <c r="QH52" s="37">
        <v>358</v>
      </c>
      <c r="QI52" s="17">
        <v>0.84916201117318435</v>
      </c>
      <c r="QJ52" s="17">
        <v>0.23463687150837989</v>
      </c>
      <c r="QK52" s="17">
        <v>0.87988826815642462</v>
      </c>
      <c r="QL52" s="37">
        <v>304</v>
      </c>
      <c r="QM52" s="37">
        <v>84</v>
      </c>
      <c r="QN52" s="37">
        <v>315</v>
      </c>
      <c r="QO52" s="37">
        <v>354</v>
      </c>
      <c r="QP52" s="17">
        <v>0.93220338983050843</v>
      </c>
      <c r="QQ52" s="17">
        <v>0.85028248587570621</v>
      </c>
      <c r="QR52" s="17">
        <v>0.74576271186440679</v>
      </c>
      <c r="QS52" s="17">
        <v>0.85028248587570621</v>
      </c>
      <c r="QT52" s="17">
        <v>0.66949152542372881</v>
      </c>
      <c r="QU52" s="37">
        <v>330</v>
      </c>
      <c r="QV52" s="37">
        <v>301</v>
      </c>
      <c r="QW52" s="37">
        <v>264</v>
      </c>
      <c r="QX52" s="37">
        <v>301</v>
      </c>
      <c r="QY52" s="37">
        <v>237</v>
      </c>
      <c r="QZ52" s="3">
        <v>398</v>
      </c>
      <c r="RA52" s="17">
        <v>0.96984924623115576</v>
      </c>
      <c r="RB52" s="17">
        <v>0.88442211055276387</v>
      </c>
      <c r="RC52" s="17">
        <v>0.96984924623115576</v>
      </c>
      <c r="RD52" s="17">
        <v>0.96984924623115576</v>
      </c>
      <c r="RE52" s="17">
        <v>0.74371859296482412</v>
      </c>
      <c r="RF52" s="17">
        <v>0.86683417085427139</v>
      </c>
      <c r="RG52" s="17">
        <v>0.87939698492462315</v>
      </c>
      <c r="RH52" s="17">
        <v>0.914572864321608</v>
      </c>
      <c r="RI52" s="17">
        <v>0.74371859296482412</v>
      </c>
      <c r="RJ52" s="17">
        <v>0.64070351758793975</v>
      </c>
      <c r="RK52" s="37">
        <v>386</v>
      </c>
      <c r="RL52" s="37">
        <v>352</v>
      </c>
      <c r="RM52" s="37">
        <v>386</v>
      </c>
      <c r="RN52" s="37">
        <v>386</v>
      </c>
      <c r="RO52" s="37">
        <v>296</v>
      </c>
      <c r="RP52" s="37">
        <v>345</v>
      </c>
      <c r="RQ52" s="37">
        <v>350</v>
      </c>
      <c r="RR52" s="37">
        <v>364</v>
      </c>
      <c r="RS52" s="37">
        <v>296</v>
      </c>
      <c r="RT52" s="38">
        <v>255</v>
      </c>
    </row>
    <row r="53" spans="1:488" s="3" customFormat="1" ht="12.75" x14ac:dyDescent="0.2">
      <c r="A53" s="9" t="s">
        <v>117</v>
      </c>
      <c r="B53" s="6">
        <v>5</v>
      </c>
      <c r="C53" s="9" t="s">
        <v>286</v>
      </c>
      <c r="D53" s="9" t="s">
        <v>286</v>
      </c>
      <c r="E53" s="9" t="s">
        <v>286</v>
      </c>
      <c r="F53" s="9" t="s">
        <v>286</v>
      </c>
      <c r="G53" s="9" t="s">
        <v>286</v>
      </c>
      <c r="H53" s="9" t="s">
        <v>77</v>
      </c>
      <c r="I53" s="9" t="s">
        <v>82</v>
      </c>
      <c r="J53" s="9" t="s">
        <v>268</v>
      </c>
      <c r="K53" s="9" t="s">
        <v>286</v>
      </c>
      <c r="L53" s="9" t="s">
        <v>286</v>
      </c>
      <c r="M53" s="9" t="s">
        <v>286</v>
      </c>
      <c r="N53" s="9" t="s">
        <v>403</v>
      </c>
      <c r="O53" s="109" t="s">
        <v>286</v>
      </c>
      <c r="P53" s="109" t="s">
        <v>286</v>
      </c>
      <c r="Q53" s="109" t="s">
        <v>286</v>
      </c>
      <c r="R53" s="109" t="s">
        <v>286</v>
      </c>
      <c r="S53" s="109" t="s">
        <v>286</v>
      </c>
      <c r="T53" s="36">
        <v>50310</v>
      </c>
      <c r="U53" s="37">
        <v>50585</v>
      </c>
      <c r="V53" s="37">
        <v>50940</v>
      </c>
      <c r="W53" s="37">
        <v>51220</v>
      </c>
      <c r="X53" s="37">
        <v>51400</v>
      </c>
      <c r="Y53" s="37">
        <v>51500</v>
      </c>
      <c r="Z53" s="37">
        <v>51425</v>
      </c>
      <c r="AA53" s="37">
        <v>51845</v>
      </c>
      <c r="AB53" s="37">
        <v>52350</v>
      </c>
      <c r="AC53" s="42">
        <v>53255</v>
      </c>
      <c r="AD53" s="42">
        <v>53847</v>
      </c>
      <c r="AE53" s="36">
        <v>2010</v>
      </c>
      <c r="AF53" s="37">
        <v>2020</v>
      </c>
      <c r="AG53" s="37">
        <v>2100</v>
      </c>
      <c r="AH53" s="37">
        <v>2150</v>
      </c>
      <c r="AI53" s="37">
        <v>2280</v>
      </c>
      <c r="AJ53" s="37">
        <v>2360</v>
      </c>
      <c r="AK53" s="37">
        <v>2420</v>
      </c>
      <c r="AL53" s="37">
        <v>2530</v>
      </c>
      <c r="AM53" s="37">
        <v>2610</v>
      </c>
      <c r="AN53" s="42">
        <v>2646</v>
      </c>
      <c r="AO53" s="42">
        <v>2677</v>
      </c>
      <c r="AP53" s="13">
        <v>2369</v>
      </c>
      <c r="AQ53" s="3">
        <v>2020</v>
      </c>
      <c r="AR53" s="3">
        <v>216</v>
      </c>
      <c r="AS53" s="3">
        <v>74</v>
      </c>
      <c r="AT53" s="3">
        <v>51</v>
      </c>
      <c r="AU53" s="3">
        <v>4</v>
      </c>
      <c r="AV53" s="3">
        <v>4</v>
      </c>
      <c r="AW53" s="9">
        <v>349</v>
      </c>
      <c r="AX53" s="16">
        <v>0.85268045588856056</v>
      </c>
      <c r="AY53" s="17">
        <v>9.1177712114816373E-2</v>
      </c>
      <c r="AZ53" s="17">
        <v>3.1236808780075981E-2</v>
      </c>
      <c r="BA53" s="17">
        <v>2.1528070915998312E-2</v>
      </c>
      <c r="BB53" s="17">
        <v>1.6884761502743773E-3</v>
      </c>
      <c r="BC53" s="17">
        <v>1.6884761502743773E-3</v>
      </c>
      <c r="BD53" s="18">
        <v>0.14731954411143944</v>
      </c>
      <c r="BE53" s="13">
        <v>5649</v>
      </c>
      <c r="BF53" s="3">
        <v>5391</v>
      </c>
      <c r="BG53" s="3">
        <v>258</v>
      </c>
      <c r="BH53" s="3">
        <v>186</v>
      </c>
      <c r="BI53" s="3">
        <v>72</v>
      </c>
      <c r="BJ53" s="17">
        <v>0.72093023255813948</v>
      </c>
      <c r="BK53" s="18">
        <v>0.27906976744186046</v>
      </c>
      <c r="BL53" s="36">
        <v>4444</v>
      </c>
      <c r="BM53" s="17">
        <v>0.59428442844284424</v>
      </c>
      <c r="BN53" s="17">
        <v>9.045904590459046E-2</v>
      </c>
      <c r="BO53" s="18">
        <v>0.31525652565256523</v>
      </c>
      <c r="BP53" s="36">
        <v>14865</v>
      </c>
      <c r="BQ53" s="37">
        <v>840</v>
      </c>
      <c r="BR53" s="37">
        <v>724</v>
      </c>
      <c r="BS53" s="37">
        <v>320</v>
      </c>
      <c r="BT53" s="37">
        <v>8245</v>
      </c>
      <c r="BU53" s="37">
        <v>4839</v>
      </c>
      <c r="BV53" s="18">
        <v>0.12771233725976441</v>
      </c>
      <c r="BW53" s="36">
        <v>2596</v>
      </c>
      <c r="BX53" s="37">
        <v>2</v>
      </c>
      <c r="BY53" s="37">
        <v>722</v>
      </c>
      <c r="BZ53" s="37">
        <v>1139</v>
      </c>
      <c r="CA53" s="37">
        <v>416</v>
      </c>
      <c r="CB53" s="38">
        <v>4875</v>
      </c>
      <c r="CC53" s="37">
        <v>1905</v>
      </c>
      <c r="CD53" s="37">
        <v>1534</v>
      </c>
      <c r="CE53" s="37">
        <v>366</v>
      </c>
      <c r="CF53" s="37">
        <v>371</v>
      </c>
      <c r="CG53" s="17">
        <v>0.1921259842519685</v>
      </c>
      <c r="CH53" s="93">
        <v>0.19475065616797901</v>
      </c>
      <c r="CI53" s="37">
        <v>365</v>
      </c>
      <c r="CJ53" s="37">
        <v>320</v>
      </c>
      <c r="CK53" s="37">
        <v>290</v>
      </c>
      <c r="CL53" s="37">
        <v>285</v>
      </c>
      <c r="CM53" s="42">
        <v>260</v>
      </c>
      <c r="CN53" s="42">
        <v>230</v>
      </c>
      <c r="CO53" s="36">
        <v>1132</v>
      </c>
      <c r="CP53" s="37">
        <v>388</v>
      </c>
      <c r="CQ53" s="17">
        <v>0.34275618374558303</v>
      </c>
      <c r="CR53" s="38">
        <v>110</v>
      </c>
      <c r="CS53" s="107">
        <v>458</v>
      </c>
      <c r="CT53" s="107">
        <v>484</v>
      </c>
      <c r="CU53" s="107">
        <v>514</v>
      </c>
      <c r="CV53" s="107">
        <v>520</v>
      </c>
      <c r="CW53" s="107">
        <v>493</v>
      </c>
      <c r="CX53" s="528" t="s">
        <v>471</v>
      </c>
      <c r="CY53" s="568">
        <v>484</v>
      </c>
      <c r="CZ53" s="37">
        <v>45</v>
      </c>
      <c r="DA53" s="37">
        <v>28</v>
      </c>
      <c r="DB53" s="37">
        <v>31</v>
      </c>
      <c r="DC53" s="37">
        <v>27</v>
      </c>
      <c r="DD53" s="37">
        <v>27</v>
      </c>
      <c r="DE53" s="534" t="s">
        <v>471</v>
      </c>
      <c r="DF53" s="716">
        <v>16</v>
      </c>
      <c r="DG53" s="13">
        <v>56</v>
      </c>
      <c r="DH53" s="13">
        <v>35</v>
      </c>
      <c r="DI53" s="17">
        <v>7.099391480730223E-2</v>
      </c>
      <c r="DJ53" s="17">
        <v>5.1486753100632228E-2</v>
      </c>
      <c r="DK53" s="18">
        <v>9.7135020525032298E-2</v>
      </c>
      <c r="DL53" s="425" t="s">
        <v>286</v>
      </c>
      <c r="DM53" s="258" t="s">
        <v>286</v>
      </c>
      <c r="DN53" s="258" t="s">
        <v>286</v>
      </c>
      <c r="DO53" s="258" t="s">
        <v>286</v>
      </c>
      <c r="DP53" s="337">
        <v>25</v>
      </c>
      <c r="DQ53" s="393">
        <v>5.1652892561983473E-2</v>
      </c>
      <c r="DR53" s="393">
        <v>3.5228641989672453E-2</v>
      </c>
      <c r="DS53" s="393">
        <v>7.5138072128578662E-2</v>
      </c>
      <c r="DT53" s="13">
        <v>55</v>
      </c>
      <c r="DU53" s="18">
        <v>2.3245984784446321E-2</v>
      </c>
      <c r="DV53" s="368" t="s">
        <v>286</v>
      </c>
      <c r="DW53" s="369" t="s">
        <v>286</v>
      </c>
      <c r="DX53" s="420" t="s">
        <v>286</v>
      </c>
      <c r="DY53" s="420" t="s">
        <v>286</v>
      </c>
      <c r="DZ53" s="420" t="s">
        <v>286</v>
      </c>
      <c r="EA53" s="369" t="s">
        <v>286</v>
      </c>
      <c r="EB53" s="3">
        <v>1060</v>
      </c>
      <c r="EC53" s="18">
        <v>4.5515050023616298E-2</v>
      </c>
      <c r="ED53" s="13">
        <v>415</v>
      </c>
      <c r="EE53" s="3">
        <v>415</v>
      </c>
      <c r="EF53" s="3">
        <v>450</v>
      </c>
      <c r="EG53" s="3">
        <v>445</v>
      </c>
      <c r="EH53" s="9">
        <v>455</v>
      </c>
      <c r="EI53" s="9">
        <v>360</v>
      </c>
      <c r="EJ53" s="13">
        <v>385</v>
      </c>
      <c r="EK53" s="17">
        <v>0.17701149425287357</v>
      </c>
      <c r="EL53" s="17">
        <v>0.16154454685896755</v>
      </c>
      <c r="EM53" s="17">
        <v>0.19361734694836738</v>
      </c>
      <c r="EN53" s="3">
        <v>415</v>
      </c>
      <c r="EO53" s="17">
        <v>0.18201754385964913</v>
      </c>
      <c r="EP53" s="17">
        <v>0.16671835915350897</v>
      </c>
      <c r="EQ53" s="17">
        <v>0.19838643198696901</v>
      </c>
      <c r="ER53" s="3">
        <v>410</v>
      </c>
      <c r="ES53" s="17">
        <v>0.17672413793103448</v>
      </c>
      <c r="ET53" s="17">
        <v>0.16174098352270064</v>
      </c>
      <c r="EU53" s="17">
        <v>0.19277608376414351</v>
      </c>
      <c r="EV53" s="3">
        <v>460</v>
      </c>
      <c r="EW53" s="17">
        <v>0.19287211740041929</v>
      </c>
      <c r="EX53" s="17">
        <v>0.17753633680780323</v>
      </c>
      <c r="EY53" s="17">
        <v>0.20919567314181034</v>
      </c>
      <c r="EZ53" s="3">
        <v>455</v>
      </c>
      <c r="FA53" s="18">
        <v>0.182</v>
      </c>
      <c r="FB53" s="18">
        <v>0.16736679034710714</v>
      </c>
      <c r="FC53" s="18">
        <v>0.19760897742818651</v>
      </c>
      <c r="FD53" s="337">
        <v>465</v>
      </c>
      <c r="FE53" s="18">
        <v>0.1875</v>
      </c>
      <c r="FF53" s="18">
        <v>0.17262604928993175</v>
      </c>
      <c r="FG53" s="393">
        <v>0.20334056303325321</v>
      </c>
      <c r="FH53" s="425" t="s">
        <v>286</v>
      </c>
      <c r="FI53" s="258" t="s">
        <v>286</v>
      </c>
      <c r="FJ53" s="258" t="s">
        <v>286</v>
      </c>
      <c r="FK53" s="258" t="s">
        <v>286</v>
      </c>
      <c r="FL53" s="36">
        <v>1085</v>
      </c>
      <c r="FM53" s="18">
        <v>0.15100904662491302</v>
      </c>
      <c r="FN53" s="42">
        <v>1150</v>
      </c>
      <c r="FO53" s="18">
        <v>0.15710382513661203</v>
      </c>
      <c r="FP53" s="42">
        <v>1135</v>
      </c>
      <c r="FQ53" s="18">
        <v>0.15558601782042494</v>
      </c>
      <c r="FR53" s="42">
        <v>1105</v>
      </c>
      <c r="FS53" s="18">
        <v>0.15251897860593513</v>
      </c>
      <c r="FT53" s="42">
        <v>1040</v>
      </c>
      <c r="FU53" s="18">
        <v>0.14044564483457123</v>
      </c>
      <c r="FV53" s="42">
        <v>1060</v>
      </c>
      <c r="FW53" s="393">
        <v>0.1403973509933775</v>
      </c>
      <c r="FX53" s="114" t="s">
        <v>286</v>
      </c>
      <c r="FY53" s="259" t="s">
        <v>286</v>
      </c>
      <c r="FZ53" s="3">
        <v>518</v>
      </c>
      <c r="GA53" s="3">
        <v>13</v>
      </c>
      <c r="GB53" s="3">
        <v>505</v>
      </c>
      <c r="GC53" s="17">
        <v>0.97490347490347495</v>
      </c>
      <c r="GD53" s="3">
        <v>191</v>
      </c>
      <c r="GE53" s="3">
        <v>230</v>
      </c>
      <c r="GF53" s="17">
        <v>0.37821782178217822</v>
      </c>
      <c r="GG53" s="17">
        <v>0.45544554455445546</v>
      </c>
      <c r="GH53" s="17">
        <v>0.33699179169590276</v>
      </c>
      <c r="GI53" s="17">
        <v>0.42128262193959698</v>
      </c>
      <c r="GJ53" s="17">
        <v>0.41250971705250833</v>
      </c>
      <c r="GK53" s="93">
        <v>0.49905409281413793</v>
      </c>
      <c r="GL53" s="337">
        <v>453</v>
      </c>
      <c r="GM53" s="337">
        <v>157</v>
      </c>
      <c r="GN53" s="337">
        <v>57</v>
      </c>
      <c r="GO53" s="337">
        <v>214</v>
      </c>
      <c r="GP53" s="393">
        <v>0.34657836644591611</v>
      </c>
      <c r="GQ53" s="393">
        <v>0.47240618101545256</v>
      </c>
      <c r="GR53" s="393">
        <v>0.30421158605897991</v>
      </c>
      <c r="GS53" s="393">
        <v>0.39152531059041951</v>
      </c>
      <c r="GT53" s="393">
        <v>0.42685791907610826</v>
      </c>
      <c r="GU53" s="93">
        <v>0.51841850118457511</v>
      </c>
      <c r="GV53" s="42">
        <v>498</v>
      </c>
      <c r="GW53" s="42">
        <v>73</v>
      </c>
      <c r="GX53" s="42">
        <v>425</v>
      </c>
      <c r="GY53" s="393">
        <f t="shared" si="2"/>
        <v>0.85341365461847385</v>
      </c>
      <c r="GZ53" s="42">
        <v>135</v>
      </c>
      <c r="HA53" s="42">
        <v>57</v>
      </c>
      <c r="HB53" s="42">
        <v>192</v>
      </c>
      <c r="HC53" s="393">
        <v>0.31764705882352939</v>
      </c>
      <c r="HD53" s="393">
        <v>0.45176470588235296</v>
      </c>
      <c r="HE53" s="393">
        <v>0.27518700201484081</v>
      </c>
      <c r="HF53" s="393">
        <v>0.3633740633582529</v>
      </c>
      <c r="HG53" s="393">
        <v>0.40509280372787243</v>
      </c>
      <c r="HH53" s="93">
        <v>0.49930076840307491</v>
      </c>
      <c r="HI53" s="696">
        <v>536</v>
      </c>
      <c r="HJ53" s="696">
        <v>43</v>
      </c>
      <c r="HK53" s="696">
        <v>493</v>
      </c>
      <c r="HL53" s="697">
        <v>0.91977611940298509</v>
      </c>
      <c r="HM53" s="696">
        <v>160</v>
      </c>
      <c r="HN53" s="696">
        <v>62</v>
      </c>
      <c r="HO53" s="696">
        <v>222</v>
      </c>
      <c r="HP53" s="697">
        <v>0.32454361054766734</v>
      </c>
      <c r="HQ53" s="697">
        <v>0.45030425963488846</v>
      </c>
      <c r="HR53" s="697">
        <v>0.28470846889516388</v>
      </c>
      <c r="HS53" s="697">
        <v>0.36709192551911496</v>
      </c>
      <c r="HT53" s="697">
        <v>0.40693929266571011</v>
      </c>
      <c r="HU53" s="698">
        <v>0.49443769765972151</v>
      </c>
      <c r="HV53" s="3">
        <v>418</v>
      </c>
      <c r="HW53" s="3">
        <v>43</v>
      </c>
      <c r="HX53" s="17">
        <v>0.10287081339712918</v>
      </c>
      <c r="HY53" s="17">
        <v>7.7272611972378502E-2</v>
      </c>
      <c r="HZ53" s="17">
        <v>0.13570185258560061</v>
      </c>
      <c r="IA53" s="267" t="s">
        <v>707</v>
      </c>
      <c r="IB53" s="3">
        <v>407</v>
      </c>
      <c r="IC53" s="3">
        <v>39</v>
      </c>
      <c r="ID53" s="17">
        <v>9.5823095823095825E-2</v>
      </c>
      <c r="IE53" s="17">
        <v>7.0889963666718708E-2</v>
      </c>
      <c r="IF53" s="17">
        <v>0.12831451549080627</v>
      </c>
      <c r="IG53" s="3" t="s">
        <v>707</v>
      </c>
      <c r="IH53" s="3">
        <v>399</v>
      </c>
      <c r="II53" s="3">
        <v>52</v>
      </c>
      <c r="IJ53" s="17">
        <v>0.13032581453634084</v>
      </c>
      <c r="IK53" s="17">
        <v>0.10078687188272777</v>
      </c>
      <c r="IL53" s="17">
        <v>0.16691511474098436</v>
      </c>
      <c r="IM53" s="3" t="s">
        <v>709</v>
      </c>
      <c r="IN53" s="3">
        <v>488</v>
      </c>
      <c r="IO53" s="3">
        <v>46</v>
      </c>
      <c r="IP53" s="17">
        <v>9.4262295081967207E-2</v>
      </c>
      <c r="IQ53" s="17">
        <v>7.1414590127644742E-2</v>
      </c>
      <c r="IR53" s="17">
        <v>0.12344791505948735</v>
      </c>
      <c r="IS53" s="3" t="s">
        <v>707</v>
      </c>
      <c r="IT53" s="3">
        <v>375</v>
      </c>
      <c r="IU53" s="3">
        <v>42</v>
      </c>
      <c r="IV53" s="17">
        <v>0.112</v>
      </c>
      <c r="IW53" s="17">
        <v>8.3934882006370781E-2</v>
      </c>
      <c r="IX53" s="17">
        <v>0.14793377116094145</v>
      </c>
      <c r="IY53" s="9" t="s">
        <v>707</v>
      </c>
      <c r="IZ53" s="9">
        <v>438</v>
      </c>
      <c r="JA53" s="9">
        <v>50</v>
      </c>
      <c r="JB53" s="393">
        <v>0.11415525114155251</v>
      </c>
      <c r="JC53" s="393">
        <v>8.7669548108059256E-2</v>
      </c>
      <c r="JD53" s="393">
        <v>0.14735017841976425</v>
      </c>
      <c r="JE53" s="9" t="str">
        <f t="shared" si="5"/>
        <v>No Sig diff</v>
      </c>
      <c r="JF53" s="9">
        <v>480</v>
      </c>
      <c r="JG53" s="109">
        <v>42</v>
      </c>
      <c r="JH53" s="258">
        <v>8.7499999999999994E-2</v>
      </c>
      <c r="JI53" s="258">
        <v>6.5385177494609301E-2</v>
      </c>
      <c r="JJ53" s="258">
        <v>0.116164909252395</v>
      </c>
      <c r="JK53" s="662" t="str">
        <f t="shared" si="3"/>
        <v>No Sig diff</v>
      </c>
      <c r="JL53" s="3">
        <v>380</v>
      </c>
      <c r="JM53" s="3">
        <v>64</v>
      </c>
      <c r="JN53" s="17">
        <v>0.16842105263157894</v>
      </c>
      <c r="JO53" s="17">
        <v>0.13415388023217073</v>
      </c>
      <c r="JP53" s="17">
        <v>0.20932506345921909</v>
      </c>
      <c r="JQ53" s="3" t="s">
        <v>707</v>
      </c>
      <c r="JR53" s="3">
        <v>354</v>
      </c>
      <c r="JS53" s="3">
        <v>68</v>
      </c>
      <c r="JT53" s="17">
        <v>0.19209039548022599</v>
      </c>
      <c r="JU53" s="17">
        <v>0.15444559487597212</v>
      </c>
      <c r="JV53" s="17">
        <v>0.23634606822968654</v>
      </c>
      <c r="JW53" s="3" t="s">
        <v>707</v>
      </c>
      <c r="JX53" s="3">
        <v>355</v>
      </c>
      <c r="JY53" s="3">
        <v>56</v>
      </c>
      <c r="JZ53" s="17">
        <v>0.15774647887323945</v>
      </c>
      <c r="KA53" s="17">
        <v>0.12351920142870179</v>
      </c>
      <c r="KB53" s="17">
        <v>0.1993015205731497</v>
      </c>
      <c r="KC53" s="3" t="s">
        <v>707</v>
      </c>
      <c r="KD53" s="3">
        <v>353</v>
      </c>
      <c r="KE53" s="3">
        <v>59</v>
      </c>
      <c r="KF53" s="17">
        <v>0.16713881019830029</v>
      </c>
      <c r="KG53" s="17">
        <v>0.13184553567129084</v>
      </c>
      <c r="KH53" s="17">
        <v>0.20959869904112546</v>
      </c>
      <c r="KI53" s="3" t="s">
        <v>707</v>
      </c>
      <c r="KJ53" s="3">
        <v>389</v>
      </c>
      <c r="KK53" s="3">
        <v>63</v>
      </c>
      <c r="KL53" s="17">
        <v>0.16195372750642673</v>
      </c>
      <c r="KM53" s="17">
        <v>0.1286788818533241</v>
      </c>
      <c r="KN53" s="17">
        <v>0.20183984499001062</v>
      </c>
      <c r="KO53" s="9" t="s">
        <v>707</v>
      </c>
      <c r="KP53" s="9">
        <v>389</v>
      </c>
      <c r="KQ53" s="9">
        <v>70</v>
      </c>
      <c r="KR53" s="393">
        <v>0.17994858611825193</v>
      </c>
      <c r="KS53" s="393">
        <v>0.14496262112313407</v>
      </c>
      <c r="KT53" s="393">
        <v>0.22119389212397753</v>
      </c>
      <c r="KU53" s="9" t="s">
        <v>772</v>
      </c>
      <c r="KV53" s="9">
        <v>417</v>
      </c>
      <c r="KW53" s="9">
        <v>79</v>
      </c>
      <c r="KX53" s="393">
        <v>0.18944844124700239</v>
      </c>
      <c r="KY53" s="393">
        <v>0.15473696829907219</v>
      </c>
      <c r="KZ53" s="393">
        <v>0.22982936999424963</v>
      </c>
      <c r="LA53" s="662" t="str">
        <f t="shared" si="4"/>
        <v>No Sig diff</v>
      </c>
      <c r="LB53" s="3">
        <v>504</v>
      </c>
      <c r="LC53" s="3">
        <v>185</v>
      </c>
      <c r="LD53" s="17">
        <v>0.36706349206349204</v>
      </c>
      <c r="LE53" s="17">
        <v>0.32613570900553129</v>
      </c>
      <c r="LF53" s="17">
        <v>0.41000241506339791</v>
      </c>
      <c r="LG53" s="3">
        <v>504</v>
      </c>
      <c r="LH53" s="3">
        <v>32</v>
      </c>
      <c r="LI53" s="3">
        <v>100</v>
      </c>
      <c r="LJ53" s="293">
        <v>21.43</v>
      </c>
      <c r="LK53" s="17">
        <v>0.33031250000000001</v>
      </c>
      <c r="LL53" s="3">
        <v>506</v>
      </c>
      <c r="LM53" s="3">
        <v>262</v>
      </c>
      <c r="LN53" s="17">
        <v>0.51778656126482214</v>
      </c>
      <c r="LO53" s="17">
        <v>0.47427873046250862</v>
      </c>
      <c r="LP53" s="17">
        <v>0.56102636230424185</v>
      </c>
      <c r="LQ53" s="3">
        <v>506</v>
      </c>
      <c r="LR53" s="3">
        <v>34</v>
      </c>
      <c r="LS53" s="3">
        <v>100</v>
      </c>
      <c r="LT53" s="293">
        <v>23.280000000000005</v>
      </c>
      <c r="LU53" s="18">
        <v>0.31529411764705867</v>
      </c>
      <c r="LV53" s="42">
        <v>490</v>
      </c>
      <c r="LW53" s="42">
        <v>263</v>
      </c>
      <c r="LX53" s="18">
        <v>0.53673469387755102</v>
      </c>
      <c r="LY53" s="18">
        <v>0.49246864265596685</v>
      </c>
      <c r="LZ53" s="18">
        <v>0.58042924665038853</v>
      </c>
      <c r="MA53" s="337">
        <v>34</v>
      </c>
      <c r="MB53" s="337">
        <v>98</v>
      </c>
      <c r="MC53" s="294">
        <v>22.4</v>
      </c>
      <c r="MD53" s="393">
        <v>0.34100000000000003</v>
      </c>
      <c r="ME53" s="337">
        <v>556</v>
      </c>
      <c r="MF53" s="337">
        <v>368</v>
      </c>
      <c r="MG53" s="393">
        <v>0.66187050359712229</v>
      </c>
      <c r="MH53" s="393">
        <v>0.62155691746198072</v>
      </c>
      <c r="MI53" s="393">
        <v>0.699962679138046</v>
      </c>
      <c r="MJ53" s="337">
        <v>34</v>
      </c>
      <c r="MK53" s="337">
        <v>111</v>
      </c>
      <c r="ML53" s="294">
        <v>21.882882882882882</v>
      </c>
      <c r="MM53" s="93">
        <v>0.35638579756226818</v>
      </c>
      <c r="MN53" s="17"/>
      <c r="MO53" s="17"/>
      <c r="MP53" s="17"/>
      <c r="MQ53" s="17"/>
      <c r="MR53" s="17"/>
      <c r="MS53" s="17"/>
      <c r="MT53" s="17"/>
      <c r="MU53" s="17"/>
      <c r="MV53" s="17"/>
      <c r="MW53" s="17"/>
      <c r="MX53" s="17"/>
      <c r="MY53" s="17"/>
      <c r="MZ53" s="17"/>
      <c r="NA53" s="17"/>
      <c r="NB53" s="17"/>
      <c r="NC53" s="93"/>
      <c r="ND53" s="337">
        <v>38</v>
      </c>
      <c r="NE53" s="337">
        <v>264</v>
      </c>
      <c r="NF53" s="393">
        <v>0.14393939393939395</v>
      </c>
      <c r="NG53" s="393">
        <v>0.10669818641725223</v>
      </c>
      <c r="NH53" s="393">
        <v>0.19139404759400222</v>
      </c>
      <c r="NI53" s="337">
        <v>31</v>
      </c>
      <c r="NJ53" s="337">
        <v>264</v>
      </c>
      <c r="NK53" s="393">
        <v>0.11742424242424243</v>
      </c>
      <c r="NL53" s="393">
        <v>8.3969226836461588E-2</v>
      </c>
      <c r="NM53" s="393">
        <v>0.16185327992031182</v>
      </c>
      <c r="NN53" s="337">
        <v>30</v>
      </c>
      <c r="NO53" s="337">
        <v>259</v>
      </c>
      <c r="NP53" s="393">
        <v>0.11583011583011583</v>
      </c>
      <c r="NQ53" s="393">
        <v>8.2351197399546855E-2</v>
      </c>
      <c r="NR53" s="393">
        <v>0.16053841030212723</v>
      </c>
      <c r="NS53" s="337">
        <v>61</v>
      </c>
      <c r="NT53" s="337">
        <v>261</v>
      </c>
      <c r="NU53" s="393">
        <v>0.23371647509578544</v>
      </c>
      <c r="NV53" s="393">
        <v>0.18646507431800577</v>
      </c>
      <c r="NW53" s="93">
        <v>0.28869262712741894</v>
      </c>
      <c r="NX53" s="3">
        <v>112</v>
      </c>
      <c r="NY53" s="3">
        <v>109</v>
      </c>
      <c r="NZ53" s="3">
        <v>109</v>
      </c>
      <c r="OA53" s="3">
        <v>110</v>
      </c>
      <c r="OB53" s="3">
        <v>110</v>
      </c>
      <c r="OC53" s="3">
        <v>134</v>
      </c>
      <c r="OD53" s="3">
        <v>128</v>
      </c>
      <c r="OE53" s="3">
        <v>132</v>
      </c>
      <c r="OF53" s="3">
        <v>128</v>
      </c>
      <c r="OG53" s="3">
        <v>131</v>
      </c>
      <c r="OH53" s="3">
        <v>133</v>
      </c>
      <c r="OI53" s="3">
        <v>128</v>
      </c>
      <c r="OJ53" s="3">
        <v>132</v>
      </c>
      <c r="OK53" s="3">
        <v>152</v>
      </c>
      <c r="OL53" s="3">
        <v>146</v>
      </c>
      <c r="OM53" s="3">
        <v>140</v>
      </c>
      <c r="ON53" s="3">
        <v>138</v>
      </c>
      <c r="OO53" s="3">
        <v>141</v>
      </c>
      <c r="OP53" s="3">
        <v>141</v>
      </c>
      <c r="OQ53" s="3">
        <v>138</v>
      </c>
      <c r="OR53" s="3">
        <v>146</v>
      </c>
      <c r="OS53" s="3">
        <v>137</v>
      </c>
      <c r="OT53" s="6">
        <v>144</v>
      </c>
      <c r="OU53" s="3">
        <v>521</v>
      </c>
      <c r="OV53" s="22">
        <v>0.97099999999999997</v>
      </c>
      <c r="OW53" s="22">
        <v>2E-3</v>
      </c>
      <c r="OX53" s="22">
        <v>0.96899999999999997</v>
      </c>
      <c r="OY53" s="3">
        <v>506</v>
      </c>
      <c r="OZ53" s="3">
        <v>1</v>
      </c>
      <c r="PA53" s="3">
        <v>505</v>
      </c>
      <c r="PB53" s="3">
        <v>550</v>
      </c>
      <c r="PC53" s="22">
        <v>0.97599999999999998</v>
      </c>
      <c r="PD53" s="22">
        <v>0.94</v>
      </c>
      <c r="PE53" s="22">
        <v>0.97499999999999998</v>
      </c>
      <c r="PF53" s="22">
        <v>0.93600000000000005</v>
      </c>
      <c r="PG53" s="22">
        <v>0.93300000000000005</v>
      </c>
      <c r="PH53" s="3">
        <v>537</v>
      </c>
      <c r="PI53" s="3">
        <v>517</v>
      </c>
      <c r="PJ53" s="3">
        <v>536</v>
      </c>
      <c r="PK53" s="3">
        <v>515</v>
      </c>
      <c r="PL53" s="3">
        <v>513</v>
      </c>
      <c r="PM53" s="3">
        <v>562</v>
      </c>
      <c r="PN53" s="22">
        <v>0.95</v>
      </c>
      <c r="PO53" s="22">
        <v>0.91100000000000003</v>
      </c>
      <c r="PP53" s="22">
        <v>0.95</v>
      </c>
      <c r="PQ53" s="22">
        <v>0.95</v>
      </c>
      <c r="PR53" s="22">
        <v>0.93600000000000005</v>
      </c>
      <c r="PS53" s="22">
        <v>0.80400000000000005</v>
      </c>
      <c r="PT53" s="22">
        <v>0.93200000000000005</v>
      </c>
      <c r="PU53" s="22">
        <v>0.90400000000000003</v>
      </c>
      <c r="PV53" s="22">
        <v>0.93400000000000005</v>
      </c>
      <c r="PW53" s="22">
        <v>0.88400000000000001</v>
      </c>
      <c r="PX53" s="3">
        <v>534</v>
      </c>
      <c r="PY53" s="3">
        <v>512</v>
      </c>
      <c r="PZ53" s="3">
        <v>534</v>
      </c>
      <c r="QA53" s="3">
        <v>534</v>
      </c>
      <c r="QB53" s="3">
        <v>526</v>
      </c>
      <c r="QC53" s="3">
        <v>452</v>
      </c>
      <c r="QD53" s="3">
        <v>524</v>
      </c>
      <c r="QE53" s="3">
        <v>508</v>
      </c>
      <c r="QF53" s="3">
        <v>525</v>
      </c>
      <c r="QG53" s="6">
        <v>497</v>
      </c>
      <c r="QH53" s="37">
        <v>545</v>
      </c>
      <c r="QI53" s="17">
        <v>0.92844036697247712</v>
      </c>
      <c r="QJ53" s="17">
        <v>0.19266055045871561</v>
      </c>
      <c r="QK53" s="17">
        <v>0.93211009174311932</v>
      </c>
      <c r="QL53" s="37">
        <v>506</v>
      </c>
      <c r="QM53" s="37">
        <v>105</v>
      </c>
      <c r="QN53" s="37">
        <v>508</v>
      </c>
      <c r="QO53" s="37">
        <v>520</v>
      </c>
      <c r="QP53" s="17">
        <v>0.96346153846153848</v>
      </c>
      <c r="QQ53" s="17">
        <v>0.93653846153846154</v>
      </c>
      <c r="QR53" s="17">
        <v>0.77307692307692311</v>
      </c>
      <c r="QS53" s="17">
        <v>0.93846153846153846</v>
      </c>
      <c r="QT53" s="17">
        <v>0.75769230769230766</v>
      </c>
      <c r="QU53" s="37">
        <v>501</v>
      </c>
      <c r="QV53" s="37">
        <v>487</v>
      </c>
      <c r="QW53" s="37">
        <v>402</v>
      </c>
      <c r="QX53" s="37">
        <v>488</v>
      </c>
      <c r="QY53" s="37">
        <v>394</v>
      </c>
      <c r="QZ53" s="3">
        <v>568</v>
      </c>
      <c r="RA53" s="17">
        <v>0.96126760563380287</v>
      </c>
      <c r="RB53" s="17">
        <v>0.8098591549295775</v>
      </c>
      <c r="RC53" s="17">
        <v>0.96126760563380287</v>
      </c>
      <c r="RD53" s="17">
        <v>0.96126760563380287</v>
      </c>
      <c r="RE53" s="17">
        <v>0.70774647887323938</v>
      </c>
      <c r="RF53" s="17">
        <v>0.926056338028169</v>
      </c>
      <c r="RG53" s="17">
        <v>0.95422535211267601</v>
      </c>
      <c r="RH53" s="17">
        <v>0.91549295774647887</v>
      </c>
      <c r="RI53" s="17">
        <v>0.698943661971831</v>
      </c>
      <c r="RJ53" s="17">
        <v>0.67957746478873238</v>
      </c>
      <c r="RK53" s="37">
        <v>546</v>
      </c>
      <c r="RL53" s="37">
        <v>460</v>
      </c>
      <c r="RM53" s="37">
        <v>546</v>
      </c>
      <c r="RN53" s="37">
        <v>546</v>
      </c>
      <c r="RO53" s="37">
        <v>402</v>
      </c>
      <c r="RP53" s="37">
        <v>526</v>
      </c>
      <c r="RQ53" s="37">
        <v>542</v>
      </c>
      <c r="RR53" s="37">
        <v>520</v>
      </c>
      <c r="RS53" s="37">
        <v>397</v>
      </c>
      <c r="RT53" s="38">
        <v>386</v>
      </c>
    </row>
    <row r="54" spans="1:488" s="3" customFormat="1" ht="12.75" x14ac:dyDescent="0.2">
      <c r="A54" s="9" t="s">
        <v>118</v>
      </c>
      <c r="B54" s="6">
        <v>6</v>
      </c>
      <c r="C54" s="9" t="s">
        <v>286</v>
      </c>
      <c r="D54" s="9" t="s">
        <v>286</v>
      </c>
      <c r="E54" s="9" t="s">
        <v>286</v>
      </c>
      <c r="F54" s="9" t="s">
        <v>286</v>
      </c>
      <c r="G54" s="9" t="s">
        <v>286</v>
      </c>
      <c r="H54" s="9" t="s">
        <v>78</v>
      </c>
      <c r="I54" s="9" t="s">
        <v>44</v>
      </c>
      <c r="J54" s="9" t="s">
        <v>268</v>
      </c>
      <c r="K54" s="9" t="s">
        <v>286</v>
      </c>
      <c r="L54" s="9" t="s">
        <v>286</v>
      </c>
      <c r="M54" s="9" t="s">
        <v>286</v>
      </c>
      <c r="N54" s="9" t="s">
        <v>44</v>
      </c>
      <c r="O54" s="109" t="s">
        <v>286</v>
      </c>
      <c r="P54" s="109" t="s">
        <v>286</v>
      </c>
      <c r="Q54" s="109" t="s">
        <v>286</v>
      </c>
      <c r="R54" s="109" t="s">
        <v>286</v>
      </c>
      <c r="S54" s="109" t="s">
        <v>286</v>
      </c>
      <c r="T54" s="36">
        <v>41665</v>
      </c>
      <c r="U54" s="37">
        <v>42175</v>
      </c>
      <c r="V54" s="37">
        <v>42615</v>
      </c>
      <c r="W54" s="37">
        <v>43230</v>
      </c>
      <c r="X54" s="37">
        <v>43680</v>
      </c>
      <c r="Y54" s="37">
        <v>44220</v>
      </c>
      <c r="Z54" s="37">
        <v>44815</v>
      </c>
      <c r="AA54" s="37">
        <v>45235</v>
      </c>
      <c r="AB54" s="37">
        <v>45765</v>
      </c>
      <c r="AC54" s="42">
        <v>46240</v>
      </c>
      <c r="AD54" s="42">
        <v>46913</v>
      </c>
      <c r="AE54" s="36">
        <v>1985</v>
      </c>
      <c r="AF54" s="37">
        <v>2015</v>
      </c>
      <c r="AG54" s="37">
        <v>2075</v>
      </c>
      <c r="AH54" s="37">
        <v>2120</v>
      </c>
      <c r="AI54" s="37">
        <v>2235</v>
      </c>
      <c r="AJ54" s="37">
        <v>2285</v>
      </c>
      <c r="AK54" s="37">
        <v>2295</v>
      </c>
      <c r="AL54" s="37">
        <v>2425</v>
      </c>
      <c r="AM54" s="37">
        <v>2420</v>
      </c>
      <c r="AN54" s="42">
        <v>2475</v>
      </c>
      <c r="AO54" s="42">
        <v>2502</v>
      </c>
      <c r="AP54" s="13">
        <v>2279</v>
      </c>
      <c r="AQ54" s="3">
        <v>1983</v>
      </c>
      <c r="AR54" s="3">
        <v>101</v>
      </c>
      <c r="AS54" s="3">
        <v>71</v>
      </c>
      <c r="AT54" s="3">
        <v>94</v>
      </c>
      <c r="AU54" s="3">
        <v>17</v>
      </c>
      <c r="AV54" s="3">
        <v>13</v>
      </c>
      <c r="AW54" s="9">
        <v>296</v>
      </c>
      <c r="AX54" s="16">
        <v>0.87011847301448009</v>
      </c>
      <c r="AY54" s="17">
        <v>4.4317683194383499E-2</v>
      </c>
      <c r="AZ54" s="17">
        <v>3.1154014918824045E-2</v>
      </c>
      <c r="BA54" s="17">
        <v>4.1246160596752963E-2</v>
      </c>
      <c r="BB54" s="17">
        <v>7.4594120228170246E-3</v>
      </c>
      <c r="BC54" s="17">
        <v>5.7042562527424307E-3</v>
      </c>
      <c r="BD54" s="18">
        <v>0.12988152698551991</v>
      </c>
      <c r="BE54" s="13">
        <v>5759</v>
      </c>
      <c r="BF54" s="3">
        <v>5641</v>
      </c>
      <c r="BG54" s="3">
        <v>118</v>
      </c>
      <c r="BH54" s="3">
        <v>98</v>
      </c>
      <c r="BI54" s="3">
        <v>20</v>
      </c>
      <c r="BJ54" s="17">
        <v>0.83050847457627119</v>
      </c>
      <c r="BK54" s="18">
        <v>0.16949152542372881</v>
      </c>
      <c r="BL54" s="36">
        <v>4345</v>
      </c>
      <c r="BM54" s="17">
        <v>0.48745684695051783</v>
      </c>
      <c r="BN54" s="17">
        <v>0.2948216340621404</v>
      </c>
      <c r="BO54" s="18">
        <v>0.21772151898734177</v>
      </c>
      <c r="BP54" s="36">
        <v>12293</v>
      </c>
      <c r="BQ54" s="37">
        <v>731</v>
      </c>
      <c r="BR54" s="37">
        <v>698</v>
      </c>
      <c r="BS54" s="37">
        <v>351</v>
      </c>
      <c r="BT54" s="37">
        <v>8125</v>
      </c>
      <c r="BU54" s="37">
        <v>4595</v>
      </c>
      <c r="BV54" s="18">
        <v>0.14907508161044614</v>
      </c>
      <c r="BW54" s="36">
        <v>2595</v>
      </c>
      <c r="BX54" s="37">
        <v>1</v>
      </c>
      <c r="BY54" s="37">
        <v>630</v>
      </c>
      <c r="BZ54" s="37">
        <v>1053</v>
      </c>
      <c r="CA54" s="37">
        <v>346</v>
      </c>
      <c r="CB54" s="38">
        <v>4625</v>
      </c>
      <c r="CC54" s="37">
        <v>1794</v>
      </c>
      <c r="CD54" s="37">
        <v>1462</v>
      </c>
      <c r="CE54" s="37">
        <v>328</v>
      </c>
      <c r="CF54" s="37">
        <v>332</v>
      </c>
      <c r="CG54" s="17">
        <v>0.18283166109253066</v>
      </c>
      <c r="CH54" s="93">
        <v>0.18506131549609811</v>
      </c>
      <c r="CI54" s="37">
        <v>320</v>
      </c>
      <c r="CJ54" s="37">
        <v>325</v>
      </c>
      <c r="CK54" s="37">
        <v>260</v>
      </c>
      <c r="CL54" s="37">
        <v>260</v>
      </c>
      <c r="CM54" s="42">
        <v>265</v>
      </c>
      <c r="CN54" s="42">
        <v>230</v>
      </c>
      <c r="CO54" s="36">
        <v>1052</v>
      </c>
      <c r="CP54" s="37">
        <v>358</v>
      </c>
      <c r="CQ54" s="17">
        <v>0.34030418250950573</v>
      </c>
      <c r="CR54" s="38">
        <v>70</v>
      </c>
      <c r="CS54" s="107">
        <v>505</v>
      </c>
      <c r="CT54" s="107">
        <v>459</v>
      </c>
      <c r="CU54" s="107">
        <v>510</v>
      </c>
      <c r="CV54" s="107">
        <v>480</v>
      </c>
      <c r="CW54" s="107">
        <v>430</v>
      </c>
      <c r="CX54" s="528" t="s">
        <v>471</v>
      </c>
      <c r="CY54" s="568">
        <v>427</v>
      </c>
      <c r="CZ54" s="37">
        <v>35</v>
      </c>
      <c r="DA54" s="37">
        <v>26</v>
      </c>
      <c r="DB54" s="37">
        <v>29</v>
      </c>
      <c r="DC54" s="37">
        <v>23</v>
      </c>
      <c r="DD54" s="37">
        <v>23</v>
      </c>
      <c r="DE54" s="534" t="s">
        <v>471</v>
      </c>
      <c r="DF54" s="716">
        <v>6</v>
      </c>
      <c r="DG54" s="13">
        <v>50</v>
      </c>
      <c r="DH54" s="13">
        <v>24</v>
      </c>
      <c r="DI54" s="17">
        <v>5.5813953488372092E-2</v>
      </c>
      <c r="DJ54" s="17">
        <v>3.779043272891823E-2</v>
      </c>
      <c r="DK54" s="18">
        <v>8.1703584651564756E-2</v>
      </c>
      <c r="DL54" s="425" t="s">
        <v>286</v>
      </c>
      <c r="DM54" s="258" t="s">
        <v>286</v>
      </c>
      <c r="DN54" s="258" t="s">
        <v>286</v>
      </c>
      <c r="DO54" s="258" t="s">
        <v>286</v>
      </c>
      <c r="DP54" s="337">
        <v>17</v>
      </c>
      <c r="DQ54" s="393">
        <v>3.9812646370023422E-2</v>
      </c>
      <c r="DR54" s="393">
        <v>2.5003339655965302E-2</v>
      </c>
      <c r="DS54" s="393">
        <v>6.2828177125809473E-2</v>
      </c>
      <c r="DT54" s="13">
        <v>44</v>
      </c>
      <c r="DU54" s="18">
        <v>1.9332161687170474E-2</v>
      </c>
      <c r="DV54" s="368" t="s">
        <v>286</v>
      </c>
      <c r="DW54" s="369" t="s">
        <v>286</v>
      </c>
      <c r="DX54" s="420" t="s">
        <v>286</v>
      </c>
      <c r="DY54" s="420" t="s">
        <v>286</v>
      </c>
      <c r="DZ54" s="420" t="s">
        <v>286</v>
      </c>
      <c r="EA54" s="369" t="s">
        <v>286</v>
      </c>
      <c r="EB54" s="3">
        <v>715</v>
      </c>
      <c r="EC54" s="18">
        <v>3.5893574297188757E-2</v>
      </c>
      <c r="ED54" s="13">
        <v>435</v>
      </c>
      <c r="EE54" s="3">
        <v>435</v>
      </c>
      <c r="EF54" s="3">
        <v>465</v>
      </c>
      <c r="EG54" s="3">
        <v>395</v>
      </c>
      <c r="EH54" s="9">
        <v>385</v>
      </c>
      <c r="EI54" s="9">
        <v>340</v>
      </c>
      <c r="EJ54" s="13">
        <v>375</v>
      </c>
      <c r="EK54" s="17">
        <v>0.18518518518518517</v>
      </c>
      <c r="EL54" s="17">
        <v>0.16886803557841171</v>
      </c>
      <c r="EM54" s="17">
        <v>0.20269449117460528</v>
      </c>
      <c r="EN54" s="3">
        <v>435</v>
      </c>
      <c r="EO54" s="17">
        <v>0.20046082949308755</v>
      </c>
      <c r="EP54" s="17">
        <v>0.18415242557767594</v>
      </c>
      <c r="EQ54" s="17">
        <v>0.21782788226627869</v>
      </c>
      <c r="ER54" s="3">
        <v>410</v>
      </c>
      <c r="ES54" s="17">
        <v>0.18385650224215247</v>
      </c>
      <c r="ET54" s="17">
        <v>0.16832729947897285</v>
      </c>
      <c r="EU54" s="17">
        <v>0.20047302677856851</v>
      </c>
      <c r="EV54" s="3">
        <v>415</v>
      </c>
      <c r="EW54" s="17">
        <v>0.18082788671023964</v>
      </c>
      <c r="EX54" s="17">
        <v>0.16561911473038332</v>
      </c>
      <c r="EY54" s="17">
        <v>0.19710335820102745</v>
      </c>
      <c r="EZ54" s="3">
        <v>415</v>
      </c>
      <c r="FA54" s="18">
        <v>0.17584745762711865</v>
      </c>
      <c r="FB54" s="18">
        <v>0.16101864662953547</v>
      </c>
      <c r="FC54" s="18">
        <v>0.19172982375083109</v>
      </c>
      <c r="FD54" s="337">
        <v>395</v>
      </c>
      <c r="FE54" s="18">
        <v>0.18287037037037038</v>
      </c>
      <c r="FF54" s="18">
        <v>0.16713621319806085</v>
      </c>
      <c r="FG54" s="393">
        <v>0.1997305253906998</v>
      </c>
      <c r="FH54" s="425" t="s">
        <v>286</v>
      </c>
      <c r="FI54" s="258" t="s">
        <v>286</v>
      </c>
      <c r="FJ54" s="258" t="s">
        <v>286</v>
      </c>
      <c r="FK54" s="258" t="s">
        <v>286</v>
      </c>
      <c r="FL54" s="36">
        <v>1140</v>
      </c>
      <c r="FM54" s="18">
        <v>0.16593886462882096</v>
      </c>
      <c r="FN54" s="42">
        <v>1175</v>
      </c>
      <c r="FO54" s="18">
        <v>0.16690340909090909</v>
      </c>
      <c r="FP54" s="42">
        <v>1105</v>
      </c>
      <c r="FQ54" s="18">
        <v>0.15541490857946555</v>
      </c>
      <c r="FR54" s="42">
        <v>1085</v>
      </c>
      <c r="FS54" s="18">
        <v>0.1523876404494382</v>
      </c>
      <c r="FT54" s="42">
        <v>1050</v>
      </c>
      <c r="FU54" s="18">
        <v>0.14553014553014554</v>
      </c>
      <c r="FV54" s="42">
        <v>1015</v>
      </c>
      <c r="FW54" s="393">
        <v>0.14285714285714285</v>
      </c>
      <c r="FX54" s="114" t="s">
        <v>286</v>
      </c>
      <c r="FY54" s="259" t="s">
        <v>286</v>
      </c>
      <c r="FZ54" s="3">
        <v>452</v>
      </c>
      <c r="GA54" s="3">
        <v>40</v>
      </c>
      <c r="GB54" s="3">
        <v>412</v>
      </c>
      <c r="GC54" s="17">
        <v>0.91150442477876104</v>
      </c>
      <c r="GD54" s="3">
        <v>190</v>
      </c>
      <c r="GE54" s="3">
        <v>243</v>
      </c>
      <c r="GF54" s="17">
        <v>0.46116504854368934</v>
      </c>
      <c r="GG54" s="17">
        <v>0.58980582524271841</v>
      </c>
      <c r="GH54" s="17">
        <v>0.41361089945461155</v>
      </c>
      <c r="GI54" s="17">
        <v>0.50943669639898514</v>
      </c>
      <c r="GJ54" s="17">
        <v>0.54169372818176698</v>
      </c>
      <c r="GK54" s="93">
        <v>0.63625870640679072</v>
      </c>
      <c r="GL54" s="337">
        <v>405</v>
      </c>
      <c r="GM54" s="337">
        <v>172</v>
      </c>
      <c r="GN54" s="337">
        <v>52</v>
      </c>
      <c r="GO54" s="337">
        <v>224</v>
      </c>
      <c r="GP54" s="393">
        <v>0.42469135802469138</v>
      </c>
      <c r="GQ54" s="393">
        <v>0.55308641975308637</v>
      </c>
      <c r="GR54" s="393">
        <v>0.3774802425370406</v>
      </c>
      <c r="GS54" s="393">
        <v>0.47331766779241841</v>
      </c>
      <c r="GT54" s="393">
        <v>0.50439260225315674</v>
      </c>
      <c r="GU54" s="93">
        <v>0.6007826412850934</v>
      </c>
      <c r="GV54" s="42">
        <v>419</v>
      </c>
      <c r="GW54" s="42">
        <v>111</v>
      </c>
      <c r="GX54" s="42">
        <v>308</v>
      </c>
      <c r="GY54" s="393">
        <f t="shared" si="2"/>
        <v>0.73508353221957046</v>
      </c>
      <c r="GZ54" s="42">
        <v>145</v>
      </c>
      <c r="HA54" s="42">
        <v>39</v>
      </c>
      <c r="HB54" s="42">
        <v>184</v>
      </c>
      <c r="HC54" s="393">
        <v>0.4707792207792208</v>
      </c>
      <c r="HD54" s="393">
        <v>0.59740259740259738</v>
      </c>
      <c r="HE54" s="393">
        <v>0.4157382043529903</v>
      </c>
      <c r="HF54" s="393">
        <v>0.52654015700386247</v>
      </c>
      <c r="HG54" s="393">
        <v>0.54175802060806311</v>
      </c>
      <c r="HH54" s="93">
        <v>0.65064744153576115</v>
      </c>
      <c r="HI54" s="696">
        <v>483</v>
      </c>
      <c r="HJ54" s="696">
        <v>47</v>
      </c>
      <c r="HK54" s="696">
        <v>436</v>
      </c>
      <c r="HL54" s="697">
        <v>0.90269151138716353</v>
      </c>
      <c r="HM54" s="696">
        <v>188</v>
      </c>
      <c r="HN54" s="696">
        <v>60</v>
      </c>
      <c r="HO54" s="696">
        <v>248</v>
      </c>
      <c r="HP54" s="697">
        <v>0.43119266055045874</v>
      </c>
      <c r="HQ54" s="697">
        <v>0.56880733944954132</v>
      </c>
      <c r="HR54" s="697">
        <v>0.38550704714213102</v>
      </c>
      <c r="HS54" s="697">
        <v>0.47808016412059895</v>
      </c>
      <c r="HT54" s="697">
        <v>0.52191983587940105</v>
      </c>
      <c r="HU54" s="698">
        <v>0.61449295285786898</v>
      </c>
      <c r="HV54" s="3">
        <v>349</v>
      </c>
      <c r="HW54" s="3">
        <v>35</v>
      </c>
      <c r="HX54" s="17">
        <v>0.10028653295128939</v>
      </c>
      <c r="HY54" s="17">
        <v>7.2995265798449754E-2</v>
      </c>
      <c r="HZ54" s="17">
        <v>0.13628132847563371</v>
      </c>
      <c r="IA54" s="267" t="s">
        <v>707</v>
      </c>
      <c r="IB54" s="3">
        <v>373</v>
      </c>
      <c r="IC54" s="3">
        <v>29</v>
      </c>
      <c r="ID54" s="17">
        <v>7.7747989276139406E-2</v>
      </c>
      <c r="IE54" s="17">
        <v>5.4676117732342343E-2</v>
      </c>
      <c r="IF54" s="17">
        <v>0.10942859360760356</v>
      </c>
      <c r="IG54" s="3" t="s">
        <v>707</v>
      </c>
      <c r="IH54" s="3">
        <v>388</v>
      </c>
      <c r="II54" s="3">
        <v>26</v>
      </c>
      <c r="IJ54" s="17">
        <v>6.7010309278350513E-2</v>
      </c>
      <c r="IK54" s="17">
        <v>4.6136659976996015E-2</v>
      </c>
      <c r="IL54" s="17">
        <v>9.637367823161877E-2</v>
      </c>
      <c r="IM54" s="3" t="s">
        <v>707</v>
      </c>
      <c r="IN54" s="3">
        <v>383</v>
      </c>
      <c r="IO54" s="3">
        <v>29</v>
      </c>
      <c r="IP54" s="17">
        <v>7.5718015665796348E-2</v>
      </c>
      <c r="IQ54" s="17">
        <v>5.3234401388678944E-2</v>
      </c>
      <c r="IR54" s="17">
        <v>0.10662814025621341</v>
      </c>
      <c r="IS54" s="3" t="s">
        <v>707</v>
      </c>
      <c r="IT54" s="3">
        <v>260</v>
      </c>
      <c r="IU54" s="3">
        <v>26</v>
      </c>
      <c r="IV54" s="17">
        <v>0.1</v>
      </c>
      <c r="IW54" s="17">
        <v>6.9159290185869832E-2</v>
      </c>
      <c r="IX54" s="17">
        <v>0.1424884890156688</v>
      </c>
      <c r="IY54" s="9" t="s">
        <v>707</v>
      </c>
      <c r="IZ54" s="9">
        <v>326</v>
      </c>
      <c r="JA54" s="9">
        <v>22</v>
      </c>
      <c r="JB54" s="393">
        <v>6.7484662576687116E-2</v>
      </c>
      <c r="JC54" s="393">
        <v>4.4984906086232485E-2</v>
      </c>
      <c r="JD54" s="393">
        <v>0.1000588946286477</v>
      </c>
      <c r="JE54" s="9" t="str">
        <f t="shared" si="5"/>
        <v>No Sig diff</v>
      </c>
      <c r="JF54" s="9">
        <v>343</v>
      </c>
      <c r="JG54" s="109">
        <v>29</v>
      </c>
      <c r="JH54" s="258">
        <v>8.4548104956268216E-2</v>
      </c>
      <c r="JI54" s="258">
        <v>5.951136576064639E-2</v>
      </c>
      <c r="JJ54" s="258">
        <v>0.11878755799248016</v>
      </c>
      <c r="JK54" s="662" t="str">
        <f t="shared" si="3"/>
        <v>No Sig diff</v>
      </c>
      <c r="JL54" s="3">
        <v>333</v>
      </c>
      <c r="JM54" s="3">
        <v>54</v>
      </c>
      <c r="JN54" s="17">
        <v>0.16216216216216217</v>
      </c>
      <c r="JO54" s="17">
        <v>0.12646370828997461</v>
      </c>
      <c r="JP54" s="17">
        <v>0.20556625979132698</v>
      </c>
      <c r="JQ54" s="3" t="s">
        <v>707</v>
      </c>
      <c r="JR54" s="3">
        <v>324</v>
      </c>
      <c r="JS54" s="3">
        <v>51</v>
      </c>
      <c r="JT54" s="17">
        <v>0.15740740740740741</v>
      </c>
      <c r="JU54" s="17">
        <v>0.12179595147916422</v>
      </c>
      <c r="JV54" s="17">
        <v>0.20104747168465792</v>
      </c>
      <c r="JW54" s="3" t="s">
        <v>707</v>
      </c>
      <c r="JX54" s="3">
        <v>333</v>
      </c>
      <c r="JY54" s="3">
        <v>57</v>
      </c>
      <c r="JZ54" s="17">
        <v>0.17117117117117117</v>
      </c>
      <c r="KA54" s="17">
        <v>0.13452302236020316</v>
      </c>
      <c r="KB54" s="17">
        <v>0.21531947990559702</v>
      </c>
      <c r="KC54" s="3" t="s">
        <v>707</v>
      </c>
      <c r="KD54" s="3">
        <v>320</v>
      </c>
      <c r="KE54" s="3">
        <v>39</v>
      </c>
      <c r="KF54" s="17">
        <v>0.121875</v>
      </c>
      <c r="KG54" s="17">
        <v>9.0449037019305387E-2</v>
      </c>
      <c r="KH54" s="17">
        <v>0.16227172059687262</v>
      </c>
      <c r="KI54" s="3" t="s">
        <v>708</v>
      </c>
      <c r="KJ54" s="3">
        <v>330</v>
      </c>
      <c r="KK54" s="3">
        <v>53</v>
      </c>
      <c r="KL54" s="17">
        <v>0.16060606060606061</v>
      </c>
      <c r="KM54" s="17">
        <v>0.12493226911303648</v>
      </c>
      <c r="KN54" s="17">
        <v>0.20409055270398013</v>
      </c>
      <c r="KO54" s="9" t="s">
        <v>707</v>
      </c>
      <c r="KP54" s="9">
        <v>345</v>
      </c>
      <c r="KQ54" s="9">
        <v>46</v>
      </c>
      <c r="KR54" s="393">
        <v>0.13333333333333333</v>
      </c>
      <c r="KS54" s="393">
        <v>0.10147112968434463</v>
      </c>
      <c r="KT54" s="393">
        <v>0.17327103870555713</v>
      </c>
      <c r="KU54" s="9" t="s">
        <v>708</v>
      </c>
      <c r="KV54" s="9">
        <v>330</v>
      </c>
      <c r="KW54" s="9">
        <v>54</v>
      </c>
      <c r="KX54" s="393">
        <v>0.16363636363636364</v>
      </c>
      <c r="KY54" s="393">
        <v>0.12763454290338996</v>
      </c>
      <c r="KZ54" s="393">
        <v>0.2073791465759747</v>
      </c>
      <c r="LA54" s="662" t="str">
        <f t="shared" si="4"/>
        <v>No Sig diff</v>
      </c>
      <c r="LB54" s="3">
        <v>457</v>
      </c>
      <c r="LC54" s="3">
        <v>224</v>
      </c>
      <c r="LD54" s="17">
        <v>0.49015317286652077</v>
      </c>
      <c r="LE54" s="17">
        <v>0.44459387098320663</v>
      </c>
      <c r="LF54" s="17">
        <v>0.53587663611259317</v>
      </c>
      <c r="LG54" s="3">
        <v>457</v>
      </c>
      <c r="LH54" s="3">
        <v>34</v>
      </c>
      <c r="LI54" s="3">
        <v>91</v>
      </c>
      <c r="LJ54" s="293">
        <v>20.461538461538463</v>
      </c>
      <c r="LK54" s="17">
        <v>0.3981900452488687</v>
      </c>
      <c r="LL54" s="3">
        <v>460</v>
      </c>
      <c r="LM54" s="3">
        <v>240</v>
      </c>
      <c r="LN54" s="17">
        <v>0.52173913043478259</v>
      </c>
      <c r="LO54" s="17">
        <v>0.47609946596788244</v>
      </c>
      <c r="LP54" s="17">
        <v>0.5670187150822753</v>
      </c>
      <c r="LQ54" s="3">
        <v>460</v>
      </c>
      <c r="LR54" s="3">
        <v>34</v>
      </c>
      <c r="LS54" s="3">
        <v>91</v>
      </c>
      <c r="LT54" s="293">
        <v>21.736263736263741</v>
      </c>
      <c r="LU54" s="18">
        <v>0.36069812540400764</v>
      </c>
      <c r="LV54" s="42">
        <v>448</v>
      </c>
      <c r="LW54" s="42">
        <v>272</v>
      </c>
      <c r="LX54" s="18">
        <v>0.6071428571428571</v>
      </c>
      <c r="LY54" s="18">
        <v>0.56119109334165673</v>
      </c>
      <c r="LZ54" s="18">
        <v>0.65127280992777759</v>
      </c>
      <c r="MA54" s="337">
        <v>34</v>
      </c>
      <c r="MB54" s="337">
        <v>89</v>
      </c>
      <c r="MC54" s="294">
        <v>24.8</v>
      </c>
      <c r="MD54" s="393">
        <v>0.27100000000000002</v>
      </c>
      <c r="ME54" s="337">
        <v>494</v>
      </c>
      <c r="MF54" s="337">
        <v>345</v>
      </c>
      <c r="MG54" s="393">
        <v>0.69838056680161942</v>
      </c>
      <c r="MH54" s="393">
        <v>0.65650468747238255</v>
      </c>
      <c r="MI54" s="393">
        <v>0.73719494627104309</v>
      </c>
      <c r="MJ54" s="337">
        <v>34</v>
      </c>
      <c r="MK54" s="337">
        <v>98</v>
      </c>
      <c r="ML54" s="294">
        <v>23.551020408163264</v>
      </c>
      <c r="MM54" s="93">
        <v>0.3073229291716687</v>
      </c>
      <c r="MN54" s="17"/>
      <c r="MO54" s="17"/>
      <c r="MP54" s="17"/>
      <c r="MQ54" s="17"/>
      <c r="MR54" s="17"/>
      <c r="MS54" s="17"/>
      <c r="MT54" s="17"/>
      <c r="MU54" s="17"/>
      <c r="MV54" s="17"/>
      <c r="MW54" s="17"/>
      <c r="MX54" s="17"/>
      <c r="MY54" s="17"/>
      <c r="MZ54" s="17"/>
      <c r="NA54" s="17"/>
      <c r="NB54" s="17"/>
      <c r="NC54" s="93"/>
      <c r="ND54" s="337">
        <v>19</v>
      </c>
      <c r="NE54" s="337">
        <v>208</v>
      </c>
      <c r="NF54" s="393">
        <v>9.1346153846153841E-2</v>
      </c>
      <c r="NG54" s="393">
        <v>5.9259151913276166E-2</v>
      </c>
      <c r="NH54" s="393">
        <v>0.13825392722440752</v>
      </c>
      <c r="NI54" s="337">
        <v>17</v>
      </c>
      <c r="NJ54" s="337">
        <v>208</v>
      </c>
      <c r="NK54" s="393">
        <v>8.1730769230769232E-2</v>
      </c>
      <c r="NL54" s="393">
        <v>5.165287981199955E-2</v>
      </c>
      <c r="NM54" s="393">
        <v>0.12697815412892377</v>
      </c>
      <c r="NN54" s="337">
        <v>17</v>
      </c>
      <c r="NO54" s="337">
        <v>208</v>
      </c>
      <c r="NP54" s="393">
        <v>8.1730769230769232E-2</v>
      </c>
      <c r="NQ54" s="393">
        <v>5.165287981199955E-2</v>
      </c>
      <c r="NR54" s="393">
        <v>0.12697815412892377</v>
      </c>
      <c r="NS54" s="337">
        <v>34</v>
      </c>
      <c r="NT54" s="337">
        <v>202</v>
      </c>
      <c r="NU54" s="393">
        <v>0.16831683168316833</v>
      </c>
      <c r="NV54" s="393">
        <v>0.12302114483529501</v>
      </c>
      <c r="NW54" s="93">
        <v>0.22599240779053587</v>
      </c>
      <c r="NX54" s="3">
        <v>117</v>
      </c>
      <c r="NY54" s="3">
        <v>111</v>
      </c>
      <c r="NZ54" s="3">
        <v>111</v>
      </c>
      <c r="OA54" s="3">
        <v>116</v>
      </c>
      <c r="OB54" s="3">
        <v>110</v>
      </c>
      <c r="OC54" s="3">
        <v>108</v>
      </c>
      <c r="OD54" s="3">
        <v>104</v>
      </c>
      <c r="OE54" s="3">
        <v>105</v>
      </c>
      <c r="OF54" s="3">
        <v>103</v>
      </c>
      <c r="OG54" s="3">
        <v>105</v>
      </c>
      <c r="OH54" s="3">
        <v>107</v>
      </c>
      <c r="OI54" s="3">
        <v>103</v>
      </c>
      <c r="OJ54" s="3">
        <v>106</v>
      </c>
      <c r="OK54" s="3">
        <v>134</v>
      </c>
      <c r="OL54" s="3">
        <v>125</v>
      </c>
      <c r="OM54" s="3">
        <v>123</v>
      </c>
      <c r="ON54" s="3">
        <v>120</v>
      </c>
      <c r="OO54" s="3">
        <v>122</v>
      </c>
      <c r="OP54" s="3">
        <v>125</v>
      </c>
      <c r="OQ54" s="3">
        <v>118</v>
      </c>
      <c r="OR54" s="3">
        <v>124</v>
      </c>
      <c r="OS54" s="3">
        <v>120</v>
      </c>
      <c r="OT54" s="6">
        <v>126</v>
      </c>
      <c r="OU54" s="3">
        <v>476</v>
      </c>
      <c r="OV54" s="22">
        <v>0.96599999999999997</v>
      </c>
      <c r="OW54" s="22">
        <v>4.0000000000000001E-3</v>
      </c>
      <c r="OX54" s="22">
        <v>0.96199999999999997</v>
      </c>
      <c r="OY54" s="3">
        <v>460</v>
      </c>
      <c r="OZ54" s="3">
        <v>2</v>
      </c>
      <c r="PA54" s="3">
        <v>458</v>
      </c>
      <c r="PB54" s="3">
        <v>514</v>
      </c>
      <c r="PC54" s="22">
        <v>0.95299999999999996</v>
      </c>
      <c r="PD54" s="22">
        <v>0.93200000000000005</v>
      </c>
      <c r="PE54" s="22">
        <v>0.94699999999999995</v>
      </c>
      <c r="PF54" s="22">
        <v>0.93799999999999994</v>
      </c>
      <c r="PG54" s="22">
        <v>0.93799999999999994</v>
      </c>
      <c r="PH54" s="3">
        <v>490</v>
      </c>
      <c r="PI54" s="3">
        <v>479</v>
      </c>
      <c r="PJ54" s="3">
        <v>487</v>
      </c>
      <c r="PK54" s="3">
        <v>482</v>
      </c>
      <c r="PL54" s="3">
        <v>482</v>
      </c>
      <c r="PM54" s="3">
        <v>529</v>
      </c>
      <c r="PN54" s="22">
        <v>0.94299999999999995</v>
      </c>
      <c r="PO54" s="22">
        <v>0.89800000000000002</v>
      </c>
      <c r="PP54" s="22">
        <v>0.94299999999999995</v>
      </c>
      <c r="PQ54" s="22">
        <v>0.93799999999999994</v>
      </c>
      <c r="PR54" s="22">
        <v>0.94099999999999995</v>
      </c>
      <c r="PS54" s="22">
        <v>0.90200000000000002</v>
      </c>
      <c r="PT54" s="22">
        <v>0.94</v>
      </c>
      <c r="PU54" s="22">
        <v>0.89400000000000002</v>
      </c>
      <c r="PV54" s="22">
        <v>0.94899999999999995</v>
      </c>
      <c r="PW54" s="22">
        <v>0.88300000000000001</v>
      </c>
      <c r="PX54" s="3">
        <v>499</v>
      </c>
      <c r="PY54" s="3">
        <v>475</v>
      </c>
      <c r="PZ54" s="3">
        <v>499</v>
      </c>
      <c r="QA54" s="3">
        <v>496</v>
      </c>
      <c r="QB54" s="3">
        <v>498</v>
      </c>
      <c r="QC54" s="3">
        <v>477</v>
      </c>
      <c r="QD54" s="3">
        <v>497</v>
      </c>
      <c r="QE54" s="3">
        <v>473</v>
      </c>
      <c r="QF54" s="3">
        <v>502</v>
      </c>
      <c r="QG54" s="6">
        <v>467</v>
      </c>
      <c r="QH54" s="37">
        <v>499</v>
      </c>
      <c r="QI54" s="17">
        <v>0.95390781563126248</v>
      </c>
      <c r="QJ54" s="17">
        <v>0.23046092184368738</v>
      </c>
      <c r="QK54" s="17">
        <v>0.95991983967935868</v>
      </c>
      <c r="QL54" s="37">
        <v>476</v>
      </c>
      <c r="QM54" s="37">
        <v>115</v>
      </c>
      <c r="QN54" s="37">
        <v>479</v>
      </c>
      <c r="QO54" s="37">
        <v>492</v>
      </c>
      <c r="QP54" s="17">
        <v>0.97357723577235777</v>
      </c>
      <c r="QQ54" s="17">
        <v>0.94308943089430897</v>
      </c>
      <c r="QR54" s="17">
        <v>0.69715447154471544</v>
      </c>
      <c r="QS54" s="17">
        <v>0.9532520325203252</v>
      </c>
      <c r="QT54" s="17">
        <v>0.69308943089430897</v>
      </c>
      <c r="QU54" s="37">
        <v>479</v>
      </c>
      <c r="QV54" s="37">
        <v>464</v>
      </c>
      <c r="QW54" s="37">
        <v>343</v>
      </c>
      <c r="QX54" s="37">
        <v>469</v>
      </c>
      <c r="QY54" s="37">
        <v>341</v>
      </c>
      <c r="QZ54" s="3">
        <v>552</v>
      </c>
      <c r="RA54" s="17">
        <v>0.96557971014492749</v>
      </c>
      <c r="RB54" s="17">
        <v>0.90398550724637683</v>
      </c>
      <c r="RC54" s="17">
        <v>0.96557971014492749</v>
      </c>
      <c r="RD54" s="17">
        <v>0.96376811594202894</v>
      </c>
      <c r="RE54" s="17">
        <v>0.71920289855072461</v>
      </c>
      <c r="RF54" s="17">
        <v>0.92210144927536231</v>
      </c>
      <c r="RG54" s="17">
        <v>0.94202898550724634</v>
      </c>
      <c r="RH54" s="17">
        <v>0.91666666666666663</v>
      </c>
      <c r="RI54" s="17">
        <v>0.72101449275362317</v>
      </c>
      <c r="RJ54" s="17">
        <v>0.67572463768115942</v>
      </c>
      <c r="RK54" s="37">
        <v>533</v>
      </c>
      <c r="RL54" s="37">
        <v>499</v>
      </c>
      <c r="RM54" s="37">
        <v>533</v>
      </c>
      <c r="RN54" s="37">
        <v>532</v>
      </c>
      <c r="RO54" s="37">
        <v>397</v>
      </c>
      <c r="RP54" s="37">
        <v>509</v>
      </c>
      <c r="RQ54" s="37">
        <v>520</v>
      </c>
      <c r="RR54" s="37">
        <v>506</v>
      </c>
      <c r="RS54" s="37">
        <v>398</v>
      </c>
      <c r="RT54" s="38">
        <v>373</v>
      </c>
    </row>
    <row r="55" spans="1:488" s="3" customFormat="1" ht="12.75" x14ac:dyDescent="0.2">
      <c r="A55" s="9" t="s">
        <v>119</v>
      </c>
      <c r="B55" s="6">
        <v>7</v>
      </c>
      <c r="C55" s="9" t="s">
        <v>286</v>
      </c>
      <c r="D55" s="9" t="s">
        <v>286</v>
      </c>
      <c r="E55" s="9" t="s">
        <v>286</v>
      </c>
      <c r="F55" s="9" t="s">
        <v>286</v>
      </c>
      <c r="G55" s="9" t="s">
        <v>286</v>
      </c>
      <c r="H55" s="9" t="s">
        <v>266</v>
      </c>
      <c r="I55" s="9" t="s">
        <v>44</v>
      </c>
      <c r="J55" s="9" t="s">
        <v>268</v>
      </c>
      <c r="K55" s="9" t="s">
        <v>286</v>
      </c>
      <c r="L55" s="9" t="s">
        <v>286</v>
      </c>
      <c r="M55" s="9" t="s">
        <v>286</v>
      </c>
      <c r="N55" s="9" t="s">
        <v>44</v>
      </c>
      <c r="O55" s="109" t="s">
        <v>286</v>
      </c>
      <c r="P55" s="109" t="s">
        <v>286</v>
      </c>
      <c r="Q55" s="109" t="s">
        <v>286</v>
      </c>
      <c r="R55" s="109" t="s">
        <v>286</v>
      </c>
      <c r="S55" s="109" t="s">
        <v>286</v>
      </c>
      <c r="T55" s="36">
        <v>61645</v>
      </c>
      <c r="U55" s="37">
        <v>61960</v>
      </c>
      <c r="V55" s="37">
        <v>62350</v>
      </c>
      <c r="W55" s="37">
        <v>62935</v>
      </c>
      <c r="X55" s="37">
        <v>63140</v>
      </c>
      <c r="Y55" s="37">
        <v>63375</v>
      </c>
      <c r="Z55" s="37">
        <v>63320</v>
      </c>
      <c r="AA55" s="37">
        <v>63385</v>
      </c>
      <c r="AB55" s="37">
        <v>63620</v>
      </c>
      <c r="AC55" s="42">
        <v>63395</v>
      </c>
      <c r="AD55" s="42">
        <v>64209</v>
      </c>
      <c r="AE55" s="36">
        <v>2765</v>
      </c>
      <c r="AF55" s="37">
        <v>2830</v>
      </c>
      <c r="AG55" s="37">
        <v>2925</v>
      </c>
      <c r="AH55" s="37">
        <v>3055</v>
      </c>
      <c r="AI55" s="37">
        <v>3055</v>
      </c>
      <c r="AJ55" s="37">
        <v>3060</v>
      </c>
      <c r="AK55" s="37">
        <v>3050</v>
      </c>
      <c r="AL55" s="37">
        <v>3110</v>
      </c>
      <c r="AM55" s="37">
        <v>3085</v>
      </c>
      <c r="AN55" s="42">
        <v>2999</v>
      </c>
      <c r="AO55" s="42">
        <v>3104</v>
      </c>
      <c r="AP55" s="13">
        <v>3067</v>
      </c>
      <c r="AQ55" s="3">
        <v>2855</v>
      </c>
      <c r="AR55" s="3">
        <v>77</v>
      </c>
      <c r="AS55" s="3">
        <v>73</v>
      </c>
      <c r="AT55" s="3">
        <v>22</v>
      </c>
      <c r="AU55" s="3">
        <v>32</v>
      </c>
      <c r="AV55" s="3">
        <v>8</v>
      </c>
      <c r="AW55" s="9">
        <v>212</v>
      </c>
      <c r="AX55" s="16">
        <v>0.9308770785784154</v>
      </c>
      <c r="AY55" s="17">
        <v>2.5105966742745355E-2</v>
      </c>
      <c r="AZ55" s="17">
        <v>2.3801760678187154E-2</v>
      </c>
      <c r="BA55" s="17">
        <v>7.1731333550701009E-3</v>
      </c>
      <c r="BB55" s="17">
        <v>1.0433648516465601E-2</v>
      </c>
      <c r="BC55" s="17">
        <v>2.6084121291164004E-3</v>
      </c>
      <c r="BD55" s="18">
        <v>6.9122921421584604E-2</v>
      </c>
      <c r="BE55" s="13">
        <v>8572</v>
      </c>
      <c r="BF55" s="3">
        <v>8484</v>
      </c>
      <c r="BG55" s="3">
        <v>88</v>
      </c>
      <c r="BH55" s="3">
        <v>79</v>
      </c>
      <c r="BI55" s="3">
        <v>9</v>
      </c>
      <c r="BJ55" s="17">
        <v>0.89772727272727271</v>
      </c>
      <c r="BK55" s="18">
        <v>0.10227272727272728</v>
      </c>
      <c r="BL55" s="36">
        <v>6199</v>
      </c>
      <c r="BM55" s="17">
        <v>0.61300209711243747</v>
      </c>
      <c r="BN55" s="17">
        <v>0.14841103403774802</v>
      </c>
      <c r="BO55" s="18">
        <v>0.23858686884981448</v>
      </c>
      <c r="BP55" s="36">
        <v>18791</v>
      </c>
      <c r="BQ55" s="37">
        <v>824</v>
      </c>
      <c r="BR55" s="37">
        <v>1010</v>
      </c>
      <c r="BS55" s="37">
        <v>497</v>
      </c>
      <c r="BT55" s="37">
        <v>11616</v>
      </c>
      <c r="BU55" s="37">
        <v>6482</v>
      </c>
      <c r="BV55" s="18">
        <v>0.15442764578833693</v>
      </c>
      <c r="BW55" s="36">
        <v>4143</v>
      </c>
      <c r="BX55" s="37">
        <v>4</v>
      </c>
      <c r="BY55" s="37">
        <v>764</v>
      </c>
      <c r="BZ55" s="37">
        <v>1164</v>
      </c>
      <c r="CA55" s="37">
        <v>447</v>
      </c>
      <c r="CB55" s="38">
        <v>6522</v>
      </c>
      <c r="CC55" s="37">
        <v>2339</v>
      </c>
      <c r="CD55" s="37">
        <v>2034</v>
      </c>
      <c r="CE55" s="37">
        <v>302</v>
      </c>
      <c r="CF55" s="37">
        <v>305</v>
      </c>
      <c r="CG55" s="17">
        <v>0.129115006412997</v>
      </c>
      <c r="CH55" s="93">
        <v>0.13039760581445062</v>
      </c>
      <c r="CI55" s="37">
        <v>295</v>
      </c>
      <c r="CJ55" s="37">
        <v>255</v>
      </c>
      <c r="CK55" s="37">
        <v>225</v>
      </c>
      <c r="CL55" s="37">
        <v>235</v>
      </c>
      <c r="CM55" s="42">
        <v>215</v>
      </c>
      <c r="CN55" s="42">
        <v>205</v>
      </c>
      <c r="CO55" s="36">
        <v>1160</v>
      </c>
      <c r="CP55" s="37">
        <v>353</v>
      </c>
      <c r="CQ55" s="17">
        <v>0.30431034482758623</v>
      </c>
      <c r="CR55" s="38">
        <v>110</v>
      </c>
      <c r="CS55" s="107">
        <v>545</v>
      </c>
      <c r="CT55" s="107">
        <v>537</v>
      </c>
      <c r="CU55" s="107">
        <v>497</v>
      </c>
      <c r="CV55" s="107">
        <v>484</v>
      </c>
      <c r="CW55" s="107">
        <v>434</v>
      </c>
      <c r="CX55" s="528" t="s">
        <v>471</v>
      </c>
      <c r="CY55" s="568">
        <v>485</v>
      </c>
      <c r="CZ55" s="37">
        <v>22</v>
      </c>
      <c r="DA55" s="37">
        <v>28</v>
      </c>
      <c r="DB55" s="37">
        <v>20</v>
      </c>
      <c r="DC55" s="37">
        <v>21</v>
      </c>
      <c r="DD55" s="37">
        <v>27</v>
      </c>
      <c r="DE55" s="534" t="s">
        <v>471</v>
      </c>
      <c r="DF55" s="716">
        <v>17</v>
      </c>
      <c r="DG55" s="13">
        <v>42</v>
      </c>
      <c r="DH55" s="13">
        <v>40</v>
      </c>
      <c r="DI55" s="17">
        <v>9.2165898617511524E-2</v>
      </c>
      <c r="DJ55" s="17">
        <v>6.8414524660084824E-2</v>
      </c>
      <c r="DK55" s="18">
        <v>0.12307364333231419</v>
      </c>
      <c r="DL55" s="425" t="s">
        <v>286</v>
      </c>
      <c r="DM55" s="258" t="s">
        <v>286</v>
      </c>
      <c r="DN55" s="258" t="s">
        <v>286</v>
      </c>
      <c r="DO55" s="258" t="s">
        <v>286</v>
      </c>
      <c r="DP55" s="337">
        <v>29</v>
      </c>
      <c r="DQ55" s="393">
        <v>5.9793814432989693E-2</v>
      </c>
      <c r="DR55" s="393">
        <v>4.1951720971629913E-2</v>
      </c>
      <c r="DS55" s="393">
        <v>8.4554445199061884E-2</v>
      </c>
      <c r="DT55" s="13">
        <v>41</v>
      </c>
      <c r="DU55" s="18">
        <v>1.3385569702905649E-2</v>
      </c>
      <c r="DV55" s="368" t="s">
        <v>286</v>
      </c>
      <c r="DW55" s="369" t="s">
        <v>286</v>
      </c>
      <c r="DX55" s="420" t="s">
        <v>286</v>
      </c>
      <c r="DY55" s="420" t="s">
        <v>286</v>
      </c>
      <c r="DZ55" s="420" t="s">
        <v>286</v>
      </c>
      <c r="EA55" s="369" t="s">
        <v>286</v>
      </c>
      <c r="EB55" s="3">
        <v>754</v>
      </c>
      <c r="EC55" s="18">
        <v>2.7377364656330561E-2</v>
      </c>
      <c r="ED55" s="13">
        <v>360</v>
      </c>
      <c r="EE55" s="3">
        <v>350</v>
      </c>
      <c r="EF55" s="3">
        <v>385</v>
      </c>
      <c r="EG55" s="3">
        <v>355</v>
      </c>
      <c r="EH55" s="9">
        <v>350</v>
      </c>
      <c r="EI55" s="9">
        <v>315</v>
      </c>
      <c r="EJ55" s="13">
        <v>325</v>
      </c>
      <c r="EK55" s="17">
        <v>0.10869565217391304</v>
      </c>
      <c r="EL55" s="17">
        <v>9.8037009957951587E-2</v>
      </c>
      <c r="EM55" s="17">
        <v>0.12035847551249454</v>
      </c>
      <c r="EN55" s="3">
        <v>350</v>
      </c>
      <c r="EO55" s="17">
        <v>0.11532125205930807</v>
      </c>
      <c r="EP55" s="17">
        <v>0.1044407030377147</v>
      </c>
      <c r="EQ55" s="17">
        <v>0.12717436091295256</v>
      </c>
      <c r="ER55" s="3">
        <v>380</v>
      </c>
      <c r="ES55" s="17">
        <v>0.12520593080724876</v>
      </c>
      <c r="ET55" s="17">
        <v>0.11390335203098219</v>
      </c>
      <c r="EU55" s="17">
        <v>0.1374560785847643</v>
      </c>
      <c r="EV55" s="3">
        <v>395</v>
      </c>
      <c r="EW55" s="17">
        <v>0.13079470198675497</v>
      </c>
      <c r="EX55" s="17">
        <v>0.11923679109235356</v>
      </c>
      <c r="EY55" s="17">
        <v>0.14329068253064989</v>
      </c>
      <c r="EZ55" s="3">
        <v>340</v>
      </c>
      <c r="FA55" s="18">
        <v>0.11221122112211221</v>
      </c>
      <c r="FB55" s="18">
        <v>0.10146035184066546</v>
      </c>
      <c r="FC55" s="18">
        <v>0.12394412894802906</v>
      </c>
      <c r="FD55" s="337">
        <v>365</v>
      </c>
      <c r="FE55" s="18">
        <v>0.13619402985074627</v>
      </c>
      <c r="FF55" s="18">
        <v>0.12372783504713415</v>
      </c>
      <c r="FG55" s="393">
        <v>0.14970167637532936</v>
      </c>
      <c r="FH55" s="425" t="s">
        <v>286</v>
      </c>
      <c r="FI55" s="258" t="s">
        <v>286</v>
      </c>
      <c r="FJ55" s="258" t="s">
        <v>286</v>
      </c>
      <c r="FK55" s="258" t="s">
        <v>286</v>
      </c>
      <c r="FL55" s="36">
        <v>1130</v>
      </c>
      <c r="FM55" s="18">
        <v>0.10896817743490839</v>
      </c>
      <c r="FN55" s="42">
        <v>1160</v>
      </c>
      <c r="FO55" s="18">
        <v>0.11207729468599034</v>
      </c>
      <c r="FP55" s="42">
        <v>1170</v>
      </c>
      <c r="FQ55" s="18">
        <v>0.11359223300970873</v>
      </c>
      <c r="FR55" s="42">
        <v>1095</v>
      </c>
      <c r="FS55" s="18">
        <v>0.10595065312046444</v>
      </c>
      <c r="FT55" s="42">
        <v>1010</v>
      </c>
      <c r="FU55" s="18">
        <v>9.8344693281402148E-2</v>
      </c>
      <c r="FV55" s="42">
        <v>1000</v>
      </c>
      <c r="FW55" s="393">
        <v>9.8863074641621349E-2</v>
      </c>
      <c r="FX55" s="114" t="s">
        <v>286</v>
      </c>
      <c r="FY55" s="259" t="s">
        <v>286</v>
      </c>
      <c r="FZ55" s="3">
        <v>467</v>
      </c>
      <c r="GA55" s="3">
        <v>27</v>
      </c>
      <c r="GB55" s="3">
        <v>440</v>
      </c>
      <c r="GC55" s="17">
        <v>0.94218415417558887</v>
      </c>
      <c r="GD55" s="3">
        <v>186</v>
      </c>
      <c r="GE55" s="3">
        <v>237</v>
      </c>
      <c r="GF55" s="17">
        <v>0.42272727272727273</v>
      </c>
      <c r="GG55" s="17">
        <v>0.53863636363636369</v>
      </c>
      <c r="GH55" s="17">
        <v>0.37743387164863429</v>
      </c>
      <c r="GI55" s="17">
        <v>0.46935826854331869</v>
      </c>
      <c r="GJ55" s="17">
        <v>0.49192365034079505</v>
      </c>
      <c r="GK55" s="93">
        <v>0.58468027956322843</v>
      </c>
      <c r="GL55" s="337">
        <v>405</v>
      </c>
      <c r="GM55" s="337">
        <v>147</v>
      </c>
      <c r="GN55" s="337">
        <v>58</v>
      </c>
      <c r="GO55" s="337">
        <v>205</v>
      </c>
      <c r="GP55" s="393">
        <v>0.36296296296296299</v>
      </c>
      <c r="GQ55" s="393">
        <v>0.50617283950617287</v>
      </c>
      <c r="GR55" s="393">
        <v>0.31762223771074777</v>
      </c>
      <c r="GS55" s="393">
        <v>0.41087887780679239</v>
      </c>
      <c r="GT55" s="393">
        <v>0.45765211337699946</v>
      </c>
      <c r="GU55" s="93">
        <v>0.5545775661041924</v>
      </c>
      <c r="GV55" s="42">
        <v>518</v>
      </c>
      <c r="GW55" s="42">
        <v>135</v>
      </c>
      <c r="GX55" s="42">
        <v>383</v>
      </c>
      <c r="GY55" s="393">
        <f t="shared" si="2"/>
        <v>0.73938223938223935</v>
      </c>
      <c r="GZ55" s="42">
        <v>171</v>
      </c>
      <c r="HA55" s="42">
        <v>45</v>
      </c>
      <c r="HB55" s="42">
        <v>216</v>
      </c>
      <c r="HC55" s="393">
        <v>0.44647519582245432</v>
      </c>
      <c r="HD55" s="393">
        <v>0.56396866840731075</v>
      </c>
      <c r="HE55" s="393">
        <v>0.39746468480183422</v>
      </c>
      <c r="HF55" s="393">
        <v>0.49654874352875222</v>
      </c>
      <c r="HG55" s="393">
        <v>0.51391331852345357</v>
      </c>
      <c r="HH55" s="93">
        <v>0.61275355981316271</v>
      </c>
      <c r="HI55" s="696">
        <v>396</v>
      </c>
      <c r="HJ55" s="696">
        <v>18</v>
      </c>
      <c r="HK55" s="696">
        <v>378</v>
      </c>
      <c r="HL55" s="697">
        <v>0.95454545454545459</v>
      </c>
      <c r="HM55" s="696">
        <v>130</v>
      </c>
      <c r="HN55" s="696">
        <v>51</v>
      </c>
      <c r="HO55" s="696">
        <v>181</v>
      </c>
      <c r="HP55" s="697">
        <v>0.3439153439153439</v>
      </c>
      <c r="HQ55" s="697">
        <v>0.47883597883597884</v>
      </c>
      <c r="HR55" s="697">
        <v>0.29781529635110932</v>
      </c>
      <c r="HS55" s="697">
        <v>0.39315592410138051</v>
      </c>
      <c r="HT55" s="697">
        <v>0.4289427418908715</v>
      </c>
      <c r="HU55" s="698">
        <v>0.52915505071285596</v>
      </c>
      <c r="HV55" s="3">
        <v>514</v>
      </c>
      <c r="HW55" s="3">
        <v>53</v>
      </c>
      <c r="HX55" s="17">
        <v>0.10311284046692606</v>
      </c>
      <c r="HY55" s="17">
        <v>7.96997006668584E-2</v>
      </c>
      <c r="HZ55" s="17">
        <v>0.13241436812717267</v>
      </c>
      <c r="IA55" s="267" t="s">
        <v>707</v>
      </c>
      <c r="IB55" s="3">
        <v>492</v>
      </c>
      <c r="IC55" s="3">
        <v>42</v>
      </c>
      <c r="ID55" s="17">
        <v>8.5365853658536592E-2</v>
      </c>
      <c r="IE55" s="17">
        <v>6.3774524361247434E-2</v>
      </c>
      <c r="IF55" s="17">
        <v>0.1133818171629479</v>
      </c>
      <c r="IG55" s="3" t="s">
        <v>707</v>
      </c>
      <c r="IH55" s="3">
        <v>514</v>
      </c>
      <c r="II55" s="3">
        <v>34</v>
      </c>
      <c r="IJ55" s="17">
        <v>6.6147859922178989E-2</v>
      </c>
      <c r="IK55" s="17">
        <v>4.7719133057398534E-2</v>
      </c>
      <c r="IL55" s="17">
        <v>9.1013402928233483E-2</v>
      </c>
      <c r="IM55" s="3" t="s">
        <v>708</v>
      </c>
      <c r="IN55" s="3">
        <v>537</v>
      </c>
      <c r="IO55" s="3">
        <v>51</v>
      </c>
      <c r="IP55" s="17">
        <v>9.4972067039106142E-2</v>
      </c>
      <c r="IQ55" s="17">
        <v>7.2973712657176823E-2</v>
      </c>
      <c r="IR55" s="17">
        <v>0.12272404145265352</v>
      </c>
      <c r="IS55" s="3" t="s">
        <v>707</v>
      </c>
      <c r="IT55" s="3">
        <v>447</v>
      </c>
      <c r="IU55" s="3">
        <v>33</v>
      </c>
      <c r="IV55" s="17">
        <v>7.3825503355704702E-2</v>
      </c>
      <c r="IW55" s="17">
        <v>5.3048021860474449E-2</v>
      </c>
      <c r="IX55" s="17">
        <v>0.10186554576789897</v>
      </c>
      <c r="IY55" s="9" t="s">
        <v>707</v>
      </c>
      <c r="IZ55" s="9">
        <v>492</v>
      </c>
      <c r="JA55" s="9">
        <v>27</v>
      </c>
      <c r="JB55" s="393">
        <v>5.4878048780487805E-2</v>
      </c>
      <c r="JC55" s="393">
        <v>3.7986458611117095E-2</v>
      </c>
      <c r="JD55" s="393">
        <v>7.8666672731033768E-2</v>
      </c>
      <c r="JE55" s="9" t="str">
        <f t="shared" si="5"/>
        <v>Sig better than Eng.</v>
      </c>
      <c r="JF55" s="9">
        <v>479</v>
      </c>
      <c r="JG55" s="109">
        <v>31</v>
      </c>
      <c r="JH55" s="258">
        <v>6.471816283924843E-2</v>
      </c>
      <c r="JI55" s="258">
        <v>4.5964942302789587E-2</v>
      </c>
      <c r="JJ55" s="258">
        <v>9.0397537798871941E-2</v>
      </c>
      <c r="JK55" s="662" t="str">
        <f t="shared" si="3"/>
        <v>No Sig diff</v>
      </c>
      <c r="JL55" s="3">
        <v>429</v>
      </c>
      <c r="JM55" s="3">
        <v>69</v>
      </c>
      <c r="JN55" s="17">
        <v>0.16083916083916083</v>
      </c>
      <c r="JO55" s="17">
        <v>0.12910851511118659</v>
      </c>
      <c r="JP55" s="17">
        <v>0.19858989716001957</v>
      </c>
      <c r="JQ55" s="3" t="s">
        <v>707</v>
      </c>
      <c r="JR55" s="3">
        <v>415</v>
      </c>
      <c r="JS55" s="3">
        <v>72</v>
      </c>
      <c r="JT55" s="17">
        <v>0.17349397590361446</v>
      </c>
      <c r="JU55" s="17">
        <v>0.14010007304062752</v>
      </c>
      <c r="JV55" s="17">
        <v>0.21287706355172928</v>
      </c>
      <c r="JW55" s="3" t="s">
        <v>707</v>
      </c>
      <c r="JX55" s="3">
        <v>402</v>
      </c>
      <c r="JY55" s="3">
        <v>56</v>
      </c>
      <c r="JZ55" s="17">
        <v>0.13930348258706468</v>
      </c>
      <c r="KA55" s="17">
        <v>0.1088570113409154</v>
      </c>
      <c r="KB55" s="17">
        <v>0.17657824004347888</v>
      </c>
      <c r="KC55" s="3" t="s">
        <v>708</v>
      </c>
      <c r="KD55" s="3">
        <v>419</v>
      </c>
      <c r="KE55" s="3">
        <v>56</v>
      </c>
      <c r="KF55" s="17">
        <v>0.13365155131264916</v>
      </c>
      <c r="KG55" s="17">
        <v>0.10437604898695384</v>
      </c>
      <c r="KH55" s="17">
        <v>0.16958350820447257</v>
      </c>
      <c r="KI55" s="3" t="s">
        <v>708</v>
      </c>
      <c r="KJ55" s="3">
        <v>444</v>
      </c>
      <c r="KK55" s="3">
        <v>69</v>
      </c>
      <c r="KL55" s="17">
        <v>0.1554054054054054</v>
      </c>
      <c r="KM55" s="17">
        <v>0.12467738881745835</v>
      </c>
      <c r="KN55" s="17">
        <v>0.19204509416615556</v>
      </c>
      <c r="KO55" s="9" t="s">
        <v>707</v>
      </c>
      <c r="KP55" s="9">
        <v>439</v>
      </c>
      <c r="KQ55" s="9">
        <v>69</v>
      </c>
      <c r="KR55" s="393">
        <v>0.15717539863325741</v>
      </c>
      <c r="KS55" s="393">
        <v>0.12612021971833451</v>
      </c>
      <c r="KT55" s="393">
        <v>0.1941782889136803</v>
      </c>
      <c r="KU55" s="9" t="s">
        <v>772</v>
      </c>
      <c r="KV55" s="9">
        <v>428</v>
      </c>
      <c r="KW55" s="9">
        <v>72</v>
      </c>
      <c r="KX55" s="393">
        <v>0.16822429906542055</v>
      </c>
      <c r="KY55" s="393">
        <v>0.13577199924750974</v>
      </c>
      <c r="KZ55" s="393">
        <v>0.20657924054412805</v>
      </c>
      <c r="LA55" s="662" t="str">
        <f t="shared" si="4"/>
        <v>No Sig diff</v>
      </c>
      <c r="LB55" s="3">
        <v>623</v>
      </c>
      <c r="LC55" s="3">
        <v>349</v>
      </c>
      <c r="LD55" s="17">
        <v>0.56019261637239171</v>
      </c>
      <c r="LE55" s="17">
        <v>0.5209649959575825</v>
      </c>
      <c r="LF55" s="17">
        <v>0.59868248259481094</v>
      </c>
      <c r="LG55" s="3">
        <v>623</v>
      </c>
      <c r="LH55" s="3">
        <v>34</v>
      </c>
      <c r="LI55" s="3">
        <v>124</v>
      </c>
      <c r="LJ55" s="293">
        <v>24.91935483870968</v>
      </c>
      <c r="LK55" s="17">
        <v>0.26707779886148003</v>
      </c>
      <c r="LL55" s="3">
        <v>632</v>
      </c>
      <c r="LM55" s="3">
        <v>377</v>
      </c>
      <c r="LN55" s="17">
        <v>0.59651898734177211</v>
      </c>
      <c r="LO55" s="17">
        <v>0.55779872368700945</v>
      </c>
      <c r="LP55" s="17">
        <v>0.6340730051969099</v>
      </c>
      <c r="LQ55" s="3">
        <v>632</v>
      </c>
      <c r="LR55" s="3">
        <v>34</v>
      </c>
      <c r="LS55" s="3">
        <v>126</v>
      </c>
      <c r="LT55" s="293">
        <v>24.238095238095237</v>
      </c>
      <c r="LU55" s="18">
        <v>0.28711484593837538</v>
      </c>
      <c r="LV55" s="42">
        <v>616</v>
      </c>
      <c r="LW55" s="42">
        <v>404</v>
      </c>
      <c r="LX55" s="18">
        <v>0.6558441558441559</v>
      </c>
      <c r="LY55" s="18">
        <v>0.61746463260751738</v>
      </c>
      <c r="LZ55" s="18">
        <v>0.69229199510386197</v>
      </c>
      <c r="MA55" s="337">
        <v>34</v>
      </c>
      <c r="MB55" s="337">
        <v>123</v>
      </c>
      <c r="MC55" s="294">
        <v>25.4</v>
      </c>
      <c r="MD55" s="393">
        <v>0.254</v>
      </c>
      <c r="ME55" s="337">
        <v>627</v>
      </c>
      <c r="MF55" s="337">
        <v>419</v>
      </c>
      <c r="MG55" s="393">
        <v>0.66826156299840511</v>
      </c>
      <c r="MH55" s="393">
        <v>0.6304809747744009</v>
      </c>
      <c r="MI55" s="393">
        <v>0.70399292044873008</v>
      </c>
      <c r="MJ55" s="337">
        <v>34</v>
      </c>
      <c r="MK55" s="337">
        <v>125</v>
      </c>
      <c r="ML55" s="294">
        <v>24.56</v>
      </c>
      <c r="MM55" s="93">
        <v>0.27764705882352947</v>
      </c>
      <c r="MN55" s="17"/>
      <c r="MO55" s="17"/>
      <c r="MP55" s="17"/>
      <c r="MQ55" s="17"/>
      <c r="MR55" s="17"/>
      <c r="MS55" s="17"/>
      <c r="MT55" s="17"/>
      <c r="MU55" s="17"/>
      <c r="MV55" s="17"/>
      <c r="MW55" s="17"/>
      <c r="MX55" s="17"/>
      <c r="MY55" s="17"/>
      <c r="MZ55" s="17"/>
      <c r="NA55" s="17"/>
      <c r="NB55" s="17"/>
      <c r="NC55" s="93"/>
      <c r="ND55" s="337">
        <v>36</v>
      </c>
      <c r="NE55" s="337">
        <v>231</v>
      </c>
      <c r="NF55" s="393">
        <v>0.15584415584415584</v>
      </c>
      <c r="NG55" s="393">
        <v>0.11474415845754758</v>
      </c>
      <c r="NH55" s="393">
        <v>0.20820332790856508</v>
      </c>
      <c r="NI55" s="337">
        <v>22</v>
      </c>
      <c r="NJ55" s="337">
        <v>230</v>
      </c>
      <c r="NK55" s="393">
        <v>9.5652173913043481E-2</v>
      </c>
      <c r="NL55" s="393">
        <v>6.4017261353735644E-2</v>
      </c>
      <c r="NM55" s="393">
        <v>0.14057203201608626</v>
      </c>
      <c r="NN55" s="337">
        <v>37</v>
      </c>
      <c r="NO55" s="337">
        <v>231</v>
      </c>
      <c r="NP55" s="393">
        <v>0.16017316017316016</v>
      </c>
      <c r="NQ55" s="393">
        <v>0.11849533612252346</v>
      </c>
      <c r="NR55" s="393">
        <v>0.21296853406288341</v>
      </c>
      <c r="NS55" s="337">
        <v>54</v>
      </c>
      <c r="NT55" s="337">
        <v>224</v>
      </c>
      <c r="NU55" s="393">
        <v>0.24107142857142858</v>
      </c>
      <c r="NV55" s="393">
        <v>0.18972582048807585</v>
      </c>
      <c r="NW55" s="93">
        <v>0.30114822587549989</v>
      </c>
      <c r="NX55" s="3">
        <v>136</v>
      </c>
      <c r="NY55" s="3">
        <v>127</v>
      </c>
      <c r="NZ55" s="3">
        <v>128</v>
      </c>
      <c r="OA55" s="3">
        <v>131</v>
      </c>
      <c r="OB55" s="3">
        <v>128</v>
      </c>
      <c r="OC55" s="3">
        <v>118</v>
      </c>
      <c r="OD55" s="3">
        <v>109</v>
      </c>
      <c r="OE55" s="3">
        <v>114</v>
      </c>
      <c r="OF55" s="3">
        <v>109</v>
      </c>
      <c r="OG55" s="3">
        <v>114</v>
      </c>
      <c r="OH55" s="3">
        <v>114</v>
      </c>
      <c r="OI55" s="3">
        <v>107</v>
      </c>
      <c r="OJ55" s="3">
        <v>115</v>
      </c>
      <c r="OK55" s="3">
        <v>148</v>
      </c>
      <c r="OL55" s="3">
        <v>127</v>
      </c>
      <c r="OM55" s="3">
        <v>123</v>
      </c>
      <c r="ON55" s="3">
        <v>121</v>
      </c>
      <c r="OO55" s="3">
        <v>122</v>
      </c>
      <c r="OP55" s="3">
        <v>124</v>
      </c>
      <c r="OQ55" s="3">
        <v>116</v>
      </c>
      <c r="OR55" s="3">
        <v>132</v>
      </c>
      <c r="OS55" s="3">
        <v>122</v>
      </c>
      <c r="OT55" s="6">
        <v>128</v>
      </c>
      <c r="OU55" s="3">
        <v>372</v>
      </c>
      <c r="OV55" s="22">
        <v>0.96</v>
      </c>
      <c r="OW55" s="22">
        <v>1.0999999999999999E-2</v>
      </c>
      <c r="OX55" s="22">
        <v>0.95699999999999996</v>
      </c>
      <c r="OY55" s="3">
        <v>357</v>
      </c>
      <c r="OZ55" s="3">
        <v>4</v>
      </c>
      <c r="PA55" s="3">
        <v>356</v>
      </c>
      <c r="PB55" s="3">
        <v>401</v>
      </c>
      <c r="PC55" s="22">
        <v>0.97</v>
      </c>
      <c r="PD55" s="22">
        <v>0.92500000000000004</v>
      </c>
      <c r="PE55" s="22">
        <v>0.97299999999999998</v>
      </c>
      <c r="PF55" s="22">
        <v>0.93300000000000005</v>
      </c>
      <c r="PG55" s="22">
        <v>0.94</v>
      </c>
      <c r="PH55" s="3">
        <v>389</v>
      </c>
      <c r="PI55" s="3">
        <v>371</v>
      </c>
      <c r="PJ55" s="3">
        <v>390</v>
      </c>
      <c r="PK55" s="3">
        <v>374</v>
      </c>
      <c r="PL55" s="3">
        <v>377</v>
      </c>
      <c r="PM55" s="3">
        <v>398</v>
      </c>
      <c r="PN55" s="22">
        <v>0.94699999999999995</v>
      </c>
      <c r="PO55" s="22">
        <v>0.93500000000000005</v>
      </c>
      <c r="PP55" s="22">
        <v>0.94699999999999995</v>
      </c>
      <c r="PQ55" s="22">
        <v>0.94199999999999995</v>
      </c>
      <c r="PR55" s="22">
        <v>0.94699999999999995</v>
      </c>
      <c r="PS55" s="22">
        <v>0.90200000000000002</v>
      </c>
      <c r="PT55" s="22">
        <v>0.92700000000000005</v>
      </c>
      <c r="PU55" s="22">
        <v>0.92700000000000005</v>
      </c>
      <c r="PV55" s="22">
        <v>0.95699999999999996</v>
      </c>
      <c r="PW55" s="22">
        <v>0.93</v>
      </c>
      <c r="PX55" s="3">
        <v>377</v>
      </c>
      <c r="PY55" s="3">
        <v>372</v>
      </c>
      <c r="PZ55" s="3">
        <v>377</v>
      </c>
      <c r="QA55" s="3">
        <v>375</v>
      </c>
      <c r="QB55" s="3">
        <v>377</v>
      </c>
      <c r="QC55" s="3">
        <v>359</v>
      </c>
      <c r="QD55" s="3">
        <v>369</v>
      </c>
      <c r="QE55" s="3">
        <v>369</v>
      </c>
      <c r="QF55" s="3">
        <v>381</v>
      </c>
      <c r="QG55" s="6">
        <v>370</v>
      </c>
      <c r="QH55" s="37">
        <v>417</v>
      </c>
      <c r="QI55" s="17">
        <v>0.9616306954436451</v>
      </c>
      <c r="QJ55" s="17">
        <v>0.23980815347721823</v>
      </c>
      <c r="QK55" s="17">
        <v>0.9616306954436451</v>
      </c>
      <c r="QL55" s="37">
        <v>401</v>
      </c>
      <c r="QM55" s="37">
        <v>100</v>
      </c>
      <c r="QN55" s="37">
        <v>401</v>
      </c>
      <c r="QO55" s="37">
        <v>443</v>
      </c>
      <c r="QP55" s="17">
        <v>0.963882618510158</v>
      </c>
      <c r="QQ55" s="17">
        <v>0.93002257336343119</v>
      </c>
      <c r="QR55" s="17">
        <v>0.71106094808126408</v>
      </c>
      <c r="QS55" s="17">
        <v>0.93679458239277658</v>
      </c>
      <c r="QT55" s="17">
        <v>0.7404063205417607</v>
      </c>
      <c r="QU55" s="37">
        <v>427</v>
      </c>
      <c r="QV55" s="37">
        <v>412</v>
      </c>
      <c r="QW55" s="37">
        <v>315</v>
      </c>
      <c r="QX55" s="37">
        <v>415</v>
      </c>
      <c r="QY55" s="37">
        <v>328</v>
      </c>
      <c r="QZ55" s="3">
        <v>474</v>
      </c>
      <c r="RA55" s="17">
        <v>0.96413502109704641</v>
      </c>
      <c r="RB55" s="17">
        <v>0.91983122362869196</v>
      </c>
      <c r="RC55" s="17">
        <v>0.96413502109704641</v>
      </c>
      <c r="RD55" s="17">
        <v>0.96413502109704641</v>
      </c>
      <c r="RE55" s="17">
        <v>0.73628691983122363</v>
      </c>
      <c r="RF55" s="17">
        <v>0.8966244725738397</v>
      </c>
      <c r="RG55" s="17">
        <v>0.91983122362869196</v>
      </c>
      <c r="RH55" s="17">
        <v>0.91772151898734178</v>
      </c>
      <c r="RI55" s="17">
        <v>0.74472573839662448</v>
      </c>
      <c r="RJ55" s="17">
        <v>0.689873417721519</v>
      </c>
      <c r="RK55" s="37">
        <v>457</v>
      </c>
      <c r="RL55" s="37">
        <v>436</v>
      </c>
      <c r="RM55" s="37">
        <v>457</v>
      </c>
      <c r="RN55" s="37">
        <v>457</v>
      </c>
      <c r="RO55" s="37">
        <v>349</v>
      </c>
      <c r="RP55" s="37">
        <v>425</v>
      </c>
      <c r="RQ55" s="37">
        <v>436</v>
      </c>
      <c r="RR55" s="37">
        <v>435</v>
      </c>
      <c r="RS55" s="37">
        <v>353</v>
      </c>
      <c r="RT55" s="38">
        <v>327</v>
      </c>
    </row>
    <row r="56" spans="1:488" s="3" customFormat="1" ht="12.75" x14ac:dyDescent="0.2">
      <c r="A56" s="9" t="s">
        <v>120</v>
      </c>
      <c r="B56" s="6">
        <v>8</v>
      </c>
      <c r="C56" s="9" t="s">
        <v>286</v>
      </c>
      <c r="D56" s="9" t="s">
        <v>286</v>
      </c>
      <c r="E56" s="9" t="s">
        <v>286</v>
      </c>
      <c r="F56" s="9" t="s">
        <v>286</v>
      </c>
      <c r="G56" s="9" t="s">
        <v>286</v>
      </c>
      <c r="H56" s="9" t="s">
        <v>79</v>
      </c>
      <c r="I56" s="9" t="s">
        <v>79</v>
      </c>
      <c r="J56" s="9" t="s">
        <v>269</v>
      </c>
      <c r="K56" s="9" t="s">
        <v>286</v>
      </c>
      <c r="L56" s="9" t="s">
        <v>286</v>
      </c>
      <c r="M56" s="9" t="s">
        <v>286</v>
      </c>
      <c r="N56" s="9" t="s">
        <v>79</v>
      </c>
      <c r="O56" s="109" t="s">
        <v>286</v>
      </c>
      <c r="P56" s="109" t="s">
        <v>286</v>
      </c>
      <c r="Q56" s="109" t="s">
        <v>286</v>
      </c>
      <c r="R56" s="109" t="s">
        <v>286</v>
      </c>
      <c r="S56" s="109" t="s">
        <v>286</v>
      </c>
      <c r="T56" s="36">
        <v>99705</v>
      </c>
      <c r="U56" s="37">
        <v>100745</v>
      </c>
      <c r="V56" s="37">
        <v>101610</v>
      </c>
      <c r="W56" s="37">
        <v>102825</v>
      </c>
      <c r="X56" s="37">
        <v>103845</v>
      </c>
      <c r="Y56" s="37">
        <v>105480</v>
      </c>
      <c r="Z56" s="37">
        <v>107055</v>
      </c>
      <c r="AA56" s="37">
        <v>108300</v>
      </c>
      <c r="AB56" s="37">
        <v>108970</v>
      </c>
      <c r="AC56" s="42">
        <v>109885</v>
      </c>
      <c r="AD56" s="42">
        <v>110864</v>
      </c>
      <c r="AE56" s="36">
        <v>6280</v>
      </c>
      <c r="AF56" s="37">
        <v>6370</v>
      </c>
      <c r="AG56" s="37">
        <v>6595</v>
      </c>
      <c r="AH56" s="37">
        <v>6935</v>
      </c>
      <c r="AI56" s="37">
        <v>7190</v>
      </c>
      <c r="AJ56" s="37">
        <v>7740</v>
      </c>
      <c r="AK56" s="37">
        <v>8145</v>
      </c>
      <c r="AL56" s="37">
        <v>8320</v>
      </c>
      <c r="AM56" s="37">
        <v>8355</v>
      </c>
      <c r="AN56" s="42">
        <v>8470</v>
      </c>
      <c r="AO56" s="42">
        <v>8346</v>
      </c>
      <c r="AP56" s="13">
        <v>8071</v>
      </c>
      <c r="AQ56" s="3">
        <v>5020</v>
      </c>
      <c r="AR56" s="3">
        <v>530</v>
      </c>
      <c r="AS56" s="3">
        <v>622</v>
      </c>
      <c r="AT56" s="3">
        <v>1401</v>
      </c>
      <c r="AU56" s="3">
        <v>393</v>
      </c>
      <c r="AV56" s="3">
        <v>105</v>
      </c>
      <c r="AW56" s="9">
        <v>3051</v>
      </c>
      <c r="AX56" s="16">
        <v>0.62197992813777725</v>
      </c>
      <c r="AY56" s="17">
        <v>6.5667203568331056E-2</v>
      </c>
      <c r="AZ56" s="17">
        <v>7.7066038904720607E-2</v>
      </c>
      <c r="BA56" s="17">
        <v>0.17358443811175814</v>
      </c>
      <c r="BB56" s="17">
        <v>4.8692850947837936E-2</v>
      </c>
      <c r="BC56" s="17">
        <v>1.3009540329575022E-2</v>
      </c>
      <c r="BD56" s="18">
        <v>0.37802007186222275</v>
      </c>
      <c r="BE56" s="13">
        <v>17053</v>
      </c>
      <c r="BF56" s="3">
        <v>15550</v>
      </c>
      <c r="BG56" s="3">
        <v>1503</v>
      </c>
      <c r="BH56" s="3">
        <v>1270</v>
      </c>
      <c r="BI56" s="3">
        <v>233</v>
      </c>
      <c r="BJ56" s="17">
        <v>0.84497671324018631</v>
      </c>
      <c r="BK56" s="18">
        <v>0.15502328675981369</v>
      </c>
      <c r="BL56" s="36">
        <v>14546</v>
      </c>
      <c r="BM56" s="17">
        <v>0.49099408772171044</v>
      </c>
      <c r="BN56" s="17">
        <v>0.31527567716210642</v>
      </c>
      <c r="BO56" s="18">
        <v>0.19373023511618315</v>
      </c>
      <c r="BP56" s="36">
        <v>29829</v>
      </c>
      <c r="BQ56" s="37">
        <v>2712</v>
      </c>
      <c r="BR56" s="37">
        <v>2241</v>
      </c>
      <c r="BS56" s="37">
        <v>1333</v>
      </c>
      <c r="BT56" s="37">
        <v>24916</v>
      </c>
      <c r="BU56" s="37">
        <v>14021</v>
      </c>
      <c r="BV56" s="18">
        <v>0.16311247414592397</v>
      </c>
      <c r="BW56" s="36">
        <v>7410</v>
      </c>
      <c r="BX56" s="37">
        <v>6</v>
      </c>
      <c r="BY56" s="37">
        <v>1842</v>
      </c>
      <c r="BZ56" s="37">
        <v>3310</v>
      </c>
      <c r="CA56" s="37">
        <v>1505</v>
      </c>
      <c r="CB56" s="38">
        <v>14073</v>
      </c>
      <c r="CC56" s="37">
        <v>6335</v>
      </c>
      <c r="CD56" s="37">
        <v>4992</v>
      </c>
      <c r="CE56" s="37">
        <v>1317</v>
      </c>
      <c r="CF56" s="37">
        <v>1343</v>
      </c>
      <c r="CG56" s="17">
        <v>0.20789265982636149</v>
      </c>
      <c r="CH56" s="93">
        <v>0.21199684293606946</v>
      </c>
      <c r="CI56" s="37">
        <v>1190</v>
      </c>
      <c r="CJ56" s="37">
        <v>1060</v>
      </c>
      <c r="CK56" s="37">
        <v>940</v>
      </c>
      <c r="CL56" s="37">
        <v>925</v>
      </c>
      <c r="CM56" s="42">
        <v>885</v>
      </c>
      <c r="CN56" s="42">
        <v>810</v>
      </c>
      <c r="CO56" s="36">
        <v>3293</v>
      </c>
      <c r="CP56" s="37">
        <v>1363</v>
      </c>
      <c r="CQ56" s="17">
        <v>0.4139082903127847</v>
      </c>
      <c r="CR56" s="38">
        <v>248</v>
      </c>
      <c r="CS56" s="107">
        <v>1551</v>
      </c>
      <c r="CT56" s="107">
        <v>1666</v>
      </c>
      <c r="CU56" s="107">
        <v>1687</v>
      </c>
      <c r="CV56" s="107">
        <v>1617</v>
      </c>
      <c r="CW56" s="107">
        <v>1621</v>
      </c>
      <c r="CX56" s="528" t="s">
        <v>471</v>
      </c>
      <c r="CY56" s="568">
        <v>1283</v>
      </c>
      <c r="CZ56" s="37">
        <v>70</v>
      </c>
      <c r="DA56" s="37">
        <v>73</v>
      </c>
      <c r="DB56" s="37">
        <v>79</v>
      </c>
      <c r="DC56" s="37">
        <v>67</v>
      </c>
      <c r="DD56" s="37">
        <v>64</v>
      </c>
      <c r="DE56" s="534" t="s">
        <v>471</v>
      </c>
      <c r="DF56" s="716">
        <v>30</v>
      </c>
      <c r="DG56" s="13">
        <v>144</v>
      </c>
      <c r="DH56" s="13">
        <v>128</v>
      </c>
      <c r="DI56" s="17">
        <v>7.8963602714373846E-2</v>
      </c>
      <c r="DJ56" s="17">
        <v>6.6808520694543738E-2</v>
      </c>
      <c r="DK56" s="18">
        <v>9.3109517714746015E-2</v>
      </c>
      <c r="DL56" s="425" t="s">
        <v>286</v>
      </c>
      <c r="DM56" s="258" t="s">
        <v>286</v>
      </c>
      <c r="DN56" s="258" t="s">
        <v>286</v>
      </c>
      <c r="DO56" s="258" t="s">
        <v>286</v>
      </c>
      <c r="DP56" s="337">
        <v>111</v>
      </c>
      <c r="DQ56" s="393">
        <v>8.6515978176149644E-2</v>
      </c>
      <c r="DR56" s="393">
        <v>7.2341035950241897E-2</v>
      </c>
      <c r="DS56" s="393">
        <v>0.10315957235908553</v>
      </c>
      <c r="DT56" s="13">
        <v>158</v>
      </c>
      <c r="DU56" s="18">
        <v>1.9602977667493797E-2</v>
      </c>
      <c r="DV56" s="368" t="s">
        <v>286</v>
      </c>
      <c r="DW56" s="369" t="s">
        <v>286</v>
      </c>
      <c r="DX56" s="420" t="s">
        <v>286</v>
      </c>
      <c r="DY56" s="420" t="s">
        <v>286</v>
      </c>
      <c r="DZ56" s="420" t="s">
        <v>286</v>
      </c>
      <c r="EA56" s="369" t="s">
        <v>286</v>
      </c>
      <c r="EB56" s="3">
        <v>2084</v>
      </c>
      <c r="EC56" s="18">
        <v>4.8774779413485618E-2</v>
      </c>
      <c r="ED56" s="13">
        <v>1650</v>
      </c>
      <c r="EE56" s="3">
        <v>1650</v>
      </c>
      <c r="EF56" s="3">
        <v>1580</v>
      </c>
      <c r="EG56" s="3">
        <v>1475</v>
      </c>
      <c r="EH56" s="9">
        <v>1395</v>
      </c>
      <c r="EI56" s="9">
        <v>1270</v>
      </c>
      <c r="EJ56" s="13">
        <v>1345</v>
      </c>
      <c r="EK56" s="17">
        <v>0.20014880952380953</v>
      </c>
      <c r="EL56" s="17">
        <v>0.19075500674711679</v>
      </c>
      <c r="EM56" s="17">
        <v>0.20988523370453294</v>
      </c>
      <c r="EN56" s="3">
        <v>1480</v>
      </c>
      <c r="EO56" s="17">
        <v>0.21203438395415472</v>
      </c>
      <c r="EP56" s="17">
        <v>0.20260502362203447</v>
      </c>
      <c r="EQ56" s="17">
        <v>0.22178053499876138</v>
      </c>
      <c r="ER56" s="3">
        <v>1575</v>
      </c>
      <c r="ES56" s="17">
        <v>0.21240728253540123</v>
      </c>
      <c r="ET56" s="17">
        <v>0.20324788013175979</v>
      </c>
      <c r="EU56" s="17">
        <v>0.22186451461700626</v>
      </c>
      <c r="EV56" s="3">
        <v>1605</v>
      </c>
      <c r="EW56" s="17">
        <v>0.20603337612323491</v>
      </c>
      <c r="EX56" s="17">
        <v>0.19719780402123743</v>
      </c>
      <c r="EY56" s="17">
        <v>0.21515873104574462</v>
      </c>
      <c r="EZ56" s="3">
        <v>1475</v>
      </c>
      <c r="FA56" s="18">
        <v>0.1857682619647355</v>
      </c>
      <c r="FB56" s="18">
        <v>0.17736637729794572</v>
      </c>
      <c r="FC56" s="18">
        <v>0.19447405709803575</v>
      </c>
      <c r="FD56" s="337">
        <v>1495</v>
      </c>
      <c r="FE56" s="18">
        <v>0.19315245478036175</v>
      </c>
      <c r="FF56" s="18">
        <v>0.18451078630887058</v>
      </c>
      <c r="FG56" s="393">
        <v>0.20209855670789939</v>
      </c>
      <c r="FH56" s="425" t="s">
        <v>286</v>
      </c>
      <c r="FI56" s="258" t="s">
        <v>286</v>
      </c>
      <c r="FJ56" s="258" t="s">
        <v>286</v>
      </c>
      <c r="FK56" s="258" t="s">
        <v>286</v>
      </c>
      <c r="FL56" s="36">
        <v>3780</v>
      </c>
      <c r="FM56" s="18">
        <v>0.18694362017804153</v>
      </c>
      <c r="FN56" s="42">
        <v>4080</v>
      </c>
      <c r="FO56" s="18">
        <v>0.19507530480516375</v>
      </c>
      <c r="FP56" s="42">
        <v>4160</v>
      </c>
      <c r="FQ56" s="18">
        <v>0.19493908153701969</v>
      </c>
      <c r="FR56" s="42">
        <v>4170</v>
      </c>
      <c r="FS56" s="18">
        <v>0.19002050580997951</v>
      </c>
      <c r="FT56" s="42">
        <v>3895</v>
      </c>
      <c r="FU56" s="18">
        <v>0.17419499105545616</v>
      </c>
      <c r="FV56" s="42">
        <v>3810</v>
      </c>
      <c r="FW56" s="393">
        <v>0.16821192052980133</v>
      </c>
      <c r="FX56" s="114" t="s">
        <v>286</v>
      </c>
      <c r="FY56" s="259" t="s">
        <v>286</v>
      </c>
      <c r="FZ56" s="3">
        <v>1542</v>
      </c>
      <c r="GA56" s="3">
        <v>48</v>
      </c>
      <c r="GB56" s="3">
        <v>1494</v>
      </c>
      <c r="GC56" s="17">
        <v>0.9688715953307393</v>
      </c>
      <c r="GD56" s="3">
        <v>540</v>
      </c>
      <c r="GE56" s="3">
        <v>809</v>
      </c>
      <c r="GF56" s="17">
        <v>0.36144578313253012</v>
      </c>
      <c r="GG56" s="17">
        <v>0.54149933065595712</v>
      </c>
      <c r="GH56" s="17">
        <v>0.3374688957422961</v>
      </c>
      <c r="GI56" s="17">
        <v>0.38613336031626067</v>
      </c>
      <c r="GJ56" s="17">
        <v>0.51615878957366523</v>
      </c>
      <c r="GK56" s="93">
        <v>0.56662700812860278</v>
      </c>
      <c r="GL56" s="337">
        <v>1464</v>
      </c>
      <c r="GM56" s="337">
        <v>528</v>
      </c>
      <c r="GN56" s="337">
        <v>286</v>
      </c>
      <c r="GO56" s="337">
        <v>814</v>
      </c>
      <c r="GP56" s="393">
        <v>0.36065573770491804</v>
      </c>
      <c r="GQ56" s="393">
        <v>0.55601092896174864</v>
      </c>
      <c r="GR56" s="393">
        <v>0.33645239185060777</v>
      </c>
      <c r="GS56" s="393">
        <v>0.38558843377929447</v>
      </c>
      <c r="GT56" s="393">
        <v>0.53044621706304418</v>
      </c>
      <c r="GU56" s="93">
        <v>0.581282470673956</v>
      </c>
      <c r="GV56" s="42">
        <v>1564</v>
      </c>
      <c r="GW56" s="42">
        <v>176</v>
      </c>
      <c r="GX56" s="42">
        <v>1388</v>
      </c>
      <c r="GY56" s="393">
        <f t="shared" si="2"/>
        <v>0.88746803069053704</v>
      </c>
      <c r="GZ56" s="42">
        <v>474</v>
      </c>
      <c r="HA56" s="42">
        <v>300</v>
      </c>
      <c r="HB56" s="42">
        <v>774</v>
      </c>
      <c r="HC56" s="393">
        <v>0.34149855907780979</v>
      </c>
      <c r="HD56" s="393">
        <v>0.55763688760806918</v>
      </c>
      <c r="HE56" s="393">
        <v>0.31701918092494397</v>
      </c>
      <c r="HF56" s="393">
        <v>0.36685285980819277</v>
      </c>
      <c r="HG56" s="393">
        <v>0.5313846627876323</v>
      </c>
      <c r="HH56" s="93">
        <v>0.58357095876395437</v>
      </c>
      <c r="HI56" s="696">
        <v>1615</v>
      </c>
      <c r="HJ56" s="696">
        <v>122</v>
      </c>
      <c r="HK56" s="696">
        <v>1493</v>
      </c>
      <c r="HL56" s="697">
        <v>0.92445820433436532</v>
      </c>
      <c r="HM56" s="696">
        <v>524</v>
      </c>
      <c r="HN56" s="696">
        <v>296</v>
      </c>
      <c r="HO56" s="696">
        <v>820</v>
      </c>
      <c r="HP56" s="697">
        <v>0.35097119892833223</v>
      </c>
      <c r="HQ56" s="697">
        <v>0.54922973878097792</v>
      </c>
      <c r="HR56" s="697">
        <v>0.32717221836664762</v>
      </c>
      <c r="HS56" s="697">
        <v>0.37553510753104696</v>
      </c>
      <c r="HT56" s="697">
        <v>0.52389644701514593</v>
      </c>
      <c r="HU56" s="698">
        <v>0.57431034645235712</v>
      </c>
      <c r="HV56" s="3">
        <v>1053</v>
      </c>
      <c r="HW56" s="3">
        <v>91</v>
      </c>
      <c r="HX56" s="17">
        <v>8.6419753086419748E-2</v>
      </c>
      <c r="HY56" s="17">
        <v>7.0916108024578983E-2</v>
      </c>
      <c r="HZ56" s="17">
        <v>0.10493000140802267</v>
      </c>
      <c r="IA56" s="267" t="s">
        <v>707</v>
      </c>
      <c r="IB56" s="3">
        <v>1172</v>
      </c>
      <c r="IC56" s="3">
        <v>114</v>
      </c>
      <c r="ID56" s="17">
        <v>9.7269624573378843E-2</v>
      </c>
      <c r="IE56" s="17">
        <v>8.1597122865939342E-2</v>
      </c>
      <c r="IF56" s="17">
        <v>0.11557355612442274</v>
      </c>
      <c r="IG56" s="3" t="s">
        <v>707</v>
      </c>
      <c r="IH56" s="3">
        <v>991</v>
      </c>
      <c r="II56" s="3">
        <v>81</v>
      </c>
      <c r="IJ56" s="17">
        <v>8.1735620585267413E-2</v>
      </c>
      <c r="IK56" s="17">
        <v>6.6250292754922335E-2</v>
      </c>
      <c r="IL56" s="17">
        <v>0.10045110207565305</v>
      </c>
      <c r="IM56" s="3" t="s">
        <v>707</v>
      </c>
      <c r="IN56" s="3">
        <v>1189</v>
      </c>
      <c r="IO56" s="3">
        <v>111</v>
      </c>
      <c r="IP56" s="17">
        <v>9.3355761143818342E-2</v>
      </c>
      <c r="IQ56" s="17">
        <v>7.8103523781505702E-2</v>
      </c>
      <c r="IR56" s="17">
        <v>0.11122713466490082</v>
      </c>
      <c r="IS56" s="3" t="s">
        <v>707</v>
      </c>
      <c r="IT56" s="3">
        <v>867</v>
      </c>
      <c r="IU56" s="3">
        <v>87</v>
      </c>
      <c r="IV56" s="17">
        <v>0.10034602076124567</v>
      </c>
      <c r="IW56" s="17">
        <v>8.2075581533498504E-2</v>
      </c>
      <c r="IX56" s="17">
        <v>0.1221423699883888</v>
      </c>
      <c r="IY56" s="9" t="s">
        <v>707</v>
      </c>
      <c r="IZ56" s="9">
        <v>1522</v>
      </c>
      <c r="JA56" s="9">
        <v>110</v>
      </c>
      <c r="JB56" s="393">
        <v>7.2273324572930356E-2</v>
      </c>
      <c r="JC56" s="393">
        <v>6.0313129175953259E-2</v>
      </c>
      <c r="JD56" s="393">
        <v>8.6387209530073714E-2</v>
      </c>
      <c r="JE56" s="9" t="str">
        <f t="shared" si="5"/>
        <v>Sig better than Eng.</v>
      </c>
      <c r="JF56" s="9">
        <v>1486</v>
      </c>
      <c r="JG56" s="109">
        <v>140</v>
      </c>
      <c r="JH56" s="258">
        <v>9.4212651413189769E-2</v>
      </c>
      <c r="JI56" s="258">
        <v>8.0388518779297188E-2</v>
      </c>
      <c r="JJ56" s="258">
        <v>0.11012937635658729</v>
      </c>
      <c r="JK56" s="662" t="str">
        <f t="shared" si="3"/>
        <v>No Sig diff</v>
      </c>
      <c r="JL56" s="3">
        <v>1018</v>
      </c>
      <c r="JM56" s="3">
        <v>197</v>
      </c>
      <c r="JN56" s="17">
        <v>0.19351669941060903</v>
      </c>
      <c r="JO56" s="17">
        <v>0.17041930878054676</v>
      </c>
      <c r="JP56" s="17">
        <v>0.2189184455124161</v>
      </c>
      <c r="JQ56" s="3" t="s">
        <v>707</v>
      </c>
      <c r="JR56" s="3">
        <v>1114</v>
      </c>
      <c r="JS56" s="3">
        <v>192</v>
      </c>
      <c r="JT56" s="17">
        <v>0.17235188509874327</v>
      </c>
      <c r="JU56" s="17">
        <v>0.15130866125267942</v>
      </c>
      <c r="JV56" s="17">
        <v>0.19564703247321</v>
      </c>
      <c r="JW56" s="3" t="s">
        <v>707</v>
      </c>
      <c r="JX56" s="3">
        <v>1128</v>
      </c>
      <c r="JY56" s="3">
        <v>213</v>
      </c>
      <c r="JZ56" s="17">
        <v>0.18882978723404256</v>
      </c>
      <c r="KA56" s="17">
        <v>0.16706083594111637</v>
      </c>
      <c r="KB56" s="17">
        <v>0.21271095583311433</v>
      </c>
      <c r="KC56" s="3" t="s">
        <v>707</v>
      </c>
      <c r="KD56" s="3">
        <v>1075</v>
      </c>
      <c r="KE56" s="3">
        <v>210</v>
      </c>
      <c r="KF56" s="17">
        <v>0.19534883720930232</v>
      </c>
      <c r="KG56" s="17">
        <v>0.17275073315918471</v>
      </c>
      <c r="KH56" s="17">
        <v>0.22011649988542298</v>
      </c>
      <c r="KI56" s="3" t="s">
        <v>707</v>
      </c>
      <c r="KJ56" s="3">
        <v>1158</v>
      </c>
      <c r="KK56" s="3">
        <v>232</v>
      </c>
      <c r="KL56" s="17">
        <v>0.2003454231433506</v>
      </c>
      <c r="KM56" s="17">
        <v>0.17829962779839531</v>
      </c>
      <c r="KN56" s="17">
        <v>0.22437274653361386</v>
      </c>
      <c r="KO56" s="9" t="s">
        <v>707</v>
      </c>
      <c r="KP56" s="9">
        <v>1218</v>
      </c>
      <c r="KQ56" s="9">
        <v>254</v>
      </c>
      <c r="KR56" s="393">
        <v>0.20853858784893267</v>
      </c>
      <c r="KS56" s="393">
        <v>0.18665677725201979</v>
      </c>
      <c r="KT56" s="393">
        <v>0.23225310268830984</v>
      </c>
      <c r="KU56" s="9" t="s">
        <v>772</v>
      </c>
      <c r="KV56" s="9">
        <v>1157</v>
      </c>
      <c r="KW56" s="9">
        <v>252</v>
      </c>
      <c r="KX56" s="393">
        <v>0.21780466724286948</v>
      </c>
      <c r="KY56" s="393">
        <v>0.19497620907529706</v>
      </c>
      <c r="KZ56" s="393">
        <v>0.24250080810206442</v>
      </c>
      <c r="LA56" s="662" t="str">
        <f t="shared" si="4"/>
        <v>No Sig diff</v>
      </c>
      <c r="LB56" s="3">
        <v>1440</v>
      </c>
      <c r="LC56" s="3">
        <v>693</v>
      </c>
      <c r="LD56" s="17">
        <v>0.48125000000000001</v>
      </c>
      <c r="LE56" s="17">
        <v>0.45552756226071045</v>
      </c>
      <c r="LF56" s="17">
        <v>0.50707220957012045</v>
      </c>
      <c r="LG56" s="3">
        <v>1440</v>
      </c>
      <c r="LH56" s="3">
        <v>34</v>
      </c>
      <c r="LI56" s="3">
        <v>288</v>
      </c>
      <c r="LJ56" s="293">
        <v>22.378472222222197</v>
      </c>
      <c r="LK56" s="17">
        <v>0.34180964052287655</v>
      </c>
      <c r="LL56" s="3">
        <v>1518</v>
      </c>
      <c r="LM56" s="3">
        <v>841</v>
      </c>
      <c r="LN56" s="17">
        <v>0.5540184453227931</v>
      </c>
      <c r="LO56" s="17">
        <v>0.52890795807318758</v>
      </c>
      <c r="LP56" s="17">
        <v>0.57885622396393932</v>
      </c>
      <c r="LQ56" s="3">
        <v>1518</v>
      </c>
      <c r="LR56" s="3">
        <v>34</v>
      </c>
      <c r="LS56" s="3">
        <v>301</v>
      </c>
      <c r="LT56" s="293">
        <v>22.714285714285719</v>
      </c>
      <c r="LU56" s="18">
        <v>0.33193277310924357</v>
      </c>
      <c r="LV56" s="42">
        <v>1610</v>
      </c>
      <c r="LW56" s="42">
        <v>987</v>
      </c>
      <c r="LX56" s="18">
        <v>0.61304347826086958</v>
      </c>
      <c r="LY56" s="18">
        <v>0.58901025204580026</v>
      </c>
      <c r="LZ56" s="18">
        <v>0.63653854521089626</v>
      </c>
      <c r="MA56" s="337">
        <v>34</v>
      </c>
      <c r="MB56" s="337">
        <v>322</v>
      </c>
      <c r="MC56" s="294">
        <v>23.4</v>
      </c>
      <c r="MD56" s="393">
        <v>0.311</v>
      </c>
      <c r="ME56" s="337">
        <v>1609</v>
      </c>
      <c r="MF56" s="337">
        <v>1079</v>
      </c>
      <c r="MG56" s="393">
        <v>0.67060285891858296</v>
      </c>
      <c r="MH56" s="393">
        <v>0.64725548311078107</v>
      </c>
      <c r="MI56" s="393">
        <v>0.69313755242132125</v>
      </c>
      <c r="MJ56" s="337">
        <v>34</v>
      </c>
      <c r="MK56" s="337">
        <v>321</v>
      </c>
      <c r="ML56" s="294">
        <v>22.246105919003114</v>
      </c>
      <c r="MM56" s="93">
        <v>0.34570276708814374</v>
      </c>
      <c r="MN56" s="17"/>
      <c r="MO56" s="17"/>
      <c r="MP56" s="17"/>
      <c r="MQ56" s="17"/>
      <c r="MR56" s="17"/>
      <c r="MS56" s="17"/>
      <c r="MT56" s="17"/>
      <c r="MU56" s="17"/>
      <c r="MV56" s="17"/>
      <c r="MW56" s="17"/>
      <c r="MX56" s="17"/>
      <c r="MY56" s="17"/>
      <c r="MZ56" s="17"/>
      <c r="NA56" s="17"/>
      <c r="NB56" s="17"/>
      <c r="NC56" s="93"/>
      <c r="ND56" s="337">
        <v>94</v>
      </c>
      <c r="NE56" s="337">
        <v>782</v>
      </c>
      <c r="NF56" s="393">
        <v>0.12020460358056266</v>
      </c>
      <c r="NG56" s="393">
        <v>9.9248559504410971E-2</v>
      </c>
      <c r="NH56" s="393">
        <v>0.14487378434416764</v>
      </c>
      <c r="NI56" s="337">
        <v>71</v>
      </c>
      <c r="NJ56" s="337">
        <v>781</v>
      </c>
      <c r="NK56" s="393">
        <v>9.0909090909090912E-2</v>
      </c>
      <c r="NL56" s="393">
        <v>7.2699562255173211E-2</v>
      </c>
      <c r="NM56" s="393">
        <v>0.11312326499434044</v>
      </c>
      <c r="NN56" s="337">
        <v>81</v>
      </c>
      <c r="NO56" s="337">
        <v>777</v>
      </c>
      <c r="NP56" s="393">
        <v>0.10424710424710425</v>
      </c>
      <c r="NQ56" s="393">
        <v>8.467233528429223E-2</v>
      </c>
      <c r="NR56" s="393">
        <v>0.12771579670752684</v>
      </c>
      <c r="NS56" s="337">
        <v>172</v>
      </c>
      <c r="NT56" s="337">
        <v>739</v>
      </c>
      <c r="NU56" s="393">
        <v>0.2327469553450609</v>
      </c>
      <c r="NV56" s="393">
        <v>0.20370894597934167</v>
      </c>
      <c r="NW56" s="93">
        <v>0.26454905805413481</v>
      </c>
      <c r="NX56" s="3">
        <v>436</v>
      </c>
      <c r="NY56" s="3">
        <v>417</v>
      </c>
      <c r="NZ56" s="3">
        <v>418</v>
      </c>
      <c r="OA56" s="3">
        <v>430</v>
      </c>
      <c r="OB56" s="3">
        <v>423</v>
      </c>
      <c r="OC56" s="3">
        <v>408</v>
      </c>
      <c r="OD56" s="3">
        <v>396</v>
      </c>
      <c r="OE56" s="3">
        <v>389</v>
      </c>
      <c r="OF56" s="3">
        <v>394</v>
      </c>
      <c r="OG56" s="3">
        <v>393</v>
      </c>
      <c r="OH56" s="3">
        <v>396</v>
      </c>
      <c r="OI56" s="3">
        <v>395</v>
      </c>
      <c r="OJ56" s="3">
        <v>402</v>
      </c>
      <c r="OK56" s="3">
        <v>420</v>
      </c>
      <c r="OL56" s="3">
        <v>394</v>
      </c>
      <c r="OM56" s="3">
        <v>383</v>
      </c>
      <c r="ON56" s="3">
        <v>376</v>
      </c>
      <c r="OO56" s="3">
        <v>384</v>
      </c>
      <c r="OP56" s="3">
        <v>394</v>
      </c>
      <c r="OQ56" s="3">
        <v>378</v>
      </c>
      <c r="OR56" s="3">
        <v>399</v>
      </c>
      <c r="OS56" s="3">
        <v>379</v>
      </c>
      <c r="OT56" s="6">
        <v>391</v>
      </c>
      <c r="OU56" s="3">
        <v>1641</v>
      </c>
      <c r="OV56" s="22">
        <v>0.96599999999999997</v>
      </c>
      <c r="OW56" s="22">
        <v>8.9999999999999993E-3</v>
      </c>
      <c r="OX56" s="22">
        <v>0.96499999999999997</v>
      </c>
      <c r="OY56" s="3">
        <v>1586</v>
      </c>
      <c r="OZ56" s="3">
        <v>14</v>
      </c>
      <c r="PA56" s="3">
        <v>1584</v>
      </c>
      <c r="PB56" s="3">
        <v>1588</v>
      </c>
      <c r="PC56" s="22">
        <v>0.97699999999999998</v>
      </c>
      <c r="PD56" s="22">
        <v>0.96</v>
      </c>
      <c r="PE56" s="22">
        <v>0.96199999999999997</v>
      </c>
      <c r="PF56" s="22">
        <v>0.96199999999999997</v>
      </c>
      <c r="PG56" s="22">
        <v>0.96099999999999997</v>
      </c>
      <c r="PH56" s="3">
        <v>1551</v>
      </c>
      <c r="PI56" s="3">
        <v>1525</v>
      </c>
      <c r="PJ56" s="3">
        <v>1528</v>
      </c>
      <c r="PK56" s="3">
        <v>1527</v>
      </c>
      <c r="PL56" s="3">
        <v>1526</v>
      </c>
      <c r="PM56" s="3">
        <v>1727</v>
      </c>
      <c r="PN56" s="22">
        <v>0.96899999999999997</v>
      </c>
      <c r="PO56" s="22">
        <v>0.93500000000000005</v>
      </c>
      <c r="PP56" s="22">
        <v>0.96899999999999997</v>
      </c>
      <c r="PQ56" s="22">
        <v>0.96499999999999997</v>
      </c>
      <c r="PR56" s="22">
        <v>0.95</v>
      </c>
      <c r="PS56" s="22">
        <v>0.86799999999999999</v>
      </c>
      <c r="PT56" s="22">
        <v>0.95299999999999996</v>
      </c>
      <c r="PU56" s="22">
        <v>0.93</v>
      </c>
      <c r="PV56" s="22">
        <v>0.95299999999999996</v>
      </c>
      <c r="PW56" s="22">
        <v>0.93100000000000005</v>
      </c>
      <c r="PX56" s="3">
        <v>1674</v>
      </c>
      <c r="PY56" s="3">
        <v>1615</v>
      </c>
      <c r="PZ56" s="3">
        <v>1673</v>
      </c>
      <c r="QA56" s="3">
        <v>1667</v>
      </c>
      <c r="QB56" s="3">
        <v>1640</v>
      </c>
      <c r="QC56" s="3">
        <v>1499</v>
      </c>
      <c r="QD56" s="3">
        <v>1646</v>
      </c>
      <c r="QE56" s="3">
        <v>1606</v>
      </c>
      <c r="QF56" s="3">
        <v>1646</v>
      </c>
      <c r="QG56" s="6">
        <v>1608</v>
      </c>
      <c r="QH56" s="37">
        <v>1653</v>
      </c>
      <c r="QI56" s="17">
        <v>0.95039322444041141</v>
      </c>
      <c r="QJ56" s="17">
        <v>0.22444041137326073</v>
      </c>
      <c r="QK56" s="17">
        <v>0.94797338173018753</v>
      </c>
      <c r="QL56" s="37">
        <v>1571</v>
      </c>
      <c r="QM56" s="37">
        <v>371</v>
      </c>
      <c r="QN56" s="37">
        <v>1567</v>
      </c>
      <c r="QO56" s="37">
        <v>1669</v>
      </c>
      <c r="QP56" s="17">
        <v>0.96405032953864589</v>
      </c>
      <c r="QQ56" s="17">
        <v>0.94188136608747752</v>
      </c>
      <c r="QR56" s="17">
        <v>0.72079089275014974</v>
      </c>
      <c r="QS56" s="17">
        <v>0.94907130017974839</v>
      </c>
      <c r="QT56" s="17">
        <v>0.72079089275014974</v>
      </c>
      <c r="QU56" s="37">
        <v>1609</v>
      </c>
      <c r="QV56" s="37">
        <v>1572</v>
      </c>
      <c r="QW56" s="37">
        <v>1203</v>
      </c>
      <c r="QX56" s="37">
        <v>1584</v>
      </c>
      <c r="QY56" s="37">
        <v>1203</v>
      </c>
      <c r="QZ56" s="3">
        <v>1770</v>
      </c>
      <c r="RA56" s="17">
        <v>0.96723163841807913</v>
      </c>
      <c r="RB56" s="17">
        <v>0.89661016949152539</v>
      </c>
      <c r="RC56" s="17">
        <v>0.96779661016949148</v>
      </c>
      <c r="RD56" s="17">
        <v>0.96553672316384176</v>
      </c>
      <c r="RE56" s="17">
        <v>0.70338983050847459</v>
      </c>
      <c r="RF56" s="17">
        <v>0.91186440677966096</v>
      </c>
      <c r="RG56" s="17">
        <v>0.94293785310734468</v>
      </c>
      <c r="RH56" s="17">
        <v>0.91355932203389834</v>
      </c>
      <c r="RI56" s="17">
        <v>0.70169491525423733</v>
      </c>
      <c r="RJ56" s="17">
        <v>0.65593220338983049</v>
      </c>
      <c r="RK56" s="37">
        <v>1712</v>
      </c>
      <c r="RL56" s="37">
        <v>1587</v>
      </c>
      <c r="RM56" s="37">
        <v>1713</v>
      </c>
      <c r="RN56" s="37">
        <v>1709</v>
      </c>
      <c r="RO56" s="37">
        <v>1245</v>
      </c>
      <c r="RP56" s="37">
        <v>1614</v>
      </c>
      <c r="RQ56" s="37">
        <v>1669</v>
      </c>
      <c r="RR56" s="37">
        <v>1617</v>
      </c>
      <c r="RS56" s="37">
        <v>1242</v>
      </c>
      <c r="RT56" s="38">
        <v>1161</v>
      </c>
    </row>
    <row r="57" spans="1:488" s="3" customFormat="1" ht="12.75" x14ac:dyDescent="0.2">
      <c r="A57" s="9" t="s">
        <v>951</v>
      </c>
      <c r="B57" s="6">
        <v>9</v>
      </c>
      <c r="C57" s="9" t="s">
        <v>286</v>
      </c>
      <c r="D57" s="9" t="s">
        <v>286</v>
      </c>
      <c r="E57" s="9" t="s">
        <v>286</v>
      </c>
      <c r="F57" s="9" t="s">
        <v>286</v>
      </c>
      <c r="G57" s="9" t="s">
        <v>286</v>
      </c>
      <c r="H57" s="9" t="s">
        <v>267</v>
      </c>
      <c r="I57" s="9" t="s">
        <v>83</v>
      </c>
      <c r="J57" s="9" t="s">
        <v>397</v>
      </c>
      <c r="K57" s="9" t="s">
        <v>286</v>
      </c>
      <c r="L57" s="9" t="s">
        <v>286</v>
      </c>
      <c r="M57" s="9" t="s">
        <v>286</v>
      </c>
      <c r="N57" s="9" t="s">
        <v>809</v>
      </c>
      <c r="O57" s="109" t="s">
        <v>286</v>
      </c>
      <c r="P57" s="109" t="s">
        <v>286</v>
      </c>
      <c r="Q57" s="109" t="s">
        <v>286</v>
      </c>
      <c r="R57" s="109" t="s">
        <v>286</v>
      </c>
      <c r="S57" s="109" t="s">
        <v>286</v>
      </c>
      <c r="T57" s="36">
        <v>78225</v>
      </c>
      <c r="U57" s="37">
        <v>78800</v>
      </c>
      <c r="V57" s="37">
        <v>79500</v>
      </c>
      <c r="W57" s="37">
        <v>79860</v>
      </c>
      <c r="X57" s="37">
        <v>80135</v>
      </c>
      <c r="Y57" s="37">
        <v>80945</v>
      </c>
      <c r="Z57" s="37">
        <v>81165</v>
      </c>
      <c r="AA57" s="37">
        <v>81415</v>
      </c>
      <c r="AB57" s="37">
        <v>81900</v>
      </c>
      <c r="AC57" s="42">
        <v>82270</v>
      </c>
      <c r="AD57" s="42">
        <v>83817</v>
      </c>
      <c r="AE57" s="36">
        <v>3885</v>
      </c>
      <c r="AF57" s="37">
        <v>3805</v>
      </c>
      <c r="AG57" s="37">
        <v>3970</v>
      </c>
      <c r="AH57" s="37">
        <v>3935</v>
      </c>
      <c r="AI57" s="37">
        <v>3890</v>
      </c>
      <c r="AJ57" s="37">
        <v>3940</v>
      </c>
      <c r="AK57" s="37">
        <v>3945</v>
      </c>
      <c r="AL57" s="37">
        <v>3960</v>
      </c>
      <c r="AM57" s="37">
        <v>3985</v>
      </c>
      <c r="AN57" s="42">
        <v>3966</v>
      </c>
      <c r="AO57" s="42">
        <v>4037</v>
      </c>
      <c r="AP57" s="13">
        <v>4000</v>
      </c>
      <c r="AQ57" s="3">
        <v>3716</v>
      </c>
      <c r="AR57" s="3">
        <v>112</v>
      </c>
      <c r="AS57" s="3">
        <v>118</v>
      </c>
      <c r="AT57" s="3">
        <v>43</v>
      </c>
      <c r="AU57" s="3">
        <v>6</v>
      </c>
      <c r="AV57" s="3">
        <v>5</v>
      </c>
      <c r="AW57" s="9">
        <v>284</v>
      </c>
      <c r="AX57" s="16">
        <v>0.92900000000000005</v>
      </c>
      <c r="AY57" s="17">
        <v>2.8000000000000001E-2</v>
      </c>
      <c r="AZ57" s="17">
        <v>2.9499999999999998E-2</v>
      </c>
      <c r="BA57" s="17">
        <v>1.0749999999999999E-2</v>
      </c>
      <c r="BB57" s="17">
        <v>1.5E-3</v>
      </c>
      <c r="BC57" s="17">
        <v>1.25E-3</v>
      </c>
      <c r="BD57" s="18">
        <v>7.0999999999999952E-2</v>
      </c>
      <c r="BE57" s="13">
        <v>12056</v>
      </c>
      <c r="BF57" s="3">
        <v>11884</v>
      </c>
      <c r="BG57" s="3">
        <v>172</v>
      </c>
      <c r="BH57" s="3">
        <v>143</v>
      </c>
      <c r="BI57" s="3">
        <v>29</v>
      </c>
      <c r="BJ57" s="17">
        <v>0.83139534883720934</v>
      </c>
      <c r="BK57" s="18">
        <v>0.16860465116279069</v>
      </c>
      <c r="BL57" s="36">
        <v>8282</v>
      </c>
      <c r="BM57" s="17">
        <v>0.70816227964259837</v>
      </c>
      <c r="BN57" s="17">
        <v>0.1390968365129196</v>
      </c>
      <c r="BO57" s="18">
        <v>0.15274088384448201</v>
      </c>
      <c r="BP57" s="36">
        <v>24667</v>
      </c>
      <c r="BQ57" s="37">
        <v>1116</v>
      </c>
      <c r="BR57" s="37">
        <v>1375</v>
      </c>
      <c r="BS57" s="37">
        <v>609</v>
      </c>
      <c r="BT57" s="37">
        <v>16084</v>
      </c>
      <c r="BU57" s="37">
        <v>9043</v>
      </c>
      <c r="BV57" s="18">
        <v>0.14464226473515426</v>
      </c>
      <c r="BW57" s="36">
        <v>6071</v>
      </c>
      <c r="BX57" s="37">
        <v>4</v>
      </c>
      <c r="BY57" s="37">
        <v>1033</v>
      </c>
      <c r="BZ57" s="37">
        <v>1401</v>
      </c>
      <c r="CA57" s="37">
        <v>581</v>
      </c>
      <c r="CB57" s="38">
        <v>9090</v>
      </c>
      <c r="CC57" s="37">
        <v>3109</v>
      </c>
      <c r="CD57" s="37">
        <v>2753</v>
      </c>
      <c r="CE57" s="37">
        <v>351</v>
      </c>
      <c r="CF57" s="37">
        <v>356</v>
      </c>
      <c r="CG57" s="17">
        <v>0.11289803795432615</v>
      </c>
      <c r="CH57" s="93">
        <v>0.11450627211321969</v>
      </c>
      <c r="CI57" s="37">
        <v>310</v>
      </c>
      <c r="CJ57" s="37">
        <v>230</v>
      </c>
      <c r="CK57" s="37">
        <v>245</v>
      </c>
      <c r="CL57" s="37">
        <v>205</v>
      </c>
      <c r="CM57" s="42">
        <v>195</v>
      </c>
      <c r="CN57" s="42">
        <v>155</v>
      </c>
      <c r="CO57" s="36">
        <v>1392</v>
      </c>
      <c r="CP57" s="37">
        <v>396</v>
      </c>
      <c r="CQ57" s="17">
        <v>0.28448275862068967</v>
      </c>
      <c r="CR57" s="38">
        <v>150</v>
      </c>
      <c r="CS57" s="107">
        <v>690</v>
      </c>
      <c r="CT57" s="107">
        <v>711</v>
      </c>
      <c r="CU57" s="107">
        <v>685</v>
      </c>
      <c r="CV57" s="107">
        <v>689</v>
      </c>
      <c r="CW57" s="107">
        <v>643</v>
      </c>
      <c r="CX57" s="528" t="s">
        <v>471</v>
      </c>
      <c r="CY57" s="568">
        <v>671</v>
      </c>
      <c r="CZ57" s="37">
        <v>26</v>
      </c>
      <c r="DA57" s="37">
        <v>22</v>
      </c>
      <c r="DB57" s="37">
        <v>15</v>
      </c>
      <c r="DC57" s="37">
        <v>26</v>
      </c>
      <c r="DD57" s="37">
        <v>21</v>
      </c>
      <c r="DE57" s="534" t="s">
        <v>471</v>
      </c>
      <c r="DF57" s="716">
        <v>14</v>
      </c>
      <c r="DG57" s="13">
        <v>41</v>
      </c>
      <c r="DH57" s="13">
        <v>48</v>
      </c>
      <c r="DI57" s="17">
        <v>7.4650077760497674E-2</v>
      </c>
      <c r="DJ57" s="17">
        <v>5.6764926583491651E-2</v>
      </c>
      <c r="DK57" s="18">
        <v>9.7587360919419316E-2</v>
      </c>
      <c r="DL57" s="425" t="s">
        <v>286</v>
      </c>
      <c r="DM57" s="258" t="s">
        <v>286</v>
      </c>
      <c r="DN57" s="258" t="s">
        <v>286</v>
      </c>
      <c r="DO57" s="258" t="s">
        <v>286</v>
      </c>
      <c r="DP57" s="337">
        <v>36</v>
      </c>
      <c r="DQ57" s="393">
        <v>5.3651266766020868E-2</v>
      </c>
      <c r="DR57" s="393">
        <v>3.9002696682265935E-2</v>
      </c>
      <c r="DS57" s="393">
        <v>7.3381416399982122E-2</v>
      </c>
      <c r="DT57" s="13">
        <v>60</v>
      </c>
      <c r="DU57" s="18">
        <v>1.5018773466833541E-2</v>
      </c>
      <c r="DV57" s="368" t="s">
        <v>286</v>
      </c>
      <c r="DW57" s="369" t="s">
        <v>286</v>
      </c>
      <c r="DX57" s="420" t="s">
        <v>286</v>
      </c>
      <c r="DY57" s="420" t="s">
        <v>286</v>
      </c>
      <c r="DZ57" s="420" t="s">
        <v>286</v>
      </c>
      <c r="EA57" s="369" t="s">
        <v>286</v>
      </c>
      <c r="EB57" s="3">
        <v>791</v>
      </c>
      <c r="EC57" s="18">
        <v>2.3278399058269571E-2</v>
      </c>
      <c r="ED57" s="13">
        <v>460</v>
      </c>
      <c r="EE57" s="3">
        <v>430</v>
      </c>
      <c r="EF57" s="3">
        <v>395</v>
      </c>
      <c r="EG57" s="3">
        <v>415</v>
      </c>
      <c r="EH57" s="9">
        <v>320</v>
      </c>
      <c r="EI57" s="9">
        <v>295</v>
      </c>
      <c r="EJ57" s="13">
        <v>370</v>
      </c>
      <c r="EK57" s="17">
        <v>9.7754293262879793E-2</v>
      </c>
      <c r="EL57" s="17">
        <v>8.8696948470052869E-2</v>
      </c>
      <c r="EM57" s="17">
        <v>0.10762730180676405</v>
      </c>
      <c r="EN57" s="3">
        <v>425</v>
      </c>
      <c r="EO57" s="17">
        <v>0.11198945981554677</v>
      </c>
      <c r="EP57" s="17">
        <v>0.10234601603102378</v>
      </c>
      <c r="EQ57" s="17">
        <v>0.1224176304849746</v>
      </c>
      <c r="ER57" s="3">
        <v>455</v>
      </c>
      <c r="ES57" s="17">
        <v>0.11957950065703023</v>
      </c>
      <c r="ET57" s="17">
        <v>0.10965158206816601</v>
      </c>
      <c r="EU57" s="17">
        <v>0.13027477577599605</v>
      </c>
      <c r="EV57" s="3">
        <v>405</v>
      </c>
      <c r="EW57" s="17">
        <v>0.10728476821192053</v>
      </c>
      <c r="EX57" s="17">
        <v>9.7808710552343442E-2</v>
      </c>
      <c r="EY57" s="17">
        <v>0.11755927132501186</v>
      </c>
      <c r="EZ57" s="3">
        <v>390</v>
      </c>
      <c r="FA57" s="18">
        <v>0.10372340425531915</v>
      </c>
      <c r="FB57" s="18">
        <v>9.4378722312384866E-2</v>
      </c>
      <c r="FC57" s="18">
        <v>0.11387698330022382</v>
      </c>
      <c r="FD57" s="337">
        <v>415</v>
      </c>
      <c r="FE57" s="18">
        <v>0.12828438948995363</v>
      </c>
      <c r="FF57" s="18">
        <v>0.11720014370168814</v>
      </c>
      <c r="FG57" s="393">
        <v>0.14025038897251907</v>
      </c>
      <c r="FH57" s="425" t="s">
        <v>286</v>
      </c>
      <c r="FI57" s="258" t="s">
        <v>286</v>
      </c>
      <c r="FJ57" s="258" t="s">
        <v>286</v>
      </c>
      <c r="FK57" s="258" t="s">
        <v>286</v>
      </c>
      <c r="FL57" s="36">
        <v>1205</v>
      </c>
      <c r="FM57" s="18">
        <v>8.7956204379562045E-2</v>
      </c>
      <c r="FN57" s="42">
        <v>1345</v>
      </c>
      <c r="FO57" s="18">
        <v>9.7960670065549885E-2</v>
      </c>
      <c r="FP57" s="42">
        <v>1290</v>
      </c>
      <c r="FQ57" s="18">
        <v>9.4126231302444366E-2</v>
      </c>
      <c r="FR57" s="42">
        <v>1210</v>
      </c>
      <c r="FS57" s="18">
        <v>8.8937890481440643E-2</v>
      </c>
      <c r="FT57" s="42">
        <v>1040</v>
      </c>
      <c r="FU57" s="18">
        <v>7.6951535331113582E-2</v>
      </c>
      <c r="FV57" s="42">
        <v>1090</v>
      </c>
      <c r="FW57" s="393">
        <v>8.2482027998486571E-2</v>
      </c>
      <c r="FX57" s="114" t="s">
        <v>286</v>
      </c>
      <c r="FY57" s="259" t="s">
        <v>286</v>
      </c>
      <c r="FZ57" s="3">
        <v>694</v>
      </c>
      <c r="GA57" s="3">
        <v>20</v>
      </c>
      <c r="GB57" s="3">
        <v>674</v>
      </c>
      <c r="GC57" s="17">
        <v>0.97118155619596547</v>
      </c>
      <c r="GD57" s="3">
        <v>308</v>
      </c>
      <c r="GE57" s="3">
        <v>404</v>
      </c>
      <c r="GF57" s="17">
        <v>0.45697329376854601</v>
      </c>
      <c r="GG57" s="17">
        <v>0.59940652818991103</v>
      </c>
      <c r="GH57" s="17">
        <v>0.41971558496913836</v>
      </c>
      <c r="GI57" s="17">
        <v>0.49471868392183771</v>
      </c>
      <c r="GJ57" s="17">
        <v>0.56194988661152023</v>
      </c>
      <c r="GK57" s="93">
        <v>0.63573645767484521</v>
      </c>
      <c r="GL57" s="337">
        <v>661</v>
      </c>
      <c r="GM57" s="337">
        <v>298</v>
      </c>
      <c r="GN57" s="337">
        <v>82</v>
      </c>
      <c r="GO57" s="337">
        <v>380</v>
      </c>
      <c r="GP57" s="393">
        <v>0.45083207261724662</v>
      </c>
      <c r="GQ57" s="393">
        <v>0.5748865355521936</v>
      </c>
      <c r="GR57" s="393">
        <v>0.41329270304624494</v>
      </c>
      <c r="GS57" s="393">
        <v>0.48893962747763969</v>
      </c>
      <c r="GT57" s="393">
        <v>0.53687344636476542</v>
      </c>
      <c r="GU57" s="93">
        <v>0.612034234837318</v>
      </c>
      <c r="GV57" s="42">
        <v>721</v>
      </c>
      <c r="GW57" s="42">
        <v>170</v>
      </c>
      <c r="GX57" s="42">
        <v>551</v>
      </c>
      <c r="GY57" s="393">
        <f t="shared" si="2"/>
        <v>0.76421636615811372</v>
      </c>
      <c r="GZ57" s="42">
        <v>236</v>
      </c>
      <c r="HA57" s="42">
        <v>64</v>
      </c>
      <c r="HB57" s="42">
        <v>300</v>
      </c>
      <c r="HC57" s="393">
        <v>0.42831215970961889</v>
      </c>
      <c r="HD57" s="393">
        <v>0.54446460980036293</v>
      </c>
      <c r="HE57" s="393">
        <v>0.38763147641433376</v>
      </c>
      <c r="HF57" s="393">
        <v>0.46998550814209589</v>
      </c>
      <c r="HG57" s="393">
        <v>0.50271658951952314</v>
      </c>
      <c r="HH57" s="93">
        <v>0.58559692638851424</v>
      </c>
      <c r="HI57" s="696">
        <v>566</v>
      </c>
      <c r="HJ57" s="696">
        <v>30</v>
      </c>
      <c r="HK57" s="696">
        <v>536</v>
      </c>
      <c r="HL57" s="697">
        <v>0.94699646643109536</v>
      </c>
      <c r="HM57" s="696">
        <v>246</v>
      </c>
      <c r="HN57" s="696">
        <v>73</v>
      </c>
      <c r="HO57" s="696">
        <v>319</v>
      </c>
      <c r="HP57" s="697">
        <v>0.45895522388059701</v>
      </c>
      <c r="HQ57" s="697">
        <v>0.59514925373134331</v>
      </c>
      <c r="HR57" s="697">
        <v>0.41721072957780153</v>
      </c>
      <c r="HS57" s="697">
        <v>0.50128385937777853</v>
      </c>
      <c r="HT57" s="697">
        <v>0.55305949070075389</v>
      </c>
      <c r="HU57" s="698">
        <v>0.63588487126585602</v>
      </c>
      <c r="HV57" s="3">
        <v>690</v>
      </c>
      <c r="HW57" s="3">
        <v>45</v>
      </c>
      <c r="HX57" s="17">
        <v>6.5217391304347824E-2</v>
      </c>
      <c r="HY57" s="17">
        <v>4.9095601119040551E-2</v>
      </c>
      <c r="HZ57" s="17">
        <v>8.6153536313874207E-2</v>
      </c>
      <c r="IA57" s="267" t="s">
        <v>708</v>
      </c>
      <c r="IB57" s="3">
        <v>715</v>
      </c>
      <c r="IC57" s="3">
        <v>60</v>
      </c>
      <c r="ID57" s="17">
        <v>8.3916083916083919E-2</v>
      </c>
      <c r="IE57" s="17">
        <v>6.5749511211531414E-2</v>
      </c>
      <c r="IF57" s="17">
        <v>0.10652972686116412</v>
      </c>
      <c r="IG57" s="3" t="s">
        <v>707</v>
      </c>
      <c r="IH57" s="3">
        <v>478</v>
      </c>
      <c r="II57" s="3">
        <v>37</v>
      </c>
      <c r="IJ57" s="17">
        <v>7.7405857740585768E-2</v>
      </c>
      <c r="IK57" s="17">
        <v>5.6677309110696433E-2</v>
      </c>
      <c r="IL57" s="17">
        <v>0.1048726310111248</v>
      </c>
      <c r="IM57" s="3" t="s">
        <v>707</v>
      </c>
      <c r="IN57" s="3">
        <v>661</v>
      </c>
      <c r="IO57" s="3">
        <v>53</v>
      </c>
      <c r="IP57" s="17">
        <v>8.0181543116490173E-2</v>
      </c>
      <c r="IQ57" s="17">
        <v>6.1822013381150641E-2</v>
      </c>
      <c r="IR57" s="17">
        <v>0.10339250109201802</v>
      </c>
      <c r="IS57" s="3" t="s">
        <v>707</v>
      </c>
      <c r="IT57" s="3">
        <v>509</v>
      </c>
      <c r="IU57" s="3">
        <v>46</v>
      </c>
      <c r="IV57" s="17">
        <v>9.0373280943025547E-2</v>
      </c>
      <c r="IW57" s="17">
        <v>6.8437976439450737E-2</v>
      </c>
      <c r="IX57" s="17">
        <v>0.11844523507212751</v>
      </c>
      <c r="IY57" s="9" t="s">
        <v>707</v>
      </c>
      <c r="IZ57" s="9">
        <v>714</v>
      </c>
      <c r="JA57" s="9">
        <v>45</v>
      </c>
      <c r="JB57" s="393">
        <v>6.3025210084033612E-2</v>
      </c>
      <c r="JC57" s="393">
        <v>4.7433640600876195E-2</v>
      </c>
      <c r="JD57" s="393">
        <v>8.329363582985766E-2</v>
      </c>
      <c r="JE57" s="9" t="str">
        <f t="shared" si="5"/>
        <v>Sig better than Eng.</v>
      </c>
      <c r="JF57" s="9">
        <v>702</v>
      </c>
      <c r="JG57" s="109">
        <v>45</v>
      </c>
      <c r="JH57" s="258">
        <v>6.4102564102564097E-2</v>
      </c>
      <c r="JI57" s="258">
        <v>4.8250312029184735E-2</v>
      </c>
      <c r="JJ57" s="258">
        <v>8.4699456857276784E-2</v>
      </c>
      <c r="JK57" s="662" t="str">
        <f t="shared" si="3"/>
        <v>Sig better than Eng.</v>
      </c>
      <c r="JL57" s="3">
        <v>715</v>
      </c>
      <c r="JM57" s="3">
        <v>109</v>
      </c>
      <c r="JN57" s="17">
        <v>0.15244755244755245</v>
      </c>
      <c r="JO57" s="17">
        <v>0.12796234517942864</v>
      </c>
      <c r="JP57" s="17">
        <v>0.18064737132835237</v>
      </c>
      <c r="JQ57" s="3" t="s">
        <v>708</v>
      </c>
      <c r="JR57" s="3">
        <v>683</v>
      </c>
      <c r="JS57" s="3">
        <v>102</v>
      </c>
      <c r="JT57" s="17">
        <v>0.14934114202049781</v>
      </c>
      <c r="JU57" s="17">
        <v>0.12457477402504541</v>
      </c>
      <c r="JV57" s="17">
        <v>0.17802993358471017</v>
      </c>
      <c r="JW57" s="3" t="s">
        <v>708</v>
      </c>
      <c r="JX57" s="3">
        <v>653</v>
      </c>
      <c r="JY57" s="3">
        <v>89</v>
      </c>
      <c r="JZ57" s="17">
        <v>0.13629402756508421</v>
      </c>
      <c r="KA57" s="17">
        <v>0.11209652965952474</v>
      </c>
      <c r="KB57" s="17">
        <v>0.1647457073502642</v>
      </c>
      <c r="KC57" s="3" t="s">
        <v>708</v>
      </c>
      <c r="KD57" s="3">
        <v>591</v>
      </c>
      <c r="KE57" s="3">
        <v>74</v>
      </c>
      <c r="KF57" s="17">
        <v>0.12521150592216582</v>
      </c>
      <c r="KG57" s="17">
        <v>0.10092567436312364</v>
      </c>
      <c r="KH57" s="17">
        <v>0.15433807124352619</v>
      </c>
      <c r="KI57" s="3" t="s">
        <v>708</v>
      </c>
      <c r="KJ57" s="3">
        <v>679</v>
      </c>
      <c r="KK57" s="3">
        <v>97</v>
      </c>
      <c r="KL57" s="17">
        <v>0.14285714285714285</v>
      </c>
      <c r="KM57" s="17">
        <v>0.11854337217020199</v>
      </c>
      <c r="KN57" s="17">
        <v>0.17118926820341787</v>
      </c>
      <c r="KO57" s="9" t="s">
        <v>708</v>
      </c>
      <c r="KP57" s="9">
        <v>719</v>
      </c>
      <c r="KQ57" s="9">
        <v>88</v>
      </c>
      <c r="KR57" s="393">
        <v>0.12239221140472879</v>
      </c>
      <c r="KS57" s="393">
        <v>0.10042277200808802</v>
      </c>
      <c r="KT57" s="393">
        <v>0.148375158196556</v>
      </c>
      <c r="KU57" s="9" t="s">
        <v>708</v>
      </c>
      <c r="KV57" s="9">
        <v>698</v>
      </c>
      <c r="KW57" s="9">
        <v>76</v>
      </c>
      <c r="KX57" s="393">
        <v>0.10888252148997135</v>
      </c>
      <c r="KY57" s="393">
        <v>8.7879128992524327E-2</v>
      </c>
      <c r="KZ57" s="393">
        <v>0.13416739855595491</v>
      </c>
      <c r="LA57" s="662" t="str">
        <f t="shared" si="4"/>
        <v>Sig better than Eng.</v>
      </c>
      <c r="LB57" s="3">
        <v>782</v>
      </c>
      <c r="LC57" s="3">
        <v>456</v>
      </c>
      <c r="LD57" s="17">
        <v>0.58312020460358061</v>
      </c>
      <c r="LE57" s="17">
        <v>0.54823960073443256</v>
      </c>
      <c r="LF57" s="17">
        <v>0.61718816913035668</v>
      </c>
      <c r="LG57" s="3">
        <v>782</v>
      </c>
      <c r="LH57" s="3">
        <v>34</v>
      </c>
      <c r="LI57" s="3">
        <v>156</v>
      </c>
      <c r="LJ57" s="293">
        <v>25.679487179487179</v>
      </c>
      <c r="LK57" s="17">
        <v>0.24472096530920062</v>
      </c>
      <c r="LL57" s="3">
        <v>838</v>
      </c>
      <c r="LM57" s="3">
        <v>521</v>
      </c>
      <c r="LN57" s="17">
        <v>0.62171837708830546</v>
      </c>
      <c r="LO57" s="17">
        <v>0.5883987373583377</v>
      </c>
      <c r="LP57" s="17">
        <v>0.65392717551102397</v>
      </c>
      <c r="LQ57" s="3">
        <v>838</v>
      </c>
      <c r="LR57" s="3">
        <v>34</v>
      </c>
      <c r="LS57" s="3">
        <v>166</v>
      </c>
      <c r="LT57" s="293">
        <v>26.8132530120482</v>
      </c>
      <c r="LU57" s="18">
        <v>0.21137491141034706</v>
      </c>
      <c r="LV57" s="42">
        <v>904</v>
      </c>
      <c r="LW57" s="42">
        <v>601</v>
      </c>
      <c r="LX57" s="18">
        <v>0.66482300884955747</v>
      </c>
      <c r="LY57" s="18">
        <v>0.63341094992293923</v>
      </c>
      <c r="LZ57" s="18">
        <v>0.69484019690957977</v>
      </c>
      <c r="MA57" s="337">
        <v>34</v>
      </c>
      <c r="MB57" s="337">
        <v>180</v>
      </c>
      <c r="MC57" s="294">
        <v>25.9</v>
      </c>
      <c r="MD57" s="393">
        <v>0.23699999999999999</v>
      </c>
      <c r="ME57" s="337">
        <v>844</v>
      </c>
      <c r="MF57" s="337">
        <v>615</v>
      </c>
      <c r="MG57" s="393">
        <v>0.72867298578199047</v>
      </c>
      <c r="MH57" s="393">
        <v>0.69768918399691515</v>
      </c>
      <c r="MI57" s="393">
        <v>0.75758461275384403</v>
      </c>
      <c r="MJ57" s="337">
        <v>34</v>
      </c>
      <c r="MK57" s="337">
        <v>146</v>
      </c>
      <c r="ML57" s="294">
        <v>25.780821917808218</v>
      </c>
      <c r="MM57" s="93">
        <v>0.24174053182917005</v>
      </c>
      <c r="MN57" s="17"/>
      <c r="MO57" s="17"/>
      <c r="MP57" s="17"/>
      <c r="MQ57" s="17"/>
      <c r="MR57" s="17"/>
      <c r="MS57" s="17"/>
      <c r="MT57" s="17"/>
      <c r="MU57" s="17"/>
      <c r="MV57" s="17"/>
      <c r="MW57" s="17"/>
      <c r="MX57" s="17"/>
      <c r="MY57" s="17"/>
      <c r="MZ57" s="17"/>
      <c r="NA57" s="17"/>
      <c r="NB57" s="17"/>
      <c r="NC57" s="93"/>
      <c r="ND57" s="337">
        <v>29</v>
      </c>
      <c r="NE57" s="337">
        <v>305</v>
      </c>
      <c r="NF57" s="393">
        <v>9.5081967213114751E-2</v>
      </c>
      <c r="NG57" s="393">
        <v>6.7019002492948468E-2</v>
      </c>
      <c r="NH57" s="393">
        <v>0.13321790565026095</v>
      </c>
      <c r="NI57" s="337">
        <v>25</v>
      </c>
      <c r="NJ57" s="337">
        <v>305</v>
      </c>
      <c r="NK57" s="393">
        <v>8.1967213114754092E-2</v>
      </c>
      <c r="NL57" s="393">
        <v>5.6134591157410305E-2</v>
      </c>
      <c r="NM57" s="393">
        <v>0.11819905894995164</v>
      </c>
      <c r="NN57" s="337">
        <v>25</v>
      </c>
      <c r="NO57" s="337">
        <v>304</v>
      </c>
      <c r="NP57" s="393">
        <v>8.2236842105263164E-2</v>
      </c>
      <c r="NQ57" s="393">
        <v>5.632132880325684E-2</v>
      </c>
      <c r="NR57" s="393">
        <v>0.11857863115325672</v>
      </c>
      <c r="NS57" s="337">
        <v>45</v>
      </c>
      <c r="NT57" s="337">
        <v>302</v>
      </c>
      <c r="NU57" s="393">
        <v>0.1490066225165563</v>
      </c>
      <c r="NV57" s="393">
        <v>0.11326390430655106</v>
      </c>
      <c r="NW57" s="93">
        <v>0.19356650116738641</v>
      </c>
      <c r="NX57" s="3">
        <v>214</v>
      </c>
      <c r="NY57" s="3">
        <v>209</v>
      </c>
      <c r="NZ57" s="3">
        <v>210</v>
      </c>
      <c r="OA57" s="3">
        <v>210</v>
      </c>
      <c r="OB57" s="3">
        <v>210</v>
      </c>
      <c r="OC57" s="3">
        <v>164</v>
      </c>
      <c r="OD57" s="3">
        <v>154</v>
      </c>
      <c r="OE57" s="3">
        <v>157</v>
      </c>
      <c r="OF57" s="3">
        <v>154</v>
      </c>
      <c r="OG57" s="3">
        <v>158</v>
      </c>
      <c r="OH57" s="3">
        <v>159</v>
      </c>
      <c r="OI57" s="3">
        <v>154</v>
      </c>
      <c r="OJ57" s="3">
        <v>158</v>
      </c>
      <c r="OK57" s="3">
        <v>206</v>
      </c>
      <c r="OL57" s="3">
        <v>197</v>
      </c>
      <c r="OM57" s="3">
        <v>194</v>
      </c>
      <c r="ON57" s="3">
        <v>189</v>
      </c>
      <c r="OO57" s="3">
        <v>193</v>
      </c>
      <c r="OP57" s="3">
        <v>197</v>
      </c>
      <c r="OQ57" s="3">
        <v>189</v>
      </c>
      <c r="OR57" s="3">
        <v>194</v>
      </c>
      <c r="OS57" s="3">
        <v>191</v>
      </c>
      <c r="OT57" s="6">
        <v>201</v>
      </c>
      <c r="OU57" s="3">
        <v>591</v>
      </c>
      <c r="OV57" s="22">
        <v>0.95299999999999996</v>
      </c>
      <c r="OW57" s="22">
        <v>0.01</v>
      </c>
      <c r="OX57" s="22">
        <v>0.95399999999999996</v>
      </c>
      <c r="OY57" s="3">
        <v>563</v>
      </c>
      <c r="OZ57" s="3">
        <v>6</v>
      </c>
      <c r="PA57" s="3">
        <v>564</v>
      </c>
      <c r="PB57" s="3">
        <v>609</v>
      </c>
      <c r="PC57" s="22">
        <v>0.97699999999999998</v>
      </c>
      <c r="PD57" s="22">
        <v>0.93400000000000005</v>
      </c>
      <c r="PE57" s="22">
        <v>0.95399999999999996</v>
      </c>
      <c r="PF57" s="22">
        <v>0.94699999999999995</v>
      </c>
      <c r="PG57" s="22">
        <v>0.93600000000000005</v>
      </c>
      <c r="PH57" s="3">
        <v>595</v>
      </c>
      <c r="PI57" s="3">
        <v>569</v>
      </c>
      <c r="PJ57" s="3">
        <v>581</v>
      </c>
      <c r="PK57" s="3">
        <v>577</v>
      </c>
      <c r="PL57" s="3">
        <v>570</v>
      </c>
      <c r="PM57" s="3">
        <v>750</v>
      </c>
      <c r="PN57" s="22">
        <v>0.96699999999999997</v>
      </c>
      <c r="PO57" s="22">
        <v>0.91300000000000003</v>
      </c>
      <c r="PP57" s="22">
        <v>0.96699999999999997</v>
      </c>
      <c r="PQ57" s="22">
        <v>0.96799999999999997</v>
      </c>
      <c r="PR57" s="22">
        <v>0.96799999999999997</v>
      </c>
      <c r="PS57" s="22">
        <v>0.88700000000000001</v>
      </c>
      <c r="PT57" s="22">
        <v>0.94299999999999995</v>
      </c>
      <c r="PU57" s="22">
        <v>0.89100000000000001</v>
      </c>
      <c r="PV57" s="22">
        <v>0.97199999999999998</v>
      </c>
      <c r="PW57" s="22">
        <v>0.92</v>
      </c>
      <c r="PX57" s="3">
        <v>725</v>
      </c>
      <c r="PY57" s="3">
        <v>685</v>
      </c>
      <c r="PZ57" s="3">
        <v>725</v>
      </c>
      <c r="QA57" s="3">
        <v>726</v>
      </c>
      <c r="QB57" s="3">
        <v>726</v>
      </c>
      <c r="QC57" s="3">
        <v>665</v>
      </c>
      <c r="QD57" s="3">
        <v>707</v>
      </c>
      <c r="QE57" s="3">
        <v>668</v>
      </c>
      <c r="QF57" s="3">
        <v>729</v>
      </c>
      <c r="QG57" s="6">
        <v>690</v>
      </c>
      <c r="QH57" s="37">
        <v>601</v>
      </c>
      <c r="QI57" s="17">
        <v>0.94509151414309489</v>
      </c>
      <c r="QJ57" s="17">
        <v>0.22628951747088186</v>
      </c>
      <c r="QK57" s="17">
        <v>0.95008319467554081</v>
      </c>
      <c r="QL57" s="37">
        <v>568</v>
      </c>
      <c r="QM57" s="37">
        <v>136</v>
      </c>
      <c r="QN57" s="37">
        <v>571</v>
      </c>
      <c r="QO57" s="37">
        <v>605</v>
      </c>
      <c r="QP57" s="17">
        <v>0.97685950413223144</v>
      </c>
      <c r="QQ57" s="17">
        <v>0.93388429752066116</v>
      </c>
      <c r="QR57" s="17">
        <v>0.70909090909090911</v>
      </c>
      <c r="QS57" s="17">
        <v>0.95206611570247934</v>
      </c>
      <c r="QT57" s="17">
        <v>0.69256198347107434</v>
      </c>
      <c r="QU57" s="37">
        <v>591</v>
      </c>
      <c r="QV57" s="37">
        <v>565</v>
      </c>
      <c r="QW57" s="37">
        <v>429</v>
      </c>
      <c r="QX57" s="37">
        <v>576</v>
      </c>
      <c r="QY57" s="37">
        <v>419</v>
      </c>
      <c r="QZ57" s="3">
        <v>727</v>
      </c>
      <c r="RA57" s="17">
        <v>0.97386519944979366</v>
      </c>
      <c r="RB57" s="17">
        <v>0.89958734525447037</v>
      </c>
      <c r="RC57" s="17">
        <v>0.97386519944979366</v>
      </c>
      <c r="RD57" s="17">
        <v>0.97386519944979366</v>
      </c>
      <c r="RE57" s="17">
        <v>0.72764786795048142</v>
      </c>
      <c r="RF57" s="17">
        <v>0.90784044016506193</v>
      </c>
      <c r="RG57" s="17">
        <v>0.92434662998624484</v>
      </c>
      <c r="RH57" s="17">
        <v>0.90371389270976621</v>
      </c>
      <c r="RI57" s="17">
        <v>0.73039889958734527</v>
      </c>
      <c r="RJ57" s="17">
        <v>0.67537826685006874</v>
      </c>
      <c r="RK57" s="37">
        <v>708</v>
      </c>
      <c r="RL57" s="37">
        <v>654</v>
      </c>
      <c r="RM57" s="37">
        <v>708</v>
      </c>
      <c r="RN57" s="37">
        <v>708</v>
      </c>
      <c r="RO57" s="37">
        <v>529</v>
      </c>
      <c r="RP57" s="37">
        <v>660</v>
      </c>
      <c r="RQ57" s="37">
        <v>672</v>
      </c>
      <c r="RR57" s="37">
        <v>657</v>
      </c>
      <c r="RS57" s="37">
        <v>531</v>
      </c>
      <c r="RT57" s="38">
        <v>491</v>
      </c>
    </row>
    <row r="58" spans="1:488" s="3" customFormat="1" ht="12.75" x14ac:dyDescent="0.2">
      <c r="A58" s="9" t="s">
        <v>851</v>
      </c>
      <c r="B58" s="6">
        <v>10</v>
      </c>
      <c r="C58" s="9" t="s">
        <v>286</v>
      </c>
      <c r="D58" s="9" t="s">
        <v>286</v>
      </c>
      <c r="E58" s="9" t="s">
        <v>286</v>
      </c>
      <c r="F58" s="9" t="s">
        <v>286</v>
      </c>
      <c r="G58" s="9" t="s">
        <v>286</v>
      </c>
      <c r="H58" s="9" t="s">
        <v>852</v>
      </c>
      <c r="I58" s="9" t="s">
        <v>83</v>
      </c>
      <c r="J58" s="9" t="s">
        <v>270</v>
      </c>
      <c r="K58" s="9" t="s">
        <v>286</v>
      </c>
      <c r="L58" s="9" t="s">
        <v>286</v>
      </c>
      <c r="M58" s="9" t="s">
        <v>286</v>
      </c>
      <c r="N58" s="9" t="s">
        <v>83</v>
      </c>
      <c r="O58" s="109" t="s">
        <v>286</v>
      </c>
      <c r="P58" s="109" t="s">
        <v>286</v>
      </c>
      <c r="Q58" s="109" t="s">
        <v>286</v>
      </c>
      <c r="R58" s="109" t="s">
        <v>286</v>
      </c>
      <c r="S58" s="109" t="s">
        <v>286</v>
      </c>
      <c r="T58" s="36">
        <v>56115</v>
      </c>
      <c r="U58" s="37">
        <v>56850</v>
      </c>
      <c r="V58" s="37">
        <v>57335</v>
      </c>
      <c r="W58" s="37">
        <v>57750</v>
      </c>
      <c r="X58" s="37">
        <v>58185</v>
      </c>
      <c r="Y58" s="37">
        <v>58650</v>
      </c>
      <c r="Z58" s="37">
        <v>59080</v>
      </c>
      <c r="AA58" s="37">
        <v>59530</v>
      </c>
      <c r="AB58" s="37">
        <v>59735</v>
      </c>
      <c r="AC58" s="42">
        <v>60605</v>
      </c>
      <c r="AD58" s="42">
        <v>60779</v>
      </c>
      <c r="AE58" s="36">
        <v>3325</v>
      </c>
      <c r="AF58" s="37">
        <v>3330</v>
      </c>
      <c r="AG58" s="37">
        <v>3430</v>
      </c>
      <c r="AH58" s="37">
        <v>3440</v>
      </c>
      <c r="AI58" s="37">
        <v>3490</v>
      </c>
      <c r="AJ58" s="37">
        <v>3565</v>
      </c>
      <c r="AK58" s="37">
        <v>3600</v>
      </c>
      <c r="AL58" s="37">
        <v>3660</v>
      </c>
      <c r="AM58" s="37">
        <v>3595</v>
      </c>
      <c r="AN58" s="42">
        <v>3568</v>
      </c>
      <c r="AO58" s="42">
        <v>3471</v>
      </c>
      <c r="AP58" s="13">
        <v>3573</v>
      </c>
      <c r="AQ58" s="3">
        <v>3081</v>
      </c>
      <c r="AR58" s="3">
        <v>125</v>
      </c>
      <c r="AS58" s="3">
        <v>194</v>
      </c>
      <c r="AT58" s="3">
        <v>139</v>
      </c>
      <c r="AU58" s="3">
        <v>23</v>
      </c>
      <c r="AV58" s="3">
        <v>11</v>
      </c>
      <c r="AW58" s="9">
        <v>492</v>
      </c>
      <c r="AX58" s="16">
        <v>0.86230058774139373</v>
      </c>
      <c r="AY58" s="17">
        <v>3.4984606773019872E-2</v>
      </c>
      <c r="AZ58" s="17">
        <v>5.4296109711726839E-2</v>
      </c>
      <c r="BA58" s="17">
        <v>3.8902882731598094E-2</v>
      </c>
      <c r="BB58" s="17">
        <v>6.4371676462356567E-3</v>
      </c>
      <c r="BC58" s="17">
        <v>3.0786453960257487E-3</v>
      </c>
      <c r="BD58" s="18">
        <v>0.13769941225860627</v>
      </c>
      <c r="BE58" s="13">
        <v>9632</v>
      </c>
      <c r="BF58" s="3">
        <v>9400</v>
      </c>
      <c r="BG58" s="3">
        <v>232</v>
      </c>
      <c r="BH58" s="3">
        <v>203</v>
      </c>
      <c r="BI58" s="3">
        <v>29</v>
      </c>
      <c r="BJ58" s="17">
        <v>0.875</v>
      </c>
      <c r="BK58" s="18">
        <v>0.125</v>
      </c>
      <c r="BL58" s="36">
        <v>6989</v>
      </c>
      <c r="BM58" s="17">
        <v>0.70553727285734724</v>
      </c>
      <c r="BN58" s="17">
        <v>0.14179424810416369</v>
      </c>
      <c r="BO58" s="18">
        <v>0.15266847903848904</v>
      </c>
      <c r="BP58" s="36">
        <v>16944</v>
      </c>
      <c r="BQ58" s="37">
        <v>1043</v>
      </c>
      <c r="BR58" s="37">
        <v>1201</v>
      </c>
      <c r="BS58" s="37">
        <v>501</v>
      </c>
      <c r="BT58" s="37">
        <v>13050</v>
      </c>
      <c r="BU58" s="37">
        <v>7349</v>
      </c>
      <c r="BV58" s="18">
        <v>0.1435569465233365</v>
      </c>
      <c r="BW58" s="36">
        <v>4970</v>
      </c>
      <c r="BX58" s="37">
        <v>5</v>
      </c>
      <c r="BY58" s="37">
        <v>831</v>
      </c>
      <c r="BZ58" s="37">
        <v>1172</v>
      </c>
      <c r="CA58" s="37">
        <v>398</v>
      </c>
      <c r="CB58" s="38">
        <v>7376</v>
      </c>
      <c r="CC58" s="37">
        <v>2755</v>
      </c>
      <c r="CD58" s="37">
        <v>2448</v>
      </c>
      <c r="CE58" s="37">
        <v>303</v>
      </c>
      <c r="CF58" s="37">
        <v>307</v>
      </c>
      <c r="CG58" s="17">
        <v>0.10998185117967332</v>
      </c>
      <c r="CH58" s="93">
        <v>0.11143375680580762</v>
      </c>
      <c r="CI58" s="37">
        <v>285</v>
      </c>
      <c r="CJ58" s="37">
        <v>275</v>
      </c>
      <c r="CK58" s="37">
        <v>215</v>
      </c>
      <c r="CL58" s="37">
        <v>210</v>
      </c>
      <c r="CM58" s="42">
        <v>195</v>
      </c>
      <c r="CN58" s="42">
        <v>200</v>
      </c>
      <c r="CO58" s="36">
        <v>1167</v>
      </c>
      <c r="CP58" s="37">
        <v>322</v>
      </c>
      <c r="CQ58" s="17">
        <v>0.27592116538131961</v>
      </c>
      <c r="CR58" s="38">
        <v>120</v>
      </c>
      <c r="CS58" s="107">
        <v>702</v>
      </c>
      <c r="CT58" s="107">
        <v>646</v>
      </c>
      <c r="CU58" s="107">
        <v>689</v>
      </c>
      <c r="CV58" s="107">
        <v>636</v>
      </c>
      <c r="CW58" s="107">
        <v>632</v>
      </c>
      <c r="CX58" s="528" t="s">
        <v>471</v>
      </c>
      <c r="CY58" s="568">
        <v>535</v>
      </c>
      <c r="CZ58" s="37">
        <v>26</v>
      </c>
      <c r="DA58" s="37">
        <v>18</v>
      </c>
      <c r="DB58" s="37">
        <v>9</v>
      </c>
      <c r="DC58" s="37">
        <v>13</v>
      </c>
      <c r="DD58" s="37">
        <v>7</v>
      </c>
      <c r="DE58" s="534" t="s">
        <v>471</v>
      </c>
      <c r="DF58" s="716">
        <v>4</v>
      </c>
      <c r="DG58" s="13">
        <v>21</v>
      </c>
      <c r="DH58" s="13">
        <v>40</v>
      </c>
      <c r="DI58" s="17">
        <v>6.3291139240506333E-2</v>
      </c>
      <c r="DJ58" s="17">
        <v>4.6821004663438637E-2</v>
      </c>
      <c r="DK58" s="18">
        <v>8.5038058091286881E-2</v>
      </c>
      <c r="DL58" s="425" t="s">
        <v>286</v>
      </c>
      <c r="DM58" s="258" t="s">
        <v>286</v>
      </c>
      <c r="DN58" s="258" t="s">
        <v>286</v>
      </c>
      <c r="DO58" s="258" t="s">
        <v>286</v>
      </c>
      <c r="DP58" s="337">
        <v>43</v>
      </c>
      <c r="DQ58" s="393">
        <v>8.0373831775700941E-2</v>
      </c>
      <c r="DR58" s="393">
        <v>6.0216106004483828E-2</v>
      </c>
      <c r="DS58" s="393">
        <v>0.10651467788382485</v>
      </c>
      <c r="DT58" s="13">
        <v>67</v>
      </c>
      <c r="DU58" s="18">
        <v>1.8799102132435467E-2</v>
      </c>
      <c r="DV58" s="368" t="s">
        <v>286</v>
      </c>
      <c r="DW58" s="369" t="s">
        <v>286</v>
      </c>
      <c r="DX58" s="420" t="s">
        <v>286</v>
      </c>
      <c r="DY58" s="420" t="s">
        <v>286</v>
      </c>
      <c r="DZ58" s="420" t="s">
        <v>286</v>
      </c>
      <c r="EA58" s="369" t="s">
        <v>286</v>
      </c>
      <c r="EB58" s="3">
        <v>755</v>
      </c>
      <c r="EC58" s="18">
        <v>3.0908421009538625E-2</v>
      </c>
      <c r="ED58" s="13">
        <v>375</v>
      </c>
      <c r="EE58" s="3">
        <v>385</v>
      </c>
      <c r="EF58" s="3">
        <v>390</v>
      </c>
      <c r="EG58" s="3">
        <v>375</v>
      </c>
      <c r="EH58" s="9">
        <v>330</v>
      </c>
      <c r="EI58" s="9">
        <v>270</v>
      </c>
      <c r="EJ58" s="13">
        <v>265</v>
      </c>
      <c r="EK58" s="17">
        <v>8.1664098613251149E-2</v>
      </c>
      <c r="EL58" s="17">
        <v>7.2729028479895458E-2</v>
      </c>
      <c r="EM58" s="17">
        <v>9.158845687209051E-2</v>
      </c>
      <c r="EN58" s="3">
        <v>360</v>
      </c>
      <c r="EO58" s="17">
        <v>0.10794602698650675</v>
      </c>
      <c r="EP58" s="17">
        <v>9.7861784560491591E-2</v>
      </c>
      <c r="EQ58" s="17">
        <v>0.11893241419022141</v>
      </c>
      <c r="ER58" s="3">
        <v>350</v>
      </c>
      <c r="ES58" s="17">
        <v>0.10324483775811209</v>
      </c>
      <c r="ET58" s="17">
        <v>9.3447058616013587E-2</v>
      </c>
      <c r="EU58" s="17">
        <v>0.11394078414587777</v>
      </c>
      <c r="EV58" s="3">
        <v>365</v>
      </c>
      <c r="EW58" s="17">
        <v>0.1083086053412463</v>
      </c>
      <c r="EX58" s="17">
        <v>9.8258751859751234E-2</v>
      </c>
      <c r="EY58" s="17">
        <v>0.11925041914830317</v>
      </c>
      <c r="EZ58" s="3">
        <v>360</v>
      </c>
      <c r="FA58" s="18">
        <v>0.10682492581602374</v>
      </c>
      <c r="FB58" s="18">
        <v>9.684004317133027E-2</v>
      </c>
      <c r="FC58" s="18">
        <v>0.11770514742387585</v>
      </c>
      <c r="FD58" s="337">
        <v>305</v>
      </c>
      <c r="FE58" s="18">
        <v>0.1020066889632107</v>
      </c>
      <c r="FF58" s="18">
        <v>9.166396150395606E-2</v>
      </c>
      <c r="FG58" s="393">
        <v>0.11337076303436093</v>
      </c>
      <c r="FH58" s="425" t="s">
        <v>286</v>
      </c>
      <c r="FI58" s="258" t="s">
        <v>286</v>
      </c>
      <c r="FJ58" s="258" t="s">
        <v>286</v>
      </c>
      <c r="FK58" s="258" t="s">
        <v>286</v>
      </c>
      <c r="FL58" s="36">
        <v>935</v>
      </c>
      <c r="FM58" s="18">
        <v>8.5505258344764523E-2</v>
      </c>
      <c r="FN58" s="42">
        <v>1005</v>
      </c>
      <c r="FO58" s="18">
        <v>9.1697080291970809E-2</v>
      </c>
      <c r="FP58" s="42">
        <v>985</v>
      </c>
      <c r="FQ58" s="18">
        <v>8.9872262773722622E-2</v>
      </c>
      <c r="FR58" s="42">
        <v>975</v>
      </c>
      <c r="FS58" s="18">
        <v>8.9081772498857931E-2</v>
      </c>
      <c r="FT58" s="42">
        <v>925</v>
      </c>
      <c r="FU58" s="18">
        <v>8.4282460136674259E-2</v>
      </c>
      <c r="FV58" s="42">
        <v>860</v>
      </c>
      <c r="FW58" s="393">
        <v>7.8574691640018277E-2</v>
      </c>
      <c r="FX58" s="114" t="s">
        <v>286</v>
      </c>
      <c r="FY58" s="259" t="s">
        <v>286</v>
      </c>
      <c r="FZ58" s="3">
        <v>617</v>
      </c>
      <c r="GA58" s="3">
        <v>16</v>
      </c>
      <c r="GB58" s="3">
        <v>601</v>
      </c>
      <c r="GC58" s="17">
        <v>0.97406807131280393</v>
      </c>
      <c r="GD58" s="3">
        <v>283</v>
      </c>
      <c r="GE58" s="3">
        <v>368</v>
      </c>
      <c r="GF58" s="17">
        <v>0.47088186356073214</v>
      </c>
      <c r="GG58" s="17">
        <v>0.61231281198003329</v>
      </c>
      <c r="GH58" s="17">
        <v>0.4312868407625195</v>
      </c>
      <c r="GI58" s="17">
        <v>0.51084675558809745</v>
      </c>
      <c r="GJ58" s="17">
        <v>0.57276407466122725</v>
      </c>
      <c r="GK58" s="93">
        <v>0.65043491084353611</v>
      </c>
      <c r="GL58" s="337">
        <v>514</v>
      </c>
      <c r="GM58" s="337">
        <v>241</v>
      </c>
      <c r="GN58" s="337">
        <v>82</v>
      </c>
      <c r="GO58" s="337">
        <v>323</v>
      </c>
      <c r="GP58" s="393">
        <v>0.4688715953307393</v>
      </c>
      <c r="GQ58" s="393">
        <v>0.62840466926070038</v>
      </c>
      <c r="GR58" s="393">
        <v>0.42612090284028065</v>
      </c>
      <c r="GS58" s="393">
        <v>0.51208412216317278</v>
      </c>
      <c r="GT58" s="393">
        <v>0.58582100428592065</v>
      </c>
      <c r="GU58" s="93">
        <v>0.66908326757483405</v>
      </c>
      <c r="GV58" s="42">
        <v>620</v>
      </c>
      <c r="GW58" s="42">
        <v>68</v>
      </c>
      <c r="GX58" s="42">
        <v>552</v>
      </c>
      <c r="GY58" s="393">
        <f t="shared" si="2"/>
        <v>0.89032258064516134</v>
      </c>
      <c r="GZ58" s="42">
        <v>242</v>
      </c>
      <c r="HA58" s="42">
        <v>88</v>
      </c>
      <c r="HB58" s="42">
        <v>330</v>
      </c>
      <c r="HC58" s="393">
        <v>0.43840579710144928</v>
      </c>
      <c r="HD58" s="393">
        <v>0.59782608695652173</v>
      </c>
      <c r="HE58" s="393">
        <v>0.39757946090188434</v>
      </c>
      <c r="HF58" s="393">
        <v>0.48008349690577401</v>
      </c>
      <c r="HG58" s="393">
        <v>0.55638131681222913</v>
      </c>
      <c r="HH58" s="93">
        <v>0.63791869137560764</v>
      </c>
      <c r="HI58" s="696">
        <v>679</v>
      </c>
      <c r="HJ58" s="696">
        <v>55</v>
      </c>
      <c r="HK58" s="696">
        <v>624</v>
      </c>
      <c r="HL58" s="697">
        <v>0.91899852724594988</v>
      </c>
      <c r="HM58" s="696">
        <v>291</v>
      </c>
      <c r="HN58" s="696">
        <v>93</v>
      </c>
      <c r="HO58" s="696">
        <v>384</v>
      </c>
      <c r="HP58" s="697">
        <v>0.46634615384615385</v>
      </c>
      <c r="HQ58" s="697">
        <v>0.61538461538461542</v>
      </c>
      <c r="HR58" s="697">
        <v>0.42752973850133819</v>
      </c>
      <c r="HS58" s="697">
        <v>0.50557439247005276</v>
      </c>
      <c r="HT58" s="697">
        <v>0.57661725870591585</v>
      </c>
      <c r="HU58" s="698">
        <v>0.6527400065350295</v>
      </c>
      <c r="HV58" s="3">
        <v>584</v>
      </c>
      <c r="HW58" s="3">
        <v>40</v>
      </c>
      <c r="HX58" s="17">
        <v>6.8493150684931503E-2</v>
      </c>
      <c r="HY58" s="17">
        <v>5.0700192152736974E-2</v>
      </c>
      <c r="HZ58" s="17">
        <v>9.1925778783191525E-2</v>
      </c>
      <c r="IA58" s="267" t="s">
        <v>708</v>
      </c>
      <c r="IB58" s="3">
        <v>606</v>
      </c>
      <c r="IC58" s="3">
        <v>41</v>
      </c>
      <c r="ID58" s="17">
        <v>6.7656765676567657E-2</v>
      </c>
      <c r="IE58" s="17">
        <v>5.0261484259510152E-2</v>
      </c>
      <c r="IF58" s="17">
        <v>9.0498802826732824E-2</v>
      </c>
      <c r="IG58" s="3" t="s">
        <v>708</v>
      </c>
      <c r="IH58" s="3">
        <v>390</v>
      </c>
      <c r="II58" s="3">
        <v>35</v>
      </c>
      <c r="IJ58" s="17">
        <v>8.9743589743589744E-2</v>
      </c>
      <c r="IK58" s="17">
        <v>6.5235527450921732E-2</v>
      </c>
      <c r="IL58" s="17">
        <v>0.12225478665110948</v>
      </c>
      <c r="IM58" s="3" t="s">
        <v>707</v>
      </c>
      <c r="IN58" s="3">
        <v>568</v>
      </c>
      <c r="IO58" s="3">
        <v>39</v>
      </c>
      <c r="IP58" s="17">
        <v>6.8661971830985921E-2</v>
      </c>
      <c r="IQ58" s="17">
        <v>5.0631690526542664E-2</v>
      </c>
      <c r="IR58" s="17">
        <v>9.2487451253550318E-2</v>
      </c>
      <c r="IS58" s="3" t="s">
        <v>707</v>
      </c>
      <c r="IT58" s="3">
        <v>352</v>
      </c>
      <c r="IU58" s="3">
        <v>16</v>
      </c>
      <c r="IV58" s="17">
        <v>4.5454545454545456E-2</v>
      </c>
      <c r="IW58" s="17">
        <v>2.8169773989289198E-2</v>
      </c>
      <c r="IX58" s="17">
        <v>7.2553337194768669E-2</v>
      </c>
      <c r="IY58" s="9" t="s">
        <v>708</v>
      </c>
      <c r="IZ58" s="9">
        <v>610</v>
      </c>
      <c r="JA58" s="9">
        <v>33</v>
      </c>
      <c r="JB58" s="393">
        <v>5.4098360655737705E-2</v>
      </c>
      <c r="JC58" s="393">
        <v>3.8777444302139925E-2</v>
      </c>
      <c r="JD58" s="393">
        <v>7.5000238545924497E-2</v>
      </c>
      <c r="JE58" s="9" t="str">
        <f t="shared" si="5"/>
        <v>Sig better than Eng.</v>
      </c>
      <c r="JF58" s="9">
        <v>597</v>
      </c>
      <c r="JG58" s="109">
        <v>31</v>
      </c>
      <c r="JH58" s="258">
        <v>5.1926298157453935E-2</v>
      </c>
      <c r="JI58" s="258">
        <v>3.6820043771241311E-2</v>
      </c>
      <c r="JJ58" s="258">
        <v>7.2762039578873922E-2</v>
      </c>
      <c r="JK58" s="662" t="str">
        <f t="shared" si="3"/>
        <v>Sig better than Eng.</v>
      </c>
      <c r="JL58" s="3">
        <v>593</v>
      </c>
      <c r="JM58" s="3">
        <v>79</v>
      </c>
      <c r="JN58" s="17">
        <v>0.13322091062394603</v>
      </c>
      <c r="JO58" s="17">
        <v>0.10821751503531322</v>
      </c>
      <c r="JP58" s="17">
        <v>0.16294571672220998</v>
      </c>
      <c r="JQ58" s="3" t="s">
        <v>708</v>
      </c>
      <c r="JR58" s="3">
        <v>630</v>
      </c>
      <c r="JS58" s="3">
        <v>88</v>
      </c>
      <c r="JT58" s="17">
        <v>0.13968253968253969</v>
      </c>
      <c r="JU58" s="17">
        <v>0.11479084888788295</v>
      </c>
      <c r="JV58" s="17">
        <v>0.16894170965333588</v>
      </c>
      <c r="JW58" s="3" t="s">
        <v>708</v>
      </c>
      <c r="JX58" s="3">
        <v>603</v>
      </c>
      <c r="JY58" s="3">
        <v>68</v>
      </c>
      <c r="JZ58" s="17">
        <v>0.11276948590381426</v>
      </c>
      <c r="KA58" s="17">
        <v>8.9935057926732356E-2</v>
      </c>
      <c r="KB58" s="17">
        <v>0.14050644666732612</v>
      </c>
      <c r="KC58" s="3" t="s">
        <v>708</v>
      </c>
      <c r="KD58" s="3">
        <v>580</v>
      </c>
      <c r="KE58" s="3">
        <v>72</v>
      </c>
      <c r="KF58" s="17">
        <v>0.12413793103448276</v>
      </c>
      <c r="KG58" s="17">
        <v>9.9750144188588658E-2</v>
      </c>
      <c r="KH58" s="17">
        <v>0.15347178205029172</v>
      </c>
      <c r="KI58" s="3" t="s">
        <v>708</v>
      </c>
      <c r="KJ58" s="3">
        <v>656</v>
      </c>
      <c r="KK58" s="3">
        <v>78</v>
      </c>
      <c r="KL58" s="17">
        <v>0.11890243902439024</v>
      </c>
      <c r="KM58" s="17">
        <v>9.6325134776360358E-2</v>
      </c>
      <c r="KN58" s="17">
        <v>0.14591708368983272</v>
      </c>
      <c r="KO58" s="9" t="s">
        <v>708</v>
      </c>
      <c r="KP58" s="9">
        <v>593</v>
      </c>
      <c r="KQ58" s="9">
        <v>78</v>
      </c>
      <c r="KR58" s="393">
        <v>0.13153456998313659</v>
      </c>
      <c r="KS58" s="393">
        <v>0.10668729057071816</v>
      </c>
      <c r="KT58" s="393">
        <v>0.1611249675397132</v>
      </c>
      <c r="KU58" s="9" t="s">
        <v>708</v>
      </c>
      <c r="KV58" s="9">
        <v>591</v>
      </c>
      <c r="KW58" s="9">
        <v>68</v>
      </c>
      <c r="KX58" s="393">
        <v>0.11505922165820642</v>
      </c>
      <c r="KY58" s="393">
        <v>9.178214340618715E-2</v>
      </c>
      <c r="KZ58" s="393">
        <v>0.14330815964353219</v>
      </c>
      <c r="LA58" s="662" t="str">
        <f t="shared" si="4"/>
        <v>Sig better than Eng.</v>
      </c>
      <c r="LB58" s="3">
        <v>673</v>
      </c>
      <c r="LC58" s="3">
        <v>392</v>
      </c>
      <c r="LD58" s="17">
        <v>0.58246656760772664</v>
      </c>
      <c r="LE58" s="17">
        <v>0.54484327168467928</v>
      </c>
      <c r="LF58" s="17">
        <v>0.61915377452670772</v>
      </c>
      <c r="LG58" s="3">
        <v>673</v>
      </c>
      <c r="LH58" s="3">
        <v>34</v>
      </c>
      <c r="LI58" s="3">
        <v>134</v>
      </c>
      <c r="LJ58" s="293">
        <v>25.253731343283587</v>
      </c>
      <c r="LK58" s="17">
        <v>0.25724319578577687</v>
      </c>
      <c r="LL58" s="3">
        <v>751</v>
      </c>
      <c r="LM58" s="3">
        <v>468</v>
      </c>
      <c r="LN58" s="17">
        <v>0.62316910785619173</v>
      </c>
      <c r="LO58" s="17">
        <v>0.58796684159232548</v>
      </c>
      <c r="LP58" s="17">
        <v>0.65711773588839439</v>
      </c>
      <c r="LQ58" s="3">
        <v>751</v>
      </c>
      <c r="LR58" s="3">
        <v>34</v>
      </c>
      <c r="LS58" s="3">
        <v>150</v>
      </c>
      <c r="LT58" s="293">
        <v>24.599999999999994</v>
      </c>
      <c r="LU58" s="18">
        <v>0.2764705882352943</v>
      </c>
      <c r="LV58" s="42">
        <v>699</v>
      </c>
      <c r="LW58" s="42">
        <v>462</v>
      </c>
      <c r="LX58" s="18">
        <v>0.66094420600858372</v>
      </c>
      <c r="LY58" s="18">
        <v>0.62505596442660638</v>
      </c>
      <c r="LZ58" s="18">
        <v>0.69507313037313712</v>
      </c>
      <c r="MA58" s="337">
        <v>34</v>
      </c>
      <c r="MB58" s="337">
        <v>139</v>
      </c>
      <c r="MC58" s="294">
        <v>25.1</v>
      </c>
      <c r="MD58" s="393">
        <v>0.26200000000000001</v>
      </c>
      <c r="ME58" s="337">
        <v>732</v>
      </c>
      <c r="MF58" s="337">
        <v>524</v>
      </c>
      <c r="MG58" s="393">
        <v>0.71584699453551914</v>
      </c>
      <c r="MH58" s="393">
        <v>0.682113853157017</v>
      </c>
      <c r="MI58" s="393">
        <v>0.74732647833292298</v>
      </c>
      <c r="MJ58" s="337">
        <v>34</v>
      </c>
      <c r="MK58" s="337">
        <v>168</v>
      </c>
      <c r="ML58" s="294">
        <v>27.577380952380953</v>
      </c>
      <c r="MM58" s="93">
        <v>0.18890056022408963</v>
      </c>
      <c r="MN58" s="17"/>
      <c r="MO58" s="17"/>
      <c r="MP58" s="17"/>
      <c r="MQ58" s="17"/>
      <c r="MR58" s="17"/>
      <c r="MS58" s="17"/>
      <c r="MT58" s="17"/>
      <c r="MU58" s="17"/>
      <c r="MV58" s="17"/>
      <c r="MW58" s="17"/>
      <c r="MX58" s="17"/>
      <c r="MY58" s="17"/>
      <c r="MZ58" s="17"/>
      <c r="NA58" s="17"/>
      <c r="NB58" s="17"/>
      <c r="NC58" s="93"/>
      <c r="ND58" s="337">
        <v>20</v>
      </c>
      <c r="NE58" s="337">
        <v>252</v>
      </c>
      <c r="NF58" s="393">
        <v>7.9365079365079361E-2</v>
      </c>
      <c r="NG58" s="393">
        <v>5.1961785127078337E-2</v>
      </c>
      <c r="NH58" s="393">
        <v>0.11940003802223502</v>
      </c>
      <c r="NI58" s="337">
        <v>17</v>
      </c>
      <c r="NJ58" s="337">
        <v>252</v>
      </c>
      <c r="NK58" s="393">
        <v>6.7460317460317457E-2</v>
      </c>
      <c r="NL58" s="393">
        <v>4.254209307182908E-2</v>
      </c>
      <c r="NM58" s="393">
        <v>0.10536770620435162</v>
      </c>
      <c r="NN58" s="337">
        <v>22</v>
      </c>
      <c r="NO58" s="337">
        <v>250</v>
      </c>
      <c r="NP58" s="393">
        <v>8.7999999999999995E-2</v>
      </c>
      <c r="NQ58" s="393">
        <v>5.8831355953781639E-2</v>
      </c>
      <c r="NR58" s="393">
        <v>0.12963848283046467</v>
      </c>
      <c r="NS58" s="337">
        <v>39</v>
      </c>
      <c r="NT58" s="337">
        <v>246</v>
      </c>
      <c r="NU58" s="393">
        <v>0.15853658536585366</v>
      </c>
      <c r="NV58" s="393">
        <v>0.11819391495104363</v>
      </c>
      <c r="NW58" s="93">
        <v>0.20937965593268223</v>
      </c>
      <c r="NX58" s="3">
        <v>181</v>
      </c>
      <c r="NY58" s="3">
        <v>173</v>
      </c>
      <c r="NZ58" s="3">
        <v>173</v>
      </c>
      <c r="OA58" s="3">
        <v>176</v>
      </c>
      <c r="OB58" s="3">
        <v>173</v>
      </c>
      <c r="OC58" s="3">
        <v>189</v>
      </c>
      <c r="OD58" s="3">
        <v>180</v>
      </c>
      <c r="OE58" s="3">
        <v>174</v>
      </c>
      <c r="OF58" s="3">
        <v>180</v>
      </c>
      <c r="OG58" s="3">
        <v>175</v>
      </c>
      <c r="OH58" s="3">
        <v>178</v>
      </c>
      <c r="OI58" s="3">
        <v>181</v>
      </c>
      <c r="OJ58" s="3">
        <v>181</v>
      </c>
      <c r="OK58" s="3">
        <v>168</v>
      </c>
      <c r="OL58" s="3">
        <v>155</v>
      </c>
      <c r="OM58" s="3">
        <v>152</v>
      </c>
      <c r="ON58" s="3">
        <v>147</v>
      </c>
      <c r="OO58" s="3">
        <v>151</v>
      </c>
      <c r="OP58" s="3">
        <v>158</v>
      </c>
      <c r="OQ58" s="3">
        <v>145</v>
      </c>
      <c r="OR58" s="3">
        <v>158</v>
      </c>
      <c r="OS58" s="3">
        <v>154</v>
      </c>
      <c r="OT58" s="6">
        <v>156</v>
      </c>
      <c r="OU58" s="3">
        <v>776</v>
      </c>
      <c r="OV58" s="22">
        <v>0.97399999999999998</v>
      </c>
      <c r="OW58" s="22">
        <v>4.0000000000000001E-3</v>
      </c>
      <c r="OX58" s="22">
        <v>0.97</v>
      </c>
      <c r="OY58" s="3">
        <v>756</v>
      </c>
      <c r="OZ58" s="3">
        <v>3</v>
      </c>
      <c r="PA58" s="3">
        <v>753</v>
      </c>
      <c r="PB58" s="3">
        <v>804</v>
      </c>
      <c r="PC58" s="22">
        <v>0.97599999999999998</v>
      </c>
      <c r="PD58" s="22">
        <v>0.95299999999999996</v>
      </c>
      <c r="PE58" s="22">
        <v>0.95</v>
      </c>
      <c r="PF58" s="22">
        <v>0.95899999999999996</v>
      </c>
      <c r="PG58" s="22">
        <v>0.95499999999999996</v>
      </c>
      <c r="PH58" s="3">
        <v>785</v>
      </c>
      <c r="PI58" s="3">
        <v>766</v>
      </c>
      <c r="PJ58" s="3">
        <v>764</v>
      </c>
      <c r="PK58" s="3">
        <v>771</v>
      </c>
      <c r="PL58" s="3">
        <v>768</v>
      </c>
      <c r="PM58" s="3">
        <v>895</v>
      </c>
      <c r="PN58" s="22">
        <v>0.97099999999999997</v>
      </c>
      <c r="PO58" s="22">
        <v>0.93200000000000005</v>
      </c>
      <c r="PP58" s="22">
        <v>0.97099999999999997</v>
      </c>
      <c r="PQ58" s="22">
        <v>0.96899999999999997</v>
      </c>
      <c r="PR58" s="22">
        <v>0.96199999999999997</v>
      </c>
      <c r="PS58" s="22">
        <v>0.83799999999999997</v>
      </c>
      <c r="PT58" s="22">
        <v>0.93400000000000005</v>
      </c>
      <c r="PU58" s="22">
        <v>0.93400000000000005</v>
      </c>
      <c r="PV58" s="22">
        <v>0.96399999999999997</v>
      </c>
      <c r="PW58" s="22">
        <v>0.93300000000000005</v>
      </c>
      <c r="PX58" s="3">
        <v>869</v>
      </c>
      <c r="PY58" s="3">
        <v>834</v>
      </c>
      <c r="PZ58" s="3">
        <v>869</v>
      </c>
      <c r="QA58" s="3">
        <v>867</v>
      </c>
      <c r="QB58" s="3">
        <v>861</v>
      </c>
      <c r="QC58" s="3">
        <v>750</v>
      </c>
      <c r="QD58" s="3">
        <v>836</v>
      </c>
      <c r="QE58" s="3">
        <v>836</v>
      </c>
      <c r="QF58" s="3">
        <v>863</v>
      </c>
      <c r="QG58" s="6">
        <v>835</v>
      </c>
      <c r="QH58" s="37">
        <v>718</v>
      </c>
      <c r="QI58" s="17">
        <v>0.98328690807799446</v>
      </c>
      <c r="QJ58" s="17">
        <v>0.24512534818941503</v>
      </c>
      <c r="QK58" s="17">
        <v>0.98050139275766013</v>
      </c>
      <c r="QL58" s="37">
        <v>706</v>
      </c>
      <c r="QM58" s="37">
        <v>176</v>
      </c>
      <c r="QN58" s="37">
        <v>704</v>
      </c>
      <c r="QO58" s="37">
        <v>802</v>
      </c>
      <c r="QP58" s="17">
        <v>0.97506234413965087</v>
      </c>
      <c r="QQ58" s="17">
        <v>0.95760598503740646</v>
      </c>
      <c r="QR58" s="17">
        <v>0.72194513715710729</v>
      </c>
      <c r="QS58" s="17">
        <v>0.96134663341645887</v>
      </c>
      <c r="QT58" s="17">
        <v>0.72069825436408974</v>
      </c>
      <c r="QU58" s="37">
        <v>782</v>
      </c>
      <c r="QV58" s="37">
        <v>768</v>
      </c>
      <c r="QW58" s="37">
        <v>579</v>
      </c>
      <c r="QX58" s="37">
        <v>771</v>
      </c>
      <c r="QY58" s="37">
        <v>578</v>
      </c>
      <c r="QZ58" s="3">
        <v>875</v>
      </c>
      <c r="RA58" s="17">
        <v>0.97028571428571431</v>
      </c>
      <c r="RB58" s="17">
        <v>0.93371428571428572</v>
      </c>
      <c r="RC58" s="17">
        <v>0.97028571428571431</v>
      </c>
      <c r="RD58" s="17">
        <v>0.96799999999999997</v>
      </c>
      <c r="RE58" s="17">
        <v>0.72914285714285709</v>
      </c>
      <c r="RF58" s="17">
        <v>0.92800000000000005</v>
      </c>
      <c r="RG58" s="17">
        <v>0.93485714285714283</v>
      </c>
      <c r="RH58" s="17">
        <v>0.94514285714285717</v>
      </c>
      <c r="RI58" s="17">
        <v>0.73142857142857143</v>
      </c>
      <c r="RJ58" s="17">
        <v>0.69028571428571428</v>
      </c>
      <c r="RK58" s="37">
        <v>849</v>
      </c>
      <c r="RL58" s="37">
        <v>817</v>
      </c>
      <c r="RM58" s="37">
        <v>849</v>
      </c>
      <c r="RN58" s="37">
        <v>847</v>
      </c>
      <c r="RO58" s="37">
        <v>638</v>
      </c>
      <c r="RP58" s="37">
        <v>812</v>
      </c>
      <c r="RQ58" s="37">
        <v>818</v>
      </c>
      <c r="RR58" s="37">
        <v>827</v>
      </c>
      <c r="RS58" s="37">
        <v>640</v>
      </c>
      <c r="RT58" s="38">
        <v>604</v>
      </c>
    </row>
    <row r="59" spans="1:488" s="3" customFormat="1" ht="12.75" x14ac:dyDescent="0.2">
      <c r="A59" s="9" t="s">
        <v>121</v>
      </c>
      <c r="B59" s="6">
        <v>11</v>
      </c>
      <c r="C59" s="9" t="s">
        <v>286</v>
      </c>
      <c r="D59" s="9" t="s">
        <v>286</v>
      </c>
      <c r="E59" s="9" t="s">
        <v>286</v>
      </c>
      <c r="F59" s="9" t="s">
        <v>286</v>
      </c>
      <c r="G59" s="9" t="s">
        <v>286</v>
      </c>
      <c r="H59" s="9" t="s">
        <v>80</v>
      </c>
      <c r="I59" s="9" t="s">
        <v>80</v>
      </c>
      <c r="J59" s="9" t="s">
        <v>270</v>
      </c>
      <c r="K59" s="9" t="s">
        <v>286</v>
      </c>
      <c r="L59" s="9" t="s">
        <v>286</v>
      </c>
      <c r="M59" s="9" t="s">
        <v>286</v>
      </c>
      <c r="N59" s="9" t="s">
        <v>80</v>
      </c>
      <c r="O59" s="109" t="s">
        <v>286</v>
      </c>
      <c r="P59" s="109" t="s">
        <v>286</v>
      </c>
      <c r="Q59" s="109" t="s">
        <v>286</v>
      </c>
      <c r="R59" s="109" t="s">
        <v>286</v>
      </c>
      <c r="S59" s="109" t="s">
        <v>286</v>
      </c>
      <c r="T59" s="36">
        <v>130505</v>
      </c>
      <c r="U59" s="37">
        <v>132060</v>
      </c>
      <c r="V59" s="37">
        <v>133975</v>
      </c>
      <c r="W59" s="37">
        <v>135735</v>
      </c>
      <c r="X59" s="37">
        <v>137210</v>
      </c>
      <c r="Y59" s="37">
        <v>138895</v>
      </c>
      <c r="Z59" s="37">
        <v>140190</v>
      </c>
      <c r="AA59" s="37">
        <v>141160</v>
      </c>
      <c r="AB59" s="37">
        <v>142765</v>
      </c>
      <c r="AC59" s="42">
        <v>144375</v>
      </c>
      <c r="AD59" s="42">
        <v>145651</v>
      </c>
      <c r="AE59" s="36">
        <v>7450</v>
      </c>
      <c r="AF59" s="37">
        <v>7665</v>
      </c>
      <c r="AG59" s="37">
        <v>7985</v>
      </c>
      <c r="AH59" s="37">
        <v>8155</v>
      </c>
      <c r="AI59" s="37">
        <v>8140</v>
      </c>
      <c r="AJ59" s="37">
        <v>8240</v>
      </c>
      <c r="AK59" s="37">
        <v>8325</v>
      </c>
      <c r="AL59" s="37">
        <v>8490</v>
      </c>
      <c r="AM59" s="37">
        <v>8560</v>
      </c>
      <c r="AN59" s="42">
        <v>8695</v>
      </c>
      <c r="AO59" s="42">
        <v>8631</v>
      </c>
      <c r="AP59" s="13">
        <v>8343</v>
      </c>
      <c r="AQ59" s="3">
        <v>7298</v>
      </c>
      <c r="AR59" s="3">
        <v>325</v>
      </c>
      <c r="AS59" s="3">
        <v>336</v>
      </c>
      <c r="AT59" s="3">
        <v>331</v>
      </c>
      <c r="AU59" s="3">
        <v>46</v>
      </c>
      <c r="AV59" s="3">
        <v>7</v>
      </c>
      <c r="AW59" s="9">
        <v>1045</v>
      </c>
      <c r="AX59" s="16">
        <v>0.87474529545726953</v>
      </c>
      <c r="AY59" s="17">
        <v>3.8954812417595588E-2</v>
      </c>
      <c r="AZ59" s="17">
        <v>4.0273282991729595E-2</v>
      </c>
      <c r="BA59" s="17">
        <v>3.9673978185305048E-2</v>
      </c>
      <c r="BB59" s="17">
        <v>5.5136042191058368E-3</v>
      </c>
      <c r="BC59" s="17">
        <v>8.3902672899436649E-4</v>
      </c>
      <c r="BD59" s="18">
        <v>0.12525470454273047</v>
      </c>
      <c r="BE59" s="13">
        <v>22188</v>
      </c>
      <c r="BF59" s="9">
        <v>21777</v>
      </c>
      <c r="BG59" s="9">
        <v>411</v>
      </c>
      <c r="BH59" s="9">
        <v>362</v>
      </c>
      <c r="BI59" s="9">
        <v>49</v>
      </c>
      <c r="BJ59" s="18">
        <v>0.88077858880778592</v>
      </c>
      <c r="BK59" s="18">
        <v>0.11922141119221411</v>
      </c>
      <c r="BL59" s="36">
        <v>16498</v>
      </c>
      <c r="BM59" s="17">
        <v>0.71044975148502854</v>
      </c>
      <c r="BN59" s="17">
        <v>0.12456055279427809</v>
      </c>
      <c r="BO59" s="18">
        <v>0.16498969572069341</v>
      </c>
      <c r="BP59" s="36">
        <v>40824</v>
      </c>
      <c r="BQ59" s="37">
        <v>2421</v>
      </c>
      <c r="BR59" s="37">
        <v>2796</v>
      </c>
      <c r="BS59" s="37">
        <v>1278</v>
      </c>
      <c r="BT59" s="37">
        <v>30486</v>
      </c>
      <c r="BU59" s="37">
        <v>16991</v>
      </c>
      <c r="BV59" s="18">
        <v>0.14837266788299688</v>
      </c>
      <c r="BW59" s="36">
        <v>11413</v>
      </c>
      <c r="BX59" s="37">
        <v>8</v>
      </c>
      <c r="BY59" s="37">
        <v>1979</v>
      </c>
      <c r="BZ59" s="37">
        <v>2652</v>
      </c>
      <c r="CA59" s="37">
        <v>993</v>
      </c>
      <c r="CB59" s="38">
        <v>17045</v>
      </c>
      <c r="CC59" s="37">
        <v>6511</v>
      </c>
      <c r="CD59" s="37">
        <v>5856</v>
      </c>
      <c r="CE59" s="37">
        <v>647</v>
      </c>
      <c r="CF59" s="37">
        <v>655</v>
      </c>
      <c r="CG59" s="17">
        <v>9.9370296421440643E-2</v>
      </c>
      <c r="CH59" s="93">
        <v>0.10059898633082476</v>
      </c>
      <c r="CI59" s="37">
        <v>565</v>
      </c>
      <c r="CJ59" s="37">
        <v>525</v>
      </c>
      <c r="CK59" s="37">
        <v>450</v>
      </c>
      <c r="CL59" s="37">
        <v>450</v>
      </c>
      <c r="CM59" s="42">
        <v>420</v>
      </c>
      <c r="CN59" s="42">
        <v>395</v>
      </c>
      <c r="CO59" s="36">
        <v>2645</v>
      </c>
      <c r="CP59" s="37">
        <v>656</v>
      </c>
      <c r="CQ59" s="17">
        <v>0.24801512287334593</v>
      </c>
      <c r="CR59" s="38">
        <v>222</v>
      </c>
      <c r="CS59" s="107">
        <v>1457</v>
      </c>
      <c r="CT59" s="107">
        <v>1513</v>
      </c>
      <c r="CU59" s="107">
        <v>1512</v>
      </c>
      <c r="CV59" s="107">
        <v>1521</v>
      </c>
      <c r="CW59" s="107">
        <v>1486</v>
      </c>
      <c r="CX59" s="528" t="s">
        <v>471</v>
      </c>
      <c r="CY59" s="568">
        <v>1457</v>
      </c>
      <c r="CZ59" s="37">
        <v>48</v>
      </c>
      <c r="DA59" s="37">
        <v>48</v>
      </c>
      <c r="DB59" s="37">
        <v>42</v>
      </c>
      <c r="DC59" s="37">
        <v>29</v>
      </c>
      <c r="DD59" s="37">
        <v>36</v>
      </c>
      <c r="DE59" s="482" t="s">
        <v>471</v>
      </c>
      <c r="DF59" s="716">
        <v>21</v>
      </c>
      <c r="DG59" s="13">
        <v>70</v>
      </c>
      <c r="DH59" s="13">
        <v>74</v>
      </c>
      <c r="DI59" s="17">
        <v>4.9798115746971738E-2</v>
      </c>
      <c r="DJ59" s="17">
        <v>3.9852422821900144E-2</v>
      </c>
      <c r="DK59" s="18">
        <v>6.2065440935822419E-2</v>
      </c>
      <c r="DL59" s="425" t="s">
        <v>286</v>
      </c>
      <c r="DM59" s="258" t="s">
        <v>286</v>
      </c>
      <c r="DN59" s="258" t="s">
        <v>286</v>
      </c>
      <c r="DO59" s="258" t="s">
        <v>286</v>
      </c>
      <c r="DP59" s="337">
        <v>85</v>
      </c>
      <c r="DQ59" s="393">
        <v>5.8339052848318459E-2</v>
      </c>
      <c r="DR59" s="393">
        <v>4.7425327970069951E-2</v>
      </c>
      <c r="DS59" s="393">
        <v>7.1575579192732372E-2</v>
      </c>
      <c r="DT59" s="13">
        <v>140</v>
      </c>
      <c r="DU59" s="18">
        <v>1.6794625719769675E-2</v>
      </c>
      <c r="DV59" s="368" t="s">
        <v>286</v>
      </c>
      <c r="DW59" s="369" t="s">
        <v>286</v>
      </c>
      <c r="DX59" s="420" t="s">
        <v>286</v>
      </c>
      <c r="DY59" s="420" t="s">
        <v>286</v>
      </c>
      <c r="DZ59" s="420" t="s">
        <v>286</v>
      </c>
      <c r="EA59" s="369" t="s">
        <v>286</v>
      </c>
      <c r="EB59" s="3">
        <v>1360</v>
      </c>
      <c r="EC59" s="18">
        <v>2.3689665383476458E-2</v>
      </c>
      <c r="ED59" s="13">
        <v>740</v>
      </c>
      <c r="EE59" s="3">
        <v>770</v>
      </c>
      <c r="EF59" s="3">
        <v>785</v>
      </c>
      <c r="EG59" s="3">
        <v>690</v>
      </c>
      <c r="EH59" s="9">
        <v>665</v>
      </c>
      <c r="EI59" s="9">
        <v>605</v>
      </c>
      <c r="EJ59" s="13">
        <v>640</v>
      </c>
      <c r="EK59" s="17">
        <v>8.4936960849369608E-2</v>
      </c>
      <c r="EL59" s="17">
        <v>7.8851732870742153E-2</v>
      </c>
      <c r="EM59" s="17">
        <v>9.1445184213056835E-2</v>
      </c>
      <c r="EN59" s="3">
        <v>745</v>
      </c>
      <c r="EO59" s="17">
        <v>9.7833223900196983E-2</v>
      </c>
      <c r="EP59" s="17">
        <v>9.136192840973352E-2</v>
      </c>
      <c r="EQ59" s="17">
        <v>0.10471006848045021</v>
      </c>
      <c r="ER59" s="3">
        <v>705</v>
      </c>
      <c r="ES59" s="17">
        <v>9.0792015453960082E-2</v>
      </c>
      <c r="ET59" s="17">
        <v>8.4602263171927344E-2</v>
      </c>
      <c r="EU59" s="17">
        <v>9.7386449857533086E-2</v>
      </c>
      <c r="EV59" s="3">
        <v>700</v>
      </c>
      <c r="EW59" s="17">
        <v>8.9743589743589744E-2</v>
      </c>
      <c r="EX59" s="17">
        <v>8.3601036696213937E-2</v>
      </c>
      <c r="EY59" s="17">
        <v>9.6290042104974397E-2</v>
      </c>
      <c r="EZ59" s="3">
        <v>710</v>
      </c>
      <c r="FA59" s="18">
        <v>9.015873015873016E-2</v>
      </c>
      <c r="FB59" s="18">
        <v>8.4031227648310711E-2</v>
      </c>
      <c r="FC59" s="18">
        <v>9.6685882381444196E-2</v>
      </c>
      <c r="FD59" s="337">
        <v>630</v>
      </c>
      <c r="FE59" s="18">
        <v>9.3402520385470714E-2</v>
      </c>
      <c r="FF59" s="18">
        <v>8.6687534079971679E-2</v>
      </c>
      <c r="FG59" s="393">
        <v>0.10058037946226468</v>
      </c>
      <c r="FH59" s="425" t="s">
        <v>286</v>
      </c>
      <c r="FI59" s="258" t="s">
        <v>286</v>
      </c>
      <c r="FJ59" s="258" t="s">
        <v>286</v>
      </c>
      <c r="FK59" s="258" t="s">
        <v>286</v>
      </c>
      <c r="FL59" s="36">
        <v>1975</v>
      </c>
      <c r="FM59" s="18">
        <v>7.9621044144325734E-2</v>
      </c>
      <c r="FN59" s="42">
        <v>2235</v>
      </c>
      <c r="FO59" s="18">
        <v>8.9382123575284939E-2</v>
      </c>
      <c r="FP59" s="42">
        <v>2135</v>
      </c>
      <c r="FQ59" s="18">
        <v>8.4537715303900224E-2</v>
      </c>
      <c r="FR59" s="42">
        <v>2105</v>
      </c>
      <c r="FS59" s="18">
        <v>8.2955665024630545E-2</v>
      </c>
      <c r="FT59" s="42">
        <v>1935</v>
      </c>
      <c r="FU59" s="18">
        <v>7.6001571091908873E-2</v>
      </c>
      <c r="FV59" s="42">
        <v>1845</v>
      </c>
      <c r="FW59" s="393">
        <v>7.2695035460992902E-2</v>
      </c>
      <c r="FX59" s="114" t="s">
        <v>286</v>
      </c>
      <c r="FY59" s="259" t="s">
        <v>286</v>
      </c>
      <c r="FZ59" s="3">
        <v>1479</v>
      </c>
      <c r="GA59" s="3">
        <v>37</v>
      </c>
      <c r="GB59" s="3">
        <v>1442</v>
      </c>
      <c r="GC59" s="17">
        <v>0.9749830966869506</v>
      </c>
      <c r="GD59" s="3">
        <v>703</v>
      </c>
      <c r="GE59" s="3">
        <v>902</v>
      </c>
      <c r="GF59" s="17">
        <v>0.48751733703190014</v>
      </c>
      <c r="GG59" s="17">
        <v>0.62552011095700422</v>
      </c>
      <c r="GH59" s="17">
        <v>0.46178594193552791</v>
      </c>
      <c r="GI59" s="17">
        <v>0.51331506254848824</v>
      </c>
      <c r="GJ59" s="17">
        <v>0.60023713947888135</v>
      </c>
      <c r="GK59" s="93">
        <v>0.65013609320962285</v>
      </c>
      <c r="GL59" s="337">
        <v>1438</v>
      </c>
      <c r="GM59" s="337">
        <v>680</v>
      </c>
      <c r="GN59" s="337">
        <v>270</v>
      </c>
      <c r="GO59" s="337">
        <v>950</v>
      </c>
      <c r="GP59" s="393">
        <v>0.47287899860917942</v>
      </c>
      <c r="GQ59" s="393">
        <v>0.6606397774687065</v>
      </c>
      <c r="GR59" s="393">
        <v>0.44718085295846682</v>
      </c>
      <c r="GS59" s="393">
        <v>0.49872165974650318</v>
      </c>
      <c r="GT59" s="393">
        <v>0.63576798800794965</v>
      </c>
      <c r="GU59" s="93">
        <v>0.68465559058568948</v>
      </c>
      <c r="GV59" s="42">
        <v>1543</v>
      </c>
      <c r="GW59" s="42">
        <v>192</v>
      </c>
      <c r="GX59" s="42">
        <v>1351</v>
      </c>
      <c r="GY59" s="393">
        <f t="shared" si="2"/>
        <v>0.87556707712248871</v>
      </c>
      <c r="GZ59" s="42">
        <v>656</v>
      </c>
      <c r="HA59" s="42">
        <v>215</v>
      </c>
      <c r="HB59" s="42">
        <v>871</v>
      </c>
      <c r="HC59" s="393">
        <v>0.48556624722427832</v>
      </c>
      <c r="HD59" s="393">
        <v>0.64470762398223536</v>
      </c>
      <c r="HE59" s="393">
        <v>0.45899420241850991</v>
      </c>
      <c r="HF59" s="393">
        <v>0.51222014170560104</v>
      </c>
      <c r="HG59" s="393">
        <v>0.61880940142987839</v>
      </c>
      <c r="HH59" s="93">
        <v>0.66978525106941944</v>
      </c>
      <c r="HI59" s="696">
        <v>1529</v>
      </c>
      <c r="HJ59" s="696">
        <v>68</v>
      </c>
      <c r="HK59" s="696">
        <v>1461</v>
      </c>
      <c r="HL59" s="697">
        <v>0.95552648790058858</v>
      </c>
      <c r="HM59" s="696">
        <v>703</v>
      </c>
      <c r="HN59" s="696">
        <v>268</v>
      </c>
      <c r="HO59" s="696">
        <v>971</v>
      </c>
      <c r="HP59" s="697">
        <v>0.48117727583846681</v>
      </c>
      <c r="HQ59" s="697">
        <v>0.66461327857631758</v>
      </c>
      <c r="HR59" s="697">
        <v>0.45563985718448147</v>
      </c>
      <c r="HS59" s="697">
        <v>0.50681341742157793</v>
      </c>
      <c r="HT59" s="697">
        <v>0.64000030186510848</v>
      </c>
      <c r="HU59" s="698">
        <v>0.68836287839826327</v>
      </c>
      <c r="HV59" s="3">
        <v>1206</v>
      </c>
      <c r="HW59" s="3">
        <v>69</v>
      </c>
      <c r="HX59" s="17">
        <v>5.721393034825871E-2</v>
      </c>
      <c r="HY59" s="17">
        <v>4.5457515173171009E-2</v>
      </c>
      <c r="HZ59" s="17">
        <v>7.1782192382359139E-2</v>
      </c>
      <c r="IA59" s="267" t="s">
        <v>708</v>
      </c>
      <c r="IB59" s="3">
        <v>1330</v>
      </c>
      <c r="IC59" s="3">
        <v>79</v>
      </c>
      <c r="ID59" s="17">
        <v>5.9398496240601506E-2</v>
      </c>
      <c r="IE59" s="17">
        <v>4.7919231091123504E-2</v>
      </c>
      <c r="IF59" s="17">
        <v>7.341562302548571E-2</v>
      </c>
      <c r="IG59" s="3" t="s">
        <v>708</v>
      </c>
      <c r="IH59" s="3">
        <v>1348</v>
      </c>
      <c r="II59" s="3">
        <v>69</v>
      </c>
      <c r="IJ59" s="17">
        <v>5.118694362017804E-2</v>
      </c>
      <c r="IK59" s="17">
        <v>4.0645524866629167E-2</v>
      </c>
      <c r="IL59" s="17">
        <v>6.4279100647099616E-2</v>
      </c>
      <c r="IM59" s="3" t="s">
        <v>708</v>
      </c>
      <c r="IN59" s="3">
        <v>1303</v>
      </c>
      <c r="IO59" s="3">
        <v>90</v>
      </c>
      <c r="IP59" s="17">
        <v>6.9071373752877974E-2</v>
      </c>
      <c r="IQ59" s="17">
        <v>5.653171765493481E-2</v>
      </c>
      <c r="IR59" s="17">
        <v>8.4144458158001506E-2</v>
      </c>
      <c r="IS59" s="3" t="s">
        <v>708</v>
      </c>
      <c r="IT59" s="3">
        <v>923</v>
      </c>
      <c r="IU59" s="3">
        <v>52</v>
      </c>
      <c r="IV59" s="17">
        <v>5.6338028169014086E-2</v>
      </c>
      <c r="IW59" s="17">
        <v>4.3219284837576449E-2</v>
      </c>
      <c r="IX59" s="17">
        <v>7.3134442970317209E-2</v>
      </c>
      <c r="IY59" s="9" t="s">
        <v>708</v>
      </c>
      <c r="IZ59" s="9">
        <v>1359</v>
      </c>
      <c r="JA59" s="9">
        <v>81</v>
      </c>
      <c r="JB59" s="393">
        <v>5.9602649006622516E-2</v>
      </c>
      <c r="JC59" s="393">
        <v>4.8213471990640556E-2</v>
      </c>
      <c r="JD59" s="393">
        <v>7.3474533424311761E-2</v>
      </c>
      <c r="JE59" s="9" t="str">
        <f t="shared" si="5"/>
        <v>Sig better than Eng.</v>
      </c>
      <c r="JF59" s="9">
        <v>1535</v>
      </c>
      <c r="JG59" s="109">
        <v>91</v>
      </c>
      <c r="JH59" s="258">
        <v>5.9283387622149838E-2</v>
      </c>
      <c r="JI59" s="258">
        <v>4.8533331255978994E-2</v>
      </c>
      <c r="JJ59" s="258">
        <v>7.2233793749293174E-2</v>
      </c>
      <c r="JK59" s="662" t="str">
        <f t="shared" si="3"/>
        <v>Sig better than Eng.</v>
      </c>
      <c r="JL59" s="3">
        <v>1204</v>
      </c>
      <c r="JM59" s="3">
        <v>172</v>
      </c>
      <c r="JN59" s="17">
        <v>0.14285714285714285</v>
      </c>
      <c r="JO59" s="17">
        <v>0.1242260956758479</v>
      </c>
      <c r="JP59" s="17">
        <v>0.16375992788747454</v>
      </c>
      <c r="JQ59" s="3" t="s">
        <v>708</v>
      </c>
      <c r="JR59" s="3">
        <v>1143</v>
      </c>
      <c r="JS59" s="3">
        <v>142</v>
      </c>
      <c r="JT59" s="17">
        <v>0.1242344706911636</v>
      </c>
      <c r="JU59" s="17">
        <v>0.10636144655299956</v>
      </c>
      <c r="JV59" s="17">
        <v>0.14462482239186727</v>
      </c>
      <c r="JW59" s="3" t="s">
        <v>708</v>
      </c>
      <c r="JX59" s="3">
        <v>1187</v>
      </c>
      <c r="JY59" s="3">
        <v>158</v>
      </c>
      <c r="JZ59" s="17">
        <v>0.13310867733782644</v>
      </c>
      <c r="KA59" s="17">
        <v>0.11496263618686223</v>
      </c>
      <c r="KB59" s="17">
        <v>0.15362178069885599</v>
      </c>
      <c r="KC59" s="3" t="s">
        <v>708</v>
      </c>
      <c r="KD59" s="3">
        <v>1154</v>
      </c>
      <c r="KE59" s="3">
        <v>133</v>
      </c>
      <c r="KF59" s="17">
        <v>0.11525129982668977</v>
      </c>
      <c r="KG59" s="17">
        <v>9.8090404106502271E-2</v>
      </c>
      <c r="KH59" s="17">
        <v>0.13496521569790343</v>
      </c>
      <c r="KI59" s="3" t="s">
        <v>708</v>
      </c>
      <c r="KJ59" s="3">
        <v>1210</v>
      </c>
      <c r="KK59" s="3">
        <v>137</v>
      </c>
      <c r="KL59" s="17">
        <v>0.11322314049586776</v>
      </c>
      <c r="KM59" s="17">
        <v>9.6579694778422029E-2</v>
      </c>
      <c r="KN59" s="17">
        <v>0.13231466107150142</v>
      </c>
      <c r="KO59" s="9" t="s">
        <v>708</v>
      </c>
      <c r="KP59" s="9">
        <v>1250</v>
      </c>
      <c r="KQ59" s="9">
        <v>149</v>
      </c>
      <c r="KR59" s="393">
        <v>0.1192</v>
      </c>
      <c r="KS59" s="393">
        <v>0.10239368062052333</v>
      </c>
      <c r="KT59" s="393">
        <v>0.13833967262542246</v>
      </c>
      <c r="KU59" s="9" t="s">
        <v>708</v>
      </c>
      <c r="KV59" s="9">
        <v>1226</v>
      </c>
      <c r="KW59" s="9">
        <v>144</v>
      </c>
      <c r="KX59" s="393">
        <v>0.11745513866231648</v>
      </c>
      <c r="KY59" s="393">
        <v>0.10061639392025708</v>
      </c>
      <c r="KZ59" s="393">
        <v>0.13668367165123824</v>
      </c>
      <c r="LA59" s="662" t="str">
        <f t="shared" si="4"/>
        <v>Sig better than Eng.</v>
      </c>
      <c r="LB59" s="3">
        <v>1637</v>
      </c>
      <c r="LC59" s="3">
        <v>947</v>
      </c>
      <c r="LD59" s="17">
        <v>0.57849725106902872</v>
      </c>
      <c r="LE59" s="17">
        <v>0.55442004800520173</v>
      </c>
      <c r="LF59" s="17">
        <v>0.60220690618250572</v>
      </c>
      <c r="LG59" s="3">
        <v>1637</v>
      </c>
      <c r="LH59" s="3">
        <v>34</v>
      </c>
      <c r="LI59" s="3">
        <v>327</v>
      </c>
      <c r="LJ59" s="293">
        <v>25.431192660550472</v>
      </c>
      <c r="LK59" s="17">
        <v>0.25202374527792726</v>
      </c>
      <c r="LL59" s="3">
        <v>1614</v>
      </c>
      <c r="LM59" s="3">
        <v>1025</v>
      </c>
      <c r="LN59" s="17">
        <v>0.63506815365551428</v>
      </c>
      <c r="LO59" s="17">
        <v>0.61128697123654441</v>
      </c>
      <c r="LP59" s="17">
        <v>0.65820791506573717</v>
      </c>
      <c r="LQ59" s="3">
        <v>1614</v>
      </c>
      <c r="LR59" s="3">
        <v>34</v>
      </c>
      <c r="LS59" s="3">
        <v>320</v>
      </c>
      <c r="LT59" s="293">
        <v>26.740624999999991</v>
      </c>
      <c r="LU59" s="18">
        <v>0.21351102941176497</v>
      </c>
      <c r="LV59" s="42">
        <v>1729</v>
      </c>
      <c r="LW59" s="42">
        <v>1190</v>
      </c>
      <c r="LX59" s="18">
        <v>0.68825910931174084</v>
      </c>
      <c r="LY59" s="18">
        <v>0.66602848238634826</v>
      </c>
      <c r="LZ59" s="18">
        <v>0.70965504981806127</v>
      </c>
      <c r="MA59" s="337">
        <v>34</v>
      </c>
      <c r="MB59" s="337">
        <v>345</v>
      </c>
      <c r="MC59" s="294">
        <v>26.3</v>
      </c>
      <c r="MD59" s="393">
        <v>0.22600000000000001</v>
      </c>
      <c r="ME59" s="337">
        <v>1752</v>
      </c>
      <c r="MF59" s="337">
        <v>1214</v>
      </c>
      <c r="MG59" s="393">
        <v>0.69292237442922378</v>
      </c>
      <c r="MH59" s="393">
        <v>0.67092012356807706</v>
      </c>
      <c r="MI59" s="393">
        <v>0.71408046780310153</v>
      </c>
      <c r="MJ59" s="337">
        <v>34</v>
      </c>
      <c r="MK59" s="337">
        <v>350</v>
      </c>
      <c r="ML59" s="294">
        <v>27.1</v>
      </c>
      <c r="MM59" s="93">
        <v>0.20294117647058818</v>
      </c>
      <c r="MN59" s="17"/>
      <c r="MO59" s="17"/>
      <c r="MP59" s="17"/>
      <c r="MQ59" s="17"/>
      <c r="MR59" s="17"/>
      <c r="MS59" s="17"/>
      <c r="MT59" s="17"/>
      <c r="MU59" s="17"/>
      <c r="MV59" s="17"/>
      <c r="MW59" s="17"/>
      <c r="MX59" s="17"/>
      <c r="MY59" s="17"/>
      <c r="MZ59" s="17"/>
      <c r="NA59" s="17"/>
      <c r="NB59" s="17"/>
      <c r="NC59" s="93"/>
      <c r="ND59" s="337">
        <v>55</v>
      </c>
      <c r="NE59" s="337">
        <v>823</v>
      </c>
      <c r="NF59" s="393">
        <v>6.6828675577156743E-2</v>
      </c>
      <c r="NG59" s="393">
        <v>5.170105847217684E-2</v>
      </c>
      <c r="NH59" s="393">
        <v>8.5981271805581239E-2</v>
      </c>
      <c r="NI59" s="337">
        <v>43</v>
      </c>
      <c r="NJ59" s="337">
        <v>823</v>
      </c>
      <c r="NK59" s="393">
        <v>5.2247873633049821E-2</v>
      </c>
      <c r="NL59" s="393">
        <v>3.9018455733918607E-2</v>
      </c>
      <c r="NM59" s="393">
        <v>6.9637753823876228E-2</v>
      </c>
      <c r="NN59" s="337">
        <v>50</v>
      </c>
      <c r="NO59" s="337">
        <v>818</v>
      </c>
      <c r="NP59" s="393">
        <v>6.1124694376528114E-2</v>
      </c>
      <c r="NQ59" s="393">
        <v>4.6669911343793682E-2</v>
      </c>
      <c r="NR59" s="393">
        <v>7.9682267298668577E-2</v>
      </c>
      <c r="NS59" s="337">
        <v>112</v>
      </c>
      <c r="NT59" s="337">
        <v>814</v>
      </c>
      <c r="NU59" s="393">
        <v>0.13759213759213759</v>
      </c>
      <c r="NV59" s="393">
        <v>0.11562469537313362</v>
      </c>
      <c r="NW59" s="93">
        <v>0.16296409022014693</v>
      </c>
      <c r="NX59" s="3">
        <v>397</v>
      </c>
      <c r="NY59" s="3">
        <v>380</v>
      </c>
      <c r="NZ59" s="3">
        <v>381</v>
      </c>
      <c r="OA59" s="3">
        <v>383</v>
      </c>
      <c r="OB59" s="3">
        <v>381</v>
      </c>
      <c r="OC59" s="3">
        <v>441</v>
      </c>
      <c r="OD59" s="3">
        <v>409</v>
      </c>
      <c r="OE59" s="3">
        <v>410</v>
      </c>
      <c r="OF59" s="3">
        <v>403</v>
      </c>
      <c r="OG59" s="3">
        <v>413</v>
      </c>
      <c r="OH59" s="3">
        <v>421</v>
      </c>
      <c r="OI59" s="3">
        <v>411</v>
      </c>
      <c r="OJ59" s="3">
        <v>422</v>
      </c>
      <c r="OK59" s="3">
        <v>492</v>
      </c>
      <c r="OL59" s="3">
        <v>456</v>
      </c>
      <c r="OM59" s="3">
        <v>453</v>
      </c>
      <c r="ON59" s="3">
        <v>440</v>
      </c>
      <c r="OO59" s="3">
        <v>455</v>
      </c>
      <c r="OP59" s="3">
        <v>457</v>
      </c>
      <c r="OQ59" s="3">
        <v>430</v>
      </c>
      <c r="OR59" s="3">
        <v>463</v>
      </c>
      <c r="OS59" s="3">
        <v>453</v>
      </c>
      <c r="OT59" s="6">
        <v>460</v>
      </c>
      <c r="OU59" s="3">
        <v>1641</v>
      </c>
      <c r="OV59" s="22">
        <v>0.96199999999999997</v>
      </c>
      <c r="OW59" s="22">
        <v>1.2999999999999999E-2</v>
      </c>
      <c r="OX59" s="22">
        <v>0.96199999999999997</v>
      </c>
      <c r="OY59" s="3">
        <v>1579</v>
      </c>
      <c r="OZ59" s="3">
        <v>22</v>
      </c>
      <c r="PA59" s="3">
        <v>1579</v>
      </c>
      <c r="PB59" s="3">
        <v>1648</v>
      </c>
      <c r="PC59" s="22">
        <v>0.95599999999999996</v>
      </c>
      <c r="PD59" s="22">
        <v>0.91700000000000004</v>
      </c>
      <c r="PE59" s="22">
        <v>0.94099999999999995</v>
      </c>
      <c r="PF59" s="22">
        <v>0.92200000000000004</v>
      </c>
      <c r="PG59" s="22">
        <v>0.92100000000000004</v>
      </c>
      <c r="PH59" s="3">
        <v>1575</v>
      </c>
      <c r="PI59" s="3">
        <v>1512</v>
      </c>
      <c r="PJ59" s="3">
        <v>1551</v>
      </c>
      <c r="PK59" s="3">
        <v>1519</v>
      </c>
      <c r="PL59" s="3">
        <v>1517</v>
      </c>
      <c r="PM59" s="3">
        <v>1832</v>
      </c>
      <c r="PN59" s="22">
        <v>0.95299999999999996</v>
      </c>
      <c r="PO59" s="22">
        <v>0.89500000000000002</v>
      </c>
      <c r="PP59" s="22">
        <v>0.95299999999999996</v>
      </c>
      <c r="PQ59" s="22">
        <v>0.95199999999999996</v>
      </c>
      <c r="PR59" s="22">
        <v>0.94499999999999995</v>
      </c>
      <c r="PS59" s="22">
        <v>0.871</v>
      </c>
      <c r="PT59" s="22">
        <v>0.93400000000000005</v>
      </c>
      <c r="PU59" s="22">
        <v>0.90900000000000003</v>
      </c>
      <c r="PV59" s="22">
        <v>0.94799999999999995</v>
      </c>
      <c r="PW59" s="22">
        <v>0.90700000000000003</v>
      </c>
      <c r="PX59" s="3">
        <v>1746</v>
      </c>
      <c r="PY59" s="3">
        <v>1640</v>
      </c>
      <c r="PZ59" s="3">
        <v>1746</v>
      </c>
      <c r="QA59" s="3">
        <v>1744</v>
      </c>
      <c r="QB59" s="3">
        <v>1732</v>
      </c>
      <c r="QC59" s="3">
        <v>1596</v>
      </c>
      <c r="QD59" s="3">
        <v>1712</v>
      </c>
      <c r="QE59" s="3">
        <v>1666</v>
      </c>
      <c r="QF59" s="3">
        <v>1737</v>
      </c>
      <c r="QG59" s="6">
        <v>1661</v>
      </c>
      <c r="QH59" s="37">
        <v>1607</v>
      </c>
      <c r="QI59" s="17">
        <v>0.94399502177971373</v>
      </c>
      <c r="QJ59" s="17">
        <v>0.24517734909769756</v>
      </c>
      <c r="QK59" s="17">
        <v>0.94212818917237084</v>
      </c>
      <c r="QL59" s="37">
        <v>1517</v>
      </c>
      <c r="QM59" s="37">
        <v>394</v>
      </c>
      <c r="QN59" s="37">
        <v>1514</v>
      </c>
      <c r="QO59" s="37">
        <v>1731</v>
      </c>
      <c r="QP59" s="17">
        <v>0.95609474292316576</v>
      </c>
      <c r="QQ59" s="17">
        <v>0.86481802426343157</v>
      </c>
      <c r="QR59" s="17">
        <v>0.72848064702484117</v>
      </c>
      <c r="QS59" s="17">
        <v>0.86250722125938761</v>
      </c>
      <c r="QT59" s="17">
        <v>0.66262276140958987</v>
      </c>
      <c r="QU59" s="37">
        <v>1655</v>
      </c>
      <c r="QV59" s="37">
        <v>1497</v>
      </c>
      <c r="QW59" s="37">
        <v>1261</v>
      </c>
      <c r="QX59" s="37">
        <v>1493</v>
      </c>
      <c r="QY59" s="37">
        <v>1147</v>
      </c>
      <c r="QZ59" s="3">
        <v>1936</v>
      </c>
      <c r="RA59" s="17">
        <v>0.94886363636363635</v>
      </c>
      <c r="RB59" s="17">
        <v>0.86260330578512401</v>
      </c>
      <c r="RC59" s="17">
        <v>0.94783057851239672</v>
      </c>
      <c r="RD59" s="17">
        <v>0.94783057851239672</v>
      </c>
      <c r="RE59" s="17">
        <v>0.69834710743801653</v>
      </c>
      <c r="RF59" s="17">
        <v>0.90340909090909094</v>
      </c>
      <c r="RG59" s="17">
        <v>0.92820247933884292</v>
      </c>
      <c r="RH59" s="17">
        <v>0.88791322314049592</v>
      </c>
      <c r="RI59" s="17">
        <v>0.70712809917355368</v>
      </c>
      <c r="RJ59" s="17">
        <v>0.66683884297520657</v>
      </c>
      <c r="RK59" s="37">
        <v>1837</v>
      </c>
      <c r="RL59" s="37">
        <v>1670</v>
      </c>
      <c r="RM59" s="37">
        <v>1835</v>
      </c>
      <c r="RN59" s="37">
        <v>1835</v>
      </c>
      <c r="RO59" s="37">
        <v>1352</v>
      </c>
      <c r="RP59" s="37">
        <v>1749</v>
      </c>
      <c r="RQ59" s="37">
        <v>1797</v>
      </c>
      <c r="RR59" s="37">
        <v>1719</v>
      </c>
      <c r="RS59" s="37">
        <v>1369</v>
      </c>
      <c r="RT59" s="38">
        <v>1291</v>
      </c>
    </row>
    <row r="60" spans="1:488" s="4" customFormat="1" ht="12.75" x14ac:dyDescent="0.2">
      <c r="A60" s="4" t="s">
        <v>122</v>
      </c>
      <c r="B60" s="7">
        <v>12</v>
      </c>
      <c r="C60" s="4" t="s">
        <v>286</v>
      </c>
      <c r="D60" s="4" t="s">
        <v>286</v>
      </c>
      <c r="E60" s="4" t="s">
        <v>286</v>
      </c>
      <c r="F60" s="4" t="s">
        <v>286</v>
      </c>
      <c r="G60" s="4" t="s">
        <v>286</v>
      </c>
      <c r="H60" s="4" t="s">
        <v>81</v>
      </c>
      <c r="I60" s="4" t="s">
        <v>81</v>
      </c>
      <c r="J60" s="4" t="s">
        <v>268</v>
      </c>
      <c r="K60" s="4" t="s">
        <v>286</v>
      </c>
      <c r="L60" s="4" t="s">
        <v>286</v>
      </c>
      <c r="M60" s="4" t="s">
        <v>286</v>
      </c>
      <c r="N60" s="4" t="s">
        <v>810</v>
      </c>
      <c r="O60" s="110" t="s">
        <v>286</v>
      </c>
      <c r="P60" s="110" t="s">
        <v>286</v>
      </c>
      <c r="Q60" s="110" t="s">
        <v>286</v>
      </c>
      <c r="R60" s="110" t="s">
        <v>286</v>
      </c>
      <c r="S60" s="110" t="s">
        <v>286</v>
      </c>
      <c r="T60" s="39">
        <v>106970</v>
      </c>
      <c r="U60" s="40">
        <v>107615</v>
      </c>
      <c r="V60" s="40">
        <v>108555</v>
      </c>
      <c r="W60" s="40">
        <v>109370</v>
      </c>
      <c r="X60" s="40">
        <v>109795</v>
      </c>
      <c r="Y60" s="40">
        <v>110865</v>
      </c>
      <c r="Z60" s="40">
        <v>112025</v>
      </c>
      <c r="AA60" s="40">
        <v>112725</v>
      </c>
      <c r="AB60" s="40">
        <v>113170</v>
      </c>
      <c r="AC60" s="40">
        <v>113925</v>
      </c>
      <c r="AD60" s="40">
        <v>114894</v>
      </c>
      <c r="AE60" s="39">
        <v>5620</v>
      </c>
      <c r="AF60" s="40">
        <v>5730</v>
      </c>
      <c r="AG60" s="40">
        <v>5915</v>
      </c>
      <c r="AH60" s="40">
        <v>6175</v>
      </c>
      <c r="AI60" s="40">
        <v>6205</v>
      </c>
      <c r="AJ60" s="40">
        <v>6365</v>
      </c>
      <c r="AK60" s="40">
        <v>6570</v>
      </c>
      <c r="AL60" s="40">
        <v>6540</v>
      </c>
      <c r="AM60" s="40">
        <v>6395</v>
      </c>
      <c r="AN60" s="40">
        <v>6250</v>
      </c>
      <c r="AO60" s="40">
        <v>6299</v>
      </c>
      <c r="AP60" s="14">
        <v>6573</v>
      </c>
      <c r="AQ60" s="4">
        <v>5577</v>
      </c>
      <c r="AR60" s="4">
        <v>215</v>
      </c>
      <c r="AS60" s="4">
        <v>411</v>
      </c>
      <c r="AT60" s="4">
        <v>291</v>
      </c>
      <c r="AU60" s="4">
        <v>52</v>
      </c>
      <c r="AV60" s="4">
        <v>27</v>
      </c>
      <c r="AW60" s="4">
        <v>996</v>
      </c>
      <c r="AX60" s="19">
        <v>0.84847101780009127</v>
      </c>
      <c r="AY60" s="20">
        <v>3.2709569450783509E-2</v>
      </c>
      <c r="AZ60" s="20">
        <v>6.2528525787311731E-2</v>
      </c>
      <c r="BA60" s="20">
        <v>4.4272021907804653E-2</v>
      </c>
      <c r="BB60" s="20">
        <v>7.9111516811197317E-3</v>
      </c>
      <c r="BC60" s="20">
        <v>4.1077133728890918E-3</v>
      </c>
      <c r="BD60" s="20">
        <v>0.15152898219990873</v>
      </c>
      <c r="BE60" s="14">
        <v>15545</v>
      </c>
      <c r="BF60" s="4">
        <v>15138</v>
      </c>
      <c r="BG60" s="4">
        <v>407</v>
      </c>
      <c r="BH60" s="4">
        <v>335</v>
      </c>
      <c r="BI60" s="4">
        <v>72</v>
      </c>
      <c r="BJ60" s="20">
        <v>0.82309582309582308</v>
      </c>
      <c r="BK60" s="20">
        <v>0.1769041769041769</v>
      </c>
      <c r="BL60" s="39">
        <v>12349</v>
      </c>
      <c r="BM60" s="20">
        <v>0.63632682808324559</v>
      </c>
      <c r="BN60" s="20">
        <v>0.12438254109644506</v>
      </c>
      <c r="BO60" s="20">
        <v>0.23929063082030932</v>
      </c>
      <c r="BP60" s="39">
        <v>31508</v>
      </c>
      <c r="BQ60" s="40">
        <v>2106</v>
      </c>
      <c r="BR60" s="40">
        <v>2016</v>
      </c>
      <c r="BS60" s="40">
        <v>959</v>
      </c>
      <c r="BT60" s="40">
        <v>22122</v>
      </c>
      <c r="BU60" s="40">
        <v>12626</v>
      </c>
      <c r="BV60" s="20">
        <v>0.14169174718834152</v>
      </c>
      <c r="BW60" s="39">
        <v>6958</v>
      </c>
      <c r="BX60" s="40">
        <v>11</v>
      </c>
      <c r="BY60" s="40">
        <v>1832</v>
      </c>
      <c r="BZ60" s="40">
        <v>2901</v>
      </c>
      <c r="CA60" s="40">
        <v>986</v>
      </c>
      <c r="CB60" s="41">
        <v>12688</v>
      </c>
      <c r="CC60" s="40">
        <v>5133</v>
      </c>
      <c r="CD60" s="40">
        <v>4143</v>
      </c>
      <c r="CE60" s="40">
        <v>979</v>
      </c>
      <c r="CF60" s="40">
        <v>990</v>
      </c>
      <c r="CG60" s="20">
        <v>0.19072667056302356</v>
      </c>
      <c r="CH60" s="94">
        <v>0.19286966686148452</v>
      </c>
      <c r="CI60" s="40">
        <v>830</v>
      </c>
      <c r="CJ60" s="40">
        <v>750</v>
      </c>
      <c r="CK60" s="40">
        <v>585</v>
      </c>
      <c r="CL60" s="40">
        <v>595</v>
      </c>
      <c r="CM60" s="40">
        <v>550</v>
      </c>
      <c r="CN60" s="41">
        <v>520</v>
      </c>
      <c r="CO60" s="39">
        <v>2898</v>
      </c>
      <c r="CP60" s="40">
        <v>1015</v>
      </c>
      <c r="CQ60" s="20">
        <v>0.35024154589371981</v>
      </c>
      <c r="CR60" s="41">
        <v>295</v>
      </c>
      <c r="CS60" s="64">
        <v>1245</v>
      </c>
      <c r="CT60" s="64">
        <v>1186</v>
      </c>
      <c r="CU60" s="64">
        <v>1285</v>
      </c>
      <c r="CV60" s="64">
        <v>1197</v>
      </c>
      <c r="CW60" s="64">
        <v>1141</v>
      </c>
      <c r="CX60" s="529" t="s">
        <v>471</v>
      </c>
      <c r="CY60" s="569">
        <v>1203</v>
      </c>
      <c r="CZ60" s="40">
        <v>71</v>
      </c>
      <c r="DA60" s="40">
        <v>66</v>
      </c>
      <c r="DB60" s="40">
        <v>51</v>
      </c>
      <c r="DC60" s="40">
        <v>53</v>
      </c>
      <c r="DD60" s="40">
        <v>46</v>
      </c>
      <c r="DE60" s="535" t="s">
        <v>471</v>
      </c>
      <c r="DF60" s="717">
        <v>33</v>
      </c>
      <c r="DG60" s="14">
        <v>99</v>
      </c>
      <c r="DH60" s="14">
        <v>70</v>
      </c>
      <c r="DI60" s="20">
        <v>6.1349693251533742E-2</v>
      </c>
      <c r="DJ60" s="20">
        <v>4.8843255749594285E-2</v>
      </c>
      <c r="DK60" s="20">
        <v>7.6799869516733704E-2</v>
      </c>
      <c r="DL60" s="426" t="s">
        <v>286</v>
      </c>
      <c r="DM60" s="260" t="s">
        <v>286</v>
      </c>
      <c r="DN60" s="260" t="s">
        <v>286</v>
      </c>
      <c r="DO60" s="260" t="s">
        <v>286</v>
      </c>
      <c r="DP60" s="338">
        <v>89</v>
      </c>
      <c r="DQ60" s="20">
        <v>7.3981712385702406E-2</v>
      </c>
      <c r="DR60" s="20">
        <v>6.0508535329694003E-2</v>
      </c>
      <c r="DS60" s="20">
        <v>9.0166980075939027E-2</v>
      </c>
      <c r="DT60" s="14">
        <v>120</v>
      </c>
      <c r="DU60" s="20">
        <v>1.827875095201828E-2</v>
      </c>
      <c r="DV60" s="370" t="s">
        <v>286</v>
      </c>
      <c r="DW60" s="371" t="s">
        <v>286</v>
      </c>
      <c r="DX60" s="421" t="s">
        <v>286</v>
      </c>
      <c r="DY60" s="421" t="s">
        <v>286</v>
      </c>
      <c r="DZ60" s="421" t="s">
        <v>286</v>
      </c>
      <c r="EA60" s="371" t="s">
        <v>286</v>
      </c>
      <c r="EB60" s="4">
        <v>2423</v>
      </c>
      <c r="EC60" s="20">
        <v>4.8062046256992105E-2</v>
      </c>
      <c r="ED60" s="14">
        <v>1110</v>
      </c>
      <c r="EE60" s="4">
        <v>1095</v>
      </c>
      <c r="EF60" s="4">
        <v>1100</v>
      </c>
      <c r="EG60" s="4">
        <v>985</v>
      </c>
      <c r="EH60" s="4">
        <v>900</v>
      </c>
      <c r="EI60" s="7">
        <v>870</v>
      </c>
      <c r="EJ60" s="14">
        <v>925</v>
      </c>
      <c r="EK60" s="20">
        <v>0.15625</v>
      </c>
      <c r="EL60" s="20">
        <v>0.14722402635582668</v>
      </c>
      <c r="EM60" s="20">
        <v>0.1657217997111918</v>
      </c>
      <c r="EN60" s="4">
        <v>1095</v>
      </c>
      <c r="EO60" s="20">
        <v>0.18129139072847683</v>
      </c>
      <c r="EP60" s="20">
        <v>0.17177904083132728</v>
      </c>
      <c r="EQ60" s="20">
        <v>0.19120888229145563</v>
      </c>
      <c r="ER60" s="4">
        <v>1070</v>
      </c>
      <c r="ES60" s="20">
        <v>0.17412530512611879</v>
      </c>
      <c r="ET60" s="20">
        <v>0.16484821076045011</v>
      </c>
      <c r="EU60" s="20">
        <v>0.18380957675581289</v>
      </c>
      <c r="EV60" s="4">
        <v>1055</v>
      </c>
      <c r="EW60" s="20">
        <v>0.16746031746031745</v>
      </c>
      <c r="EX60" s="20">
        <v>0.15844343117329812</v>
      </c>
      <c r="EY60" s="20">
        <v>0.17688249233369091</v>
      </c>
      <c r="EZ60" s="4">
        <v>935</v>
      </c>
      <c r="FA60" s="20">
        <v>0.14900398406374502</v>
      </c>
      <c r="FB60" s="20">
        <v>0.14040823672736014</v>
      </c>
      <c r="FC60" s="20">
        <v>0.15802921723769714</v>
      </c>
      <c r="FD60" s="338">
        <v>940</v>
      </c>
      <c r="FE60" s="20">
        <v>0.15945716709075489</v>
      </c>
      <c r="FF60" s="20">
        <v>0.15033372774432044</v>
      </c>
      <c r="FG60" s="20">
        <v>0.1690241448094055</v>
      </c>
      <c r="FH60" s="426" t="s">
        <v>286</v>
      </c>
      <c r="FI60" s="260" t="s">
        <v>286</v>
      </c>
      <c r="FJ60" s="260" t="s">
        <v>286</v>
      </c>
      <c r="FK60" s="260" t="s">
        <v>286</v>
      </c>
      <c r="FL60" s="39">
        <v>2710</v>
      </c>
      <c r="FM60" s="20">
        <v>0.14565976887933352</v>
      </c>
      <c r="FN60" s="40">
        <v>2995</v>
      </c>
      <c r="FO60" s="20">
        <v>0.15901247677196709</v>
      </c>
      <c r="FP60" s="40">
        <v>2895</v>
      </c>
      <c r="FQ60" s="20">
        <v>0.15256916996047432</v>
      </c>
      <c r="FR60" s="40">
        <v>2855</v>
      </c>
      <c r="FS60" s="20">
        <v>0.14916405433646812</v>
      </c>
      <c r="FT60" s="40">
        <v>2545</v>
      </c>
      <c r="FU60" s="20">
        <v>0.13231089160384715</v>
      </c>
      <c r="FV60" s="40">
        <v>2515</v>
      </c>
      <c r="FW60" s="20">
        <v>0.13136589187777487</v>
      </c>
      <c r="FX60" s="64" t="s">
        <v>286</v>
      </c>
      <c r="FY60" s="261" t="s">
        <v>286</v>
      </c>
      <c r="FZ60" s="4">
        <v>1193</v>
      </c>
      <c r="GA60" s="4">
        <v>54</v>
      </c>
      <c r="GB60" s="4">
        <v>1139</v>
      </c>
      <c r="GC60" s="20">
        <v>0.95473595976529757</v>
      </c>
      <c r="GD60" s="4">
        <v>471</v>
      </c>
      <c r="GE60" s="4">
        <v>617</v>
      </c>
      <c r="GF60" s="20">
        <v>0.41352063213345042</v>
      </c>
      <c r="GG60" s="20">
        <v>0.54170324846356455</v>
      </c>
      <c r="GH60" s="20">
        <v>0.3852582632790188</v>
      </c>
      <c r="GI60" s="20">
        <v>0.44236437109470655</v>
      </c>
      <c r="GJ60" s="20">
        <v>0.51267528026756404</v>
      </c>
      <c r="GK60" s="94">
        <v>0.57045086051668015</v>
      </c>
      <c r="GL60" s="338">
        <v>1031</v>
      </c>
      <c r="GM60" s="338">
        <v>424</v>
      </c>
      <c r="GN60" s="338">
        <v>157</v>
      </c>
      <c r="GO60" s="338">
        <v>581</v>
      </c>
      <c r="GP60" s="20">
        <v>0.41125121241513096</v>
      </c>
      <c r="GQ60" s="20">
        <v>0.56353055286129972</v>
      </c>
      <c r="GR60" s="20">
        <v>0.38159897568673273</v>
      </c>
      <c r="GS60" s="20">
        <v>0.44156234198163086</v>
      </c>
      <c r="GT60" s="20">
        <v>0.53307711281828196</v>
      </c>
      <c r="GU60" s="94">
        <v>0.59351232644644136</v>
      </c>
      <c r="GV60" s="40">
        <v>1213</v>
      </c>
      <c r="GW60" s="40">
        <v>286</v>
      </c>
      <c r="GX60" s="40">
        <v>927</v>
      </c>
      <c r="GY60" s="20">
        <f t="shared" si="2"/>
        <v>0.76422093981863148</v>
      </c>
      <c r="GZ60" s="40">
        <v>403</v>
      </c>
      <c r="HA60" s="40">
        <v>118</v>
      </c>
      <c r="HB60" s="40">
        <v>521</v>
      </c>
      <c r="HC60" s="20">
        <v>0.43473570658036675</v>
      </c>
      <c r="HD60" s="20">
        <v>0.56202804746494062</v>
      </c>
      <c r="HE60" s="20">
        <v>0.40315836124702709</v>
      </c>
      <c r="HF60" s="20">
        <v>0.46685172602036012</v>
      </c>
      <c r="HG60" s="20">
        <v>0.52989881349589618</v>
      </c>
      <c r="HH60" s="94">
        <v>0.59364531844005797</v>
      </c>
      <c r="HI60" s="699">
        <v>1165</v>
      </c>
      <c r="HJ60" s="699">
        <v>131</v>
      </c>
      <c r="HK60" s="699">
        <v>1034</v>
      </c>
      <c r="HL60" s="700">
        <v>0.88755364806866954</v>
      </c>
      <c r="HM60" s="699">
        <v>426</v>
      </c>
      <c r="HN60" s="699">
        <v>154</v>
      </c>
      <c r="HO60" s="699">
        <v>580</v>
      </c>
      <c r="HP60" s="700">
        <v>0.41199226305609282</v>
      </c>
      <c r="HQ60" s="700">
        <v>0.56092843326885877</v>
      </c>
      <c r="HR60" s="700">
        <v>0.38237163436624527</v>
      </c>
      <c r="HS60" s="700">
        <v>0.44226439413968116</v>
      </c>
      <c r="HT60" s="700">
        <v>0.53050923083171719</v>
      </c>
      <c r="HU60" s="701">
        <v>0.59089659558725682</v>
      </c>
      <c r="HV60" s="4">
        <v>829</v>
      </c>
      <c r="HW60" s="4">
        <v>68</v>
      </c>
      <c r="HX60" s="20">
        <v>8.2026537997587454E-2</v>
      </c>
      <c r="HY60" s="20">
        <v>6.5218698302625541E-2</v>
      </c>
      <c r="HZ60" s="20">
        <v>0.10269016038785084</v>
      </c>
      <c r="IA60" s="266" t="s">
        <v>707</v>
      </c>
      <c r="IB60" s="4">
        <v>1066</v>
      </c>
      <c r="IC60" s="4">
        <v>86</v>
      </c>
      <c r="ID60" s="20">
        <v>8.0675422138836772E-2</v>
      </c>
      <c r="IE60" s="20">
        <v>6.5792774479139837E-2</v>
      </c>
      <c r="IF60" s="20">
        <v>9.856939093416113E-2</v>
      </c>
      <c r="IG60" s="4" t="s">
        <v>707</v>
      </c>
      <c r="IH60" s="4">
        <v>1024</v>
      </c>
      <c r="II60" s="4">
        <v>76</v>
      </c>
      <c r="IJ60" s="20">
        <v>7.421875E-2</v>
      </c>
      <c r="IK60" s="20">
        <v>5.9706323437482188E-2</v>
      </c>
      <c r="IL60" s="20">
        <v>9.1913809690345377E-2</v>
      </c>
      <c r="IM60" s="4" t="s">
        <v>708</v>
      </c>
      <c r="IN60" s="4">
        <v>1216</v>
      </c>
      <c r="IO60" s="4">
        <v>109</v>
      </c>
      <c r="IP60" s="20">
        <v>8.9638157894736836E-2</v>
      </c>
      <c r="IQ60" s="20">
        <v>7.484783954991038E-2</v>
      </c>
      <c r="IR60" s="20">
        <v>0.10701305492662574</v>
      </c>
      <c r="IS60" s="4" t="s">
        <v>707</v>
      </c>
      <c r="IT60" s="4">
        <v>736</v>
      </c>
      <c r="IU60" s="4">
        <v>61</v>
      </c>
      <c r="IV60" s="20">
        <v>8.2880434782608689E-2</v>
      </c>
      <c r="IW60" s="20">
        <v>6.5062191326932459E-2</v>
      </c>
      <c r="IX60" s="20">
        <v>0.10503027553925963</v>
      </c>
      <c r="IY60" s="4" t="s">
        <v>707</v>
      </c>
      <c r="IZ60" s="4">
        <v>1131</v>
      </c>
      <c r="JA60" s="4">
        <v>90</v>
      </c>
      <c r="JB60" s="20">
        <v>7.9575596816976124E-2</v>
      </c>
      <c r="JC60" s="20">
        <v>6.5188766195224374E-2</v>
      </c>
      <c r="JD60" s="20">
        <v>9.6808715824633032E-2</v>
      </c>
      <c r="JE60" s="4" t="str">
        <f t="shared" si="5"/>
        <v>No Sig diff</v>
      </c>
      <c r="JF60" s="4">
        <v>1105</v>
      </c>
      <c r="JG60" s="110">
        <v>84</v>
      </c>
      <c r="JH60" s="260">
        <v>7.6018099547511306E-2</v>
      </c>
      <c r="JI60" s="260">
        <v>6.1818691365340767E-2</v>
      </c>
      <c r="JJ60" s="260">
        <v>9.3155184704783581E-2</v>
      </c>
      <c r="JK60" s="663" t="str">
        <f t="shared" si="3"/>
        <v>No Sig diff</v>
      </c>
      <c r="JL60" s="4">
        <v>936</v>
      </c>
      <c r="JM60" s="4">
        <v>136</v>
      </c>
      <c r="JN60" s="20">
        <v>0.14529914529914531</v>
      </c>
      <c r="JO60" s="20">
        <v>0.12417242623970695</v>
      </c>
      <c r="JP60" s="20">
        <v>0.16932543580057574</v>
      </c>
      <c r="JQ60" s="4" t="s">
        <v>708</v>
      </c>
      <c r="JR60" s="4">
        <v>957</v>
      </c>
      <c r="JS60" s="4">
        <v>155</v>
      </c>
      <c r="JT60" s="20">
        <v>0.16196447230929989</v>
      </c>
      <c r="JU60" s="20">
        <v>0.13998174091720603</v>
      </c>
      <c r="JV60" s="20">
        <v>0.18665014610179606</v>
      </c>
      <c r="JW60" s="4" t="s">
        <v>708</v>
      </c>
      <c r="JX60" s="4">
        <v>920</v>
      </c>
      <c r="JY60" s="4">
        <v>136</v>
      </c>
      <c r="JZ60" s="20">
        <v>0.14782608695652175</v>
      </c>
      <c r="KA60" s="20">
        <v>0.12635666559262351</v>
      </c>
      <c r="KB60" s="20">
        <v>0.1722242826718248</v>
      </c>
      <c r="KC60" s="4" t="s">
        <v>708</v>
      </c>
      <c r="KD60" s="4">
        <v>913</v>
      </c>
      <c r="KE60" s="4">
        <v>142</v>
      </c>
      <c r="KF60" s="20">
        <v>0.15553121577217963</v>
      </c>
      <c r="KG60" s="20">
        <v>0.13347157187867184</v>
      </c>
      <c r="KH60" s="20">
        <v>0.18047742775637524</v>
      </c>
      <c r="KI60" s="4" t="s">
        <v>708</v>
      </c>
      <c r="KJ60" s="4">
        <v>945</v>
      </c>
      <c r="KK60" s="4">
        <v>176</v>
      </c>
      <c r="KL60" s="20">
        <v>0.18624338624338624</v>
      </c>
      <c r="KM60" s="20">
        <v>0.16271036668576777</v>
      </c>
      <c r="KN60" s="20">
        <v>0.21231694215776237</v>
      </c>
      <c r="KO60" s="4" t="s">
        <v>707</v>
      </c>
      <c r="KP60" s="4">
        <v>1017</v>
      </c>
      <c r="KQ60" s="4">
        <v>179</v>
      </c>
      <c r="KR60" s="20">
        <v>0.17600786627335299</v>
      </c>
      <c r="KS60" s="20">
        <v>0.15383399313877943</v>
      </c>
      <c r="KT60" s="20">
        <v>0.20062012477949551</v>
      </c>
      <c r="KU60" s="4" t="s">
        <v>772</v>
      </c>
      <c r="KV60" s="4">
        <v>998</v>
      </c>
      <c r="KW60" s="4">
        <v>172</v>
      </c>
      <c r="KX60" s="20">
        <v>0.17234468937875752</v>
      </c>
      <c r="KY60" s="20">
        <v>0.15018044769434161</v>
      </c>
      <c r="KZ60" s="20">
        <v>0.19702165275591485</v>
      </c>
      <c r="LA60" s="663" t="str">
        <f t="shared" si="4"/>
        <v>Sig better than Eng.</v>
      </c>
      <c r="LB60" s="4">
        <v>1347</v>
      </c>
      <c r="LC60" s="4">
        <v>734</v>
      </c>
      <c r="LD60" s="20">
        <v>0.54491462509279887</v>
      </c>
      <c r="LE60" s="20">
        <v>0.51823096411520353</v>
      </c>
      <c r="LF60" s="20">
        <v>0.57134283391260865</v>
      </c>
      <c r="LG60" s="4">
        <v>1347</v>
      </c>
      <c r="LH60" s="4">
        <v>34</v>
      </c>
      <c r="LI60" s="4">
        <v>269</v>
      </c>
      <c r="LJ60" s="295">
        <v>25.000000000000004</v>
      </c>
      <c r="LK60" s="20">
        <v>0.26470588235294107</v>
      </c>
      <c r="LL60" s="4">
        <v>1275</v>
      </c>
      <c r="LM60" s="4">
        <v>778</v>
      </c>
      <c r="LN60" s="20">
        <v>0.61019607843137258</v>
      </c>
      <c r="LO60" s="20">
        <v>0.58313310248936623</v>
      </c>
      <c r="LP60" s="20">
        <v>0.63659702751371405</v>
      </c>
      <c r="LQ60" s="4">
        <v>1275</v>
      </c>
      <c r="LR60" s="4">
        <v>34</v>
      </c>
      <c r="LS60" s="4">
        <v>252</v>
      </c>
      <c r="LT60" s="295">
        <v>25.519841269841287</v>
      </c>
      <c r="LU60" s="20">
        <v>0.24941643323996215</v>
      </c>
      <c r="LV60" s="40">
        <v>1286</v>
      </c>
      <c r="LW60" s="40">
        <v>808</v>
      </c>
      <c r="LX60" s="20">
        <v>0.6283048211508554</v>
      </c>
      <c r="LY60" s="20">
        <v>0.60154698795536432</v>
      </c>
      <c r="LZ60" s="20">
        <v>0.65429840896785141</v>
      </c>
      <c r="MA60" s="338">
        <v>34</v>
      </c>
      <c r="MB60" s="338">
        <v>257</v>
      </c>
      <c r="MC60" s="295">
        <v>24.3</v>
      </c>
      <c r="MD60" s="20">
        <v>0.28499999999999998</v>
      </c>
      <c r="ME60" s="338">
        <v>1317</v>
      </c>
      <c r="MF60" s="338">
        <v>925</v>
      </c>
      <c r="MG60" s="20">
        <v>0.7023538344722855</v>
      </c>
      <c r="MH60" s="20">
        <v>0.6771006943400466</v>
      </c>
      <c r="MI60" s="20">
        <v>0.72642994625317503</v>
      </c>
      <c r="MJ60" s="338">
        <v>34</v>
      </c>
      <c r="MK60" s="338">
        <v>263</v>
      </c>
      <c r="ML60" s="295">
        <v>24.615969581749049</v>
      </c>
      <c r="MM60" s="94">
        <v>0.27600089465443972</v>
      </c>
      <c r="MN60" s="20"/>
      <c r="MO60" s="20"/>
      <c r="MP60" s="20"/>
      <c r="MQ60" s="20"/>
      <c r="MR60" s="20"/>
      <c r="MS60" s="20"/>
      <c r="MT60" s="20"/>
      <c r="MU60" s="20"/>
      <c r="MV60" s="20"/>
      <c r="MW60" s="20"/>
      <c r="MX60" s="20"/>
      <c r="MY60" s="20"/>
      <c r="MZ60" s="20"/>
      <c r="NA60" s="20"/>
      <c r="NB60" s="20"/>
      <c r="NC60" s="94"/>
      <c r="ND60" s="338">
        <v>49</v>
      </c>
      <c r="NE60" s="338">
        <v>467</v>
      </c>
      <c r="NF60" s="20">
        <v>0.10492505353319058</v>
      </c>
      <c r="NG60" s="20">
        <v>8.0280428944841942E-2</v>
      </c>
      <c r="NH60" s="20">
        <v>0.13601628179038963</v>
      </c>
      <c r="NI60" s="338">
        <v>37</v>
      </c>
      <c r="NJ60" s="338">
        <v>467</v>
      </c>
      <c r="NK60" s="20">
        <v>7.922912205567452E-2</v>
      </c>
      <c r="NL60" s="20">
        <v>5.8025140945452455E-2</v>
      </c>
      <c r="NM60" s="20">
        <v>0.10729899813028199</v>
      </c>
      <c r="NN60" s="338">
        <v>43</v>
      </c>
      <c r="NO60" s="338">
        <v>465</v>
      </c>
      <c r="NP60" s="20">
        <v>9.2473118279569888E-2</v>
      </c>
      <c r="NQ60" s="20">
        <v>6.937804749311173E-2</v>
      </c>
      <c r="NR60" s="20">
        <v>0.12224634307737643</v>
      </c>
      <c r="NS60" s="338">
        <v>91</v>
      </c>
      <c r="NT60" s="338">
        <v>464</v>
      </c>
      <c r="NU60" s="20">
        <v>0.1961206896551724</v>
      </c>
      <c r="NV60" s="20">
        <v>0.16254987384113809</v>
      </c>
      <c r="NW60" s="94">
        <v>0.23468182787497704</v>
      </c>
      <c r="NX60" s="4">
        <v>281</v>
      </c>
      <c r="NY60" s="4">
        <v>273</v>
      </c>
      <c r="NZ60" s="4">
        <v>271</v>
      </c>
      <c r="OA60" s="4">
        <v>279</v>
      </c>
      <c r="OB60" s="4">
        <v>275</v>
      </c>
      <c r="OC60" s="4">
        <v>336</v>
      </c>
      <c r="OD60" s="4">
        <v>320</v>
      </c>
      <c r="OE60" s="4">
        <v>323</v>
      </c>
      <c r="OF60" s="4">
        <v>318</v>
      </c>
      <c r="OG60" s="4">
        <v>324</v>
      </c>
      <c r="OH60" s="4">
        <v>328</v>
      </c>
      <c r="OI60" s="4">
        <v>317</v>
      </c>
      <c r="OJ60" s="4">
        <v>327</v>
      </c>
      <c r="OK60" s="4">
        <v>360</v>
      </c>
      <c r="OL60" s="4">
        <v>337</v>
      </c>
      <c r="OM60" s="4">
        <v>325</v>
      </c>
      <c r="ON60" s="4">
        <v>317</v>
      </c>
      <c r="OO60" s="4">
        <v>330</v>
      </c>
      <c r="OP60" s="4">
        <v>337</v>
      </c>
      <c r="OQ60" s="4">
        <v>326</v>
      </c>
      <c r="OR60" s="4">
        <v>342</v>
      </c>
      <c r="OS60" s="4">
        <v>331</v>
      </c>
      <c r="OT60" s="7">
        <v>340</v>
      </c>
      <c r="OU60" s="4">
        <v>1167</v>
      </c>
      <c r="OV60" s="23">
        <v>0.874</v>
      </c>
      <c r="OW60" s="23">
        <v>1.2E-2</v>
      </c>
      <c r="OX60" s="23">
        <v>0.877</v>
      </c>
      <c r="OY60" s="4">
        <v>1020</v>
      </c>
      <c r="OZ60" s="4">
        <v>14</v>
      </c>
      <c r="PA60" s="4">
        <v>1024</v>
      </c>
      <c r="PB60" s="4">
        <v>1175</v>
      </c>
      <c r="PC60" s="23">
        <v>0.96299999999999997</v>
      </c>
      <c r="PD60" s="23">
        <v>0.92</v>
      </c>
      <c r="PE60" s="23">
        <v>0.95499999999999996</v>
      </c>
      <c r="PF60" s="23">
        <v>0.91900000000000004</v>
      </c>
      <c r="PG60" s="23">
        <v>0.91600000000000004</v>
      </c>
      <c r="PH60" s="4">
        <v>1132</v>
      </c>
      <c r="PI60" s="4">
        <v>1081</v>
      </c>
      <c r="PJ60" s="4">
        <v>1122</v>
      </c>
      <c r="PK60" s="4">
        <v>1080</v>
      </c>
      <c r="PL60" s="4">
        <v>1076</v>
      </c>
      <c r="PM60" s="4">
        <v>1337</v>
      </c>
      <c r="PN60" s="23">
        <v>0.96299999999999997</v>
      </c>
      <c r="PO60" s="23">
        <v>0.92400000000000004</v>
      </c>
      <c r="PP60" s="23">
        <v>0.96299999999999997</v>
      </c>
      <c r="PQ60" s="23">
        <v>0.96</v>
      </c>
      <c r="PR60" s="23">
        <v>0.95799999999999996</v>
      </c>
      <c r="PS60" s="23">
        <v>0.89500000000000002</v>
      </c>
      <c r="PT60" s="23">
        <v>0.94699999999999995</v>
      </c>
      <c r="PU60" s="23">
        <v>0.92400000000000004</v>
      </c>
      <c r="PV60" s="23">
        <v>0.96299999999999997</v>
      </c>
      <c r="PW60" s="23">
        <v>0.91400000000000003</v>
      </c>
      <c r="PX60" s="4">
        <v>1288</v>
      </c>
      <c r="PY60" s="4">
        <v>1236</v>
      </c>
      <c r="PZ60" s="4">
        <v>1288</v>
      </c>
      <c r="QA60" s="4">
        <v>1283</v>
      </c>
      <c r="QB60" s="4">
        <v>1281</v>
      </c>
      <c r="QC60" s="4">
        <v>1196</v>
      </c>
      <c r="QD60" s="4">
        <v>1266</v>
      </c>
      <c r="QE60" s="4">
        <v>1235</v>
      </c>
      <c r="QF60" s="4">
        <v>1288</v>
      </c>
      <c r="QG60" s="7">
        <v>1222</v>
      </c>
      <c r="QH60" s="40">
        <v>1195</v>
      </c>
      <c r="QI60" s="20">
        <v>0.75899581589958154</v>
      </c>
      <c r="QJ60" s="20">
        <v>0.24937238493723848</v>
      </c>
      <c r="QK60" s="20">
        <v>0.77238493723849377</v>
      </c>
      <c r="QL60" s="40">
        <v>907</v>
      </c>
      <c r="QM60" s="40">
        <v>298</v>
      </c>
      <c r="QN60" s="40">
        <v>923</v>
      </c>
      <c r="QO60" s="40">
        <v>1181</v>
      </c>
      <c r="QP60" s="20">
        <v>0.8738357324301439</v>
      </c>
      <c r="QQ60" s="20">
        <v>0.79170194750211687</v>
      </c>
      <c r="QR60" s="20">
        <v>0.6926333615580017</v>
      </c>
      <c r="QS60" s="20">
        <v>0.79339542760372561</v>
      </c>
      <c r="QT60" s="20">
        <v>0.58425063505503805</v>
      </c>
      <c r="QU60" s="40">
        <v>1032</v>
      </c>
      <c r="QV60" s="40">
        <v>935</v>
      </c>
      <c r="QW60" s="40">
        <v>818</v>
      </c>
      <c r="QX60" s="40">
        <v>937</v>
      </c>
      <c r="QY60" s="40">
        <v>690</v>
      </c>
      <c r="QZ60" s="4">
        <v>1333</v>
      </c>
      <c r="RA60" s="20">
        <v>0.95198799699924985</v>
      </c>
      <c r="RB60" s="20">
        <v>0.85071267816954244</v>
      </c>
      <c r="RC60" s="20">
        <v>0.95198799699924985</v>
      </c>
      <c r="RD60" s="20">
        <v>0.95048762190547642</v>
      </c>
      <c r="RE60" s="20">
        <v>0.70367591897974491</v>
      </c>
      <c r="RF60" s="20">
        <v>0.92048012003000745</v>
      </c>
      <c r="RG60" s="20">
        <v>0.92273068267066771</v>
      </c>
      <c r="RH60" s="20">
        <v>0.87321830457614402</v>
      </c>
      <c r="RI60" s="20">
        <v>0.70592648162040506</v>
      </c>
      <c r="RJ60" s="20">
        <v>0.67216804201050262</v>
      </c>
      <c r="RK60" s="40">
        <v>1269</v>
      </c>
      <c r="RL60" s="40">
        <v>1134</v>
      </c>
      <c r="RM60" s="40">
        <v>1269</v>
      </c>
      <c r="RN60" s="40">
        <v>1267</v>
      </c>
      <c r="RO60" s="40">
        <v>938</v>
      </c>
      <c r="RP60" s="40">
        <v>1227</v>
      </c>
      <c r="RQ60" s="40">
        <v>1230</v>
      </c>
      <c r="RR60" s="40">
        <v>1164</v>
      </c>
      <c r="RS60" s="40">
        <v>941</v>
      </c>
      <c r="RT60" s="41">
        <v>896</v>
      </c>
    </row>
    <row r="61" spans="1:488" s="3" customFormat="1" ht="12.75" x14ac:dyDescent="0.2">
      <c r="A61" s="9" t="s">
        <v>123</v>
      </c>
      <c r="B61" s="6">
        <v>1</v>
      </c>
      <c r="C61" s="9" t="s">
        <v>286</v>
      </c>
      <c r="D61" s="9" t="s">
        <v>286</v>
      </c>
      <c r="E61" s="9" t="s">
        <v>286</v>
      </c>
      <c r="F61" s="9" t="s">
        <v>286</v>
      </c>
      <c r="G61" s="9" t="s">
        <v>286</v>
      </c>
      <c r="H61" s="9" t="s">
        <v>286</v>
      </c>
      <c r="I61" s="9" t="s">
        <v>398</v>
      </c>
      <c r="J61" s="9" t="s">
        <v>268</v>
      </c>
      <c r="K61" s="9" t="s">
        <v>286</v>
      </c>
      <c r="L61" s="9" t="s">
        <v>286</v>
      </c>
      <c r="M61" s="9" t="s">
        <v>286</v>
      </c>
      <c r="N61" s="9" t="s">
        <v>286</v>
      </c>
      <c r="O61" s="109" t="s">
        <v>286</v>
      </c>
      <c r="P61" s="109" t="s">
        <v>286</v>
      </c>
      <c r="Q61" s="109" t="s">
        <v>286</v>
      </c>
      <c r="R61" s="109" t="s">
        <v>286</v>
      </c>
      <c r="S61" s="109" t="s">
        <v>286</v>
      </c>
      <c r="T61" s="36">
        <v>59800</v>
      </c>
      <c r="U61" s="37">
        <v>60300</v>
      </c>
      <c r="V61" s="37">
        <v>60600</v>
      </c>
      <c r="W61" s="37">
        <v>60700</v>
      </c>
      <c r="X61" s="37">
        <v>61000</v>
      </c>
      <c r="Y61" s="37">
        <v>61200</v>
      </c>
      <c r="Z61" s="37">
        <v>61300</v>
      </c>
      <c r="AA61" s="37">
        <v>61900</v>
      </c>
      <c r="AB61" s="37">
        <v>62500</v>
      </c>
      <c r="AC61" s="42">
        <v>63175</v>
      </c>
      <c r="AD61" s="42">
        <v>63429</v>
      </c>
      <c r="AE61" s="36">
        <v>3000</v>
      </c>
      <c r="AF61" s="37">
        <v>3100</v>
      </c>
      <c r="AG61" s="37">
        <v>3200</v>
      </c>
      <c r="AH61" s="37">
        <v>3200</v>
      </c>
      <c r="AI61" s="37">
        <v>3300</v>
      </c>
      <c r="AJ61" s="37">
        <v>3500</v>
      </c>
      <c r="AK61" s="37">
        <v>3600</v>
      </c>
      <c r="AL61" s="37">
        <v>3700</v>
      </c>
      <c r="AM61" s="37">
        <v>3800</v>
      </c>
      <c r="AN61" s="42">
        <v>3915</v>
      </c>
      <c r="AO61" s="42">
        <v>3892</v>
      </c>
      <c r="AP61" s="13">
        <v>3537</v>
      </c>
      <c r="AQ61" s="3">
        <v>3168</v>
      </c>
      <c r="AR61" s="3">
        <v>95</v>
      </c>
      <c r="AS61" s="3">
        <v>148</v>
      </c>
      <c r="AT61" s="3">
        <v>81</v>
      </c>
      <c r="AU61" s="3">
        <v>13</v>
      </c>
      <c r="AV61" s="3">
        <v>32</v>
      </c>
      <c r="AW61" s="9">
        <v>369</v>
      </c>
      <c r="AX61" s="16">
        <v>0.89567430025445294</v>
      </c>
      <c r="AY61" s="17">
        <v>2.6858919988690982E-2</v>
      </c>
      <c r="AZ61" s="17">
        <v>4.1843370087644896E-2</v>
      </c>
      <c r="BA61" s="17">
        <v>2.2900763358778626E-2</v>
      </c>
      <c r="BB61" s="17">
        <v>3.6754311563471868E-3</v>
      </c>
      <c r="BC61" s="17">
        <v>9.0472151540853824E-3</v>
      </c>
      <c r="BD61" s="18">
        <v>0.10432569974554706</v>
      </c>
      <c r="BE61" s="13">
        <v>8470</v>
      </c>
      <c r="BF61" s="3">
        <v>8307</v>
      </c>
      <c r="BG61" s="3">
        <v>163</v>
      </c>
      <c r="BH61" s="3">
        <v>144</v>
      </c>
      <c r="BI61" s="3">
        <v>19</v>
      </c>
      <c r="BJ61" s="22">
        <v>0.8834355828220859</v>
      </c>
      <c r="BK61" s="18">
        <v>0.1165644171779141</v>
      </c>
      <c r="BL61" s="36">
        <v>6645</v>
      </c>
      <c r="BM61" s="18">
        <v>0.6155003762227238</v>
      </c>
      <c r="BN61" s="18">
        <v>0.17757712565838976</v>
      </c>
      <c r="BO61" s="18">
        <v>0.20692249811888638</v>
      </c>
      <c r="BP61" s="36">
        <v>18076</v>
      </c>
      <c r="BQ61" s="37">
        <v>1172</v>
      </c>
      <c r="BR61" s="37">
        <v>1136</v>
      </c>
      <c r="BS61" s="37">
        <v>475</v>
      </c>
      <c r="BT61" s="37">
        <v>11987</v>
      </c>
      <c r="BU61" s="37">
        <v>6939</v>
      </c>
      <c r="BV61" s="18">
        <v>0.12523418359994234</v>
      </c>
      <c r="BW61" s="36">
        <v>3646</v>
      </c>
      <c r="BX61" s="37">
        <v>6</v>
      </c>
      <c r="BY61" s="37">
        <v>1174</v>
      </c>
      <c r="BZ61" s="37">
        <v>1615</v>
      </c>
      <c r="CA61" s="37">
        <v>542</v>
      </c>
      <c r="CB61" s="38">
        <v>6983</v>
      </c>
      <c r="CC61" s="37">
        <v>2803</v>
      </c>
      <c r="CD61" s="37">
        <v>2248</v>
      </c>
      <c r="CE61" s="37">
        <v>545</v>
      </c>
      <c r="CF61" s="37">
        <v>555</v>
      </c>
      <c r="CG61" s="17">
        <v>0.19443453442739922</v>
      </c>
      <c r="CH61" s="93">
        <v>0.19800214056368176</v>
      </c>
      <c r="CI61" s="37">
        <v>545</v>
      </c>
      <c r="CJ61" s="37">
        <v>500</v>
      </c>
      <c r="CK61" s="37">
        <v>475</v>
      </c>
      <c r="CL61" s="37">
        <v>400</v>
      </c>
      <c r="CM61" s="42">
        <v>415</v>
      </c>
      <c r="CN61" s="38">
        <v>340</v>
      </c>
      <c r="CO61" s="42">
        <v>1614</v>
      </c>
      <c r="CP61" s="37">
        <v>637</v>
      </c>
      <c r="CQ61" s="17">
        <v>0.39467162329615862</v>
      </c>
      <c r="CR61" s="38">
        <v>158</v>
      </c>
      <c r="CS61" s="107">
        <v>682</v>
      </c>
      <c r="CT61" s="107">
        <v>718</v>
      </c>
      <c r="CU61" s="107">
        <v>679</v>
      </c>
      <c r="CV61" s="107">
        <v>775</v>
      </c>
      <c r="CW61" s="107">
        <v>758</v>
      </c>
      <c r="CX61" s="114">
        <v>692</v>
      </c>
      <c r="CY61" s="568">
        <v>724</v>
      </c>
      <c r="CZ61" s="37">
        <v>43</v>
      </c>
      <c r="DA61" s="37">
        <v>42</v>
      </c>
      <c r="DB61" s="37">
        <v>29</v>
      </c>
      <c r="DC61" s="37">
        <v>37</v>
      </c>
      <c r="DD61" s="37">
        <v>26</v>
      </c>
      <c r="DE61" s="536">
        <v>25</v>
      </c>
      <c r="DF61" s="536">
        <v>24</v>
      </c>
      <c r="DG61" s="289" t="s">
        <v>286</v>
      </c>
      <c r="DH61" s="13">
        <v>43</v>
      </c>
      <c r="DI61" s="17">
        <v>5.6728232189973617E-2</v>
      </c>
      <c r="DJ61" s="17">
        <v>4.2385909050972136E-2</v>
      </c>
      <c r="DK61" s="18">
        <v>7.5540803627234948E-2</v>
      </c>
      <c r="DL61" s="425" t="s">
        <v>286</v>
      </c>
      <c r="DM61" s="258" t="s">
        <v>286</v>
      </c>
      <c r="DN61" s="258" t="s">
        <v>286</v>
      </c>
      <c r="DO61" s="258" t="s">
        <v>286</v>
      </c>
      <c r="DP61" s="337">
        <v>46</v>
      </c>
      <c r="DQ61" s="393">
        <v>6.3888888888888884E-2</v>
      </c>
      <c r="DR61" s="393">
        <v>4.8237948106527283E-2</v>
      </c>
      <c r="DS61" s="393">
        <v>8.4168751803757116E-2</v>
      </c>
      <c r="DT61" s="13">
        <v>82</v>
      </c>
      <c r="DU61" s="18">
        <v>2.3196605374823195E-2</v>
      </c>
      <c r="DV61" s="368" t="s">
        <v>286</v>
      </c>
      <c r="DW61" s="369" t="s">
        <v>286</v>
      </c>
      <c r="DX61" s="420" t="s">
        <v>286</v>
      </c>
      <c r="DY61" s="258">
        <v>0.1714</v>
      </c>
      <c r="DZ61" s="420" t="s">
        <v>286</v>
      </c>
      <c r="EA61" s="259">
        <v>0.17</v>
      </c>
      <c r="EB61" s="3">
        <v>1300</v>
      </c>
      <c r="EC61" s="18">
        <v>4.8224950847646254E-2</v>
      </c>
      <c r="ED61" s="13">
        <v>770</v>
      </c>
      <c r="EE61" s="3">
        <v>725</v>
      </c>
      <c r="EF61" s="3">
        <v>735</v>
      </c>
      <c r="EG61" s="3">
        <v>680</v>
      </c>
      <c r="EH61" s="9">
        <v>595</v>
      </c>
      <c r="EI61" s="9">
        <v>560</v>
      </c>
      <c r="EJ61" s="13">
        <v>640</v>
      </c>
      <c r="EK61" s="17">
        <v>0.19937694704049844</v>
      </c>
      <c r="EL61" s="17">
        <v>0.18591862447450719</v>
      </c>
      <c r="EM61" s="17">
        <v>0.21355393049458399</v>
      </c>
      <c r="EN61" s="3">
        <v>695</v>
      </c>
      <c r="EO61" s="17">
        <v>0.20902255639097744</v>
      </c>
      <c r="EP61" s="17">
        <v>0.19554151105863429</v>
      </c>
      <c r="EQ61" s="17">
        <v>0.22317517342849327</v>
      </c>
      <c r="ER61" s="3">
        <v>690</v>
      </c>
      <c r="ES61" s="17">
        <v>0.20116618075801748</v>
      </c>
      <c r="ET61" s="17">
        <v>0.18808833084637455</v>
      </c>
      <c r="EU61" s="17">
        <v>0.21491264500413992</v>
      </c>
      <c r="EV61" s="3">
        <v>685</v>
      </c>
      <c r="EW61" s="17">
        <v>0.1957142857142857</v>
      </c>
      <c r="EX61" s="17">
        <v>0.18290677379639977</v>
      </c>
      <c r="EY61" s="17">
        <v>0.20918900878021682</v>
      </c>
      <c r="EZ61" s="3">
        <v>655</v>
      </c>
      <c r="FA61" s="18">
        <v>0.17945205479452056</v>
      </c>
      <c r="FB61" s="18">
        <v>0.16734223421229999</v>
      </c>
      <c r="FC61" s="18">
        <v>0.19223589024325496</v>
      </c>
      <c r="FD61" s="337">
        <v>615</v>
      </c>
      <c r="FE61" s="18">
        <v>0.17083333333333334</v>
      </c>
      <c r="FF61" s="18">
        <v>0.15889144187166687</v>
      </c>
      <c r="FG61" s="393">
        <v>0.18347696498506846</v>
      </c>
      <c r="FH61" s="425">
        <v>625</v>
      </c>
      <c r="FI61" s="258">
        <v>0.16900000000000001</v>
      </c>
      <c r="FJ61" s="258">
        <v>0.157</v>
      </c>
      <c r="FK61" s="258">
        <v>0.182</v>
      </c>
      <c r="FL61" s="36">
        <v>1825</v>
      </c>
      <c r="FM61" s="18">
        <v>0.17641372643789272</v>
      </c>
      <c r="FN61" s="42">
        <v>1975</v>
      </c>
      <c r="FO61" s="18">
        <v>0.18863419293218719</v>
      </c>
      <c r="FP61" s="42">
        <v>1785</v>
      </c>
      <c r="FQ61" s="18">
        <v>0.17</v>
      </c>
      <c r="FR61" s="42">
        <v>1785</v>
      </c>
      <c r="FS61" s="18">
        <v>0.17</v>
      </c>
      <c r="FT61" s="42">
        <v>1725</v>
      </c>
      <c r="FU61" s="18">
        <v>0.16136576239476147</v>
      </c>
      <c r="FV61" s="42">
        <v>1640</v>
      </c>
      <c r="FW61" s="393">
        <v>0.15157116451016636</v>
      </c>
      <c r="FX61" s="42">
        <v>1790</v>
      </c>
      <c r="FY61" s="93">
        <v>0.16400000000000001</v>
      </c>
      <c r="FZ61" s="3">
        <v>722</v>
      </c>
      <c r="GA61" s="3">
        <v>46</v>
      </c>
      <c r="GB61" s="3">
        <v>668</v>
      </c>
      <c r="GC61" s="17">
        <v>0.92520775623268703</v>
      </c>
      <c r="GD61" s="3">
        <v>263</v>
      </c>
      <c r="GE61" s="3">
        <v>344</v>
      </c>
      <c r="GF61" s="17">
        <v>0.39371257485029942</v>
      </c>
      <c r="GG61" s="17">
        <v>0.51497005988023947</v>
      </c>
      <c r="GH61" s="17">
        <v>0.34200000000000003</v>
      </c>
      <c r="GI61" s="17">
        <v>0.41499999999999998</v>
      </c>
      <c r="GJ61" s="17">
        <v>0.46800000000000003</v>
      </c>
      <c r="GK61" s="93">
        <v>0.54300000000000004</v>
      </c>
      <c r="GL61" s="337">
        <v>534</v>
      </c>
      <c r="GM61" s="337">
        <v>193</v>
      </c>
      <c r="GN61" s="337">
        <v>83</v>
      </c>
      <c r="GO61" s="337">
        <v>276</v>
      </c>
      <c r="GP61" s="393">
        <v>0.36142322097378277</v>
      </c>
      <c r="GQ61" s="393">
        <v>0.5168539325842697</v>
      </c>
      <c r="GR61" s="393">
        <v>0.32180003547003144</v>
      </c>
      <c r="GS61" s="393">
        <v>0.40302593773680473</v>
      </c>
      <c r="GT61" s="393">
        <v>0.47450114676399985</v>
      </c>
      <c r="GU61" s="93">
        <v>0.55896596460273629</v>
      </c>
      <c r="GV61" s="42">
        <v>698</v>
      </c>
      <c r="GW61" s="42">
        <v>411</v>
      </c>
      <c r="GX61" s="42">
        <v>287</v>
      </c>
      <c r="GY61" s="393">
        <f t="shared" si="2"/>
        <v>0.41117478510028654</v>
      </c>
      <c r="GZ61" s="42">
        <v>112</v>
      </c>
      <c r="HA61" s="42">
        <v>45</v>
      </c>
      <c r="HB61" s="42">
        <v>157</v>
      </c>
      <c r="HC61" s="393">
        <v>0.3902439024390244</v>
      </c>
      <c r="HD61" s="393">
        <v>0.54703832752613235</v>
      </c>
      <c r="HE61" s="393">
        <v>0.33561315495784533</v>
      </c>
      <c r="HF61" s="393">
        <v>0.44777398573573801</v>
      </c>
      <c r="HG61" s="393">
        <v>0.48920530230852555</v>
      </c>
      <c r="HH61" s="93">
        <v>0.60362878025136735</v>
      </c>
      <c r="HI61" s="702" t="s">
        <v>286</v>
      </c>
      <c r="HJ61" s="703" t="s">
        <v>286</v>
      </c>
      <c r="HK61" s="703" t="s">
        <v>286</v>
      </c>
      <c r="HL61" s="704" t="s">
        <v>286</v>
      </c>
      <c r="HM61" s="703" t="s">
        <v>286</v>
      </c>
      <c r="HN61" s="703" t="s">
        <v>286</v>
      </c>
      <c r="HO61" s="703" t="s">
        <v>286</v>
      </c>
      <c r="HP61" s="704" t="s">
        <v>286</v>
      </c>
      <c r="HQ61" s="704" t="s">
        <v>286</v>
      </c>
      <c r="HR61" s="704" t="s">
        <v>286</v>
      </c>
      <c r="HS61" s="704" t="s">
        <v>286</v>
      </c>
      <c r="HT61" s="704" t="s">
        <v>286</v>
      </c>
      <c r="HU61" s="705" t="s">
        <v>286</v>
      </c>
      <c r="HV61" s="3">
        <v>499</v>
      </c>
      <c r="HW61" s="268">
        <v>26.945999999999998</v>
      </c>
      <c r="HX61" s="17">
        <v>5.3999999999999999E-2</v>
      </c>
      <c r="HY61" s="17">
        <v>3.4000000000000002E-2</v>
      </c>
      <c r="HZ61" s="17">
        <v>7.3999999999999996E-2</v>
      </c>
      <c r="IA61" s="267" t="s">
        <v>708</v>
      </c>
      <c r="IB61" s="3">
        <v>612</v>
      </c>
      <c r="IC61" s="268">
        <v>47.735999999999997</v>
      </c>
      <c r="ID61" s="17">
        <v>7.8E-2</v>
      </c>
      <c r="IE61" s="17">
        <v>5.6999999999999995E-2</v>
      </c>
      <c r="IF61" s="17">
        <v>9.9000000000000005E-2</v>
      </c>
      <c r="IG61" s="3" t="s">
        <v>707</v>
      </c>
      <c r="IH61" s="3">
        <v>536</v>
      </c>
      <c r="II61" s="268">
        <v>55.744</v>
      </c>
      <c r="IJ61" s="17">
        <v>0.104</v>
      </c>
      <c r="IK61" s="17">
        <v>7.8E-2</v>
      </c>
      <c r="IL61" s="17">
        <v>0.13</v>
      </c>
      <c r="IM61" s="3" t="s">
        <v>707</v>
      </c>
      <c r="IN61" s="3">
        <v>639</v>
      </c>
      <c r="IO61" s="268">
        <v>56.870999999999995</v>
      </c>
      <c r="IP61" s="17">
        <v>8.8999999999999996E-2</v>
      </c>
      <c r="IQ61" s="17">
        <v>6.7000000000000004E-2</v>
      </c>
      <c r="IR61" s="17">
        <v>0.11099999999999999</v>
      </c>
      <c r="IS61" s="3" t="s">
        <v>707</v>
      </c>
      <c r="IT61" s="3">
        <v>430</v>
      </c>
      <c r="IU61" s="268">
        <v>46.999859999999998</v>
      </c>
      <c r="IV61" s="17">
        <v>0.109302</v>
      </c>
      <c r="IW61" s="17">
        <v>8.3198000000000008E-2</v>
      </c>
      <c r="IX61" s="17">
        <v>0.14232500000000001</v>
      </c>
      <c r="IY61" s="9" t="s">
        <v>772</v>
      </c>
      <c r="IZ61" s="9">
        <v>703</v>
      </c>
      <c r="JA61" s="9">
        <v>51.999999999999993</v>
      </c>
      <c r="JB61" s="17">
        <v>7.3968705547652905E-2</v>
      </c>
      <c r="JC61" s="17">
        <v>5.6851549521626896E-2</v>
      </c>
      <c r="JD61" s="17">
        <v>9.5716551111036288E-2</v>
      </c>
      <c r="JE61" s="9" t="str">
        <f t="shared" si="5"/>
        <v>No Sig diff</v>
      </c>
      <c r="JF61" s="667">
        <v>691</v>
      </c>
      <c r="JG61" s="672">
        <v>51.999999999999993</v>
      </c>
      <c r="JH61" s="669">
        <v>7.5253256150506501E-2</v>
      </c>
      <c r="JI61" s="669">
        <v>5.7846830188367102E-2</v>
      </c>
      <c r="JJ61" s="669">
        <v>9.7356140865959395E-2</v>
      </c>
      <c r="JK61" s="662" t="str">
        <f t="shared" ref="JK61:JK67" si="6">IF(JI61&gt;$JJ$78, "Sig worse than Eng.", IF(JJ61&lt;$JI$78,"Sig better than Eng.", "No Sig diff"))</f>
        <v>No Sig diff</v>
      </c>
      <c r="JL61" s="3">
        <v>517</v>
      </c>
      <c r="JM61" s="268">
        <v>87.89</v>
      </c>
      <c r="JN61" s="17">
        <v>0.17</v>
      </c>
      <c r="JO61" s="17">
        <v>0.13800000000000001</v>
      </c>
      <c r="JP61" s="17">
        <v>0.20200000000000001</v>
      </c>
      <c r="JQ61" s="3" t="s">
        <v>707</v>
      </c>
      <c r="JR61" s="3">
        <v>523</v>
      </c>
      <c r="JS61" s="268">
        <v>87.864000000000004</v>
      </c>
      <c r="JT61" s="17">
        <v>0.16800000000000001</v>
      </c>
      <c r="JU61" s="17">
        <v>0.13600000000000001</v>
      </c>
      <c r="JV61" s="17">
        <v>0.2</v>
      </c>
      <c r="JW61" s="3" t="s">
        <v>707</v>
      </c>
      <c r="JX61" s="3">
        <v>486</v>
      </c>
      <c r="JY61" s="268">
        <v>83.106000000000009</v>
      </c>
      <c r="JZ61" s="17">
        <v>0.17100000000000001</v>
      </c>
      <c r="KA61" s="17">
        <v>0.13800000000000001</v>
      </c>
      <c r="KB61" s="17">
        <v>0.20400000000000001</v>
      </c>
      <c r="KC61" s="3" t="s">
        <v>707</v>
      </c>
      <c r="KD61" s="3">
        <v>518</v>
      </c>
      <c r="KE61" s="268">
        <v>89.095999999999989</v>
      </c>
      <c r="KF61" s="17">
        <v>0.17199999999999999</v>
      </c>
      <c r="KG61" s="17">
        <v>0.16869999999999999</v>
      </c>
      <c r="KH61" s="17">
        <v>0.20499999999999999</v>
      </c>
      <c r="KI61" s="3" t="s">
        <v>707</v>
      </c>
      <c r="KJ61" s="3">
        <v>545</v>
      </c>
      <c r="KK61" s="268">
        <v>81.000079999999997</v>
      </c>
      <c r="KL61" s="17">
        <v>0.14862400000000001</v>
      </c>
      <c r="KM61" s="17">
        <v>0.121222</v>
      </c>
      <c r="KN61" s="17">
        <v>0.18094399999999999</v>
      </c>
      <c r="KO61" s="9" t="s">
        <v>708</v>
      </c>
      <c r="KP61" s="9">
        <v>534</v>
      </c>
      <c r="KQ61" s="9">
        <v>89.000000000000171</v>
      </c>
      <c r="KR61" s="393">
        <v>0.16666666666666699</v>
      </c>
      <c r="KS61" s="393">
        <v>0.137461650788575</v>
      </c>
      <c r="KT61" s="393">
        <v>0.20063325773597701</v>
      </c>
      <c r="KU61" s="9" t="s">
        <v>772</v>
      </c>
      <c r="KV61" s="667">
        <v>540</v>
      </c>
      <c r="KW61" s="667">
        <v>105.99999999999986</v>
      </c>
      <c r="KX61" s="385">
        <v>0.19629629629629602</v>
      </c>
      <c r="KY61" s="385">
        <v>0.16499039056651099</v>
      </c>
      <c r="KZ61" s="385">
        <v>0.23189266297769698</v>
      </c>
      <c r="LA61" s="662" t="str">
        <f t="shared" si="4"/>
        <v>No Sig diff</v>
      </c>
      <c r="LB61" s="3">
        <v>688</v>
      </c>
      <c r="LC61" s="3">
        <v>340</v>
      </c>
      <c r="LD61" s="17">
        <v>0.4941860465116279</v>
      </c>
      <c r="LE61" s="17">
        <v>0.45696323963020558</v>
      </c>
      <c r="LF61" s="17">
        <v>0.53147341749983013</v>
      </c>
      <c r="LG61" s="3">
        <v>688</v>
      </c>
      <c r="LH61" s="3">
        <v>34</v>
      </c>
      <c r="LI61" s="3">
        <v>137</v>
      </c>
      <c r="LJ61" s="293">
        <v>22.175182481751833</v>
      </c>
      <c r="LK61" s="17">
        <v>0.34778875053671082</v>
      </c>
      <c r="LL61" s="3">
        <v>654</v>
      </c>
      <c r="LM61" s="3">
        <v>370</v>
      </c>
      <c r="LN61" s="17">
        <v>0.56574923547400613</v>
      </c>
      <c r="LO61" s="17">
        <v>0.52748685508392112</v>
      </c>
      <c r="LP61" s="17">
        <v>0.60324373181793112</v>
      </c>
      <c r="LQ61" s="3">
        <v>654</v>
      </c>
      <c r="LR61" s="3">
        <v>34</v>
      </c>
      <c r="LS61" s="3">
        <v>130</v>
      </c>
      <c r="LT61" s="293">
        <v>23.223076923076924</v>
      </c>
      <c r="LU61" s="18">
        <v>0.31696832579185519</v>
      </c>
      <c r="LV61" s="42">
        <v>699</v>
      </c>
      <c r="LW61" s="42">
        <v>472</v>
      </c>
      <c r="LX61" s="393">
        <v>0.67525035765379116</v>
      </c>
      <c r="LY61" s="393">
        <v>0.63965933121944973</v>
      </c>
      <c r="LZ61" s="393">
        <v>0.70892568311804871</v>
      </c>
      <c r="MA61" s="337">
        <v>34</v>
      </c>
      <c r="MB61" s="337">
        <v>139</v>
      </c>
      <c r="MC61" s="294">
        <v>24.553956834532375</v>
      </c>
      <c r="MD61" s="393">
        <v>0.27782479898434193</v>
      </c>
      <c r="ME61" s="337">
        <v>747</v>
      </c>
      <c r="MF61" s="337">
        <v>501</v>
      </c>
      <c r="MG61" s="393">
        <v>0.67068273092369479</v>
      </c>
      <c r="MH61" s="393">
        <v>0.63618262649618718</v>
      </c>
      <c r="MI61" s="393">
        <v>0.70343633967080443</v>
      </c>
      <c r="MJ61" s="337">
        <v>34</v>
      </c>
      <c r="MK61" s="337">
        <v>149</v>
      </c>
      <c r="ML61" s="294">
        <v>24.85234899328859</v>
      </c>
      <c r="MM61" s="93">
        <v>0.26904855902092384</v>
      </c>
      <c r="MN61" s="17"/>
      <c r="MO61" s="17"/>
      <c r="MP61" s="17"/>
      <c r="MQ61" s="17"/>
      <c r="MR61" s="17"/>
      <c r="MS61" s="17"/>
      <c r="MT61" s="17"/>
      <c r="MU61" s="17"/>
      <c r="MV61" s="17"/>
      <c r="MW61" s="17"/>
      <c r="MX61" s="17"/>
      <c r="MY61" s="17"/>
      <c r="MZ61" s="17"/>
      <c r="NA61" s="17"/>
      <c r="NB61" s="17"/>
      <c r="NC61" s="93"/>
      <c r="ND61" s="337">
        <v>25</v>
      </c>
      <c r="NE61" s="337">
        <v>161</v>
      </c>
      <c r="NF61" s="393">
        <v>0.15527950310559005</v>
      </c>
      <c r="NG61" s="393">
        <v>0.10744458691768186</v>
      </c>
      <c r="NH61" s="393">
        <v>0.21918112487767438</v>
      </c>
      <c r="NI61" s="337">
        <v>16</v>
      </c>
      <c r="NJ61" s="337">
        <v>162</v>
      </c>
      <c r="NK61" s="393">
        <v>9.8765432098765427E-2</v>
      </c>
      <c r="NL61" s="393">
        <v>6.1710998226063796E-2</v>
      </c>
      <c r="NM61" s="393">
        <v>0.15440781232688419</v>
      </c>
      <c r="NN61" s="337">
        <v>20</v>
      </c>
      <c r="NO61" s="337">
        <v>161</v>
      </c>
      <c r="NP61" s="393">
        <v>0.12422360248447205</v>
      </c>
      <c r="NQ61" s="393">
        <v>8.1873213753564711E-2</v>
      </c>
      <c r="NR61" s="393">
        <v>0.18408814775308488</v>
      </c>
      <c r="NS61" s="337">
        <v>29</v>
      </c>
      <c r="NT61" s="337">
        <v>160</v>
      </c>
      <c r="NU61" s="393">
        <v>0.18124999999999999</v>
      </c>
      <c r="NV61" s="393">
        <v>0.12926566148989363</v>
      </c>
      <c r="NW61" s="93">
        <v>0.24818128793194091</v>
      </c>
      <c r="NX61" s="391" t="s">
        <v>286</v>
      </c>
      <c r="NY61" s="391" t="s">
        <v>286</v>
      </c>
      <c r="NZ61" s="391" t="s">
        <v>286</v>
      </c>
      <c r="OA61" s="391" t="s">
        <v>286</v>
      </c>
      <c r="OB61" s="391" t="s">
        <v>286</v>
      </c>
      <c r="OC61" s="391" t="s">
        <v>286</v>
      </c>
      <c r="OD61" s="391" t="s">
        <v>286</v>
      </c>
      <c r="OE61" s="391" t="s">
        <v>286</v>
      </c>
      <c r="OF61" s="391" t="s">
        <v>286</v>
      </c>
      <c r="OG61" s="391" t="s">
        <v>286</v>
      </c>
      <c r="OH61" s="391" t="s">
        <v>286</v>
      </c>
      <c r="OI61" s="391" t="s">
        <v>286</v>
      </c>
      <c r="OJ61" s="391" t="s">
        <v>286</v>
      </c>
      <c r="OK61" s="391" t="s">
        <v>286</v>
      </c>
      <c r="OL61" s="391" t="s">
        <v>286</v>
      </c>
      <c r="OM61" s="391" t="s">
        <v>286</v>
      </c>
      <c r="ON61" s="391" t="s">
        <v>286</v>
      </c>
      <c r="OO61" s="391" t="s">
        <v>286</v>
      </c>
      <c r="OP61" s="391" t="s">
        <v>286</v>
      </c>
      <c r="OQ61" s="391" t="s">
        <v>286</v>
      </c>
      <c r="OR61" s="391" t="s">
        <v>286</v>
      </c>
      <c r="OS61" s="391" t="s">
        <v>286</v>
      </c>
      <c r="OT61" s="115" t="s">
        <v>286</v>
      </c>
      <c r="OU61" s="3">
        <v>721</v>
      </c>
      <c r="OV61" s="22">
        <v>0.95699999999999996</v>
      </c>
      <c r="OW61" s="22">
        <v>4.0000000000000001E-3</v>
      </c>
      <c r="OX61" s="22">
        <v>0.95</v>
      </c>
      <c r="OY61" s="3">
        <v>690</v>
      </c>
      <c r="OZ61" s="3">
        <v>3</v>
      </c>
      <c r="PA61" s="3">
        <v>685</v>
      </c>
      <c r="PB61" s="3">
        <v>735</v>
      </c>
      <c r="PC61" s="22">
        <v>0.96899999999999997</v>
      </c>
      <c r="PD61" s="22">
        <v>0.93200000000000005</v>
      </c>
      <c r="PE61" s="22">
        <v>0.96099999999999997</v>
      </c>
      <c r="PF61" s="22">
        <v>0.93700000000000006</v>
      </c>
      <c r="PG61" s="22">
        <v>0.93500000000000005</v>
      </c>
      <c r="PH61" s="3">
        <v>712</v>
      </c>
      <c r="PI61" s="3">
        <v>685</v>
      </c>
      <c r="PJ61" s="3">
        <v>706</v>
      </c>
      <c r="PK61" s="3">
        <v>689</v>
      </c>
      <c r="PL61" s="3">
        <v>687</v>
      </c>
      <c r="PM61" s="3">
        <v>744</v>
      </c>
      <c r="PN61" s="22">
        <v>0.96899999999999997</v>
      </c>
      <c r="PO61" s="22">
        <v>0.93400000000000005</v>
      </c>
      <c r="PP61" s="22">
        <v>0.96899999999999997</v>
      </c>
      <c r="PQ61" s="22">
        <v>0.96899999999999997</v>
      </c>
      <c r="PR61" s="22">
        <v>0.97</v>
      </c>
      <c r="PS61" s="22">
        <v>0.90200000000000002</v>
      </c>
      <c r="PT61" s="22">
        <v>0.95299999999999996</v>
      </c>
      <c r="PU61" s="22">
        <v>0.94599999999999995</v>
      </c>
      <c r="PV61" s="22">
        <v>0.97299999999999998</v>
      </c>
      <c r="PW61" s="22">
        <v>0.92300000000000004</v>
      </c>
      <c r="PX61" s="3">
        <v>721</v>
      </c>
      <c r="PY61" s="3">
        <v>695</v>
      </c>
      <c r="PZ61" s="3">
        <v>721</v>
      </c>
      <c r="QA61" s="3">
        <v>721</v>
      </c>
      <c r="QB61" s="3">
        <v>722</v>
      </c>
      <c r="QC61" s="3">
        <v>671</v>
      </c>
      <c r="QD61" s="3">
        <v>709</v>
      </c>
      <c r="QE61" s="3">
        <v>704</v>
      </c>
      <c r="QF61" s="3">
        <v>724</v>
      </c>
      <c r="QG61" s="6">
        <v>687</v>
      </c>
      <c r="QH61" s="37">
        <v>707</v>
      </c>
      <c r="QI61" s="17">
        <v>0.91654879773691655</v>
      </c>
      <c r="QJ61" s="17">
        <v>0.26025459688826025</v>
      </c>
      <c r="QK61" s="17">
        <v>0.92220650636492218</v>
      </c>
      <c r="QL61" s="37">
        <v>648</v>
      </c>
      <c r="QM61" s="37">
        <v>184</v>
      </c>
      <c r="QN61" s="37">
        <v>652</v>
      </c>
      <c r="QO61" s="37">
        <v>733</v>
      </c>
      <c r="QP61" s="17">
        <v>0.95225102319236021</v>
      </c>
      <c r="QQ61" s="17">
        <v>0.89904502046384716</v>
      </c>
      <c r="QR61" s="17">
        <v>0.73124147339699863</v>
      </c>
      <c r="QS61" s="17">
        <v>0.90177353342428379</v>
      </c>
      <c r="QT61" s="17">
        <v>0.69440654843110505</v>
      </c>
      <c r="QU61" s="37">
        <v>698</v>
      </c>
      <c r="QV61" s="37">
        <v>659</v>
      </c>
      <c r="QW61" s="37">
        <v>536</v>
      </c>
      <c r="QX61" s="37">
        <v>661</v>
      </c>
      <c r="QY61" s="37">
        <v>509</v>
      </c>
      <c r="QZ61" s="3">
        <v>739</v>
      </c>
      <c r="RA61" s="17">
        <v>0.96481732070365356</v>
      </c>
      <c r="RB61" s="17">
        <v>0.88768606224627877</v>
      </c>
      <c r="RC61" s="17">
        <v>0.96481732070365356</v>
      </c>
      <c r="RD61" s="17">
        <v>0.96346414073071718</v>
      </c>
      <c r="RE61" s="17">
        <v>0.73748308525033834</v>
      </c>
      <c r="RF61" s="17">
        <v>0.92692828146143436</v>
      </c>
      <c r="RG61" s="17">
        <v>0.92963464140730723</v>
      </c>
      <c r="RH61" s="17">
        <v>0.92828146143437074</v>
      </c>
      <c r="RI61" s="17">
        <v>0.73612990527740185</v>
      </c>
      <c r="RJ61" s="17">
        <v>0.67658998646820023</v>
      </c>
      <c r="RK61" s="37">
        <v>713</v>
      </c>
      <c r="RL61" s="37">
        <v>656</v>
      </c>
      <c r="RM61" s="37">
        <v>713</v>
      </c>
      <c r="RN61" s="37">
        <v>712</v>
      </c>
      <c r="RO61" s="37">
        <v>545</v>
      </c>
      <c r="RP61" s="37">
        <v>685</v>
      </c>
      <c r="RQ61" s="37">
        <v>687</v>
      </c>
      <c r="RR61" s="37">
        <v>686</v>
      </c>
      <c r="RS61" s="37">
        <v>544</v>
      </c>
      <c r="RT61" s="38">
        <v>500</v>
      </c>
    </row>
    <row r="62" spans="1:488" s="3" customFormat="1" ht="12.75" x14ac:dyDescent="0.2">
      <c r="A62" s="9" t="s">
        <v>124</v>
      </c>
      <c r="B62" s="6">
        <v>2</v>
      </c>
      <c r="C62" s="9" t="s">
        <v>286</v>
      </c>
      <c r="D62" s="9" t="s">
        <v>286</v>
      </c>
      <c r="E62" s="9" t="s">
        <v>286</v>
      </c>
      <c r="F62" s="9" t="s">
        <v>286</v>
      </c>
      <c r="G62" s="9" t="s">
        <v>286</v>
      </c>
      <c r="H62" s="9" t="s">
        <v>286</v>
      </c>
      <c r="I62" s="9" t="s">
        <v>82</v>
      </c>
      <c r="J62" s="9" t="s">
        <v>268</v>
      </c>
      <c r="K62" s="9" t="s">
        <v>286</v>
      </c>
      <c r="L62" s="9" t="s">
        <v>286</v>
      </c>
      <c r="M62" s="9" t="s">
        <v>286</v>
      </c>
      <c r="N62" s="9" t="s">
        <v>286</v>
      </c>
      <c r="O62" s="109" t="s">
        <v>286</v>
      </c>
      <c r="P62" s="109" t="s">
        <v>286</v>
      </c>
      <c r="Q62" s="109" t="s">
        <v>286</v>
      </c>
      <c r="R62" s="109" t="s">
        <v>286</v>
      </c>
      <c r="S62" s="109" t="s">
        <v>286</v>
      </c>
      <c r="T62" s="36">
        <v>146000</v>
      </c>
      <c r="U62" s="37">
        <v>146800</v>
      </c>
      <c r="V62" s="37">
        <v>147700</v>
      </c>
      <c r="W62" s="37">
        <v>148500</v>
      </c>
      <c r="X62" s="37">
        <v>148900</v>
      </c>
      <c r="Y62" s="37">
        <v>149500</v>
      </c>
      <c r="Z62" s="37">
        <v>149800</v>
      </c>
      <c r="AA62" s="37">
        <v>151400</v>
      </c>
      <c r="AB62" s="37">
        <v>152800</v>
      </c>
      <c r="AC62" s="42">
        <v>154415</v>
      </c>
      <c r="AD62" s="42">
        <v>155732</v>
      </c>
      <c r="AE62" s="36">
        <v>6800</v>
      </c>
      <c r="AF62" s="37">
        <v>6800</v>
      </c>
      <c r="AG62" s="37">
        <v>6900</v>
      </c>
      <c r="AH62" s="37">
        <v>7000</v>
      </c>
      <c r="AI62" s="37">
        <v>7200</v>
      </c>
      <c r="AJ62" s="37">
        <v>7300</v>
      </c>
      <c r="AK62" s="37">
        <v>7500</v>
      </c>
      <c r="AL62" s="37">
        <v>7800</v>
      </c>
      <c r="AM62" s="37">
        <v>8000</v>
      </c>
      <c r="AN62" s="42">
        <v>7936</v>
      </c>
      <c r="AO62" s="42">
        <v>7953</v>
      </c>
      <c r="AP62" s="13">
        <v>7386</v>
      </c>
      <c r="AQ62" s="3">
        <v>6463</v>
      </c>
      <c r="AR62" s="3">
        <v>502</v>
      </c>
      <c r="AS62" s="3">
        <v>239</v>
      </c>
      <c r="AT62" s="3">
        <v>149</v>
      </c>
      <c r="AU62" s="3">
        <v>19</v>
      </c>
      <c r="AV62" s="3">
        <v>14</v>
      </c>
      <c r="AW62" s="9">
        <v>923</v>
      </c>
      <c r="AX62" s="16">
        <v>0.87503384782020033</v>
      </c>
      <c r="AY62" s="17">
        <v>6.7966422962361217E-2</v>
      </c>
      <c r="AZ62" s="17">
        <v>3.2358516111562416E-2</v>
      </c>
      <c r="BA62" s="17">
        <v>2.017330083942594E-2</v>
      </c>
      <c r="BB62" s="17">
        <v>2.5724343352288115E-3</v>
      </c>
      <c r="BC62" s="17">
        <v>1.8954779312212293E-3</v>
      </c>
      <c r="BD62" s="18">
        <v>0.12496615217979967</v>
      </c>
      <c r="BE62" s="13">
        <v>18877</v>
      </c>
      <c r="BF62" s="3">
        <v>18250</v>
      </c>
      <c r="BG62" s="3">
        <v>627</v>
      </c>
      <c r="BH62" s="3">
        <v>496</v>
      </c>
      <c r="BI62" s="3">
        <v>131</v>
      </c>
      <c r="BJ62" s="22">
        <v>0.7910685805422647</v>
      </c>
      <c r="BK62" s="18">
        <v>0.20893141945773525</v>
      </c>
      <c r="BL62" s="36">
        <v>14349</v>
      </c>
      <c r="BM62" s="18">
        <v>0.60241131786187185</v>
      </c>
      <c r="BN62" s="18">
        <v>0.12544428183148651</v>
      </c>
      <c r="BO62" s="18">
        <v>0.27214440030664155</v>
      </c>
      <c r="BP62" s="36">
        <v>43896</v>
      </c>
      <c r="BQ62" s="37">
        <v>2438</v>
      </c>
      <c r="BR62" s="37">
        <v>2332</v>
      </c>
      <c r="BS62" s="37">
        <v>1070</v>
      </c>
      <c r="BT62" s="37">
        <v>26818</v>
      </c>
      <c r="BU62" s="37">
        <v>15402</v>
      </c>
      <c r="BV62" s="18">
        <v>0.13744968185949877</v>
      </c>
      <c r="BW62" s="36">
        <v>8393</v>
      </c>
      <c r="BX62" s="37">
        <v>8</v>
      </c>
      <c r="BY62" s="37">
        <v>2262</v>
      </c>
      <c r="BZ62" s="37">
        <v>3530</v>
      </c>
      <c r="CA62" s="37">
        <v>1296</v>
      </c>
      <c r="CB62" s="38">
        <v>15489</v>
      </c>
      <c r="CC62" s="37">
        <v>5902</v>
      </c>
      <c r="CD62" s="37">
        <v>4770</v>
      </c>
      <c r="CE62" s="37">
        <v>1113</v>
      </c>
      <c r="CF62" s="37">
        <v>1132</v>
      </c>
      <c r="CG62" s="17">
        <v>0.18858014232463571</v>
      </c>
      <c r="CH62" s="93">
        <v>0.1917993900372755</v>
      </c>
      <c r="CI62" s="37">
        <v>1075</v>
      </c>
      <c r="CJ62" s="37">
        <v>995</v>
      </c>
      <c r="CK62" s="37">
        <v>875</v>
      </c>
      <c r="CL62" s="37">
        <v>870</v>
      </c>
      <c r="CM62" s="42">
        <v>775</v>
      </c>
      <c r="CN62" s="42">
        <v>725</v>
      </c>
      <c r="CO62" s="36">
        <v>3519</v>
      </c>
      <c r="CP62" s="37">
        <v>1200</v>
      </c>
      <c r="CQ62" s="17">
        <v>0.34100596760443308</v>
      </c>
      <c r="CR62" s="38">
        <v>332</v>
      </c>
      <c r="CS62" s="107">
        <v>1435</v>
      </c>
      <c r="CT62" s="107">
        <v>1496</v>
      </c>
      <c r="CU62" s="107">
        <v>1567</v>
      </c>
      <c r="CV62" s="107">
        <v>1619</v>
      </c>
      <c r="CW62" s="107">
        <v>1493</v>
      </c>
      <c r="CX62" s="114">
        <v>1463</v>
      </c>
      <c r="CY62" s="568">
        <v>1517</v>
      </c>
      <c r="CZ62" s="37">
        <v>109</v>
      </c>
      <c r="DA62" s="37">
        <v>76</v>
      </c>
      <c r="DB62" s="37">
        <v>101</v>
      </c>
      <c r="DC62" s="37">
        <v>76</v>
      </c>
      <c r="DD62" s="37">
        <v>77</v>
      </c>
      <c r="DE62" s="536">
        <v>64</v>
      </c>
      <c r="DF62" s="536">
        <v>57</v>
      </c>
      <c r="DG62" s="289" t="s">
        <v>286</v>
      </c>
      <c r="DH62" s="13">
        <v>96</v>
      </c>
      <c r="DI62" s="17">
        <v>6.4300066979236431E-2</v>
      </c>
      <c r="DJ62" s="17">
        <v>5.2941947229811305E-2</v>
      </c>
      <c r="DK62" s="18">
        <v>7.7894526911538545E-2</v>
      </c>
      <c r="DL62" s="425" t="s">
        <v>286</v>
      </c>
      <c r="DM62" s="258" t="s">
        <v>286</v>
      </c>
      <c r="DN62" s="258" t="s">
        <v>286</v>
      </c>
      <c r="DO62" s="258" t="s">
        <v>286</v>
      </c>
      <c r="DP62" s="337">
        <v>89</v>
      </c>
      <c r="DQ62" s="393">
        <v>6.1934585942936674E-2</v>
      </c>
      <c r="DR62" s="393">
        <v>5.0602031071067734E-2</v>
      </c>
      <c r="DS62" s="393">
        <v>7.5603012313461532E-2</v>
      </c>
      <c r="DT62" s="13">
        <v>150</v>
      </c>
      <c r="DU62" s="18">
        <v>2.0319696559198051E-2</v>
      </c>
      <c r="DV62" s="368" t="s">
        <v>286</v>
      </c>
      <c r="DW62" s="369" t="s">
        <v>286</v>
      </c>
      <c r="DX62" s="420" t="s">
        <v>286</v>
      </c>
      <c r="DY62" s="258">
        <v>0.1673</v>
      </c>
      <c r="DZ62" s="420" t="s">
        <v>286</v>
      </c>
      <c r="EA62" s="259">
        <v>0.16200000000000001</v>
      </c>
      <c r="EB62" s="3">
        <v>2878</v>
      </c>
      <c r="EC62" s="18">
        <v>4.3144544718616014E-2</v>
      </c>
      <c r="ED62" s="13">
        <v>1345</v>
      </c>
      <c r="EE62" s="3">
        <v>1395</v>
      </c>
      <c r="EF62" s="3">
        <v>1465</v>
      </c>
      <c r="EG62" s="3">
        <v>1430</v>
      </c>
      <c r="EH62" s="9">
        <v>1285</v>
      </c>
      <c r="EI62" s="9">
        <v>1130</v>
      </c>
      <c r="EJ62" s="13">
        <v>1255</v>
      </c>
      <c r="EK62" s="17">
        <v>0.17915774446823698</v>
      </c>
      <c r="EL62" s="17">
        <v>0.17035401644177106</v>
      </c>
      <c r="EM62" s="17">
        <v>0.18831317179331172</v>
      </c>
      <c r="EN62" s="3">
        <v>1350</v>
      </c>
      <c r="EO62" s="17">
        <v>0.1888111888111888</v>
      </c>
      <c r="EP62" s="17">
        <v>0.17990787908661307</v>
      </c>
      <c r="EQ62" s="17">
        <v>0.19804870191740886</v>
      </c>
      <c r="ER62" s="3">
        <v>1335</v>
      </c>
      <c r="ES62" s="17">
        <v>0.18375774260151412</v>
      </c>
      <c r="ET62" s="17">
        <v>0.17502006739259235</v>
      </c>
      <c r="EU62" s="17">
        <v>0.19282967509642618</v>
      </c>
      <c r="EV62" s="3">
        <v>1450</v>
      </c>
      <c r="EW62" s="17">
        <v>0.19541778975741239</v>
      </c>
      <c r="EX62" s="17">
        <v>0.18655413350967132</v>
      </c>
      <c r="EY62" s="17">
        <v>0.20459665748283737</v>
      </c>
      <c r="EZ62" s="3">
        <v>1435</v>
      </c>
      <c r="FA62" s="18">
        <v>0.18612191958495461</v>
      </c>
      <c r="FB62" s="18">
        <v>0.17759139605505248</v>
      </c>
      <c r="FC62" s="18">
        <v>0.19496506289763801</v>
      </c>
      <c r="FD62" s="337">
        <v>1390</v>
      </c>
      <c r="FE62" s="18">
        <v>0.18374091209517515</v>
      </c>
      <c r="FF62" s="18">
        <v>0.17517525189936017</v>
      </c>
      <c r="FG62" s="393">
        <v>0.19262759797754109</v>
      </c>
      <c r="FH62" s="425">
        <v>1410</v>
      </c>
      <c r="FI62" s="258">
        <v>0.185</v>
      </c>
      <c r="FJ62" s="258">
        <v>0.17699999999999999</v>
      </c>
      <c r="FK62" s="258">
        <v>0.19400000000000001</v>
      </c>
      <c r="FL62" s="36">
        <v>3840</v>
      </c>
      <c r="FM62" s="18">
        <v>0.16368286445012789</v>
      </c>
      <c r="FN62" s="42">
        <v>4050</v>
      </c>
      <c r="FO62" s="18">
        <v>0.17088607594936708</v>
      </c>
      <c r="FP62" s="42">
        <v>3850</v>
      </c>
      <c r="FQ62" s="18">
        <v>0.16251582946390883</v>
      </c>
      <c r="FR62" s="42">
        <v>3875</v>
      </c>
      <c r="FS62" s="18">
        <v>0.16291780533949968</v>
      </c>
      <c r="FT62" s="42">
        <v>3645</v>
      </c>
      <c r="FU62" s="18">
        <v>0.15074441687344914</v>
      </c>
      <c r="FV62" s="42">
        <v>3540</v>
      </c>
      <c r="FW62" s="393">
        <v>0.14532019704433496</v>
      </c>
      <c r="FX62" s="42">
        <v>3735</v>
      </c>
      <c r="FY62" s="93">
        <v>0.154</v>
      </c>
      <c r="FZ62" s="3">
        <v>1536</v>
      </c>
      <c r="GA62" s="3">
        <v>59</v>
      </c>
      <c r="GB62" s="3">
        <v>1486</v>
      </c>
      <c r="GC62" s="17">
        <v>0.96744791666666663</v>
      </c>
      <c r="GD62" s="3">
        <v>572</v>
      </c>
      <c r="GE62" s="3">
        <v>708</v>
      </c>
      <c r="GF62" s="17">
        <v>0.38492597577388965</v>
      </c>
      <c r="GG62" s="17">
        <v>0.47644683714670255</v>
      </c>
      <c r="GH62" s="17">
        <v>0.376</v>
      </c>
      <c r="GI62" s="17">
        <v>0.42599999999999999</v>
      </c>
      <c r="GJ62" s="17">
        <v>0.47</v>
      </c>
      <c r="GK62" s="93">
        <v>0.52100000000000002</v>
      </c>
      <c r="GL62" s="337">
        <v>1388</v>
      </c>
      <c r="GM62" s="337">
        <v>489</v>
      </c>
      <c r="GN62" s="337">
        <v>174</v>
      </c>
      <c r="GO62" s="337">
        <v>663</v>
      </c>
      <c r="GP62" s="393">
        <v>0.35230547550432278</v>
      </c>
      <c r="GQ62" s="393">
        <v>0.4776657060518732</v>
      </c>
      <c r="GR62" s="393">
        <v>0.32761417446210717</v>
      </c>
      <c r="GS62" s="393">
        <v>0.37781204531195201</v>
      </c>
      <c r="GT62" s="393">
        <v>0.45148572445823193</v>
      </c>
      <c r="GU62" s="93">
        <v>0.50396897219052827</v>
      </c>
      <c r="GV62" s="42">
        <v>1467</v>
      </c>
      <c r="GW62" s="42">
        <v>171</v>
      </c>
      <c r="GX62" s="42">
        <v>1296</v>
      </c>
      <c r="GY62" s="393">
        <f t="shared" si="2"/>
        <v>0.8834355828220859</v>
      </c>
      <c r="GZ62" s="42">
        <v>459</v>
      </c>
      <c r="HA62" s="42">
        <v>188</v>
      </c>
      <c r="HB62" s="42">
        <v>647</v>
      </c>
      <c r="HC62" s="393">
        <v>0.35416666666666669</v>
      </c>
      <c r="HD62" s="393">
        <v>0.49922839506172839</v>
      </c>
      <c r="HE62" s="393">
        <v>0.32859446211256094</v>
      </c>
      <c r="HF62" s="393">
        <v>0.38060084210327194</v>
      </c>
      <c r="HG62" s="393">
        <v>0.47204924000303466</v>
      </c>
      <c r="HH62" s="93">
        <v>0.52641211081292216</v>
      </c>
      <c r="HI62" s="702" t="s">
        <v>286</v>
      </c>
      <c r="HJ62" s="703" t="s">
        <v>286</v>
      </c>
      <c r="HK62" s="703" t="s">
        <v>286</v>
      </c>
      <c r="HL62" s="704" t="s">
        <v>286</v>
      </c>
      <c r="HM62" s="703" t="s">
        <v>286</v>
      </c>
      <c r="HN62" s="703" t="s">
        <v>286</v>
      </c>
      <c r="HO62" s="703" t="s">
        <v>286</v>
      </c>
      <c r="HP62" s="704" t="s">
        <v>286</v>
      </c>
      <c r="HQ62" s="704" t="s">
        <v>286</v>
      </c>
      <c r="HR62" s="704" t="s">
        <v>286</v>
      </c>
      <c r="HS62" s="704" t="s">
        <v>286</v>
      </c>
      <c r="HT62" s="704" t="s">
        <v>286</v>
      </c>
      <c r="HU62" s="705" t="s">
        <v>286</v>
      </c>
      <c r="HV62" s="3">
        <v>1142</v>
      </c>
      <c r="HW62" s="268">
        <v>102.78</v>
      </c>
      <c r="HX62" s="17">
        <v>0.09</v>
      </c>
      <c r="HY62" s="17">
        <v>7.2999999999999995E-2</v>
      </c>
      <c r="HZ62" s="17">
        <v>0.107</v>
      </c>
      <c r="IA62" s="267" t="s">
        <v>707</v>
      </c>
      <c r="IB62" s="3">
        <v>1241</v>
      </c>
      <c r="IC62" s="268">
        <v>105.48500000000001</v>
      </c>
      <c r="ID62" s="17">
        <v>8.5000000000000006E-2</v>
      </c>
      <c r="IE62" s="17">
        <v>6.9000000000000006E-2</v>
      </c>
      <c r="IF62" s="17">
        <v>0.10100000000000001</v>
      </c>
      <c r="IG62" s="3" t="s">
        <v>707</v>
      </c>
      <c r="IH62" s="3">
        <v>1158</v>
      </c>
      <c r="II62" s="268">
        <v>119.27399999999999</v>
      </c>
      <c r="IJ62" s="17">
        <v>0.10299999999999999</v>
      </c>
      <c r="IK62" s="17">
        <v>8.5999999999999993E-2</v>
      </c>
      <c r="IL62" s="17">
        <v>0.12</v>
      </c>
      <c r="IM62" s="3" t="s">
        <v>707</v>
      </c>
      <c r="IN62" s="3">
        <v>1432</v>
      </c>
      <c r="IO62" s="268">
        <v>140.33600000000001</v>
      </c>
      <c r="IP62" s="17">
        <v>9.8000000000000004E-2</v>
      </c>
      <c r="IQ62" s="17">
        <v>8.3000000000000004E-2</v>
      </c>
      <c r="IR62" s="17">
        <v>0.113</v>
      </c>
      <c r="IS62" s="3" t="s">
        <v>707</v>
      </c>
      <c r="IT62" s="3">
        <v>1047</v>
      </c>
      <c r="IU62" s="268">
        <v>103.999557</v>
      </c>
      <c r="IV62" s="17">
        <v>9.9331000000000003E-2</v>
      </c>
      <c r="IW62" s="17">
        <v>8.2652000000000003E-2</v>
      </c>
      <c r="IX62" s="17">
        <v>0.11894</v>
      </c>
      <c r="IY62" s="9" t="s">
        <v>772</v>
      </c>
      <c r="IZ62" s="9">
        <v>1320</v>
      </c>
      <c r="JA62" s="9">
        <v>134.99999999999963</v>
      </c>
      <c r="JB62" s="17">
        <v>0.102272727272727</v>
      </c>
      <c r="JC62" s="17">
        <v>8.7063749187249892E-2</v>
      </c>
      <c r="JD62" s="17">
        <v>0.119789916707636</v>
      </c>
      <c r="JE62" s="9" t="str">
        <f t="shared" si="5"/>
        <v>No Sig diff</v>
      </c>
      <c r="JF62" s="667">
        <v>1437</v>
      </c>
      <c r="JG62" s="672">
        <v>126.99999999999999</v>
      </c>
      <c r="JH62" s="669">
        <v>8.8378566457898391E-2</v>
      </c>
      <c r="JI62" s="669">
        <v>7.4778791620851909E-2</v>
      </c>
      <c r="JJ62" s="669">
        <v>0.10417320704785199</v>
      </c>
      <c r="JK62" s="662" t="str">
        <f t="shared" si="6"/>
        <v>No Sig diff</v>
      </c>
      <c r="JL62" s="3">
        <v>1236</v>
      </c>
      <c r="JM62" s="268">
        <v>196.524</v>
      </c>
      <c r="JN62" s="17">
        <v>0.159</v>
      </c>
      <c r="JO62" s="17">
        <v>0.13900000000000001</v>
      </c>
      <c r="JP62" s="17">
        <v>0.17899999999999999</v>
      </c>
      <c r="JQ62" s="3" t="s">
        <v>708</v>
      </c>
      <c r="JR62" s="3">
        <v>1196</v>
      </c>
      <c r="JS62" s="268">
        <v>218.86799999999999</v>
      </c>
      <c r="JT62" s="17">
        <v>0.183</v>
      </c>
      <c r="JU62" s="17">
        <v>0.161</v>
      </c>
      <c r="JV62" s="17">
        <v>0.20499999999999999</v>
      </c>
      <c r="JW62" s="3" t="s">
        <v>707</v>
      </c>
      <c r="JX62" s="3">
        <v>1187</v>
      </c>
      <c r="JY62" s="268">
        <v>214.84699999999998</v>
      </c>
      <c r="JZ62" s="17">
        <v>0.18099999999999999</v>
      </c>
      <c r="KA62" s="17">
        <v>0.159</v>
      </c>
      <c r="KB62" s="17">
        <v>0.20299999999999999</v>
      </c>
      <c r="KC62" s="3" t="s">
        <v>707</v>
      </c>
      <c r="KD62" s="3">
        <v>1199</v>
      </c>
      <c r="KE62" s="268">
        <v>183.447</v>
      </c>
      <c r="KF62" s="17">
        <v>0.153</v>
      </c>
      <c r="KG62" s="17">
        <v>0.13300000000000001</v>
      </c>
      <c r="KH62" s="17">
        <v>0.17299999999999999</v>
      </c>
      <c r="KI62" s="3" t="s">
        <v>708</v>
      </c>
      <c r="KJ62" s="3">
        <v>1273</v>
      </c>
      <c r="KK62" s="268">
        <v>238.99938499999999</v>
      </c>
      <c r="KL62" s="17">
        <v>0.187745</v>
      </c>
      <c r="KM62" s="17">
        <v>0.16724499999999998</v>
      </c>
      <c r="KN62" s="17">
        <v>0.21012500000000001</v>
      </c>
      <c r="KO62" s="9" t="s">
        <v>772</v>
      </c>
      <c r="KP62" s="9">
        <v>1298</v>
      </c>
      <c r="KQ62" s="9">
        <v>223.99999999999994</v>
      </c>
      <c r="KR62" s="393">
        <v>0.17257318952234202</v>
      </c>
      <c r="KS62" s="393">
        <v>0.15298986679322599</v>
      </c>
      <c r="KT62" s="393">
        <v>0.19408884679299401</v>
      </c>
      <c r="KU62" s="9" t="s">
        <v>772</v>
      </c>
      <c r="KV62" s="667">
        <v>1293</v>
      </c>
      <c r="KW62" s="667">
        <v>245.99999999999946</v>
      </c>
      <c r="KX62" s="385">
        <v>0.19025522041763299</v>
      </c>
      <c r="KY62" s="385">
        <v>0.16979078977315301</v>
      </c>
      <c r="KZ62" s="385">
        <v>0.21255468156271601</v>
      </c>
      <c r="LA62" s="662" t="str">
        <f t="shared" si="4"/>
        <v>No Sig diff</v>
      </c>
      <c r="LB62" s="3">
        <v>1542</v>
      </c>
      <c r="LC62" s="3">
        <v>715</v>
      </c>
      <c r="LD62" s="17">
        <v>0.46368352788586253</v>
      </c>
      <c r="LE62" s="17">
        <v>0.43891441899559364</v>
      </c>
      <c r="LF62" s="17">
        <v>0.48863313165333022</v>
      </c>
      <c r="LG62" s="3">
        <v>1542</v>
      </c>
      <c r="LH62" s="3">
        <v>33</v>
      </c>
      <c r="LI62" s="3">
        <v>308</v>
      </c>
      <c r="LJ62" s="293">
        <v>22.461038961038945</v>
      </c>
      <c r="LK62" s="17">
        <v>0.31936245572609256</v>
      </c>
      <c r="LL62" s="3">
        <v>1589</v>
      </c>
      <c r="LM62" s="3">
        <v>889</v>
      </c>
      <c r="LN62" s="17">
        <v>0.55947136563876654</v>
      </c>
      <c r="LO62" s="17">
        <v>0.53494728540455549</v>
      </c>
      <c r="LP62" s="17">
        <v>0.58370859145837573</v>
      </c>
      <c r="LQ62" s="3">
        <v>1589</v>
      </c>
      <c r="LR62" s="3">
        <v>34</v>
      </c>
      <c r="LS62" s="3">
        <v>317</v>
      </c>
      <c r="LT62" s="293">
        <v>23.64984227129338</v>
      </c>
      <c r="LU62" s="18">
        <v>0.30441640378548884</v>
      </c>
      <c r="LV62" s="42">
        <v>1485</v>
      </c>
      <c r="LW62" s="42">
        <v>854</v>
      </c>
      <c r="LX62" s="393">
        <v>0.57508417508417509</v>
      </c>
      <c r="LY62" s="393">
        <v>0.54978002690346328</v>
      </c>
      <c r="LZ62" s="393">
        <v>0.60000086392196916</v>
      </c>
      <c r="MA62" s="337">
        <v>34</v>
      </c>
      <c r="MB62" s="337">
        <v>297</v>
      </c>
      <c r="MC62" s="294">
        <v>22.144781144781145</v>
      </c>
      <c r="MD62" s="393">
        <v>0.34868290750643688</v>
      </c>
      <c r="ME62" s="337">
        <v>1647</v>
      </c>
      <c r="MF62" s="337">
        <v>1071</v>
      </c>
      <c r="MG62" s="393">
        <v>0.65027322404371579</v>
      </c>
      <c r="MH62" s="393">
        <v>0.62691665071467162</v>
      </c>
      <c r="MI62" s="393">
        <v>0.6729304347550692</v>
      </c>
      <c r="MJ62" s="337">
        <v>34</v>
      </c>
      <c r="MK62" s="337">
        <v>329</v>
      </c>
      <c r="ML62" s="294">
        <v>23.042424242424243</v>
      </c>
      <c r="MM62" s="93">
        <v>0.32228163992869874</v>
      </c>
      <c r="MN62" s="17"/>
      <c r="MO62" s="17"/>
      <c r="MP62" s="17"/>
      <c r="MQ62" s="17"/>
      <c r="MR62" s="17"/>
      <c r="MS62" s="17"/>
      <c r="MT62" s="17"/>
      <c r="MU62" s="17"/>
      <c r="MV62" s="17"/>
      <c r="MW62" s="17"/>
      <c r="MX62" s="17"/>
      <c r="MY62" s="17"/>
      <c r="MZ62" s="17"/>
      <c r="NA62" s="17"/>
      <c r="NB62" s="17"/>
      <c r="NC62" s="93"/>
      <c r="ND62" s="337">
        <v>107</v>
      </c>
      <c r="NE62" s="337">
        <v>759</v>
      </c>
      <c r="NF62" s="393">
        <v>0.14097496706192358</v>
      </c>
      <c r="NG62" s="393">
        <v>0.11802206187263255</v>
      </c>
      <c r="NH62" s="393">
        <v>0.16754377399248102</v>
      </c>
      <c r="NI62" s="337">
        <v>82</v>
      </c>
      <c r="NJ62" s="337">
        <v>759</v>
      </c>
      <c r="NK62" s="393">
        <v>0.1080368906455863</v>
      </c>
      <c r="NL62" s="393">
        <v>8.7893677254453781E-2</v>
      </c>
      <c r="NM62" s="393">
        <v>0.13212773988268856</v>
      </c>
      <c r="NN62" s="337">
        <v>91</v>
      </c>
      <c r="NO62" s="337">
        <v>751</v>
      </c>
      <c r="NP62" s="393">
        <v>0.12117177097203728</v>
      </c>
      <c r="NQ62" s="393">
        <v>9.9740508015234847E-2</v>
      </c>
      <c r="NR62" s="393">
        <v>0.1464588185440647</v>
      </c>
      <c r="NS62" s="337">
        <v>169</v>
      </c>
      <c r="NT62" s="337">
        <v>754</v>
      </c>
      <c r="NU62" s="393">
        <v>0.22413793103448276</v>
      </c>
      <c r="NV62" s="393">
        <v>0.19581344264540859</v>
      </c>
      <c r="NW62" s="93">
        <v>0.25525908029711636</v>
      </c>
      <c r="NX62" s="391" t="s">
        <v>286</v>
      </c>
      <c r="NY62" s="391" t="s">
        <v>286</v>
      </c>
      <c r="NZ62" s="391" t="s">
        <v>286</v>
      </c>
      <c r="OA62" s="391" t="s">
        <v>286</v>
      </c>
      <c r="OB62" s="391" t="s">
        <v>286</v>
      </c>
      <c r="OC62" s="391" t="s">
        <v>286</v>
      </c>
      <c r="OD62" s="391" t="s">
        <v>286</v>
      </c>
      <c r="OE62" s="391" t="s">
        <v>286</v>
      </c>
      <c r="OF62" s="391" t="s">
        <v>286</v>
      </c>
      <c r="OG62" s="391" t="s">
        <v>286</v>
      </c>
      <c r="OH62" s="391" t="s">
        <v>286</v>
      </c>
      <c r="OI62" s="391" t="s">
        <v>286</v>
      </c>
      <c r="OJ62" s="391" t="s">
        <v>286</v>
      </c>
      <c r="OK62" s="391" t="s">
        <v>286</v>
      </c>
      <c r="OL62" s="391" t="s">
        <v>286</v>
      </c>
      <c r="OM62" s="391" t="s">
        <v>286</v>
      </c>
      <c r="ON62" s="391" t="s">
        <v>286</v>
      </c>
      <c r="OO62" s="391" t="s">
        <v>286</v>
      </c>
      <c r="OP62" s="391" t="s">
        <v>286</v>
      </c>
      <c r="OQ62" s="391" t="s">
        <v>286</v>
      </c>
      <c r="OR62" s="391" t="s">
        <v>286</v>
      </c>
      <c r="OS62" s="391" t="s">
        <v>286</v>
      </c>
      <c r="OT62" s="115" t="s">
        <v>286</v>
      </c>
      <c r="OU62" s="3">
        <v>1461</v>
      </c>
      <c r="OV62" s="22">
        <v>0.95299999999999996</v>
      </c>
      <c r="OW62" s="22">
        <v>5.0000000000000001E-3</v>
      </c>
      <c r="OX62" s="22">
        <v>0.95499999999999996</v>
      </c>
      <c r="OY62" s="3">
        <v>1393</v>
      </c>
      <c r="OZ62" s="3">
        <v>7</v>
      </c>
      <c r="PA62" s="3">
        <v>1395</v>
      </c>
      <c r="PB62" s="3">
        <v>1597</v>
      </c>
      <c r="PC62" s="22">
        <v>0.97399999999999998</v>
      </c>
      <c r="PD62" s="22">
        <v>0.92700000000000005</v>
      </c>
      <c r="PE62" s="22">
        <v>0.97199999999999998</v>
      </c>
      <c r="PF62" s="22">
        <v>0.93</v>
      </c>
      <c r="PG62" s="22">
        <v>0.92700000000000005</v>
      </c>
      <c r="PH62" s="3">
        <v>1556</v>
      </c>
      <c r="PI62" s="3">
        <v>1481</v>
      </c>
      <c r="PJ62" s="3">
        <v>1552</v>
      </c>
      <c r="PK62" s="3">
        <v>1486</v>
      </c>
      <c r="PL62" s="3">
        <v>1481</v>
      </c>
      <c r="PM62" s="3">
        <v>1587</v>
      </c>
      <c r="PN62" s="22">
        <v>0.96099999999999997</v>
      </c>
      <c r="PO62" s="22">
        <v>0.91200000000000003</v>
      </c>
      <c r="PP62" s="22">
        <v>0.96099999999999997</v>
      </c>
      <c r="PQ62" s="22">
        <v>0.95899999999999996</v>
      </c>
      <c r="PR62" s="22">
        <v>0.95399999999999996</v>
      </c>
      <c r="PS62" s="22">
        <v>0.86699999999999999</v>
      </c>
      <c r="PT62" s="22">
        <v>0.93799999999999994</v>
      </c>
      <c r="PU62" s="22">
        <v>0.90900000000000003</v>
      </c>
      <c r="PV62" s="22">
        <v>0.95499999999999996</v>
      </c>
      <c r="PW62" s="22">
        <v>0.90900000000000003</v>
      </c>
      <c r="PX62" s="3">
        <v>1525</v>
      </c>
      <c r="PY62" s="3">
        <v>1448</v>
      </c>
      <c r="PZ62" s="3">
        <v>1525</v>
      </c>
      <c r="QA62" s="3">
        <v>1522</v>
      </c>
      <c r="QB62" s="3">
        <v>1514</v>
      </c>
      <c r="QC62" s="3">
        <v>1376</v>
      </c>
      <c r="QD62" s="3">
        <v>1488</v>
      </c>
      <c r="QE62" s="3">
        <v>1443</v>
      </c>
      <c r="QF62" s="3">
        <v>1515</v>
      </c>
      <c r="QG62" s="6">
        <v>1442</v>
      </c>
      <c r="QH62" s="37">
        <v>1507</v>
      </c>
      <c r="QI62" s="17">
        <v>0.91771731917717314</v>
      </c>
      <c r="QJ62" s="17">
        <v>0.21831453218314531</v>
      </c>
      <c r="QK62" s="17">
        <v>0.92634372926343733</v>
      </c>
      <c r="QL62" s="37">
        <v>1383</v>
      </c>
      <c r="QM62" s="37">
        <v>329</v>
      </c>
      <c r="QN62" s="37">
        <v>1396</v>
      </c>
      <c r="QO62" s="37">
        <v>1461</v>
      </c>
      <c r="QP62" s="17">
        <v>0.95140314852840524</v>
      </c>
      <c r="QQ62" s="17">
        <v>0.91101984941820668</v>
      </c>
      <c r="QR62" s="17">
        <v>0.74469541409993156</v>
      </c>
      <c r="QS62" s="17">
        <v>0.91307323750855574</v>
      </c>
      <c r="QT62" s="17">
        <v>0.71457905544147848</v>
      </c>
      <c r="QU62" s="37">
        <v>1390</v>
      </c>
      <c r="QV62" s="37">
        <v>1331</v>
      </c>
      <c r="QW62" s="37">
        <v>1088</v>
      </c>
      <c r="QX62" s="37">
        <v>1334</v>
      </c>
      <c r="QY62" s="37">
        <v>1044</v>
      </c>
      <c r="QZ62" s="3">
        <v>1611</v>
      </c>
      <c r="RA62" s="17">
        <v>0.96896337678460587</v>
      </c>
      <c r="RB62" s="17">
        <v>0.85226567349472382</v>
      </c>
      <c r="RC62" s="17">
        <v>0.96896337678460587</v>
      </c>
      <c r="RD62" s="17">
        <v>0.96896337678460587</v>
      </c>
      <c r="RE62" s="17">
        <v>0.7268777157045313</v>
      </c>
      <c r="RF62" s="17">
        <v>0.90937306021104902</v>
      </c>
      <c r="RG62" s="17">
        <v>0.93047796399751703</v>
      </c>
      <c r="RH62" s="17">
        <v>0.9087523277467412</v>
      </c>
      <c r="RI62" s="17">
        <v>0.72439478584729977</v>
      </c>
      <c r="RJ62" s="17">
        <v>0.67225325884543763</v>
      </c>
      <c r="RK62" s="37">
        <v>1561</v>
      </c>
      <c r="RL62" s="37">
        <v>1373</v>
      </c>
      <c r="RM62" s="37">
        <v>1561</v>
      </c>
      <c r="RN62" s="37">
        <v>1561</v>
      </c>
      <c r="RO62" s="37">
        <v>1171</v>
      </c>
      <c r="RP62" s="37">
        <v>1465</v>
      </c>
      <c r="RQ62" s="37">
        <v>1499</v>
      </c>
      <c r="RR62" s="37">
        <v>1464</v>
      </c>
      <c r="RS62" s="37">
        <v>1167</v>
      </c>
      <c r="RT62" s="38">
        <v>1083</v>
      </c>
    </row>
    <row r="63" spans="1:488" s="3" customFormat="1" ht="12.75" x14ac:dyDescent="0.2">
      <c r="A63" s="9" t="s">
        <v>125</v>
      </c>
      <c r="B63" s="6">
        <v>3</v>
      </c>
      <c r="C63" s="9" t="s">
        <v>286</v>
      </c>
      <c r="D63" s="9" t="s">
        <v>286</v>
      </c>
      <c r="E63" s="9" t="s">
        <v>286</v>
      </c>
      <c r="F63" s="9" t="s">
        <v>286</v>
      </c>
      <c r="G63" s="9" t="s">
        <v>286</v>
      </c>
      <c r="H63" s="9" t="s">
        <v>286</v>
      </c>
      <c r="I63" s="9" t="s">
        <v>44</v>
      </c>
      <c r="J63" s="9" t="s">
        <v>268</v>
      </c>
      <c r="K63" s="9" t="s">
        <v>286</v>
      </c>
      <c r="L63" s="9" t="s">
        <v>286</v>
      </c>
      <c r="M63" s="9" t="s">
        <v>286</v>
      </c>
      <c r="N63" s="9" t="s">
        <v>286</v>
      </c>
      <c r="O63" s="109" t="s">
        <v>286</v>
      </c>
      <c r="P63" s="109" t="s">
        <v>286</v>
      </c>
      <c r="Q63" s="109" t="s">
        <v>286</v>
      </c>
      <c r="R63" s="109" t="s">
        <v>286</v>
      </c>
      <c r="S63" s="109" t="s">
        <v>286</v>
      </c>
      <c r="T63" s="36">
        <v>108800</v>
      </c>
      <c r="U63" s="37">
        <v>109700</v>
      </c>
      <c r="V63" s="37">
        <v>110600</v>
      </c>
      <c r="W63" s="37">
        <v>111800</v>
      </c>
      <c r="X63" s="37">
        <v>112500</v>
      </c>
      <c r="Y63" s="37">
        <v>113400</v>
      </c>
      <c r="Z63" s="37">
        <v>114000</v>
      </c>
      <c r="AA63" s="37">
        <v>114500</v>
      </c>
      <c r="AB63" s="37">
        <v>115300</v>
      </c>
      <c r="AC63" s="42">
        <v>115525</v>
      </c>
      <c r="AD63" s="42">
        <v>116976</v>
      </c>
      <c r="AE63" s="36">
        <v>5000</v>
      </c>
      <c r="AF63" s="37">
        <v>5100</v>
      </c>
      <c r="AG63" s="37">
        <v>5300</v>
      </c>
      <c r="AH63" s="37">
        <v>5500</v>
      </c>
      <c r="AI63" s="37">
        <v>5600</v>
      </c>
      <c r="AJ63" s="37">
        <v>5600</v>
      </c>
      <c r="AK63" s="37">
        <v>5600</v>
      </c>
      <c r="AL63" s="37">
        <v>5800</v>
      </c>
      <c r="AM63" s="37">
        <v>5800</v>
      </c>
      <c r="AN63" s="42">
        <v>5725</v>
      </c>
      <c r="AO63" s="42">
        <v>5876</v>
      </c>
      <c r="AP63" s="13">
        <v>5652</v>
      </c>
      <c r="AQ63" s="3">
        <v>5123</v>
      </c>
      <c r="AR63" s="3">
        <v>182</v>
      </c>
      <c r="AS63" s="3">
        <v>157</v>
      </c>
      <c r="AT63" s="3">
        <v>119</v>
      </c>
      <c r="AU63" s="3">
        <v>50</v>
      </c>
      <c r="AV63" s="3">
        <v>21</v>
      </c>
      <c r="AW63" s="9">
        <v>529</v>
      </c>
      <c r="AX63" s="16">
        <v>0.90640481245576787</v>
      </c>
      <c r="AY63" s="17">
        <v>3.2200990799716916E-2</v>
      </c>
      <c r="AZ63" s="17">
        <v>2.7777777777777776E-2</v>
      </c>
      <c r="BA63" s="17">
        <v>2.1054493984430291E-2</v>
      </c>
      <c r="BB63" s="17">
        <v>8.8464260438782735E-3</v>
      </c>
      <c r="BC63" s="17">
        <v>3.7154989384288748E-3</v>
      </c>
      <c r="BD63" s="18">
        <v>9.3595187544232128E-2</v>
      </c>
      <c r="BE63" s="13">
        <v>15282</v>
      </c>
      <c r="BF63" s="3">
        <v>15073</v>
      </c>
      <c r="BG63" s="3">
        <v>209</v>
      </c>
      <c r="BH63" s="3">
        <v>179</v>
      </c>
      <c r="BI63" s="3">
        <v>30</v>
      </c>
      <c r="BJ63" s="22">
        <v>0.8564593301435407</v>
      </c>
      <c r="BK63" s="18">
        <v>0.14354066985645933</v>
      </c>
      <c r="BL63" s="36">
        <v>11231</v>
      </c>
      <c r="BM63" s="18">
        <v>0.5725224824147449</v>
      </c>
      <c r="BN63" s="18">
        <v>0.20470127326150833</v>
      </c>
      <c r="BO63" s="18">
        <v>0.22277624432374676</v>
      </c>
      <c r="BP63" s="36">
        <v>32930</v>
      </c>
      <c r="BQ63" s="37">
        <v>1623</v>
      </c>
      <c r="BR63" s="37">
        <v>1811</v>
      </c>
      <c r="BS63" s="37">
        <v>909</v>
      </c>
      <c r="BT63" s="37">
        <v>21007</v>
      </c>
      <c r="BU63" s="37">
        <v>11757</v>
      </c>
      <c r="BV63" s="18">
        <v>0.15446117206770435</v>
      </c>
      <c r="BW63" s="36">
        <v>7237</v>
      </c>
      <c r="BX63" s="37">
        <v>5</v>
      </c>
      <c r="BY63" s="37">
        <v>1457</v>
      </c>
      <c r="BZ63" s="37">
        <v>2293</v>
      </c>
      <c r="CA63" s="37">
        <v>835</v>
      </c>
      <c r="CB63" s="38">
        <v>11827</v>
      </c>
      <c r="CC63" s="37">
        <v>4366</v>
      </c>
      <c r="CD63" s="37">
        <v>3704</v>
      </c>
      <c r="CE63" s="37">
        <v>655</v>
      </c>
      <c r="CF63" s="37">
        <v>662</v>
      </c>
      <c r="CG63" s="17">
        <v>0.15002290426019241</v>
      </c>
      <c r="CH63" s="93">
        <v>0.1516262024736601</v>
      </c>
      <c r="CI63" s="37">
        <v>635</v>
      </c>
      <c r="CJ63" s="37">
        <v>590</v>
      </c>
      <c r="CK63" s="37">
        <v>495</v>
      </c>
      <c r="CL63" s="37">
        <v>500</v>
      </c>
      <c r="CM63" s="42">
        <v>490</v>
      </c>
      <c r="CN63" s="42">
        <v>440</v>
      </c>
      <c r="CO63" s="36">
        <v>2288</v>
      </c>
      <c r="CP63" s="37">
        <v>731</v>
      </c>
      <c r="CQ63" s="17">
        <v>0.31949300699300698</v>
      </c>
      <c r="CR63" s="38">
        <v>191</v>
      </c>
      <c r="CS63" s="107">
        <v>1131</v>
      </c>
      <c r="CT63" s="107">
        <v>1067</v>
      </c>
      <c r="CU63" s="107">
        <v>1134</v>
      </c>
      <c r="CV63" s="107">
        <v>1136</v>
      </c>
      <c r="CW63" s="107">
        <v>1046</v>
      </c>
      <c r="CX63" s="114">
        <v>1060</v>
      </c>
      <c r="CY63" s="568">
        <v>1051</v>
      </c>
      <c r="CZ63" s="37">
        <v>59</v>
      </c>
      <c r="DA63" s="37">
        <v>55</v>
      </c>
      <c r="DB63" s="37">
        <v>48</v>
      </c>
      <c r="DC63" s="37">
        <v>51</v>
      </c>
      <c r="DD63" s="37">
        <v>50</v>
      </c>
      <c r="DE63" s="536">
        <v>27</v>
      </c>
      <c r="DF63" s="536">
        <v>27</v>
      </c>
      <c r="DG63" s="289" t="s">
        <v>286</v>
      </c>
      <c r="DH63" s="13">
        <v>64</v>
      </c>
      <c r="DI63" s="17">
        <v>6.1185468451242828E-2</v>
      </c>
      <c r="DJ63" s="17">
        <v>4.820474463457429E-2</v>
      </c>
      <c r="DK63" s="18">
        <v>7.7377511346051614E-2</v>
      </c>
      <c r="DL63" s="425" t="s">
        <v>286</v>
      </c>
      <c r="DM63" s="258" t="s">
        <v>286</v>
      </c>
      <c r="DN63" s="258" t="s">
        <v>286</v>
      </c>
      <c r="DO63" s="258" t="s">
        <v>286</v>
      </c>
      <c r="DP63" s="337">
        <v>48</v>
      </c>
      <c r="DQ63" s="393">
        <v>5.0632911392405063E-2</v>
      </c>
      <c r="DR63" s="393">
        <v>3.8400563572256789E-2</v>
      </c>
      <c r="DS63" s="393">
        <v>6.64923867142279E-2</v>
      </c>
      <c r="DT63" s="13">
        <v>89</v>
      </c>
      <c r="DU63" s="18">
        <v>1.5766164747564215E-2</v>
      </c>
      <c r="DV63" s="368" t="s">
        <v>286</v>
      </c>
      <c r="DW63" s="369" t="s">
        <v>286</v>
      </c>
      <c r="DX63" s="420" t="s">
        <v>286</v>
      </c>
      <c r="DY63" s="258">
        <v>0.125</v>
      </c>
      <c r="DZ63" s="420" t="s">
        <v>286</v>
      </c>
      <c r="EA63" s="259">
        <v>0.121</v>
      </c>
      <c r="EB63" s="3">
        <v>1500</v>
      </c>
      <c r="EC63" s="18">
        <v>3.0091478093403949E-2</v>
      </c>
      <c r="ED63" s="13">
        <v>825</v>
      </c>
      <c r="EE63" s="3">
        <v>820</v>
      </c>
      <c r="EF63" s="3">
        <v>865</v>
      </c>
      <c r="EG63" s="3">
        <v>770</v>
      </c>
      <c r="EH63" s="9">
        <v>740</v>
      </c>
      <c r="EI63" s="9">
        <v>675</v>
      </c>
      <c r="EJ63" s="13">
        <v>725</v>
      </c>
      <c r="EK63" s="17">
        <v>0.13731060606060605</v>
      </c>
      <c r="EL63" s="17">
        <v>0.12829044708641998</v>
      </c>
      <c r="EM63" s="17">
        <v>0.14685812997652209</v>
      </c>
      <c r="EN63" s="3">
        <v>810</v>
      </c>
      <c r="EO63" s="17">
        <v>0.14835164835164835</v>
      </c>
      <c r="EP63" s="17">
        <v>0.13917076888037969</v>
      </c>
      <c r="EQ63" s="17">
        <v>0.15802699409629006</v>
      </c>
      <c r="ER63" s="3">
        <v>810</v>
      </c>
      <c r="ES63" s="17">
        <v>0.14660633484162897</v>
      </c>
      <c r="ET63" s="17">
        <v>0.13752507435808467</v>
      </c>
      <c r="EU63" s="17">
        <v>0.15617867369025612</v>
      </c>
      <c r="EV63" s="3">
        <v>835</v>
      </c>
      <c r="EW63" s="17">
        <v>0.1496415770609319</v>
      </c>
      <c r="EX63" s="17">
        <v>0.14052310721598951</v>
      </c>
      <c r="EY63" s="17">
        <v>0.15924211197313282</v>
      </c>
      <c r="EZ63" s="3">
        <v>770</v>
      </c>
      <c r="FA63" s="18">
        <v>0.13640389725420726</v>
      </c>
      <c r="FB63" s="18">
        <v>0.1276974533495126</v>
      </c>
      <c r="FC63" s="18">
        <v>0.14560486360788366</v>
      </c>
      <c r="FD63" s="337">
        <v>780</v>
      </c>
      <c r="FE63" s="18">
        <v>0.15537848605577689</v>
      </c>
      <c r="FF63" s="18">
        <v>0.14562109661438943</v>
      </c>
      <c r="FG63" s="393">
        <v>0.16566290222179061</v>
      </c>
      <c r="FH63" s="425">
        <v>800</v>
      </c>
      <c r="FI63" s="258">
        <v>0.153</v>
      </c>
      <c r="FJ63" s="258">
        <v>0.14399999999999999</v>
      </c>
      <c r="FK63" s="258">
        <v>0.16300000000000001</v>
      </c>
      <c r="FL63" s="36">
        <v>2325</v>
      </c>
      <c r="FM63" s="18">
        <v>0.12718818380743982</v>
      </c>
      <c r="FN63" s="42">
        <v>2410</v>
      </c>
      <c r="FO63" s="18">
        <v>0.13055254604550379</v>
      </c>
      <c r="FP63" s="42">
        <v>2340</v>
      </c>
      <c r="FQ63" s="18">
        <v>0.12658912631863672</v>
      </c>
      <c r="FR63" s="42">
        <v>2250</v>
      </c>
      <c r="FS63" s="18">
        <v>0.12139196115457243</v>
      </c>
      <c r="FT63" s="42">
        <v>2115</v>
      </c>
      <c r="FU63" s="18">
        <v>0.11398544866612773</v>
      </c>
      <c r="FV63" s="42">
        <v>2075</v>
      </c>
      <c r="FW63" s="393">
        <v>0.1136674883593536</v>
      </c>
      <c r="FX63" s="42">
        <v>2215</v>
      </c>
      <c r="FY63" s="93">
        <v>0.122</v>
      </c>
      <c r="FZ63" s="3">
        <v>952</v>
      </c>
      <c r="GA63" s="3">
        <v>67</v>
      </c>
      <c r="GB63" s="3">
        <v>896</v>
      </c>
      <c r="GC63" s="17">
        <v>0.94117647058823528</v>
      </c>
      <c r="GD63" s="3">
        <v>387</v>
      </c>
      <c r="GE63" s="3">
        <v>497</v>
      </c>
      <c r="GF63" s="17">
        <v>0.43191964285714285</v>
      </c>
      <c r="GG63" s="17">
        <v>0.5546875</v>
      </c>
      <c r="GH63" s="17">
        <v>0.39500000000000002</v>
      </c>
      <c r="GI63" s="17">
        <v>0.46</v>
      </c>
      <c r="GJ63" s="17">
        <v>0.51600000000000001</v>
      </c>
      <c r="GK63" s="93">
        <v>0.58099999999999996</v>
      </c>
      <c r="GL63" s="337">
        <v>845</v>
      </c>
      <c r="GM63" s="337">
        <v>334</v>
      </c>
      <c r="GN63" s="337">
        <v>117</v>
      </c>
      <c r="GO63" s="337">
        <v>451</v>
      </c>
      <c r="GP63" s="393">
        <v>0.39526627218934912</v>
      </c>
      <c r="GQ63" s="393">
        <v>0.53372781065088759</v>
      </c>
      <c r="GR63" s="393">
        <v>0.3628469919208408</v>
      </c>
      <c r="GS63" s="393">
        <v>0.4286335040413754</v>
      </c>
      <c r="GT63" s="393">
        <v>0.50001540526009736</v>
      </c>
      <c r="GU63" s="93">
        <v>0.567134943497833</v>
      </c>
      <c r="GV63" s="42">
        <v>937</v>
      </c>
      <c r="GW63" s="42">
        <v>246</v>
      </c>
      <c r="GX63" s="42">
        <v>691</v>
      </c>
      <c r="GY63" s="393">
        <f t="shared" si="2"/>
        <v>0.73745997865528279</v>
      </c>
      <c r="GZ63" s="42">
        <v>316</v>
      </c>
      <c r="HA63" s="42">
        <v>84</v>
      </c>
      <c r="HB63" s="42">
        <v>400</v>
      </c>
      <c r="HC63" s="393">
        <v>0.45730824891461652</v>
      </c>
      <c r="HD63" s="393">
        <v>0.57887120115774238</v>
      </c>
      <c r="HE63" s="393">
        <v>0.42050220834896701</v>
      </c>
      <c r="HF63" s="393">
        <v>0.49458633559005388</v>
      </c>
      <c r="HG63" s="393">
        <v>0.54172093873136951</v>
      </c>
      <c r="HH63" s="93">
        <v>0.61514937839823591</v>
      </c>
      <c r="HI63" s="702" t="s">
        <v>286</v>
      </c>
      <c r="HJ63" s="703" t="s">
        <v>286</v>
      </c>
      <c r="HK63" s="703" t="s">
        <v>286</v>
      </c>
      <c r="HL63" s="704" t="s">
        <v>286</v>
      </c>
      <c r="HM63" s="703" t="s">
        <v>286</v>
      </c>
      <c r="HN63" s="703" t="s">
        <v>286</v>
      </c>
      <c r="HO63" s="703" t="s">
        <v>286</v>
      </c>
      <c r="HP63" s="704" t="s">
        <v>286</v>
      </c>
      <c r="HQ63" s="704" t="s">
        <v>286</v>
      </c>
      <c r="HR63" s="704" t="s">
        <v>286</v>
      </c>
      <c r="HS63" s="704" t="s">
        <v>286</v>
      </c>
      <c r="HT63" s="704" t="s">
        <v>286</v>
      </c>
      <c r="HU63" s="705" t="s">
        <v>286</v>
      </c>
      <c r="HV63" s="3">
        <v>991</v>
      </c>
      <c r="HW63" s="268">
        <v>99.100000000000009</v>
      </c>
      <c r="HX63" s="17">
        <v>0.1</v>
      </c>
      <c r="HY63" s="17">
        <v>8.1000000000000003E-2</v>
      </c>
      <c r="HZ63" s="17">
        <v>0.11900000000000001</v>
      </c>
      <c r="IA63" s="267" t="s">
        <v>707</v>
      </c>
      <c r="IB63" s="3">
        <v>956</v>
      </c>
      <c r="IC63" s="268">
        <v>75.524000000000001</v>
      </c>
      <c r="ID63" s="17">
        <v>7.9000000000000001E-2</v>
      </c>
      <c r="IE63" s="17">
        <v>6.2E-2</v>
      </c>
      <c r="IF63" s="17">
        <v>9.6000000000000002E-2</v>
      </c>
      <c r="IG63" s="3" t="s">
        <v>707</v>
      </c>
      <c r="IH63" s="3">
        <v>951</v>
      </c>
      <c r="II63" s="268">
        <v>65.619</v>
      </c>
      <c r="IJ63" s="17">
        <v>6.9000000000000006E-2</v>
      </c>
      <c r="IK63" s="17">
        <v>5.3000000000000005E-2</v>
      </c>
      <c r="IL63" s="17">
        <v>8.5000000000000006E-2</v>
      </c>
      <c r="IM63" s="3" t="s">
        <v>708</v>
      </c>
      <c r="IN63" s="3">
        <v>988</v>
      </c>
      <c r="IO63" s="268">
        <v>83.98</v>
      </c>
      <c r="IP63" s="17">
        <v>8.5000000000000006E-2</v>
      </c>
      <c r="IQ63" s="17">
        <v>6.8000000000000005E-2</v>
      </c>
      <c r="IR63" s="17">
        <v>0.10200000000000001</v>
      </c>
      <c r="IS63" s="3" t="s">
        <v>707</v>
      </c>
      <c r="IT63" s="3">
        <v>774</v>
      </c>
      <c r="IU63" s="268">
        <v>62.99973</v>
      </c>
      <c r="IV63" s="17">
        <v>8.1394999999999995E-2</v>
      </c>
      <c r="IW63" s="17">
        <v>6.4135999999999999E-2</v>
      </c>
      <c r="IX63" s="17">
        <v>0.10278999999999999</v>
      </c>
      <c r="IY63" s="9" t="s">
        <v>772</v>
      </c>
      <c r="IZ63" s="9">
        <v>871</v>
      </c>
      <c r="JA63" s="9">
        <v>49.999999999999993</v>
      </c>
      <c r="JB63" s="17">
        <v>5.7405281285878296E-2</v>
      </c>
      <c r="JC63" s="17">
        <v>4.3812466379009096E-2</v>
      </c>
      <c r="JD63" s="17">
        <v>7.4884993342063902E-2</v>
      </c>
      <c r="JE63" s="9" t="str">
        <f t="shared" si="5"/>
        <v>Sig better than Eng.</v>
      </c>
      <c r="JF63" s="667">
        <v>915</v>
      </c>
      <c r="JG63" s="672">
        <v>67</v>
      </c>
      <c r="JH63" s="669">
        <v>7.3224043715846995E-2</v>
      </c>
      <c r="JI63" s="669">
        <v>5.8070179190965403E-2</v>
      </c>
      <c r="JJ63" s="669">
        <v>9.1946406910416598E-2</v>
      </c>
      <c r="JK63" s="662" t="str">
        <f t="shared" si="6"/>
        <v>Sig better than Eng.</v>
      </c>
      <c r="JL63" s="3">
        <v>885</v>
      </c>
      <c r="JM63" s="268">
        <v>130.97999999999999</v>
      </c>
      <c r="JN63" s="17">
        <v>0.14799999999999999</v>
      </c>
      <c r="JO63" s="17">
        <v>0.125</v>
      </c>
      <c r="JP63" s="17">
        <v>0.17099999999999999</v>
      </c>
      <c r="JQ63" s="3" t="s">
        <v>708</v>
      </c>
      <c r="JR63" s="3">
        <v>801</v>
      </c>
      <c r="JS63" s="268">
        <v>129.762</v>
      </c>
      <c r="JT63" s="17">
        <v>0.16200000000000001</v>
      </c>
      <c r="JU63" s="17">
        <v>0.13600000000000001</v>
      </c>
      <c r="JV63" s="17">
        <v>0.188</v>
      </c>
      <c r="JW63" s="3" t="s">
        <v>708</v>
      </c>
      <c r="JX63" s="3">
        <v>821</v>
      </c>
      <c r="JY63" s="268">
        <v>127.255</v>
      </c>
      <c r="JZ63" s="17">
        <v>0.155</v>
      </c>
      <c r="KA63" s="17">
        <v>0.13</v>
      </c>
      <c r="KB63" s="17">
        <v>0.18</v>
      </c>
      <c r="KC63" s="3" t="s">
        <v>708</v>
      </c>
      <c r="KD63" s="3">
        <v>831</v>
      </c>
      <c r="KE63" s="268">
        <v>108.861</v>
      </c>
      <c r="KF63" s="17">
        <v>0.13100000000000001</v>
      </c>
      <c r="KG63" s="17">
        <v>0.10800000000000001</v>
      </c>
      <c r="KH63" s="17">
        <v>0.154</v>
      </c>
      <c r="KI63" s="3" t="s">
        <v>708</v>
      </c>
      <c r="KJ63" s="3">
        <v>863</v>
      </c>
      <c r="KK63" s="268">
        <v>134.999953</v>
      </c>
      <c r="KL63" s="17">
        <v>0.15643100000000001</v>
      </c>
      <c r="KM63" s="17">
        <v>0.13372299999999998</v>
      </c>
      <c r="KN63" s="17">
        <v>0.18218399999999998</v>
      </c>
      <c r="KO63" s="9" t="s">
        <v>708</v>
      </c>
      <c r="KP63" s="9">
        <v>868</v>
      </c>
      <c r="KQ63" s="9">
        <v>126.0000000000003</v>
      </c>
      <c r="KR63" s="393">
        <v>0.14516129032258099</v>
      </c>
      <c r="KS63" s="393">
        <v>0.123289731901375</v>
      </c>
      <c r="KT63" s="393">
        <v>0.17015978949069199</v>
      </c>
      <c r="KU63" s="9" t="s">
        <v>708</v>
      </c>
      <c r="KV63" s="667">
        <v>873</v>
      </c>
      <c r="KW63" s="667">
        <v>137.00000000000006</v>
      </c>
      <c r="KX63" s="385">
        <v>0.156930126002291</v>
      </c>
      <c r="KY63" s="385">
        <v>0.134310908093771</v>
      </c>
      <c r="KZ63" s="385">
        <v>0.182555334971853</v>
      </c>
      <c r="LA63" s="662" t="str">
        <f t="shared" si="4"/>
        <v>Sig better than Eng.</v>
      </c>
      <c r="LB63" s="3">
        <v>1138</v>
      </c>
      <c r="LC63" s="3">
        <v>610</v>
      </c>
      <c r="LD63" s="17">
        <v>0.53602811950790863</v>
      </c>
      <c r="LE63" s="17">
        <v>0.50698089567473048</v>
      </c>
      <c r="LF63" s="17">
        <v>0.5648329269593596</v>
      </c>
      <c r="LG63" s="3">
        <v>1138</v>
      </c>
      <c r="LH63" s="3">
        <v>34</v>
      </c>
      <c r="LI63" s="3">
        <v>227</v>
      </c>
      <c r="LJ63" s="293">
        <v>22.969162995594704</v>
      </c>
      <c r="LK63" s="17">
        <v>0.32443638248250872</v>
      </c>
      <c r="LL63" s="3">
        <v>1158</v>
      </c>
      <c r="LM63" s="3">
        <v>658</v>
      </c>
      <c r="LN63" s="17">
        <v>0.56822107081174433</v>
      </c>
      <c r="LO63" s="17">
        <v>0.53951303675508588</v>
      </c>
      <c r="LP63" s="17">
        <v>0.59647797888690635</v>
      </c>
      <c r="LQ63" s="3">
        <v>1158</v>
      </c>
      <c r="LR63" s="3">
        <v>34</v>
      </c>
      <c r="LS63" s="3">
        <v>231</v>
      </c>
      <c r="LT63" s="293">
        <v>23.199134199134214</v>
      </c>
      <c r="LU63" s="18">
        <v>0.31767252355487607</v>
      </c>
      <c r="LV63" s="42">
        <v>1064</v>
      </c>
      <c r="LW63" s="42">
        <v>673</v>
      </c>
      <c r="LX63" s="393">
        <v>0.63251879699248126</v>
      </c>
      <c r="LY63" s="393">
        <v>0.60312142673891267</v>
      </c>
      <c r="LZ63" s="393">
        <v>0.66096271952699093</v>
      </c>
      <c r="MA63" s="337">
        <v>34</v>
      </c>
      <c r="MB63" s="337">
        <v>212</v>
      </c>
      <c r="MC63" s="294">
        <v>25.160377358490567</v>
      </c>
      <c r="MD63" s="393">
        <v>0.25998890122086565</v>
      </c>
      <c r="ME63" s="337">
        <v>1161</v>
      </c>
      <c r="MF63" s="337">
        <v>787</v>
      </c>
      <c r="MG63" s="393">
        <v>0.67786391042204996</v>
      </c>
      <c r="MH63" s="393">
        <v>0.65043568520149786</v>
      </c>
      <c r="MI63" s="393">
        <v>0.7041190027970976</v>
      </c>
      <c r="MJ63" s="337">
        <v>34</v>
      </c>
      <c r="MK63" s="337">
        <v>232</v>
      </c>
      <c r="ML63" s="294">
        <v>24.562231759656651</v>
      </c>
      <c r="MM63" s="93">
        <v>0.27758141883362791</v>
      </c>
      <c r="MN63" s="17"/>
      <c r="MO63" s="17"/>
      <c r="MP63" s="17"/>
      <c r="MQ63" s="17"/>
      <c r="MR63" s="17"/>
      <c r="MS63" s="17"/>
      <c r="MT63" s="17"/>
      <c r="MU63" s="17"/>
      <c r="MV63" s="17"/>
      <c r="MW63" s="17"/>
      <c r="MX63" s="17"/>
      <c r="MY63" s="17"/>
      <c r="MZ63" s="17"/>
      <c r="NA63" s="17"/>
      <c r="NB63" s="17"/>
      <c r="NC63" s="93"/>
      <c r="ND63" s="337">
        <v>57</v>
      </c>
      <c r="NE63" s="337">
        <v>458</v>
      </c>
      <c r="NF63" s="393">
        <v>0.12445414847161572</v>
      </c>
      <c r="NG63" s="393">
        <v>9.731071248680441E-2</v>
      </c>
      <c r="NH63" s="393">
        <v>0.15784494010792083</v>
      </c>
      <c r="NI63" s="337">
        <v>41</v>
      </c>
      <c r="NJ63" s="337">
        <v>457</v>
      </c>
      <c r="NK63" s="393">
        <v>8.9715536105032828E-2</v>
      </c>
      <c r="NL63" s="393">
        <v>6.6821131596200095E-2</v>
      </c>
      <c r="NM63" s="393">
        <v>0.11944999739545957</v>
      </c>
      <c r="NN63" s="337">
        <v>56</v>
      </c>
      <c r="NO63" s="337">
        <v>458</v>
      </c>
      <c r="NP63" s="393">
        <v>0.1222707423580786</v>
      </c>
      <c r="NQ63" s="393">
        <v>9.5370414089532674E-2</v>
      </c>
      <c r="NR63" s="393">
        <v>0.15545474811330143</v>
      </c>
      <c r="NS63" s="337">
        <v>93</v>
      </c>
      <c r="NT63" s="337">
        <v>445</v>
      </c>
      <c r="NU63" s="393">
        <v>0.20898876404494382</v>
      </c>
      <c r="NV63" s="393">
        <v>0.17378262319556442</v>
      </c>
      <c r="NW63" s="93">
        <v>0.24917620801288046</v>
      </c>
      <c r="NX63" s="391" t="s">
        <v>286</v>
      </c>
      <c r="NY63" s="391" t="s">
        <v>286</v>
      </c>
      <c r="NZ63" s="391" t="s">
        <v>286</v>
      </c>
      <c r="OA63" s="391" t="s">
        <v>286</v>
      </c>
      <c r="OB63" s="391" t="s">
        <v>286</v>
      </c>
      <c r="OC63" s="391" t="s">
        <v>286</v>
      </c>
      <c r="OD63" s="391" t="s">
        <v>286</v>
      </c>
      <c r="OE63" s="391" t="s">
        <v>286</v>
      </c>
      <c r="OF63" s="391" t="s">
        <v>286</v>
      </c>
      <c r="OG63" s="391" t="s">
        <v>286</v>
      </c>
      <c r="OH63" s="391" t="s">
        <v>286</v>
      </c>
      <c r="OI63" s="391" t="s">
        <v>286</v>
      </c>
      <c r="OJ63" s="391" t="s">
        <v>286</v>
      </c>
      <c r="OK63" s="391" t="s">
        <v>286</v>
      </c>
      <c r="OL63" s="391" t="s">
        <v>286</v>
      </c>
      <c r="OM63" s="391" t="s">
        <v>286</v>
      </c>
      <c r="ON63" s="391" t="s">
        <v>286</v>
      </c>
      <c r="OO63" s="391" t="s">
        <v>286</v>
      </c>
      <c r="OP63" s="391" t="s">
        <v>286</v>
      </c>
      <c r="OQ63" s="391" t="s">
        <v>286</v>
      </c>
      <c r="OR63" s="391" t="s">
        <v>286</v>
      </c>
      <c r="OS63" s="391" t="s">
        <v>286</v>
      </c>
      <c r="OT63" s="115" t="s">
        <v>286</v>
      </c>
      <c r="OU63" s="3">
        <v>891</v>
      </c>
      <c r="OV63" s="22">
        <v>0.95699999999999996</v>
      </c>
      <c r="OW63" s="22">
        <v>7.0000000000000001E-3</v>
      </c>
      <c r="OX63" s="22">
        <v>0.95399999999999996</v>
      </c>
      <c r="OY63" s="3">
        <v>853</v>
      </c>
      <c r="OZ63" s="3">
        <v>6</v>
      </c>
      <c r="PA63" s="3">
        <v>850</v>
      </c>
      <c r="PB63" s="3">
        <v>951</v>
      </c>
      <c r="PC63" s="22">
        <v>0.96</v>
      </c>
      <c r="PD63" s="22">
        <v>0.92800000000000005</v>
      </c>
      <c r="PE63" s="22">
        <v>0.95599999999999996</v>
      </c>
      <c r="PF63" s="22">
        <v>0.93400000000000005</v>
      </c>
      <c r="PG63" s="22">
        <v>0.93700000000000006</v>
      </c>
      <c r="PH63" s="3">
        <v>913</v>
      </c>
      <c r="PI63" s="3">
        <v>883</v>
      </c>
      <c r="PJ63" s="3">
        <v>909</v>
      </c>
      <c r="PK63" s="3">
        <v>888</v>
      </c>
      <c r="PL63" s="3">
        <v>891</v>
      </c>
      <c r="PM63" s="3">
        <v>976</v>
      </c>
      <c r="PN63" s="22">
        <v>0.94799999999999995</v>
      </c>
      <c r="PO63" s="22">
        <v>0.91500000000000004</v>
      </c>
      <c r="PP63" s="22">
        <v>0.94799999999999995</v>
      </c>
      <c r="PQ63" s="22">
        <v>0.94299999999999995</v>
      </c>
      <c r="PR63" s="22">
        <v>0.94699999999999995</v>
      </c>
      <c r="PS63" s="22">
        <v>0.90300000000000002</v>
      </c>
      <c r="PT63" s="22">
        <v>0.93400000000000005</v>
      </c>
      <c r="PU63" s="22">
        <v>0.90600000000000003</v>
      </c>
      <c r="PV63" s="22">
        <v>0.95499999999999996</v>
      </c>
      <c r="PW63" s="22">
        <v>0.90200000000000002</v>
      </c>
      <c r="PX63" s="3">
        <v>925</v>
      </c>
      <c r="PY63" s="3">
        <v>893</v>
      </c>
      <c r="PZ63" s="3">
        <v>925</v>
      </c>
      <c r="QA63" s="3">
        <v>920</v>
      </c>
      <c r="QB63" s="3">
        <v>924</v>
      </c>
      <c r="QC63" s="3">
        <v>881</v>
      </c>
      <c r="QD63" s="3">
        <v>912</v>
      </c>
      <c r="QE63" s="3">
        <v>884</v>
      </c>
      <c r="QF63" s="3">
        <v>932</v>
      </c>
      <c r="QG63" s="6">
        <v>880</v>
      </c>
      <c r="QH63" s="37">
        <v>963</v>
      </c>
      <c r="QI63" s="17">
        <v>0.95742471443406019</v>
      </c>
      <c r="QJ63" s="17">
        <v>0.23260643821391486</v>
      </c>
      <c r="QK63" s="17">
        <v>0.96053997923156798</v>
      </c>
      <c r="QL63" s="37">
        <v>922</v>
      </c>
      <c r="QM63" s="37">
        <v>224</v>
      </c>
      <c r="QN63" s="37">
        <v>925</v>
      </c>
      <c r="QO63" s="37">
        <v>984</v>
      </c>
      <c r="QP63" s="17">
        <v>0.96646341463414631</v>
      </c>
      <c r="QQ63" s="17">
        <v>0.93292682926829273</v>
      </c>
      <c r="QR63" s="17">
        <v>0.69817073170731703</v>
      </c>
      <c r="QS63" s="17">
        <v>0.94410569105691056</v>
      </c>
      <c r="QT63" s="17">
        <v>0.71036585365853655</v>
      </c>
      <c r="QU63" s="37">
        <v>951</v>
      </c>
      <c r="QV63" s="37">
        <v>918</v>
      </c>
      <c r="QW63" s="37">
        <v>687</v>
      </c>
      <c r="QX63" s="37">
        <v>929</v>
      </c>
      <c r="QY63" s="37">
        <v>699</v>
      </c>
      <c r="QZ63" s="3">
        <v>1080</v>
      </c>
      <c r="RA63" s="17">
        <v>0.96481481481481479</v>
      </c>
      <c r="RB63" s="17">
        <v>0.90925925925925921</v>
      </c>
      <c r="RC63" s="17">
        <v>0.96481481481481479</v>
      </c>
      <c r="RD63" s="17">
        <v>0.96388888888888891</v>
      </c>
      <c r="RE63" s="17">
        <v>0.72499999999999998</v>
      </c>
      <c r="RF63" s="17">
        <v>0.91296296296296298</v>
      </c>
      <c r="RG63" s="17">
        <v>0.93148148148148147</v>
      </c>
      <c r="RH63" s="17">
        <v>0.91296296296296298</v>
      </c>
      <c r="RI63" s="17">
        <v>0.72870370370370374</v>
      </c>
      <c r="RJ63" s="17">
        <v>0.68148148148148147</v>
      </c>
      <c r="RK63" s="37">
        <v>1042</v>
      </c>
      <c r="RL63" s="37">
        <v>982</v>
      </c>
      <c r="RM63" s="37">
        <v>1042</v>
      </c>
      <c r="RN63" s="37">
        <v>1041</v>
      </c>
      <c r="RO63" s="37">
        <v>783</v>
      </c>
      <c r="RP63" s="37">
        <v>986</v>
      </c>
      <c r="RQ63" s="37">
        <v>1006</v>
      </c>
      <c r="RR63" s="37">
        <v>986</v>
      </c>
      <c r="RS63" s="37">
        <v>787</v>
      </c>
      <c r="RT63" s="38">
        <v>736</v>
      </c>
    </row>
    <row r="64" spans="1:488" s="3" customFormat="1" ht="12.75" x14ac:dyDescent="0.2">
      <c r="A64" s="9" t="s">
        <v>126</v>
      </c>
      <c r="B64" s="6">
        <v>4</v>
      </c>
      <c r="C64" s="9" t="s">
        <v>286</v>
      </c>
      <c r="D64" s="9" t="s">
        <v>286</v>
      </c>
      <c r="E64" s="9" t="s">
        <v>286</v>
      </c>
      <c r="F64" s="9" t="s">
        <v>286</v>
      </c>
      <c r="G64" s="9" t="s">
        <v>286</v>
      </c>
      <c r="H64" s="9" t="s">
        <v>286</v>
      </c>
      <c r="I64" s="9" t="s">
        <v>79</v>
      </c>
      <c r="J64" s="9" t="s">
        <v>269</v>
      </c>
      <c r="K64" s="9" t="s">
        <v>286</v>
      </c>
      <c r="L64" s="9" t="s">
        <v>286</v>
      </c>
      <c r="M64" s="9" t="s">
        <v>286</v>
      </c>
      <c r="N64" s="9" t="s">
        <v>286</v>
      </c>
      <c r="O64" s="109" t="s">
        <v>286</v>
      </c>
      <c r="P64" s="109" t="s">
        <v>286</v>
      </c>
      <c r="Q64" s="109" t="s">
        <v>286</v>
      </c>
      <c r="R64" s="109" t="s">
        <v>286</v>
      </c>
      <c r="S64" s="109" t="s">
        <v>286</v>
      </c>
      <c r="T64" s="36">
        <v>99700</v>
      </c>
      <c r="U64" s="37">
        <v>100700</v>
      </c>
      <c r="V64" s="37">
        <v>101600</v>
      </c>
      <c r="W64" s="37">
        <v>102800</v>
      </c>
      <c r="X64" s="37">
        <v>103800</v>
      </c>
      <c r="Y64" s="37">
        <v>105500</v>
      </c>
      <c r="Z64" s="37">
        <v>107100</v>
      </c>
      <c r="AA64" s="37">
        <v>108300</v>
      </c>
      <c r="AB64" s="37">
        <v>109000</v>
      </c>
      <c r="AC64" s="42">
        <v>109885</v>
      </c>
      <c r="AD64" s="42">
        <v>110864</v>
      </c>
      <c r="AE64" s="36">
        <v>6300</v>
      </c>
      <c r="AF64" s="37">
        <v>6400</v>
      </c>
      <c r="AG64" s="37">
        <v>6600</v>
      </c>
      <c r="AH64" s="37">
        <v>6900</v>
      </c>
      <c r="AI64" s="37">
        <v>7200</v>
      </c>
      <c r="AJ64" s="37">
        <v>7700</v>
      </c>
      <c r="AK64" s="37">
        <v>8100</v>
      </c>
      <c r="AL64" s="37">
        <v>8300</v>
      </c>
      <c r="AM64" s="37">
        <v>8400</v>
      </c>
      <c r="AN64" s="42">
        <v>8470</v>
      </c>
      <c r="AO64" s="42">
        <v>8346</v>
      </c>
      <c r="AP64" s="13">
        <v>8071</v>
      </c>
      <c r="AQ64" s="3">
        <v>5020</v>
      </c>
      <c r="AR64" s="3">
        <v>530</v>
      </c>
      <c r="AS64" s="3">
        <v>622</v>
      </c>
      <c r="AT64" s="3">
        <v>1401</v>
      </c>
      <c r="AU64" s="3">
        <v>393</v>
      </c>
      <c r="AV64" s="3">
        <v>105</v>
      </c>
      <c r="AW64" s="9">
        <v>3051</v>
      </c>
      <c r="AX64" s="16">
        <v>0.62197992813777725</v>
      </c>
      <c r="AY64" s="17">
        <v>6.5667203568331056E-2</v>
      </c>
      <c r="AZ64" s="17">
        <v>7.7066038904720607E-2</v>
      </c>
      <c r="BA64" s="17">
        <v>0.17358443811175814</v>
      </c>
      <c r="BB64" s="17">
        <v>4.8692850947837936E-2</v>
      </c>
      <c r="BC64" s="17">
        <v>1.3009540329575022E-2</v>
      </c>
      <c r="BD64" s="18">
        <v>0.37802007186222275</v>
      </c>
      <c r="BE64" s="13">
        <v>17053</v>
      </c>
      <c r="BF64" s="3">
        <v>15550</v>
      </c>
      <c r="BG64" s="3">
        <v>1503</v>
      </c>
      <c r="BH64" s="3">
        <v>1270</v>
      </c>
      <c r="BI64" s="3">
        <v>233</v>
      </c>
      <c r="BJ64" s="22">
        <v>0.84497671324018631</v>
      </c>
      <c r="BK64" s="18">
        <v>0.15502328675981369</v>
      </c>
      <c r="BL64" s="36">
        <v>14546</v>
      </c>
      <c r="BM64" s="18">
        <v>0.49099408772171044</v>
      </c>
      <c r="BN64" s="18">
        <v>0.31527567716210642</v>
      </c>
      <c r="BO64" s="18">
        <v>0.19373023511618315</v>
      </c>
      <c r="BP64" s="36">
        <v>29829</v>
      </c>
      <c r="BQ64" s="37">
        <v>2712</v>
      </c>
      <c r="BR64" s="37">
        <v>2241</v>
      </c>
      <c r="BS64" s="37">
        <v>1333</v>
      </c>
      <c r="BT64" s="37">
        <v>24916</v>
      </c>
      <c r="BU64" s="37">
        <v>14021</v>
      </c>
      <c r="BV64" s="18">
        <v>0.16311247414592397</v>
      </c>
      <c r="BW64" s="36">
        <v>7410</v>
      </c>
      <c r="BX64" s="37">
        <v>6</v>
      </c>
      <c r="BY64" s="37">
        <v>1842</v>
      </c>
      <c r="BZ64" s="37">
        <v>3310</v>
      </c>
      <c r="CA64" s="37">
        <v>1505</v>
      </c>
      <c r="CB64" s="38">
        <v>14073</v>
      </c>
      <c r="CC64" s="37">
        <v>6335</v>
      </c>
      <c r="CD64" s="37">
        <v>4992</v>
      </c>
      <c r="CE64" s="37">
        <v>1317</v>
      </c>
      <c r="CF64" s="37">
        <v>1343</v>
      </c>
      <c r="CG64" s="17">
        <v>0.20789265982636149</v>
      </c>
      <c r="CH64" s="93">
        <v>0.21199684293606946</v>
      </c>
      <c r="CI64" s="37">
        <v>1190</v>
      </c>
      <c r="CJ64" s="37">
        <v>1060</v>
      </c>
      <c r="CK64" s="37">
        <v>940</v>
      </c>
      <c r="CL64" s="37">
        <v>925</v>
      </c>
      <c r="CM64" s="42">
        <v>885</v>
      </c>
      <c r="CN64" s="42">
        <v>810</v>
      </c>
      <c r="CO64" s="36">
        <v>3293</v>
      </c>
      <c r="CP64" s="37">
        <v>1363</v>
      </c>
      <c r="CQ64" s="17">
        <v>0.4139082903127847</v>
      </c>
      <c r="CR64" s="38">
        <v>248</v>
      </c>
      <c r="CS64" s="107">
        <v>1576</v>
      </c>
      <c r="CT64" s="107">
        <v>1716</v>
      </c>
      <c r="CU64" s="107">
        <v>1718</v>
      </c>
      <c r="CV64" s="107">
        <v>1648</v>
      </c>
      <c r="CW64" s="107">
        <v>1646</v>
      </c>
      <c r="CX64" s="114">
        <v>1618</v>
      </c>
      <c r="CY64" s="568">
        <v>1642</v>
      </c>
      <c r="CZ64" s="37">
        <v>73</v>
      </c>
      <c r="DA64" s="37">
        <v>80</v>
      </c>
      <c r="DB64" s="37">
        <v>79</v>
      </c>
      <c r="DC64" s="37">
        <v>71</v>
      </c>
      <c r="DD64" s="37">
        <v>66</v>
      </c>
      <c r="DE64" s="536">
        <v>48</v>
      </c>
      <c r="DF64" s="536">
        <v>48</v>
      </c>
      <c r="DG64" s="289" t="s">
        <v>286</v>
      </c>
      <c r="DH64" s="13">
        <v>128</v>
      </c>
      <c r="DI64" s="17">
        <v>7.7764277035236931E-2</v>
      </c>
      <c r="DJ64" s="17">
        <v>6.5787811734052848E-2</v>
      </c>
      <c r="DK64" s="18">
        <v>9.1706993255530014E-2</v>
      </c>
      <c r="DL64" s="425" t="s">
        <v>286</v>
      </c>
      <c r="DM64" s="258" t="s">
        <v>286</v>
      </c>
      <c r="DN64" s="258" t="s">
        <v>286</v>
      </c>
      <c r="DO64" s="258" t="s">
        <v>286</v>
      </c>
      <c r="DP64" s="337">
        <v>111</v>
      </c>
      <c r="DQ64" s="393">
        <v>8.6515978176149644E-2</v>
      </c>
      <c r="DR64" s="393">
        <v>7.2341035950241897E-2</v>
      </c>
      <c r="DS64" s="393">
        <v>0.10315957235908553</v>
      </c>
      <c r="DT64" s="13">
        <v>158</v>
      </c>
      <c r="DU64" s="18">
        <v>1.9602977667493797E-2</v>
      </c>
      <c r="DV64" s="368" t="s">
        <v>286</v>
      </c>
      <c r="DW64" s="369" t="s">
        <v>286</v>
      </c>
      <c r="DX64" s="420" t="s">
        <v>286</v>
      </c>
      <c r="DY64" s="258">
        <v>0.19</v>
      </c>
      <c r="DZ64" s="420" t="s">
        <v>286</v>
      </c>
      <c r="EA64" s="259">
        <v>0.182</v>
      </c>
      <c r="EB64" s="3">
        <v>2084</v>
      </c>
      <c r="EC64" s="18">
        <v>4.8774779413485618E-2</v>
      </c>
      <c r="ED64" s="13">
        <v>1650</v>
      </c>
      <c r="EE64" s="3">
        <v>1650</v>
      </c>
      <c r="EF64" s="3">
        <v>1580</v>
      </c>
      <c r="EG64" s="3">
        <v>1475</v>
      </c>
      <c r="EH64" s="9">
        <v>1395</v>
      </c>
      <c r="EI64" s="9">
        <v>1270</v>
      </c>
      <c r="EJ64" s="13">
        <v>1345</v>
      </c>
      <c r="EK64" s="17">
        <v>0.20014880952380953</v>
      </c>
      <c r="EL64" s="17">
        <v>0.19075500674711679</v>
      </c>
      <c r="EM64" s="17">
        <v>0.20988523370453294</v>
      </c>
      <c r="EN64" s="3">
        <v>1480</v>
      </c>
      <c r="EO64" s="17">
        <v>0.21203438395415472</v>
      </c>
      <c r="EP64" s="17">
        <v>0.20260502362203447</v>
      </c>
      <c r="EQ64" s="17">
        <v>0.22178053499876138</v>
      </c>
      <c r="ER64" s="3">
        <v>1575</v>
      </c>
      <c r="ES64" s="17">
        <v>0.21240728253540123</v>
      </c>
      <c r="ET64" s="17">
        <v>0.20324788013175979</v>
      </c>
      <c r="EU64" s="17">
        <v>0.22186451461700626</v>
      </c>
      <c r="EV64" s="3">
        <v>1605</v>
      </c>
      <c r="EW64" s="17">
        <v>0.20603337612323491</v>
      </c>
      <c r="EX64" s="17">
        <v>0.19719780402123743</v>
      </c>
      <c r="EY64" s="17">
        <v>0.21515873104574462</v>
      </c>
      <c r="EZ64" s="3">
        <v>1475</v>
      </c>
      <c r="FA64" s="18">
        <v>0.1857682619647355</v>
      </c>
      <c r="FB64" s="18">
        <v>0.17736637729794572</v>
      </c>
      <c r="FC64" s="18">
        <v>0.19447405709803575</v>
      </c>
      <c r="FD64" s="337">
        <v>1495</v>
      </c>
      <c r="FE64" s="18">
        <v>0.19315245478036175</v>
      </c>
      <c r="FF64" s="18">
        <v>0.18451078630887058</v>
      </c>
      <c r="FG64" s="393">
        <v>0.20209855670789939</v>
      </c>
      <c r="FH64" s="425">
        <v>1520</v>
      </c>
      <c r="FI64" s="258">
        <v>0.193</v>
      </c>
      <c r="FJ64" s="258">
        <v>0.184</v>
      </c>
      <c r="FK64" s="258">
        <v>0.20100000000000001</v>
      </c>
      <c r="FL64" s="36">
        <v>3780</v>
      </c>
      <c r="FM64" s="18">
        <v>0.18694362017804153</v>
      </c>
      <c r="FN64" s="42">
        <v>4080</v>
      </c>
      <c r="FO64" s="18">
        <v>0.19507530480516375</v>
      </c>
      <c r="FP64" s="42">
        <v>4160</v>
      </c>
      <c r="FQ64" s="18">
        <v>0.19493908153701969</v>
      </c>
      <c r="FR64" s="42">
        <v>4170</v>
      </c>
      <c r="FS64" s="18">
        <v>0.19002050580997951</v>
      </c>
      <c r="FT64" s="42">
        <v>3895</v>
      </c>
      <c r="FU64" s="18">
        <v>0.17419499105545616</v>
      </c>
      <c r="FV64" s="42">
        <v>3810</v>
      </c>
      <c r="FW64" s="393">
        <v>0.16821192052980133</v>
      </c>
      <c r="FX64" s="42">
        <v>4075</v>
      </c>
      <c r="FY64" s="93">
        <v>0.17799999999999999</v>
      </c>
      <c r="FZ64" s="3">
        <v>1542</v>
      </c>
      <c r="GA64" s="3">
        <v>48</v>
      </c>
      <c r="GB64" s="3">
        <v>1466</v>
      </c>
      <c r="GC64" s="17">
        <v>0.95071335927367051</v>
      </c>
      <c r="GD64" s="3">
        <v>540</v>
      </c>
      <c r="GE64" s="3">
        <v>809</v>
      </c>
      <c r="GF64" s="17">
        <v>0.3683492496589359</v>
      </c>
      <c r="GG64" s="17">
        <v>0.55184174624829463</v>
      </c>
      <c r="GH64" s="17">
        <v>0.34</v>
      </c>
      <c r="GI64" s="17">
        <v>0.38900000000000001</v>
      </c>
      <c r="GJ64" s="17">
        <v>0.51400000000000001</v>
      </c>
      <c r="GK64" s="93">
        <v>0.56499999999999995</v>
      </c>
      <c r="GL64" s="337">
        <v>1464</v>
      </c>
      <c r="GM64" s="337">
        <v>528</v>
      </c>
      <c r="GN64" s="337">
        <v>286</v>
      </c>
      <c r="GO64" s="337">
        <v>814</v>
      </c>
      <c r="GP64" s="393">
        <v>0.36065573770491804</v>
      </c>
      <c r="GQ64" s="393">
        <v>0.55601092896174864</v>
      </c>
      <c r="GR64" s="393">
        <v>0.33645239185060777</v>
      </c>
      <c r="GS64" s="393">
        <v>0.38558843377929447</v>
      </c>
      <c r="GT64" s="393">
        <v>0.53044621706304418</v>
      </c>
      <c r="GU64" s="93">
        <v>0.581282470673956</v>
      </c>
      <c r="GV64" s="42">
        <v>1564</v>
      </c>
      <c r="GW64" s="42">
        <v>176</v>
      </c>
      <c r="GX64" s="42">
        <v>1388</v>
      </c>
      <c r="GY64" s="393">
        <f t="shared" si="2"/>
        <v>0.88746803069053704</v>
      </c>
      <c r="GZ64" s="42">
        <v>474</v>
      </c>
      <c r="HA64" s="42">
        <v>300</v>
      </c>
      <c r="HB64" s="42">
        <v>774</v>
      </c>
      <c r="HC64" s="393">
        <v>0.34149855907780979</v>
      </c>
      <c r="HD64" s="393">
        <v>0.55763688760806918</v>
      </c>
      <c r="HE64" s="393">
        <v>0.31701918092494397</v>
      </c>
      <c r="HF64" s="393">
        <v>0.36685285980819277</v>
      </c>
      <c r="HG64" s="393">
        <v>0.5313846627876323</v>
      </c>
      <c r="HH64" s="93">
        <v>0.58357095876395437</v>
      </c>
      <c r="HI64" s="702" t="s">
        <v>286</v>
      </c>
      <c r="HJ64" s="703" t="s">
        <v>286</v>
      </c>
      <c r="HK64" s="703" t="s">
        <v>286</v>
      </c>
      <c r="HL64" s="704" t="s">
        <v>286</v>
      </c>
      <c r="HM64" s="703" t="s">
        <v>286</v>
      </c>
      <c r="HN64" s="703" t="s">
        <v>286</v>
      </c>
      <c r="HO64" s="703" t="s">
        <v>286</v>
      </c>
      <c r="HP64" s="704" t="s">
        <v>286</v>
      </c>
      <c r="HQ64" s="704" t="s">
        <v>286</v>
      </c>
      <c r="HR64" s="704" t="s">
        <v>286</v>
      </c>
      <c r="HS64" s="704" t="s">
        <v>286</v>
      </c>
      <c r="HT64" s="704" t="s">
        <v>286</v>
      </c>
      <c r="HU64" s="705" t="s">
        <v>286</v>
      </c>
      <c r="HV64" s="3">
        <v>1032</v>
      </c>
      <c r="HW64" s="268">
        <v>86.688000000000002</v>
      </c>
      <c r="HX64" s="17">
        <v>8.4000000000000005E-2</v>
      </c>
      <c r="HY64" s="17">
        <v>6.7000000000000004E-2</v>
      </c>
      <c r="HZ64" s="17">
        <v>0.10100000000000001</v>
      </c>
      <c r="IA64" s="267" t="s">
        <v>707</v>
      </c>
      <c r="IB64" s="3">
        <v>1178</v>
      </c>
      <c r="IC64" s="268">
        <v>115.444</v>
      </c>
      <c r="ID64" s="17">
        <v>9.8000000000000004E-2</v>
      </c>
      <c r="IE64" s="17">
        <v>8.1000000000000003E-2</v>
      </c>
      <c r="IF64" s="17">
        <v>0.115</v>
      </c>
      <c r="IG64" s="3" t="s">
        <v>707</v>
      </c>
      <c r="IH64" s="3">
        <v>998</v>
      </c>
      <c r="II64" s="268">
        <v>80.838000000000008</v>
      </c>
      <c r="IJ64" s="17">
        <v>8.1000000000000003E-2</v>
      </c>
      <c r="IK64" s="17">
        <v>6.4000000000000001E-2</v>
      </c>
      <c r="IL64" s="17">
        <v>9.8000000000000004E-2</v>
      </c>
      <c r="IM64" s="3" t="s">
        <v>707</v>
      </c>
      <c r="IN64" s="3">
        <v>1197</v>
      </c>
      <c r="IO64" s="268">
        <v>111.321</v>
      </c>
      <c r="IP64" s="17">
        <v>9.2999999999999999E-2</v>
      </c>
      <c r="IQ64" s="17">
        <v>7.6999999999999999E-2</v>
      </c>
      <c r="IR64" s="17">
        <v>0.109</v>
      </c>
      <c r="IS64" s="3" t="s">
        <v>707</v>
      </c>
      <c r="IT64" s="3">
        <v>874</v>
      </c>
      <c r="IU64" s="268">
        <v>87.999563999999992</v>
      </c>
      <c r="IV64" s="17">
        <v>0.100686</v>
      </c>
      <c r="IW64" s="17">
        <v>8.245100000000001E-2</v>
      </c>
      <c r="IX64" s="17">
        <v>0.122416</v>
      </c>
      <c r="IY64" s="9" t="s">
        <v>772</v>
      </c>
      <c r="IZ64" s="9">
        <v>1535</v>
      </c>
      <c r="JA64" s="9">
        <v>110.00000000000003</v>
      </c>
      <c r="JB64" s="17">
        <v>7.1661237785016305E-2</v>
      </c>
      <c r="JC64" s="17">
        <v>5.9799385110809303E-2</v>
      </c>
      <c r="JD64" s="17">
        <v>8.5661641779015502E-2</v>
      </c>
      <c r="JE64" s="9" t="str">
        <f t="shared" si="5"/>
        <v>Sig better than Eng.</v>
      </c>
      <c r="JF64" s="667">
        <v>1506</v>
      </c>
      <c r="JG64" s="672">
        <v>144</v>
      </c>
      <c r="JH64" s="669">
        <v>9.5617529880478086E-2</v>
      </c>
      <c r="JI64" s="669">
        <v>8.1777811922033497E-2</v>
      </c>
      <c r="JJ64" s="669">
        <v>0.11151497197638</v>
      </c>
      <c r="JK64" s="662" t="str">
        <f t="shared" si="6"/>
        <v>No Sig diff</v>
      </c>
      <c r="JL64" s="3">
        <v>1000</v>
      </c>
      <c r="JM64" s="268">
        <v>190</v>
      </c>
      <c r="JN64" s="17">
        <v>0.19</v>
      </c>
      <c r="JO64" s="17">
        <v>0.16600000000000001</v>
      </c>
      <c r="JP64" s="17">
        <v>0.214</v>
      </c>
      <c r="JQ64" s="3" t="s">
        <v>707</v>
      </c>
      <c r="JR64" s="3">
        <v>1121</v>
      </c>
      <c r="JS64" s="268">
        <v>193.93299999999999</v>
      </c>
      <c r="JT64" s="17">
        <v>0.17299999999999999</v>
      </c>
      <c r="JU64" s="17">
        <v>0.151</v>
      </c>
      <c r="JV64" s="17">
        <v>0.19499999999999998</v>
      </c>
      <c r="JW64" s="3" t="s">
        <v>707</v>
      </c>
      <c r="JX64" s="3">
        <v>1131</v>
      </c>
      <c r="JY64" s="268">
        <v>212.62800000000001</v>
      </c>
      <c r="JZ64" s="17">
        <v>0.188</v>
      </c>
      <c r="KA64" s="17">
        <v>0.16500000000000001</v>
      </c>
      <c r="KB64" s="17">
        <v>0.21099999999999999</v>
      </c>
      <c r="KC64" s="3" t="s">
        <v>707</v>
      </c>
      <c r="KD64" s="3">
        <v>1083</v>
      </c>
      <c r="KE64" s="268">
        <v>211.185</v>
      </c>
      <c r="KF64" s="17">
        <v>0.19500000000000001</v>
      </c>
      <c r="KG64" s="17">
        <v>0.17100000000000001</v>
      </c>
      <c r="KH64" s="17">
        <v>0.219</v>
      </c>
      <c r="KI64" s="3" t="s">
        <v>707</v>
      </c>
      <c r="KJ64" s="3">
        <v>1165</v>
      </c>
      <c r="KK64" s="268">
        <v>233</v>
      </c>
      <c r="KL64" s="17">
        <v>0.2</v>
      </c>
      <c r="KM64" s="17">
        <v>0.178033</v>
      </c>
      <c r="KN64" s="17">
        <v>0.223939</v>
      </c>
      <c r="KO64" s="9" t="s">
        <v>772</v>
      </c>
      <c r="KP64" s="9">
        <v>1223</v>
      </c>
      <c r="KQ64" s="9">
        <v>255.00000000000043</v>
      </c>
      <c r="KR64" s="393">
        <v>0.20850367947669698</v>
      </c>
      <c r="KS64" s="393">
        <v>0.186666218940334</v>
      </c>
      <c r="KT64" s="393">
        <v>0.23216659366662401</v>
      </c>
      <c r="KU64" s="9" t="s">
        <v>772</v>
      </c>
      <c r="KV64" s="667">
        <v>1193</v>
      </c>
      <c r="KW64" s="667">
        <v>259.00000000000023</v>
      </c>
      <c r="KX64" s="385">
        <v>0.21709974853310998</v>
      </c>
      <c r="KY64" s="385">
        <v>0.19463335692551501</v>
      </c>
      <c r="KZ64" s="385">
        <v>0.24138216958782099</v>
      </c>
      <c r="LA64" s="662" t="str">
        <f t="shared" si="4"/>
        <v>No Sig diff</v>
      </c>
      <c r="LB64" s="3">
        <v>1440</v>
      </c>
      <c r="LC64" s="3">
        <v>693</v>
      </c>
      <c r="LD64" s="17">
        <v>0.48125000000000001</v>
      </c>
      <c r="LE64" s="17">
        <v>0.45552756226071045</v>
      </c>
      <c r="LF64" s="17">
        <v>0.50707220957012045</v>
      </c>
      <c r="LG64" s="3">
        <v>1440</v>
      </c>
      <c r="LH64" s="3">
        <v>34</v>
      </c>
      <c r="LI64" s="3">
        <v>288</v>
      </c>
      <c r="LJ64" s="293">
        <v>22.378472222222197</v>
      </c>
      <c r="LK64" s="17">
        <v>0.34180964052287655</v>
      </c>
      <c r="LL64" s="3">
        <v>1518</v>
      </c>
      <c r="LM64" s="3">
        <v>841</v>
      </c>
      <c r="LN64" s="17">
        <v>0.5540184453227931</v>
      </c>
      <c r="LO64" s="17">
        <v>0.52890795807318758</v>
      </c>
      <c r="LP64" s="17">
        <v>0.57885622396393932</v>
      </c>
      <c r="LQ64" s="3">
        <v>1518</v>
      </c>
      <c r="LR64" s="3">
        <v>34</v>
      </c>
      <c r="LS64" s="3">
        <v>303</v>
      </c>
      <c r="LT64" s="293">
        <v>22.61056105610562</v>
      </c>
      <c r="LU64" s="18">
        <v>0.33498349834983471</v>
      </c>
      <c r="LV64" s="42">
        <v>1610</v>
      </c>
      <c r="LW64" s="42">
        <v>984</v>
      </c>
      <c r="LX64" s="393">
        <v>0.61118012422360246</v>
      </c>
      <c r="LY64" s="393">
        <v>0.5871304676280823</v>
      </c>
      <c r="LZ64" s="393">
        <v>0.63470049231119607</v>
      </c>
      <c r="MA64" s="337">
        <v>34</v>
      </c>
      <c r="MB64" s="337">
        <v>322</v>
      </c>
      <c r="MC64" s="294">
        <v>23.447204968944099</v>
      </c>
      <c r="MD64" s="393">
        <v>0.31037632444282059</v>
      </c>
      <c r="ME64" s="337">
        <v>1558</v>
      </c>
      <c r="MF64" s="337">
        <v>1033</v>
      </c>
      <c r="MG64" s="393">
        <v>0.66302952503209245</v>
      </c>
      <c r="MH64" s="393">
        <v>0.63918325814800936</v>
      </c>
      <c r="MI64" s="393">
        <v>0.68607382676992967</v>
      </c>
      <c r="MJ64" s="337">
        <v>34</v>
      </c>
      <c r="MK64" s="337">
        <v>311</v>
      </c>
      <c r="ML64" s="294">
        <v>22.272435897435898</v>
      </c>
      <c r="MM64" s="93">
        <v>0.34492835595776772</v>
      </c>
      <c r="MN64" s="17"/>
      <c r="MO64" s="17"/>
      <c r="MP64" s="17"/>
      <c r="MQ64" s="17"/>
      <c r="MR64" s="17"/>
      <c r="MS64" s="17"/>
      <c r="MT64" s="17"/>
      <c r="MU64" s="17"/>
      <c r="MV64" s="17"/>
      <c r="MW64" s="17"/>
      <c r="MX64" s="17"/>
      <c r="MY64" s="17"/>
      <c r="MZ64" s="17"/>
      <c r="NA64" s="17"/>
      <c r="NB64" s="17"/>
      <c r="NC64" s="93"/>
      <c r="ND64" s="337">
        <v>94</v>
      </c>
      <c r="NE64" s="337">
        <v>782</v>
      </c>
      <c r="NF64" s="393">
        <v>0.12020460358056266</v>
      </c>
      <c r="NG64" s="393">
        <v>9.9248559504410971E-2</v>
      </c>
      <c r="NH64" s="393">
        <v>0.14487378434416764</v>
      </c>
      <c r="NI64" s="337">
        <v>71</v>
      </c>
      <c r="NJ64" s="337">
        <v>781</v>
      </c>
      <c r="NK64" s="393">
        <v>9.0909090909090912E-2</v>
      </c>
      <c r="NL64" s="393">
        <v>7.2699562255173211E-2</v>
      </c>
      <c r="NM64" s="393">
        <v>0.11312326499434044</v>
      </c>
      <c r="NN64" s="337">
        <v>81</v>
      </c>
      <c r="NO64" s="337">
        <v>777</v>
      </c>
      <c r="NP64" s="393">
        <v>0.10424710424710425</v>
      </c>
      <c r="NQ64" s="393">
        <v>8.467233528429223E-2</v>
      </c>
      <c r="NR64" s="393">
        <v>0.12771579670752684</v>
      </c>
      <c r="NS64" s="337">
        <v>172</v>
      </c>
      <c r="NT64" s="337">
        <v>739</v>
      </c>
      <c r="NU64" s="393">
        <v>0.2327469553450609</v>
      </c>
      <c r="NV64" s="393">
        <v>0.20370894597934167</v>
      </c>
      <c r="NW64" s="93">
        <v>0.26454905805413481</v>
      </c>
      <c r="NX64" s="391" t="s">
        <v>286</v>
      </c>
      <c r="NY64" s="391" t="s">
        <v>286</v>
      </c>
      <c r="NZ64" s="391" t="s">
        <v>286</v>
      </c>
      <c r="OA64" s="391" t="s">
        <v>286</v>
      </c>
      <c r="OB64" s="391" t="s">
        <v>286</v>
      </c>
      <c r="OC64" s="391" t="s">
        <v>286</v>
      </c>
      <c r="OD64" s="391" t="s">
        <v>286</v>
      </c>
      <c r="OE64" s="391" t="s">
        <v>286</v>
      </c>
      <c r="OF64" s="391" t="s">
        <v>286</v>
      </c>
      <c r="OG64" s="391" t="s">
        <v>286</v>
      </c>
      <c r="OH64" s="391" t="s">
        <v>286</v>
      </c>
      <c r="OI64" s="391" t="s">
        <v>286</v>
      </c>
      <c r="OJ64" s="391" t="s">
        <v>286</v>
      </c>
      <c r="OK64" s="391" t="s">
        <v>286</v>
      </c>
      <c r="OL64" s="391" t="s">
        <v>286</v>
      </c>
      <c r="OM64" s="391" t="s">
        <v>286</v>
      </c>
      <c r="ON64" s="391" t="s">
        <v>286</v>
      </c>
      <c r="OO64" s="391" t="s">
        <v>286</v>
      </c>
      <c r="OP64" s="391" t="s">
        <v>286</v>
      </c>
      <c r="OQ64" s="391" t="s">
        <v>286</v>
      </c>
      <c r="OR64" s="391" t="s">
        <v>286</v>
      </c>
      <c r="OS64" s="391" t="s">
        <v>286</v>
      </c>
      <c r="OT64" s="115" t="s">
        <v>286</v>
      </c>
      <c r="OU64" s="3">
        <v>1641</v>
      </c>
      <c r="OV64" s="22">
        <v>0.96599999999999997</v>
      </c>
      <c r="OW64" s="22">
        <v>8.9999999999999993E-3</v>
      </c>
      <c r="OX64" s="22">
        <v>0.96499999999999997</v>
      </c>
      <c r="OY64" s="3">
        <v>1586</v>
      </c>
      <c r="OZ64" s="3">
        <v>14</v>
      </c>
      <c r="PA64" s="3">
        <v>1584</v>
      </c>
      <c r="PB64" s="3">
        <v>1588</v>
      </c>
      <c r="PC64" s="22">
        <v>0.97699999999999998</v>
      </c>
      <c r="PD64" s="22">
        <v>0.96</v>
      </c>
      <c r="PE64" s="22">
        <v>0.96199999999999997</v>
      </c>
      <c r="PF64" s="22">
        <v>0.96199999999999997</v>
      </c>
      <c r="PG64" s="22">
        <v>0.96099999999999997</v>
      </c>
      <c r="PH64" s="3">
        <v>1551</v>
      </c>
      <c r="PI64" s="3">
        <v>1525</v>
      </c>
      <c r="PJ64" s="3">
        <v>1528</v>
      </c>
      <c r="PK64" s="3">
        <v>1527</v>
      </c>
      <c r="PL64" s="3">
        <v>1526</v>
      </c>
      <c r="PM64" s="3">
        <v>1727</v>
      </c>
      <c r="PN64" s="22">
        <v>0.96899999999999997</v>
      </c>
      <c r="PO64" s="22">
        <v>0.93500000000000005</v>
      </c>
      <c r="PP64" s="22">
        <v>0.96899999999999997</v>
      </c>
      <c r="PQ64" s="22">
        <v>0.96499999999999997</v>
      </c>
      <c r="PR64" s="22">
        <v>0.95</v>
      </c>
      <c r="PS64" s="22">
        <v>0.86799999999999999</v>
      </c>
      <c r="PT64" s="22">
        <v>0.95299999999999996</v>
      </c>
      <c r="PU64" s="22">
        <v>0.93</v>
      </c>
      <c r="PV64" s="22">
        <v>0.95299999999999996</v>
      </c>
      <c r="PW64" s="22">
        <v>0.93100000000000005</v>
      </c>
      <c r="PX64" s="3">
        <v>1674</v>
      </c>
      <c r="PY64" s="3">
        <v>1615</v>
      </c>
      <c r="PZ64" s="3">
        <v>1673</v>
      </c>
      <c r="QA64" s="3">
        <v>1667</v>
      </c>
      <c r="QB64" s="3">
        <v>1640</v>
      </c>
      <c r="QC64" s="3">
        <v>1499</v>
      </c>
      <c r="QD64" s="3">
        <v>1646</v>
      </c>
      <c r="QE64" s="3">
        <v>1606</v>
      </c>
      <c r="QF64" s="3">
        <v>1646</v>
      </c>
      <c r="QG64" s="6">
        <v>1608</v>
      </c>
      <c r="QH64" s="37">
        <v>1653</v>
      </c>
      <c r="QI64" s="17">
        <v>0.95039322444041141</v>
      </c>
      <c r="QJ64" s="17">
        <v>0.22444041137326073</v>
      </c>
      <c r="QK64" s="17">
        <v>0.94797338173018753</v>
      </c>
      <c r="QL64" s="37">
        <v>1571</v>
      </c>
      <c r="QM64" s="37">
        <v>371</v>
      </c>
      <c r="QN64" s="37">
        <v>1567</v>
      </c>
      <c r="QO64" s="37">
        <v>1669</v>
      </c>
      <c r="QP64" s="17">
        <v>0.96405032953864589</v>
      </c>
      <c r="QQ64" s="17">
        <v>0.94188136608747752</v>
      </c>
      <c r="QR64" s="17">
        <v>0.72079089275014974</v>
      </c>
      <c r="QS64" s="17">
        <v>0.94907130017974839</v>
      </c>
      <c r="QT64" s="17">
        <v>0.72079089275014974</v>
      </c>
      <c r="QU64" s="37">
        <v>1609</v>
      </c>
      <c r="QV64" s="37">
        <v>1572</v>
      </c>
      <c r="QW64" s="37">
        <v>1203</v>
      </c>
      <c r="QX64" s="37">
        <v>1584</v>
      </c>
      <c r="QY64" s="37">
        <v>1203</v>
      </c>
      <c r="QZ64" s="3">
        <v>1770</v>
      </c>
      <c r="RA64" s="17">
        <v>0.96723163841807913</v>
      </c>
      <c r="RB64" s="17">
        <v>0.89661016949152539</v>
      </c>
      <c r="RC64" s="17">
        <v>0.96779661016949148</v>
      </c>
      <c r="RD64" s="17">
        <v>0.96553672316384176</v>
      </c>
      <c r="RE64" s="17">
        <v>0.70338983050847459</v>
      </c>
      <c r="RF64" s="17">
        <v>0.91186440677966096</v>
      </c>
      <c r="RG64" s="17">
        <v>0.94293785310734468</v>
      </c>
      <c r="RH64" s="17">
        <v>0.91355932203389834</v>
      </c>
      <c r="RI64" s="17">
        <v>0.70169491525423733</v>
      </c>
      <c r="RJ64" s="17">
        <v>0.65593220338983049</v>
      </c>
      <c r="RK64" s="37">
        <v>1712</v>
      </c>
      <c r="RL64" s="37">
        <v>1587</v>
      </c>
      <c r="RM64" s="37">
        <v>1713</v>
      </c>
      <c r="RN64" s="37">
        <v>1709</v>
      </c>
      <c r="RO64" s="37">
        <v>1245</v>
      </c>
      <c r="RP64" s="37">
        <v>1614</v>
      </c>
      <c r="RQ64" s="37">
        <v>1669</v>
      </c>
      <c r="RR64" s="37">
        <v>1617</v>
      </c>
      <c r="RS64" s="37">
        <v>1242</v>
      </c>
      <c r="RT64" s="38">
        <v>1161</v>
      </c>
    </row>
    <row r="65" spans="1:488" s="3" customFormat="1" ht="12.75" x14ac:dyDescent="0.2">
      <c r="A65" s="9" t="s">
        <v>127</v>
      </c>
      <c r="B65" s="6">
        <v>5</v>
      </c>
      <c r="C65" s="9" t="s">
        <v>286</v>
      </c>
      <c r="D65" s="9" t="s">
        <v>286</v>
      </c>
      <c r="E65" s="9" t="s">
        <v>286</v>
      </c>
      <c r="F65" s="9" t="s">
        <v>286</v>
      </c>
      <c r="G65" s="9" t="s">
        <v>286</v>
      </c>
      <c r="H65" s="9" t="s">
        <v>286</v>
      </c>
      <c r="I65" s="9" t="s">
        <v>83</v>
      </c>
      <c r="J65" s="9" t="s">
        <v>287</v>
      </c>
      <c r="K65" s="9" t="s">
        <v>286</v>
      </c>
      <c r="L65" s="9" t="s">
        <v>286</v>
      </c>
      <c r="M65" s="9" t="s">
        <v>286</v>
      </c>
      <c r="N65" s="9" t="s">
        <v>286</v>
      </c>
      <c r="O65" s="109" t="s">
        <v>286</v>
      </c>
      <c r="P65" s="109" t="s">
        <v>286</v>
      </c>
      <c r="Q65" s="109" t="s">
        <v>286</v>
      </c>
      <c r="R65" s="109" t="s">
        <v>286</v>
      </c>
      <c r="S65" s="109" t="s">
        <v>286</v>
      </c>
      <c r="T65" s="36">
        <v>125900</v>
      </c>
      <c r="U65" s="37">
        <v>127200</v>
      </c>
      <c r="V65" s="37">
        <v>128300</v>
      </c>
      <c r="W65" s="37">
        <v>129100</v>
      </c>
      <c r="X65" s="37">
        <v>129800</v>
      </c>
      <c r="Y65" s="37">
        <v>130900</v>
      </c>
      <c r="Z65" s="37">
        <v>131500</v>
      </c>
      <c r="AA65" s="37">
        <v>132200</v>
      </c>
      <c r="AB65" s="37">
        <v>132900</v>
      </c>
      <c r="AC65" s="42">
        <v>134160</v>
      </c>
      <c r="AD65" s="42">
        <v>135868</v>
      </c>
      <c r="AE65" s="36">
        <v>6800</v>
      </c>
      <c r="AF65" s="37">
        <v>6700</v>
      </c>
      <c r="AG65" s="37">
        <v>7000</v>
      </c>
      <c r="AH65" s="37">
        <v>7000</v>
      </c>
      <c r="AI65" s="37">
        <v>7000</v>
      </c>
      <c r="AJ65" s="37">
        <v>7100</v>
      </c>
      <c r="AK65" s="37">
        <v>7100</v>
      </c>
      <c r="AL65" s="37">
        <v>7200</v>
      </c>
      <c r="AM65" s="37">
        <v>7200</v>
      </c>
      <c r="AN65" s="42">
        <v>7172</v>
      </c>
      <c r="AO65" s="42">
        <v>7118</v>
      </c>
      <c r="AP65" s="13">
        <v>7151</v>
      </c>
      <c r="AQ65" s="3">
        <v>6404</v>
      </c>
      <c r="AR65" s="3">
        <v>232</v>
      </c>
      <c r="AS65" s="3">
        <v>294</v>
      </c>
      <c r="AT65" s="3">
        <v>179</v>
      </c>
      <c r="AU65" s="3">
        <v>28</v>
      </c>
      <c r="AV65" s="3">
        <v>14</v>
      </c>
      <c r="AW65" s="9">
        <v>747</v>
      </c>
      <c r="AX65" s="16">
        <v>0.89553908544259542</v>
      </c>
      <c r="AY65" s="17">
        <v>3.2443014962942246E-2</v>
      </c>
      <c r="AZ65" s="17">
        <v>4.111313103062509E-2</v>
      </c>
      <c r="BA65" s="17">
        <v>2.5031464130890784E-2</v>
      </c>
      <c r="BB65" s="17">
        <v>3.915536288630961E-3</v>
      </c>
      <c r="BC65" s="17">
        <v>1.9577681443154805E-3</v>
      </c>
      <c r="BD65" s="18">
        <v>0.10446091455740458</v>
      </c>
      <c r="BE65" s="13">
        <v>20322</v>
      </c>
      <c r="BF65" s="3">
        <v>19957</v>
      </c>
      <c r="BG65" s="3">
        <v>365</v>
      </c>
      <c r="BH65" s="3">
        <v>312</v>
      </c>
      <c r="BI65" s="3">
        <v>53</v>
      </c>
      <c r="BJ65" s="22">
        <v>0.85479452054794525</v>
      </c>
      <c r="BK65" s="18">
        <v>0.14520547945205478</v>
      </c>
      <c r="BL65" s="36">
        <v>14358</v>
      </c>
      <c r="BM65" s="18">
        <v>0.70344059061150577</v>
      </c>
      <c r="BN65" s="18">
        <v>0.1424293077030227</v>
      </c>
      <c r="BO65" s="18">
        <v>0.1541301016854715</v>
      </c>
      <c r="BP65" s="36">
        <v>38935</v>
      </c>
      <c r="BQ65" s="37">
        <v>2063</v>
      </c>
      <c r="BR65" s="37">
        <v>2426</v>
      </c>
      <c r="BS65" s="37">
        <v>1033</v>
      </c>
      <c r="BT65" s="37">
        <v>27411</v>
      </c>
      <c r="BU65" s="37">
        <v>15459</v>
      </c>
      <c r="BV65" s="18">
        <v>0.14218254738340125</v>
      </c>
      <c r="BW65" s="36">
        <v>10348</v>
      </c>
      <c r="BX65" s="37">
        <v>9</v>
      </c>
      <c r="BY65" s="37">
        <v>1777</v>
      </c>
      <c r="BZ65" s="37">
        <v>2474</v>
      </c>
      <c r="CA65" s="37">
        <v>921</v>
      </c>
      <c r="CB65" s="38">
        <v>15529</v>
      </c>
      <c r="CC65" s="37">
        <v>5540</v>
      </c>
      <c r="CD65" s="37">
        <v>4908</v>
      </c>
      <c r="CE65" s="37">
        <v>623</v>
      </c>
      <c r="CF65" s="37">
        <v>632</v>
      </c>
      <c r="CG65" s="17">
        <v>0.11245487364620939</v>
      </c>
      <c r="CH65" s="93">
        <v>0.11407942238267148</v>
      </c>
      <c r="CI65" s="37">
        <v>570</v>
      </c>
      <c r="CJ65" s="37">
        <v>490</v>
      </c>
      <c r="CK65" s="37">
        <v>445</v>
      </c>
      <c r="CL65" s="37">
        <v>405</v>
      </c>
      <c r="CM65" s="42">
        <v>380</v>
      </c>
      <c r="CN65" s="42">
        <v>345</v>
      </c>
      <c r="CO65" s="36">
        <v>2460</v>
      </c>
      <c r="CP65" s="37">
        <v>693</v>
      </c>
      <c r="CQ65" s="17">
        <v>0.2817073170731707</v>
      </c>
      <c r="CR65" s="38">
        <v>257</v>
      </c>
      <c r="CS65" s="107">
        <v>1368</v>
      </c>
      <c r="CT65" s="107">
        <v>1313</v>
      </c>
      <c r="CU65" s="107">
        <v>1308</v>
      </c>
      <c r="CV65" s="107">
        <v>1290</v>
      </c>
      <c r="CW65" s="107">
        <v>1261</v>
      </c>
      <c r="CX65" s="114">
        <v>1229</v>
      </c>
      <c r="CY65" s="568">
        <v>1264</v>
      </c>
      <c r="CZ65" s="37">
        <v>49</v>
      </c>
      <c r="DA65" s="37">
        <v>35</v>
      </c>
      <c r="DB65" s="37">
        <v>21</v>
      </c>
      <c r="DC65" s="37">
        <v>34</v>
      </c>
      <c r="DD65" s="37">
        <v>31</v>
      </c>
      <c r="DE65" s="536">
        <v>21</v>
      </c>
      <c r="DF65" s="536">
        <v>22</v>
      </c>
      <c r="DG65" s="289" t="s">
        <v>286</v>
      </c>
      <c r="DH65" s="13">
        <v>88</v>
      </c>
      <c r="DI65" s="17">
        <v>6.9785884218873911E-2</v>
      </c>
      <c r="DJ65" s="17">
        <v>5.6990593708373789E-2</v>
      </c>
      <c r="DK65" s="18">
        <v>8.5194387315551318E-2</v>
      </c>
      <c r="DL65" s="425" t="s">
        <v>286</v>
      </c>
      <c r="DM65" s="258" t="s">
        <v>286</v>
      </c>
      <c r="DN65" s="258" t="s">
        <v>286</v>
      </c>
      <c r="DO65" s="258" t="s">
        <v>286</v>
      </c>
      <c r="DP65" s="337">
        <v>77</v>
      </c>
      <c r="DQ65" s="393">
        <v>6.7543859649122809E-2</v>
      </c>
      <c r="DR65" s="393">
        <v>5.4380262595957997E-2</v>
      </c>
      <c r="DS65" s="393">
        <v>8.3612164242136702E-2</v>
      </c>
      <c r="DT65" s="13">
        <v>120</v>
      </c>
      <c r="DU65" s="18">
        <v>1.6809076901526825E-2</v>
      </c>
      <c r="DV65" s="368" t="s">
        <v>286</v>
      </c>
      <c r="DW65" s="369" t="s">
        <v>286</v>
      </c>
      <c r="DX65" s="420" t="s">
        <v>286</v>
      </c>
      <c r="DY65" s="258">
        <v>8.4099999999999994E-2</v>
      </c>
      <c r="DZ65" s="420" t="s">
        <v>286</v>
      </c>
      <c r="EA65" s="259">
        <v>8.4000000000000005E-2</v>
      </c>
      <c r="EB65" s="3">
        <v>1504</v>
      </c>
      <c r="EC65" s="18">
        <v>2.7383791854050217E-2</v>
      </c>
      <c r="ED65" s="13">
        <v>795</v>
      </c>
      <c r="EE65" s="3">
        <v>770</v>
      </c>
      <c r="EF65" s="3">
        <v>760</v>
      </c>
      <c r="EG65" s="3">
        <v>765</v>
      </c>
      <c r="EH65" s="9">
        <v>640</v>
      </c>
      <c r="EI65" s="9">
        <v>545</v>
      </c>
      <c r="EJ65" s="13">
        <v>610</v>
      </c>
      <c r="EK65" s="17">
        <v>9.1591591591591595E-2</v>
      </c>
      <c r="EL65" s="17">
        <v>8.4897475476981066E-2</v>
      </c>
      <c r="EM65" s="17">
        <v>9.8756572474705692E-2</v>
      </c>
      <c r="EN65" s="3">
        <v>760</v>
      </c>
      <c r="EO65" s="17">
        <v>0.1123429416112343</v>
      </c>
      <c r="EP65" s="17">
        <v>0.10503680922210816</v>
      </c>
      <c r="EQ65" s="17">
        <v>0.12008908094554045</v>
      </c>
      <c r="ER65" s="3">
        <v>775</v>
      </c>
      <c r="ES65" s="17">
        <v>0.11363636363636363</v>
      </c>
      <c r="ET65" s="17">
        <v>0.10632066832115258</v>
      </c>
      <c r="EU65" s="17">
        <v>0.1213870631959907</v>
      </c>
      <c r="EV65" s="3">
        <v>735</v>
      </c>
      <c r="EW65" s="17">
        <v>0.1085672082717873</v>
      </c>
      <c r="EX65" s="17">
        <v>0.10137746917468257</v>
      </c>
      <c r="EY65" s="17">
        <v>0.11620091198177358</v>
      </c>
      <c r="EZ65" s="3">
        <v>735</v>
      </c>
      <c r="FA65" s="18">
        <v>0.10888888888888888</v>
      </c>
      <c r="FB65" s="18">
        <v>0.10167901541892954</v>
      </c>
      <c r="FC65" s="18">
        <v>0.11654367574238257</v>
      </c>
      <c r="FD65" s="337">
        <v>695</v>
      </c>
      <c r="FE65" s="18">
        <v>0.11710193765796124</v>
      </c>
      <c r="FF65" s="18">
        <v>0.10916809688863628</v>
      </c>
      <c r="FG65" s="393">
        <v>0.12553112323458893</v>
      </c>
      <c r="FH65" s="425">
        <v>725</v>
      </c>
      <c r="FI65" s="258">
        <v>0.11600000000000001</v>
      </c>
      <c r="FJ65" s="258">
        <v>0.108</v>
      </c>
      <c r="FK65" s="258">
        <v>0.124</v>
      </c>
      <c r="FL65" s="36">
        <v>2075</v>
      </c>
      <c r="FM65" s="18">
        <v>8.9478223372143159E-2</v>
      </c>
      <c r="FN65" s="42">
        <v>2260</v>
      </c>
      <c r="FO65" s="18">
        <v>9.7329888027562442E-2</v>
      </c>
      <c r="FP65" s="42">
        <v>2185</v>
      </c>
      <c r="FQ65" s="18">
        <v>9.4221647261750752E-2</v>
      </c>
      <c r="FR65" s="42">
        <v>2095</v>
      </c>
      <c r="FS65" s="18">
        <v>9.0790899241603468E-2</v>
      </c>
      <c r="FT65" s="42">
        <v>1900</v>
      </c>
      <c r="FU65" s="18">
        <v>8.2554855529002824E-2</v>
      </c>
      <c r="FV65" s="42">
        <v>1875</v>
      </c>
      <c r="FW65" s="393">
        <v>8.2490101187857462E-2</v>
      </c>
      <c r="FX65" s="42">
        <v>1975</v>
      </c>
      <c r="FY65" s="93">
        <v>8.7999999999999995E-2</v>
      </c>
      <c r="FZ65" s="3">
        <v>1254</v>
      </c>
      <c r="GA65" s="3">
        <v>36</v>
      </c>
      <c r="GB65" s="3">
        <v>1241</v>
      </c>
      <c r="GC65" s="17">
        <v>0.9896331738437002</v>
      </c>
      <c r="GD65" s="3">
        <v>572</v>
      </c>
      <c r="GE65" s="3">
        <v>740</v>
      </c>
      <c r="GF65" s="17">
        <v>0.46091861402095086</v>
      </c>
      <c r="GG65" s="17">
        <v>0.59629331184528611</v>
      </c>
      <c r="GH65" s="17">
        <v>0.45500000000000002</v>
      </c>
      <c r="GI65" s="17">
        <v>0.51</v>
      </c>
      <c r="GJ65" s="17">
        <v>0.59099999999999997</v>
      </c>
      <c r="GK65" s="93">
        <v>0.64500000000000002</v>
      </c>
      <c r="GL65" s="337">
        <v>1127</v>
      </c>
      <c r="GM65" s="337">
        <v>518</v>
      </c>
      <c r="GN65" s="337">
        <v>156</v>
      </c>
      <c r="GO65" s="337">
        <v>674</v>
      </c>
      <c r="GP65" s="393">
        <v>0.45962732919254656</v>
      </c>
      <c r="GQ65" s="393">
        <v>0.59804791481810116</v>
      </c>
      <c r="GR65" s="393">
        <v>0.43071744831425007</v>
      </c>
      <c r="GS65" s="393">
        <v>0.48881150130977591</v>
      </c>
      <c r="GT65" s="393">
        <v>0.56913684499005646</v>
      </c>
      <c r="GU65" s="93">
        <v>0.62629284878016611</v>
      </c>
      <c r="GV65" s="42">
        <v>1341</v>
      </c>
      <c r="GW65" s="42">
        <v>238</v>
      </c>
      <c r="GX65" s="42">
        <v>1103</v>
      </c>
      <c r="GY65" s="393">
        <f t="shared" si="2"/>
        <v>0.8225205070842655</v>
      </c>
      <c r="GZ65" s="42">
        <v>478</v>
      </c>
      <c r="HA65" s="42">
        <v>152</v>
      </c>
      <c r="HB65" s="42">
        <v>630</v>
      </c>
      <c r="HC65" s="393">
        <v>0.43336355394378967</v>
      </c>
      <c r="HD65" s="393">
        <v>0.57116953762466005</v>
      </c>
      <c r="HE65" s="393">
        <v>0.4044005668650093</v>
      </c>
      <c r="HF65" s="393">
        <v>0.46278908452677725</v>
      </c>
      <c r="HG65" s="393">
        <v>0.54176530066750717</v>
      </c>
      <c r="HH65" s="93">
        <v>0.60007976553310183</v>
      </c>
      <c r="HI65" s="702" t="s">
        <v>286</v>
      </c>
      <c r="HJ65" s="703" t="s">
        <v>286</v>
      </c>
      <c r="HK65" s="703" t="s">
        <v>286</v>
      </c>
      <c r="HL65" s="704" t="s">
        <v>286</v>
      </c>
      <c r="HM65" s="703" t="s">
        <v>286</v>
      </c>
      <c r="HN65" s="703" t="s">
        <v>286</v>
      </c>
      <c r="HO65" s="703" t="s">
        <v>286</v>
      </c>
      <c r="HP65" s="704" t="s">
        <v>286</v>
      </c>
      <c r="HQ65" s="704" t="s">
        <v>286</v>
      </c>
      <c r="HR65" s="704" t="s">
        <v>286</v>
      </c>
      <c r="HS65" s="704" t="s">
        <v>286</v>
      </c>
      <c r="HT65" s="704" t="s">
        <v>286</v>
      </c>
      <c r="HU65" s="705" t="s">
        <v>286</v>
      </c>
      <c r="HV65" s="3">
        <v>1215</v>
      </c>
      <c r="HW65" s="268">
        <v>82.62</v>
      </c>
      <c r="HX65" s="17">
        <v>6.8000000000000005E-2</v>
      </c>
      <c r="HY65" s="17">
        <v>5.4000000000000006E-2</v>
      </c>
      <c r="HZ65" s="17">
        <v>8.2000000000000003E-2</v>
      </c>
      <c r="IA65" s="267" t="s">
        <v>708</v>
      </c>
      <c r="IB65" s="3">
        <v>1230</v>
      </c>
      <c r="IC65" s="268">
        <v>95.94</v>
      </c>
      <c r="ID65" s="17">
        <v>7.8E-2</v>
      </c>
      <c r="IE65" s="17">
        <v>6.3E-2</v>
      </c>
      <c r="IF65" s="17">
        <v>9.2999999999999999E-2</v>
      </c>
      <c r="IG65" s="3" t="s">
        <v>707</v>
      </c>
      <c r="IH65" s="3">
        <v>838</v>
      </c>
      <c r="II65" s="268">
        <v>70.39200000000001</v>
      </c>
      <c r="IJ65" s="17">
        <v>8.4000000000000005E-2</v>
      </c>
      <c r="IK65" s="17">
        <v>6.5000000000000002E-2</v>
      </c>
      <c r="IL65" s="17">
        <v>0.10300000000000001</v>
      </c>
      <c r="IM65" s="3" t="s">
        <v>707</v>
      </c>
      <c r="IN65" s="3">
        <v>1171</v>
      </c>
      <c r="IO65" s="268">
        <v>88.995999999999995</v>
      </c>
      <c r="IP65" s="17">
        <v>7.5999999999999998E-2</v>
      </c>
      <c r="IQ65" s="17">
        <v>6.0999999999999999E-2</v>
      </c>
      <c r="IR65" s="17">
        <v>9.0999999999999998E-2</v>
      </c>
      <c r="IS65" s="3" t="s">
        <v>708</v>
      </c>
      <c r="IT65" s="3">
        <v>804</v>
      </c>
      <c r="IU65" s="268">
        <v>58.999932000000001</v>
      </c>
      <c r="IV65" s="17">
        <v>7.3383000000000004E-2</v>
      </c>
      <c r="IW65" s="17">
        <v>5.7316000000000006E-2</v>
      </c>
      <c r="IX65" s="17">
        <v>9.3507999999999994E-2</v>
      </c>
      <c r="IY65" s="9" t="s">
        <v>708</v>
      </c>
      <c r="IZ65" s="9">
        <v>1272</v>
      </c>
      <c r="JA65" s="9">
        <v>76.000000000000043</v>
      </c>
      <c r="JB65" s="17">
        <v>5.9748427672956003E-2</v>
      </c>
      <c r="JC65" s="17">
        <v>4.80008753374589E-2</v>
      </c>
      <c r="JD65" s="17">
        <v>7.4147106093356202E-2</v>
      </c>
      <c r="JE65" s="9" t="str">
        <f t="shared" si="5"/>
        <v>Sig better than Eng.</v>
      </c>
      <c r="JF65" s="667">
        <v>1222</v>
      </c>
      <c r="JG65" s="672">
        <v>70.000000000000028</v>
      </c>
      <c r="JH65" s="669">
        <v>5.7283142389525393E-2</v>
      </c>
      <c r="JI65" s="669">
        <v>4.55879954477664E-2</v>
      </c>
      <c r="JJ65" s="669">
        <v>7.17530014533133E-2</v>
      </c>
      <c r="JK65" s="662" t="str">
        <f t="shared" si="6"/>
        <v>Sig better than Eng.</v>
      </c>
      <c r="JL65" s="3">
        <v>1236</v>
      </c>
      <c r="JM65" s="268">
        <v>187.87199999999999</v>
      </c>
      <c r="JN65" s="17">
        <v>0.152</v>
      </c>
      <c r="JO65" s="17">
        <v>0.13200000000000001</v>
      </c>
      <c r="JP65" s="17">
        <v>0.17199999999999999</v>
      </c>
      <c r="JQ65" s="3" t="s">
        <v>708</v>
      </c>
      <c r="JR65" s="3">
        <v>1267</v>
      </c>
      <c r="JS65" s="268">
        <v>184.982</v>
      </c>
      <c r="JT65" s="17">
        <v>0.14599999999999999</v>
      </c>
      <c r="JU65" s="17">
        <v>0.127</v>
      </c>
      <c r="JV65" s="17">
        <v>0.16499999999999998</v>
      </c>
      <c r="JW65" s="3" t="s">
        <v>708</v>
      </c>
      <c r="JX65" s="3">
        <v>1196</v>
      </c>
      <c r="JY65" s="268">
        <v>149.5</v>
      </c>
      <c r="JZ65" s="17">
        <v>0.125</v>
      </c>
      <c r="KA65" s="17">
        <v>0.106</v>
      </c>
      <c r="KB65" s="17">
        <v>0.14399999999999999</v>
      </c>
      <c r="KC65" s="3" t="s">
        <v>708</v>
      </c>
      <c r="KD65" s="3">
        <v>1110</v>
      </c>
      <c r="KE65" s="268">
        <v>135.41999999999999</v>
      </c>
      <c r="KF65" s="17">
        <v>0.122</v>
      </c>
      <c r="KG65" s="17">
        <v>0.10299999999999999</v>
      </c>
      <c r="KH65" s="17">
        <v>0.14099999999999999</v>
      </c>
      <c r="KI65" s="3" t="s">
        <v>708</v>
      </c>
      <c r="KJ65" s="3">
        <v>1275</v>
      </c>
      <c r="KK65" s="268">
        <v>166.99950000000001</v>
      </c>
      <c r="KL65" s="17">
        <v>0.13098000000000001</v>
      </c>
      <c r="KM65" s="17">
        <v>0.113565</v>
      </c>
      <c r="KN65" s="17">
        <v>0.150613</v>
      </c>
      <c r="KO65" s="9" t="s">
        <v>708</v>
      </c>
      <c r="KP65" s="9">
        <v>1249</v>
      </c>
      <c r="KQ65" s="9">
        <v>159.00000000000057</v>
      </c>
      <c r="KR65" s="393">
        <v>0.12730184147317899</v>
      </c>
      <c r="KS65" s="393">
        <v>0.109952760676684</v>
      </c>
      <c r="KT65" s="393">
        <v>0.14693645427924898</v>
      </c>
      <c r="KU65" s="9" t="s">
        <v>708</v>
      </c>
      <c r="KV65" s="667">
        <v>1340</v>
      </c>
      <c r="KW65" s="667">
        <v>152.00000000000065</v>
      </c>
      <c r="KX65" s="385">
        <v>0.11343283582089601</v>
      </c>
      <c r="KY65" s="385">
        <v>9.7546833676477013E-2</v>
      </c>
      <c r="KZ65" s="385">
        <v>0.13152889307691901</v>
      </c>
      <c r="LA65" s="662" t="str">
        <f t="shared" si="4"/>
        <v>Sig better than Eng.</v>
      </c>
      <c r="LB65" s="3">
        <v>1370</v>
      </c>
      <c r="LC65" s="3">
        <v>798</v>
      </c>
      <c r="LD65" s="17">
        <v>0.58248175182481754</v>
      </c>
      <c r="LE65" s="17">
        <v>0.55617303817911246</v>
      </c>
      <c r="LF65" s="17">
        <v>0.60832920372731425</v>
      </c>
      <c r="LG65" s="3">
        <v>1370</v>
      </c>
      <c r="LH65" s="3">
        <v>34</v>
      </c>
      <c r="LI65" s="3">
        <v>274</v>
      </c>
      <c r="LJ65" s="293">
        <v>25.514598540145979</v>
      </c>
      <c r="LK65" s="17">
        <v>0.24957063117217709</v>
      </c>
      <c r="LL65" s="3">
        <v>1498</v>
      </c>
      <c r="LM65" s="3">
        <v>936</v>
      </c>
      <c r="LN65" s="17">
        <v>0.62483311081441928</v>
      </c>
      <c r="LO65" s="17">
        <v>0.6000250238085405</v>
      </c>
      <c r="LP65" s="17">
        <v>0.64900259345652012</v>
      </c>
      <c r="LQ65" s="3">
        <v>1498</v>
      </c>
      <c r="LR65" s="3">
        <v>34</v>
      </c>
      <c r="LS65" s="3">
        <v>299</v>
      </c>
      <c r="LT65" s="293">
        <v>25.789297658862878</v>
      </c>
      <c r="LU65" s="18">
        <v>0.24149124532756239</v>
      </c>
      <c r="LV65" s="42">
        <v>1603</v>
      </c>
      <c r="LW65" s="42">
        <v>1061</v>
      </c>
      <c r="LX65" s="393">
        <v>0.66188396756082346</v>
      </c>
      <c r="LY65" s="393">
        <v>0.63836319614815307</v>
      </c>
      <c r="LZ65" s="393">
        <v>0.68463071040745005</v>
      </c>
      <c r="MA65" s="337">
        <v>34</v>
      </c>
      <c r="MB65" s="337">
        <v>320</v>
      </c>
      <c r="MC65" s="294">
        <v>25.631250000000001</v>
      </c>
      <c r="MD65" s="393">
        <v>0.2461397058823529</v>
      </c>
      <c r="ME65" s="337">
        <v>1480</v>
      </c>
      <c r="MF65" s="337">
        <v>1063</v>
      </c>
      <c r="MG65" s="393">
        <v>0.71824324324324329</v>
      </c>
      <c r="MH65" s="393">
        <v>0.69478224505798558</v>
      </c>
      <c r="MI65" s="393">
        <v>0.74057423872257866</v>
      </c>
      <c r="MJ65" s="337">
        <v>34</v>
      </c>
      <c r="MK65" s="337">
        <v>296</v>
      </c>
      <c r="ML65" s="294">
        <v>26.74074074074074</v>
      </c>
      <c r="MM65" s="93">
        <v>0.21350762527233116</v>
      </c>
      <c r="MN65" s="17"/>
      <c r="MO65" s="17"/>
      <c r="MP65" s="17"/>
      <c r="MQ65" s="17"/>
      <c r="MR65" s="17"/>
      <c r="MS65" s="17"/>
      <c r="MT65" s="17"/>
      <c r="MU65" s="17"/>
      <c r="MV65" s="17"/>
      <c r="MW65" s="17"/>
      <c r="MX65" s="17"/>
      <c r="MY65" s="17"/>
      <c r="MZ65" s="17"/>
      <c r="NA65" s="17"/>
      <c r="NB65" s="17"/>
      <c r="NC65" s="93"/>
      <c r="ND65" s="337">
        <v>47</v>
      </c>
      <c r="NE65" s="337">
        <v>537</v>
      </c>
      <c r="NF65" s="393">
        <v>8.752327746741155E-2</v>
      </c>
      <c r="NG65" s="393">
        <v>6.6456548514416805E-2</v>
      </c>
      <c r="NH65" s="393">
        <v>0.11444944015375524</v>
      </c>
      <c r="NI65" s="337">
        <v>40</v>
      </c>
      <c r="NJ65" s="337">
        <v>537</v>
      </c>
      <c r="NK65" s="393">
        <v>7.4487895716946001E-2</v>
      </c>
      <c r="NL65" s="393">
        <v>5.5176511356156623E-2</v>
      </c>
      <c r="NM65" s="393">
        <v>9.9843887789113406E-2</v>
      </c>
      <c r="NN65" s="337">
        <v>45</v>
      </c>
      <c r="NO65" s="337">
        <v>534</v>
      </c>
      <c r="NP65" s="393">
        <v>8.4269662921348312E-2</v>
      </c>
      <c r="NQ65" s="393">
        <v>6.3575050069681782E-2</v>
      </c>
      <c r="NR65" s="393">
        <v>0.11090286955082677</v>
      </c>
      <c r="NS65" s="337">
        <v>79</v>
      </c>
      <c r="NT65" s="337">
        <v>528</v>
      </c>
      <c r="NU65" s="393">
        <v>0.14962121212121213</v>
      </c>
      <c r="NV65" s="393">
        <v>0.12173136916747594</v>
      </c>
      <c r="NW65" s="93">
        <v>0.18257258483333016</v>
      </c>
      <c r="NX65" s="391" t="s">
        <v>286</v>
      </c>
      <c r="NY65" s="391" t="s">
        <v>286</v>
      </c>
      <c r="NZ65" s="391" t="s">
        <v>286</v>
      </c>
      <c r="OA65" s="391" t="s">
        <v>286</v>
      </c>
      <c r="OB65" s="391" t="s">
        <v>286</v>
      </c>
      <c r="OC65" s="391" t="s">
        <v>286</v>
      </c>
      <c r="OD65" s="391" t="s">
        <v>286</v>
      </c>
      <c r="OE65" s="391" t="s">
        <v>286</v>
      </c>
      <c r="OF65" s="391" t="s">
        <v>286</v>
      </c>
      <c r="OG65" s="391" t="s">
        <v>286</v>
      </c>
      <c r="OH65" s="391" t="s">
        <v>286</v>
      </c>
      <c r="OI65" s="391" t="s">
        <v>286</v>
      </c>
      <c r="OJ65" s="391" t="s">
        <v>286</v>
      </c>
      <c r="OK65" s="391" t="s">
        <v>286</v>
      </c>
      <c r="OL65" s="391" t="s">
        <v>286</v>
      </c>
      <c r="OM65" s="391" t="s">
        <v>286</v>
      </c>
      <c r="ON65" s="391" t="s">
        <v>286</v>
      </c>
      <c r="OO65" s="391" t="s">
        <v>286</v>
      </c>
      <c r="OP65" s="391" t="s">
        <v>286</v>
      </c>
      <c r="OQ65" s="391" t="s">
        <v>286</v>
      </c>
      <c r="OR65" s="391" t="s">
        <v>286</v>
      </c>
      <c r="OS65" s="391" t="s">
        <v>286</v>
      </c>
      <c r="OT65" s="115" t="s">
        <v>286</v>
      </c>
      <c r="OU65" s="3">
        <v>1324</v>
      </c>
      <c r="OV65" s="22">
        <v>0.96899999999999997</v>
      </c>
      <c r="OW65" s="22">
        <v>7.0000000000000001E-3</v>
      </c>
      <c r="OX65" s="22">
        <v>0.96799999999999997</v>
      </c>
      <c r="OY65" s="3">
        <v>1283</v>
      </c>
      <c r="OZ65" s="3">
        <v>9</v>
      </c>
      <c r="PA65" s="3">
        <v>1281</v>
      </c>
      <c r="PB65" s="3">
        <v>1377</v>
      </c>
      <c r="PC65" s="22">
        <v>0.97699999999999998</v>
      </c>
      <c r="PD65" s="22">
        <v>0.94599999999999995</v>
      </c>
      <c r="PE65" s="22">
        <v>0.95399999999999996</v>
      </c>
      <c r="PF65" s="22">
        <v>0.95599999999999996</v>
      </c>
      <c r="PG65" s="22">
        <v>0.94799999999999995</v>
      </c>
      <c r="PH65" s="3">
        <v>1346</v>
      </c>
      <c r="PI65" s="3">
        <v>1302</v>
      </c>
      <c r="PJ65" s="3">
        <v>1313</v>
      </c>
      <c r="PK65" s="3">
        <v>1316</v>
      </c>
      <c r="PL65" s="3">
        <v>1306</v>
      </c>
      <c r="PM65" s="3">
        <v>1596</v>
      </c>
      <c r="PN65" s="22">
        <v>0.96799999999999997</v>
      </c>
      <c r="PO65" s="22">
        <v>0.92300000000000004</v>
      </c>
      <c r="PP65" s="22">
        <v>0.96799999999999997</v>
      </c>
      <c r="PQ65" s="22">
        <v>0.96699999999999997</v>
      </c>
      <c r="PR65" s="22">
        <v>0.96399999999999997</v>
      </c>
      <c r="PS65" s="22">
        <v>0.85799999999999998</v>
      </c>
      <c r="PT65" s="22">
        <v>0.93799999999999994</v>
      </c>
      <c r="PU65" s="22">
        <v>0.91600000000000004</v>
      </c>
      <c r="PV65" s="22">
        <v>0.96699999999999997</v>
      </c>
      <c r="PW65" s="22">
        <v>0.92900000000000005</v>
      </c>
      <c r="PX65" s="3">
        <v>1545</v>
      </c>
      <c r="PY65" s="3">
        <v>1473</v>
      </c>
      <c r="PZ65" s="3">
        <v>1545</v>
      </c>
      <c r="QA65" s="3">
        <v>1544</v>
      </c>
      <c r="QB65" s="3">
        <v>1538</v>
      </c>
      <c r="QC65" s="3">
        <v>1370</v>
      </c>
      <c r="QD65" s="3">
        <v>1497</v>
      </c>
      <c r="QE65" s="3">
        <v>1462</v>
      </c>
      <c r="QF65" s="3">
        <v>1543</v>
      </c>
      <c r="QG65" s="6">
        <v>1482</v>
      </c>
      <c r="QH65" s="37">
        <v>1272</v>
      </c>
      <c r="QI65" s="17">
        <v>0.9661949685534591</v>
      </c>
      <c r="QJ65" s="17">
        <v>0.23820754716981132</v>
      </c>
      <c r="QK65" s="17">
        <v>0.96698113207547165</v>
      </c>
      <c r="QL65" s="37">
        <v>1229</v>
      </c>
      <c r="QM65" s="37">
        <v>303</v>
      </c>
      <c r="QN65" s="37">
        <v>1230</v>
      </c>
      <c r="QO65" s="37">
        <v>1358</v>
      </c>
      <c r="QP65" s="17">
        <v>0.9779086892488954</v>
      </c>
      <c r="QQ65" s="17">
        <v>0.95066273932253309</v>
      </c>
      <c r="QR65" s="17">
        <v>0.72091310751104565</v>
      </c>
      <c r="QS65" s="17">
        <v>0.95876288659793818</v>
      </c>
      <c r="QT65" s="17">
        <v>0.71207658321060385</v>
      </c>
      <c r="QU65" s="37">
        <v>1328</v>
      </c>
      <c r="QV65" s="37">
        <v>1291</v>
      </c>
      <c r="QW65" s="37">
        <v>979</v>
      </c>
      <c r="QX65" s="37">
        <v>1302</v>
      </c>
      <c r="QY65" s="37">
        <v>967</v>
      </c>
      <c r="QZ65" s="3">
        <v>1548</v>
      </c>
      <c r="RA65" s="17">
        <v>0.97222222222222221</v>
      </c>
      <c r="RB65" s="17">
        <v>0.91989664082687339</v>
      </c>
      <c r="RC65" s="17">
        <v>0.97222222222222221</v>
      </c>
      <c r="RD65" s="17">
        <v>0.97093023255813948</v>
      </c>
      <c r="RE65" s="17">
        <v>0.72997416020671835</v>
      </c>
      <c r="RF65" s="17">
        <v>0.91731266149870805</v>
      </c>
      <c r="RG65" s="17">
        <v>0.93023255813953487</v>
      </c>
      <c r="RH65" s="17">
        <v>0.92958656330749356</v>
      </c>
      <c r="RI65" s="17">
        <v>0.73320413436692511</v>
      </c>
      <c r="RJ65" s="17">
        <v>0.68410852713178294</v>
      </c>
      <c r="RK65" s="37">
        <v>1505</v>
      </c>
      <c r="RL65" s="37">
        <v>1424</v>
      </c>
      <c r="RM65" s="37">
        <v>1505</v>
      </c>
      <c r="RN65" s="37">
        <v>1503</v>
      </c>
      <c r="RO65" s="37">
        <v>1130</v>
      </c>
      <c r="RP65" s="37">
        <v>1420</v>
      </c>
      <c r="RQ65" s="37">
        <v>1440</v>
      </c>
      <c r="RR65" s="37">
        <v>1439</v>
      </c>
      <c r="RS65" s="37">
        <v>1135</v>
      </c>
      <c r="RT65" s="38">
        <v>1059</v>
      </c>
    </row>
    <row r="66" spans="1:488" s="3" customFormat="1" ht="12.75" x14ac:dyDescent="0.2">
      <c r="A66" s="9" t="s">
        <v>128</v>
      </c>
      <c r="B66" s="6">
        <v>6</v>
      </c>
      <c r="C66" s="9" t="s">
        <v>286</v>
      </c>
      <c r="D66" s="9" t="s">
        <v>286</v>
      </c>
      <c r="E66" s="9" t="s">
        <v>286</v>
      </c>
      <c r="F66" s="9" t="s">
        <v>286</v>
      </c>
      <c r="G66" s="9" t="s">
        <v>286</v>
      </c>
      <c r="H66" s="9" t="s">
        <v>286</v>
      </c>
      <c r="I66" s="9" t="s">
        <v>80</v>
      </c>
      <c r="J66" s="9" t="s">
        <v>270</v>
      </c>
      <c r="K66" s="9" t="s">
        <v>286</v>
      </c>
      <c r="L66" s="9" t="s">
        <v>286</v>
      </c>
      <c r="M66" s="9" t="s">
        <v>286</v>
      </c>
      <c r="N66" s="9" t="s">
        <v>286</v>
      </c>
      <c r="O66" s="109" t="s">
        <v>286</v>
      </c>
      <c r="P66" s="109" t="s">
        <v>286</v>
      </c>
      <c r="Q66" s="109" t="s">
        <v>286</v>
      </c>
      <c r="R66" s="109" t="s">
        <v>286</v>
      </c>
      <c r="S66" s="109" t="s">
        <v>286</v>
      </c>
      <c r="T66" s="36">
        <v>130500</v>
      </c>
      <c r="U66" s="37">
        <v>132100</v>
      </c>
      <c r="V66" s="37">
        <v>134000</v>
      </c>
      <c r="W66" s="37">
        <v>135700</v>
      </c>
      <c r="X66" s="37">
        <v>137200</v>
      </c>
      <c r="Y66" s="37">
        <v>138900</v>
      </c>
      <c r="Z66" s="37">
        <v>140200</v>
      </c>
      <c r="AA66" s="37">
        <v>141200</v>
      </c>
      <c r="AB66" s="37">
        <v>142800</v>
      </c>
      <c r="AC66" s="42">
        <v>144375</v>
      </c>
      <c r="AD66" s="42">
        <v>145651</v>
      </c>
      <c r="AE66" s="36">
        <v>7500</v>
      </c>
      <c r="AF66" s="37">
        <v>7700</v>
      </c>
      <c r="AG66" s="37">
        <v>8000</v>
      </c>
      <c r="AH66" s="37">
        <v>8200</v>
      </c>
      <c r="AI66" s="37">
        <v>8100</v>
      </c>
      <c r="AJ66" s="37">
        <v>8200</v>
      </c>
      <c r="AK66" s="37">
        <v>8300</v>
      </c>
      <c r="AL66" s="37">
        <v>8500</v>
      </c>
      <c r="AM66" s="37">
        <v>8600</v>
      </c>
      <c r="AN66" s="42">
        <v>8695</v>
      </c>
      <c r="AO66" s="42">
        <v>8631</v>
      </c>
      <c r="AP66" s="13">
        <v>8343</v>
      </c>
      <c r="AQ66" s="3">
        <v>7298</v>
      </c>
      <c r="AR66" s="3">
        <v>325</v>
      </c>
      <c r="AS66" s="3">
        <v>336</v>
      </c>
      <c r="AT66" s="3">
        <v>331</v>
      </c>
      <c r="AU66" s="3">
        <v>46</v>
      </c>
      <c r="AV66" s="3">
        <v>7</v>
      </c>
      <c r="AW66" s="9">
        <v>1045</v>
      </c>
      <c r="AX66" s="16">
        <v>0.87474529545726953</v>
      </c>
      <c r="AY66" s="17">
        <v>3.8954812417595588E-2</v>
      </c>
      <c r="AZ66" s="17">
        <v>4.0273282991729595E-2</v>
      </c>
      <c r="BA66" s="17">
        <v>3.9673978185305048E-2</v>
      </c>
      <c r="BB66" s="17">
        <v>5.5136042191058368E-3</v>
      </c>
      <c r="BC66" s="17">
        <v>8.3902672899436649E-4</v>
      </c>
      <c r="BD66" s="18">
        <v>0.12525470454273047</v>
      </c>
      <c r="BE66" s="13">
        <v>22188</v>
      </c>
      <c r="BF66" s="3">
        <v>21777</v>
      </c>
      <c r="BG66" s="3">
        <v>411</v>
      </c>
      <c r="BH66" s="3">
        <v>362</v>
      </c>
      <c r="BI66" s="3">
        <v>49</v>
      </c>
      <c r="BJ66" s="22">
        <v>0.88077858880778592</v>
      </c>
      <c r="BK66" s="18">
        <v>0.11922141119221411</v>
      </c>
      <c r="BL66" s="36">
        <v>16498</v>
      </c>
      <c r="BM66" s="18">
        <v>0.71044975148502854</v>
      </c>
      <c r="BN66" s="18">
        <v>0.12456055279427809</v>
      </c>
      <c r="BO66" s="18">
        <v>0.16498969572069341</v>
      </c>
      <c r="BP66" s="36">
        <v>40824</v>
      </c>
      <c r="BQ66" s="37">
        <v>2421</v>
      </c>
      <c r="BR66" s="37">
        <v>2796</v>
      </c>
      <c r="BS66" s="37">
        <v>1278</v>
      </c>
      <c r="BT66" s="37">
        <v>30486</v>
      </c>
      <c r="BU66" s="37">
        <v>16991</v>
      </c>
      <c r="BV66" s="18">
        <v>0.14837266788299688</v>
      </c>
      <c r="BW66" s="36">
        <v>11413</v>
      </c>
      <c r="BX66" s="37">
        <v>8</v>
      </c>
      <c r="BY66" s="37">
        <v>1979</v>
      </c>
      <c r="BZ66" s="37">
        <v>2652</v>
      </c>
      <c r="CA66" s="37">
        <v>993</v>
      </c>
      <c r="CB66" s="38">
        <v>17045</v>
      </c>
      <c r="CC66" s="37">
        <v>6511</v>
      </c>
      <c r="CD66" s="37">
        <v>5856</v>
      </c>
      <c r="CE66" s="37">
        <v>647</v>
      </c>
      <c r="CF66" s="37">
        <v>655</v>
      </c>
      <c r="CG66" s="17">
        <v>9.9370296421440643E-2</v>
      </c>
      <c r="CH66" s="93">
        <v>0.10059898633082476</v>
      </c>
      <c r="CI66" s="37">
        <v>565</v>
      </c>
      <c r="CJ66" s="37">
        <v>525</v>
      </c>
      <c r="CK66" s="37">
        <v>450</v>
      </c>
      <c r="CL66" s="37">
        <v>450</v>
      </c>
      <c r="CM66" s="42">
        <v>420</v>
      </c>
      <c r="CN66" s="42">
        <v>395</v>
      </c>
      <c r="CO66" s="36">
        <v>2645</v>
      </c>
      <c r="CP66" s="37">
        <v>656</v>
      </c>
      <c r="CQ66" s="17">
        <v>0.24801512287334593</v>
      </c>
      <c r="CR66" s="38">
        <v>222</v>
      </c>
      <c r="CS66" s="107">
        <v>1479</v>
      </c>
      <c r="CT66" s="107">
        <v>1527</v>
      </c>
      <c r="CU66" s="107">
        <v>1524</v>
      </c>
      <c r="CV66" s="107">
        <v>1545</v>
      </c>
      <c r="CW66" s="107">
        <v>1512</v>
      </c>
      <c r="CX66" s="114">
        <v>1521</v>
      </c>
      <c r="CY66" s="568">
        <v>1593</v>
      </c>
      <c r="CZ66" s="37">
        <v>46</v>
      </c>
      <c r="DA66" s="37">
        <v>43</v>
      </c>
      <c r="DB66" s="37">
        <v>42</v>
      </c>
      <c r="DC66" s="37">
        <v>28</v>
      </c>
      <c r="DD66" s="37">
        <v>39</v>
      </c>
      <c r="DE66" s="536">
        <v>26</v>
      </c>
      <c r="DF66" s="536">
        <v>25</v>
      </c>
      <c r="DG66" s="289" t="s">
        <v>286</v>
      </c>
      <c r="DH66" s="13">
        <v>74</v>
      </c>
      <c r="DI66" s="17">
        <v>4.8941798941798939E-2</v>
      </c>
      <c r="DJ66" s="17">
        <v>3.9164015141647537E-2</v>
      </c>
      <c r="DK66" s="18">
        <v>6.100573410035097E-2</v>
      </c>
      <c r="DL66" s="425" t="s">
        <v>286</v>
      </c>
      <c r="DM66" s="258" t="s">
        <v>286</v>
      </c>
      <c r="DN66" s="258" t="s">
        <v>286</v>
      </c>
      <c r="DO66" s="258" t="s">
        <v>286</v>
      </c>
      <c r="DP66" s="337">
        <v>85</v>
      </c>
      <c r="DQ66" s="393">
        <v>5.8339052848318459E-2</v>
      </c>
      <c r="DR66" s="393">
        <v>4.7425327970069951E-2</v>
      </c>
      <c r="DS66" s="393">
        <v>7.1575579192732372E-2</v>
      </c>
      <c r="DT66" s="13">
        <v>140</v>
      </c>
      <c r="DU66" s="18">
        <v>1.6794625719769675E-2</v>
      </c>
      <c r="DV66" s="368" t="s">
        <v>286</v>
      </c>
      <c r="DW66" s="369" t="s">
        <v>286</v>
      </c>
      <c r="DX66" s="420" t="s">
        <v>286</v>
      </c>
      <c r="DY66" s="258">
        <v>7.85E-2</v>
      </c>
      <c r="DZ66" s="420" t="s">
        <v>286</v>
      </c>
      <c r="EA66" s="259">
        <v>7.4999999999999997E-2</v>
      </c>
      <c r="EB66" s="3">
        <v>1360</v>
      </c>
      <c r="EC66" s="18">
        <v>2.3689665383476458E-2</v>
      </c>
      <c r="ED66" s="13">
        <v>740</v>
      </c>
      <c r="EE66" s="3">
        <v>770</v>
      </c>
      <c r="EF66" s="3">
        <v>785</v>
      </c>
      <c r="EG66" s="3">
        <v>690</v>
      </c>
      <c r="EH66" s="9">
        <v>665</v>
      </c>
      <c r="EI66" s="9">
        <v>605</v>
      </c>
      <c r="EJ66" s="13">
        <v>640</v>
      </c>
      <c r="EK66" s="17">
        <v>8.4936960849369608E-2</v>
      </c>
      <c r="EL66" s="17">
        <v>7.8851732870742153E-2</v>
      </c>
      <c r="EM66" s="17">
        <v>9.1445184213056835E-2</v>
      </c>
      <c r="EN66" s="3">
        <v>745</v>
      </c>
      <c r="EO66" s="17">
        <v>9.7833223900196983E-2</v>
      </c>
      <c r="EP66" s="17">
        <v>9.136192840973352E-2</v>
      </c>
      <c r="EQ66" s="17">
        <v>0.10471006848045021</v>
      </c>
      <c r="ER66" s="3">
        <v>705</v>
      </c>
      <c r="ES66" s="17">
        <v>9.0792015453960082E-2</v>
      </c>
      <c r="ET66" s="17">
        <v>8.4602263171927344E-2</v>
      </c>
      <c r="EU66" s="17">
        <v>9.7386449857533086E-2</v>
      </c>
      <c r="EV66" s="3">
        <v>700</v>
      </c>
      <c r="EW66" s="17">
        <v>8.9743589743589744E-2</v>
      </c>
      <c r="EX66" s="17">
        <v>8.3601036696213937E-2</v>
      </c>
      <c r="EY66" s="17">
        <v>9.6290042104974397E-2</v>
      </c>
      <c r="EZ66" s="3">
        <v>710</v>
      </c>
      <c r="FA66" s="18">
        <v>9.015873015873016E-2</v>
      </c>
      <c r="FB66" s="18">
        <v>8.4031227648310711E-2</v>
      </c>
      <c r="FC66" s="18">
        <v>9.6685882381444196E-2</v>
      </c>
      <c r="FD66" s="337">
        <v>630</v>
      </c>
      <c r="FE66" s="18">
        <v>9.3402520385470714E-2</v>
      </c>
      <c r="FF66" s="18">
        <v>8.6687534079971679E-2</v>
      </c>
      <c r="FG66" s="393">
        <v>0.10058037946226468</v>
      </c>
      <c r="FH66" s="425">
        <v>695</v>
      </c>
      <c r="FI66" s="258">
        <v>9.2999999999999999E-2</v>
      </c>
      <c r="FJ66" s="258">
        <v>8.6999999999999994E-2</v>
      </c>
      <c r="FK66" s="258">
        <v>0.1</v>
      </c>
      <c r="FL66" s="36">
        <v>1975</v>
      </c>
      <c r="FM66" s="18">
        <v>7.9621044144325734E-2</v>
      </c>
      <c r="FN66" s="42">
        <v>2235</v>
      </c>
      <c r="FO66" s="18">
        <v>8.9382123575284939E-2</v>
      </c>
      <c r="FP66" s="42">
        <v>2135</v>
      </c>
      <c r="FQ66" s="18">
        <v>8.4537715303900224E-2</v>
      </c>
      <c r="FR66" s="42">
        <v>2105</v>
      </c>
      <c r="FS66" s="18">
        <v>8.2955665024630545E-2</v>
      </c>
      <c r="FT66" s="42">
        <v>1935</v>
      </c>
      <c r="FU66" s="18">
        <v>7.6001571091908873E-2</v>
      </c>
      <c r="FV66" s="42">
        <v>1845</v>
      </c>
      <c r="FW66" s="393">
        <v>7.2695035460992902E-2</v>
      </c>
      <c r="FX66" s="42">
        <v>2030</v>
      </c>
      <c r="FY66" s="93">
        <v>8.1000000000000003E-2</v>
      </c>
      <c r="FZ66" s="3">
        <v>1479</v>
      </c>
      <c r="GA66" s="3">
        <v>36</v>
      </c>
      <c r="GB66" s="3">
        <v>1404</v>
      </c>
      <c r="GC66" s="17">
        <v>0.94929006085192702</v>
      </c>
      <c r="GD66" s="3">
        <v>703</v>
      </c>
      <c r="GE66" s="3">
        <v>902</v>
      </c>
      <c r="GF66" s="17">
        <v>0.50071225071225067</v>
      </c>
      <c r="GG66" s="17">
        <v>0.64245014245014243</v>
      </c>
      <c r="GH66" s="17">
        <v>0.47599999999999998</v>
      </c>
      <c r="GI66" s="17">
        <v>0.52800000000000002</v>
      </c>
      <c r="GJ66" s="17">
        <v>0.61799999999999999</v>
      </c>
      <c r="GK66" s="93">
        <v>0.66800000000000004</v>
      </c>
      <c r="GL66" s="337">
        <v>1438</v>
      </c>
      <c r="GM66" s="337">
        <v>680</v>
      </c>
      <c r="GN66" s="337">
        <v>270</v>
      </c>
      <c r="GO66" s="337">
        <v>950</v>
      </c>
      <c r="GP66" s="393">
        <v>0.47287899860917942</v>
      </c>
      <c r="GQ66" s="393">
        <v>0.6606397774687065</v>
      </c>
      <c r="GR66" s="393">
        <v>0.44718085295846682</v>
      </c>
      <c r="GS66" s="393">
        <v>0.49872165974650318</v>
      </c>
      <c r="GT66" s="393">
        <v>0.63576798800794965</v>
      </c>
      <c r="GU66" s="93">
        <v>0.68465559058568948</v>
      </c>
      <c r="GV66" s="42">
        <v>1543</v>
      </c>
      <c r="GW66" s="42">
        <v>192</v>
      </c>
      <c r="GX66" s="42">
        <v>1351</v>
      </c>
      <c r="GY66" s="393">
        <f t="shared" si="2"/>
        <v>0.87556707712248871</v>
      </c>
      <c r="GZ66" s="42">
        <v>656</v>
      </c>
      <c r="HA66" s="42">
        <v>215</v>
      </c>
      <c r="HB66" s="42">
        <v>871</v>
      </c>
      <c r="HC66" s="393">
        <v>0.48556624722427832</v>
      </c>
      <c r="HD66" s="393">
        <v>0.64470762398223536</v>
      </c>
      <c r="HE66" s="393">
        <v>0.45899420241850991</v>
      </c>
      <c r="HF66" s="393">
        <v>0.51222014170560104</v>
      </c>
      <c r="HG66" s="393">
        <v>0.61880940142987839</v>
      </c>
      <c r="HH66" s="93">
        <v>0.66978525106941944</v>
      </c>
      <c r="HI66" s="702" t="s">
        <v>286</v>
      </c>
      <c r="HJ66" s="703" t="s">
        <v>286</v>
      </c>
      <c r="HK66" s="703" t="s">
        <v>286</v>
      </c>
      <c r="HL66" s="704" t="s">
        <v>286</v>
      </c>
      <c r="HM66" s="703" t="s">
        <v>286</v>
      </c>
      <c r="HN66" s="703" t="s">
        <v>286</v>
      </c>
      <c r="HO66" s="703" t="s">
        <v>286</v>
      </c>
      <c r="HP66" s="704" t="s">
        <v>286</v>
      </c>
      <c r="HQ66" s="704" t="s">
        <v>286</v>
      </c>
      <c r="HR66" s="704" t="s">
        <v>286</v>
      </c>
      <c r="HS66" s="704" t="s">
        <v>286</v>
      </c>
      <c r="HT66" s="704" t="s">
        <v>286</v>
      </c>
      <c r="HU66" s="705" t="s">
        <v>286</v>
      </c>
      <c r="HV66" s="3">
        <v>1248</v>
      </c>
      <c r="HW66" s="268">
        <v>74.88</v>
      </c>
      <c r="HX66" s="17">
        <v>0.06</v>
      </c>
      <c r="HY66" s="17">
        <v>4.7E-2</v>
      </c>
      <c r="HZ66" s="17">
        <v>7.2999999999999995E-2</v>
      </c>
      <c r="IA66" s="267" t="s">
        <v>708</v>
      </c>
      <c r="IB66" s="3">
        <v>1357</v>
      </c>
      <c r="IC66" s="268">
        <v>93.63300000000001</v>
      </c>
      <c r="ID66" s="17">
        <v>6.9000000000000006E-2</v>
      </c>
      <c r="IE66" s="17">
        <v>5.6000000000000008E-2</v>
      </c>
      <c r="IF66" s="17">
        <v>8.2000000000000003E-2</v>
      </c>
      <c r="IG66" s="3" t="s">
        <v>708</v>
      </c>
      <c r="IH66" s="3">
        <v>1386</v>
      </c>
      <c r="II66" s="268">
        <v>73.457999999999998</v>
      </c>
      <c r="IJ66" s="17">
        <v>5.2999999999999999E-2</v>
      </c>
      <c r="IK66" s="17">
        <v>4.0999999999999995E-2</v>
      </c>
      <c r="IL66" s="17">
        <v>6.5000000000000002E-2</v>
      </c>
      <c r="IM66" s="3" t="s">
        <v>708</v>
      </c>
      <c r="IN66" s="3">
        <v>1334</v>
      </c>
      <c r="IO66" s="268">
        <v>92.046000000000006</v>
      </c>
      <c r="IP66" s="17">
        <v>6.9000000000000006E-2</v>
      </c>
      <c r="IQ66" s="17">
        <v>5.5000000000000007E-2</v>
      </c>
      <c r="IR66" s="17">
        <v>8.3000000000000004E-2</v>
      </c>
      <c r="IS66" s="3" t="s">
        <v>708</v>
      </c>
      <c r="IT66" s="3">
        <v>959</v>
      </c>
      <c r="IU66" s="268">
        <v>55.999845999999998</v>
      </c>
      <c r="IV66" s="17">
        <v>5.8394000000000001E-2</v>
      </c>
      <c r="IW66" s="17">
        <v>4.5240000000000002E-2</v>
      </c>
      <c r="IX66" s="17">
        <v>7.5072E-2</v>
      </c>
      <c r="IY66" s="9" t="s">
        <v>708</v>
      </c>
      <c r="IZ66" s="9">
        <v>1386</v>
      </c>
      <c r="JA66" s="9">
        <v>83.999999999999986</v>
      </c>
      <c r="JB66" s="17">
        <v>6.0606060606060594E-2</v>
      </c>
      <c r="JC66" s="17">
        <v>4.9217547182457799E-2</v>
      </c>
      <c r="JD66" s="17">
        <v>7.4423503910164501E-2</v>
      </c>
      <c r="JE66" s="9" t="str">
        <f t="shared" si="5"/>
        <v>Sig better than Eng.</v>
      </c>
      <c r="JF66" s="667">
        <v>1573</v>
      </c>
      <c r="JG66" s="672">
        <v>93.000000000000071</v>
      </c>
      <c r="JH66" s="669">
        <v>5.9122695486331894E-2</v>
      </c>
      <c r="JI66" s="669">
        <v>4.8506107914673302E-2</v>
      </c>
      <c r="JJ66" s="669">
        <v>7.1887389959662706E-2</v>
      </c>
      <c r="JK66" s="662" t="str">
        <f t="shared" si="6"/>
        <v>Sig better than Eng.</v>
      </c>
      <c r="JL66" s="3">
        <v>1270</v>
      </c>
      <c r="JM66" s="268">
        <v>180.33999999999997</v>
      </c>
      <c r="JN66" s="17">
        <v>0.14199999999999999</v>
      </c>
      <c r="JO66" s="17">
        <v>0.12299999999999998</v>
      </c>
      <c r="JP66" s="17">
        <v>0.16099999999999998</v>
      </c>
      <c r="JQ66" s="3" t="s">
        <v>708</v>
      </c>
      <c r="JR66" s="3">
        <v>1176</v>
      </c>
      <c r="JS66" s="268">
        <v>145.82400000000001</v>
      </c>
      <c r="JT66" s="17">
        <v>0.124</v>
      </c>
      <c r="JU66" s="17">
        <v>0.105</v>
      </c>
      <c r="JV66" s="17">
        <v>0.14299999999999999</v>
      </c>
      <c r="JW66" s="3" t="s">
        <v>708</v>
      </c>
      <c r="JX66" s="3">
        <v>1223</v>
      </c>
      <c r="JY66" s="268">
        <v>160.21299999999999</v>
      </c>
      <c r="JZ66" s="17">
        <v>0.13100000000000001</v>
      </c>
      <c r="KA66" s="17">
        <v>0.112</v>
      </c>
      <c r="KB66" s="17">
        <v>0.15</v>
      </c>
      <c r="KC66" s="3" t="s">
        <v>708</v>
      </c>
      <c r="KD66" s="3">
        <v>1192</v>
      </c>
      <c r="KE66" s="268">
        <v>135.88800000000001</v>
      </c>
      <c r="KF66" s="17">
        <v>0.114</v>
      </c>
      <c r="KG66" s="17">
        <v>9.6000000000000002E-2</v>
      </c>
      <c r="KH66" s="17">
        <v>0.13200000000000001</v>
      </c>
      <c r="KI66" s="3" t="s">
        <v>708</v>
      </c>
      <c r="KJ66" s="3">
        <v>1233</v>
      </c>
      <c r="KK66" s="268">
        <v>139.999752</v>
      </c>
      <c r="KL66" s="17">
        <v>0.11354400000000001</v>
      </c>
      <c r="KM66" s="17">
        <v>9.7022999999999998E-2</v>
      </c>
      <c r="KN66" s="17">
        <v>0.132466</v>
      </c>
      <c r="KO66" s="9" t="s">
        <v>708</v>
      </c>
      <c r="KP66" s="9">
        <v>1280</v>
      </c>
      <c r="KQ66" s="9">
        <v>154</v>
      </c>
      <c r="KR66" s="393">
        <v>0.1203125</v>
      </c>
      <c r="KS66" s="393">
        <v>0.103616785075215</v>
      </c>
      <c r="KT66" s="393">
        <v>0.139280386283579</v>
      </c>
      <c r="KU66" s="9" t="s">
        <v>708</v>
      </c>
      <c r="KV66" s="667">
        <v>1335</v>
      </c>
      <c r="KW66" s="667">
        <v>154.00000000000043</v>
      </c>
      <c r="KX66" s="385">
        <v>0.11535580524344601</v>
      </c>
      <c r="KY66" s="385">
        <v>9.9312409129690402E-2</v>
      </c>
      <c r="KZ66" s="385">
        <v>0.13360647515357399</v>
      </c>
      <c r="LA66" s="662" t="str">
        <f t="shared" si="4"/>
        <v>Sig better than Eng.</v>
      </c>
      <c r="LB66" s="3">
        <v>1637</v>
      </c>
      <c r="LC66" s="3">
        <v>947</v>
      </c>
      <c r="LD66" s="17">
        <v>0.57849725106902872</v>
      </c>
      <c r="LE66" s="17">
        <v>0.55442004800520173</v>
      </c>
      <c r="LF66" s="17">
        <v>0.60220690618250572</v>
      </c>
      <c r="LG66" s="3">
        <v>1637</v>
      </c>
      <c r="LH66" s="3">
        <v>34</v>
      </c>
      <c r="LI66" s="3">
        <v>327</v>
      </c>
      <c r="LJ66" s="293">
        <v>25.431192660550472</v>
      </c>
      <c r="LK66" s="17">
        <v>0.25202374527792726</v>
      </c>
      <c r="LL66" s="3">
        <v>1614</v>
      </c>
      <c r="LM66" s="3">
        <v>1025</v>
      </c>
      <c r="LN66" s="17">
        <v>0.63506815365551428</v>
      </c>
      <c r="LO66" s="17">
        <v>0.61128697123654441</v>
      </c>
      <c r="LP66" s="17">
        <v>0.65820791506573717</v>
      </c>
      <c r="LQ66" s="3">
        <v>1614</v>
      </c>
      <c r="LR66" s="3">
        <v>34</v>
      </c>
      <c r="LS66" s="3">
        <v>322</v>
      </c>
      <c r="LT66" s="293">
        <v>26.602484472049689</v>
      </c>
      <c r="LU66" s="18">
        <v>0.21757398611618561</v>
      </c>
      <c r="LV66" s="42">
        <v>1729</v>
      </c>
      <c r="LW66" s="42">
        <v>1188</v>
      </c>
      <c r="LX66" s="393">
        <v>0.68710237131289764</v>
      </c>
      <c r="LY66" s="393">
        <v>0.66485230538937812</v>
      </c>
      <c r="LZ66" s="393">
        <v>0.70852287945893677</v>
      </c>
      <c r="MA66" s="337">
        <v>34</v>
      </c>
      <c r="MB66" s="337">
        <v>345</v>
      </c>
      <c r="MC66" s="294">
        <v>26.330434782608695</v>
      </c>
      <c r="MD66" s="393">
        <v>0.22557544757033252</v>
      </c>
      <c r="ME66" s="337">
        <v>1671</v>
      </c>
      <c r="MF66" s="337">
        <v>1159</v>
      </c>
      <c r="MG66" s="393">
        <v>0.69359664871334525</v>
      </c>
      <c r="MH66" s="393">
        <v>0.6710700562692532</v>
      </c>
      <c r="MI66" s="393">
        <v>0.71523516479660953</v>
      </c>
      <c r="MJ66" s="337">
        <v>34</v>
      </c>
      <c r="MK66" s="337">
        <v>334</v>
      </c>
      <c r="ML66" s="294">
        <v>27.083582089552237</v>
      </c>
      <c r="MM66" s="93">
        <v>0.20342405618964007</v>
      </c>
      <c r="MN66" s="17"/>
      <c r="MO66" s="17"/>
      <c r="MP66" s="17"/>
      <c r="MQ66" s="17"/>
      <c r="MR66" s="17"/>
      <c r="MS66" s="17"/>
      <c r="MT66" s="17"/>
      <c r="MU66" s="17"/>
      <c r="MV66" s="17"/>
      <c r="MW66" s="17"/>
      <c r="MX66" s="17"/>
      <c r="MY66" s="17"/>
      <c r="MZ66" s="17"/>
      <c r="NA66" s="17"/>
      <c r="NB66" s="17"/>
      <c r="NC66" s="93"/>
      <c r="ND66" s="337">
        <v>55</v>
      </c>
      <c r="NE66" s="337">
        <v>823</v>
      </c>
      <c r="NF66" s="393">
        <v>6.6828675577156743E-2</v>
      </c>
      <c r="NG66" s="393">
        <v>5.170105847217684E-2</v>
      </c>
      <c r="NH66" s="393">
        <v>8.5981271805581239E-2</v>
      </c>
      <c r="NI66" s="337">
        <v>43</v>
      </c>
      <c r="NJ66" s="337">
        <v>823</v>
      </c>
      <c r="NK66" s="393">
        <v>5.2247873633049821E-2</v>
      </c>
      <c r="NL66" s="393">
        <v>3.9018455733918607E-2</v>
      </c>
      <c r="NM66" s="393">
        <v>6.9637753823876228E-2</v>
      </c>
      <c r="NN66" s="337">
        <v>50</v>
      </c>
      <c r="NO66" s="337">
        <v>818</v>
      </c>
      <c r="NP66" s="393">
        <v>6.1124694376528114E-2</v>
      </c>
      <c r="NQ66" s="393">
        <v>4.6669911343793682E-2</v>
      </c>
      <c r="NR66" s="393">
        <v>7.9682267298668577E-2</v>
      </c>
      <c r="NS66" s="337">
        <v>112</v>
      </c>
      <c r="NT66" s="337">
        <v>814</v>
      </c>
      <c r="NU66" s="393">
        <v>0.13759213759213759</v>
      </c>
      <c r="NV66" s="393">
        <v>0.11562469537313362</v>
      </c>
      <c r="NW66" s="93">
        <v>0.16296409022014693</v>
      </c>
      <c r="NX66" s="391" t="s">
        <v>286</v>
      </c>
      <c r="NY66" s="391" t="s">
        <v>286</v>
      </c>
      <c r="NZ66" s="391" t="s">
        <v>286</v>
      </c>
      <c r="OA66" s="391" t="s">
        <v>286</v>
      </c>
      <c r="OB66" s="391" t="s">
        <v>286</v>
      </c>
      <c r="OC66" s="391" t="s">
        <v>286</v>
      </c>
      <c r="OD66" s="391" t="s">
        <v>286</v>
      </c>
      <c r="OE66" s="391" t="s">
        <v>286</v>
      </c>
      <c r="OF66" s="391" t="s">
        <v>286</v>
      </c>
      <c r="OG66" s="391" t="s">
        <v>286</v>
      </c>
      <c r="OH66" s="391" t="s">
        <v>286</v>
      </c>
      <c r="OI66" s="391" t="s">
        <v>286</v>
      </c>
      <c r="OJ66" s="391" t="s">
        <v>286</v>
      </c>
      <c r="OK66" s="391" t="s">
        <v>286</v>
      </c>
      <c r="OL66" s="391" t="s">
        <v>286</v>
      </c>
      <c r="OM66" s="391" t="s">
        <v>286</v>
      </c>
      <c r="ON66" s="391" t="s">
        <v>286</v>
      </c>
      <c r="OO66" s="391" t="s">
        <v>286</v>
      </c>
      <c r="OP66" s="391" t="s">
        <v>286</v>
      </c>
      <c r="OQ66" s="391" t="s">
        <v>286</v>
      </c>
      <c r="OR66" s="391" t="s">
        <v>286</v>
      </c>
      <c r="OS66" s="391" t="s">
        <v>286</v>
      </c>
      <c r="OT66" s="115" t="s">
        <v>286</v>
      </c>
      <c r="OU66" s="3">
        <v>1641</v>
      </c>
      <c r="OV66" s="22">
        <v>0.96199999999999997</v>
      </c>
      <c r="OW66" s="22">
        <v>1.2999999999999999E-2</v>
      </c>
      <c r="OX66" s="22">
        <v>0.96199999999999997</v>
      </c>
      <c r="OY66" s="3">
        <v>1579</v>
      </c>
      <c r="OZ66" s="3">
        <v>22</v>
      </c>
      <c r="PA66" s="3">
        <v>1579</v>
      </c>
      <c r="PB66" s="3">
        <v>1648</v>
      </c>
      <c r="PC66" s="22">
        <v>0.95599999999999996</v>
      </c>
      <c r="PD66" s="22">
        <v>0.91700000000000004</v>
      </c>
      <c r="PE66" s="22">
        <v>0.94099999999999995</v>
      </c>
      <c r="PF66" s="22">
        <v>0.92200000000000004</v>
      </c>
      <c r="PG66" s="22">
        <v>0.92100000000000004</v>
      </c>
      <c r="PH66" s="3">
        <v>1575</v>
      </c>
      <c r="PI66" s="3">
        <v>1512</v>
      </c>
      <c r="PJ66" s="3">
        <v>1551</v>
      </c>
      <c r="PK66" s="3">
        <v>1519</v>
      </c>
      <c r="PL66" s="3">
        <v>1517</v>
      </c>
      <c r="PM66" s="3">
        <v>1832</v>
      </c>
      <c r="PN66" s="22">
        <v>0.95299999999999996</v>
      </c>
      <c r="PO66" s="22">
        <v>0.89500000000000002</v>
      </c>
      <c r="PP66" s="22">
        <v>0.95299999999999996</v>
      </c>
      <c r="PQ66" s="22">
        <v>0.95199999999999996</v>
      </c>
      <c r="PR66" s="22">
        <v>0.94499999999999995</v>
      </c>
      <c r="PS66" s="22">
        <v>0.871</v>
      </c>
      <c r="PT66" s="22">
        <v>0.93400000000000005</v>
      </c>
      <c r="PU66" s="22">
        <v>0.90900000000000003</v>
      </c>
      <c r="PV66" s="22">
        <v>0.94799999999999995</v>
      </c>
      <c r="PW66" s="22">
        <v>0.90700000000000003</v>
      </c>
      <c r="PX66" s="3">
        <v>1746</v>
      </c>
      <c r="PY66" s="3">
        <v>1640</v>
      </c>
      <c r="PZ66" s="3">
        <v>1746</v>
      </c>
      <c r="QA66" s="3">
        <v>1744</v>
      </c>
      <c r="QB66" s="3">
        <v>1732</v>
      </c>
      <c r="QC66" s="3">
        <v>1596</v>
      </c>
      <c r="QD66" s="3">
        <v>1712</v>
      </c>
      <c r="QE66" s="3">
        <v>1666</v>
      </c>
      <c r="QF66" s="3">
        <v>1737</v>
      </c>
      <c r="QG66" s="6">
        <v>1661</v>
      </c>
      <c r="QH66" s="37">
        <v>1607</v>
      </c>
      <c r="QI66" s="17">
        <v>0.94399502177971373</v>
      </c>
      <c r="QJ66" s="17">
        <v>0.24517734909769756</v>
      </c>
      <c r="QK66" s="17">
        <v>0.94212818917237084</v>
      </c>
      <c r="QL66" s="37">
        <v>1517</v>
      </c>
      <c r="QM66" s="37">
        <v>394</v>
      </c>
      <c r="QN66" s="37">
        <v>1514</v>
      </c>
      <c r="QO66" s="37">
        <v>1731</v>
      </c>
      <c r="QP66" s="17">
        <v>0.95609474292316576</v>
      </c>
      <c r="QQ66" s="17">
        <v>0.86481802426343157</v>
      </c>
      <c r="QR66" s="17">
        <v>0.72848064702484117</v>
      </c>
      <c r="QS66" s="17">
        <v>0.86250722125938761</v>
      </c>
      <c r="QT66" s="17">
        <v>0.66262276140958987</v>
      </c>
      <c r="QU66" s="37">
        <v>1655</v>
      </c>
      <c r="QV66" s="37">
        <v>1497</v>
      </c>
      <c r="QW66" s="37">
        <v>1261</v>
      </c>
      <c r="QX66" s="37">
        <v>1493</v>
      </c>
      <c r="QY66" s="37">
        <v>1147</v>
      </c>
      <c r="QZ66" s="3">
        <v>1936</v>
      </c>
      <c r="RA66" s="17">
        <v>0.94886363636363635</v>
      </c>
      <c r="RB66" s="17">
        <v>0.86260330578512401</v>
      </c>
      <c r="RC66" s="17">
        <v>0.94783057851239672</v>
      </c>
      <c r="RD66" s="17">
        <v>0.94783057851239672</v>
      </c>
      <c r="RE66" s="17">
        <v>0.69834710743801653</v>
      </c>
      <c r="RF66" s="17">
        <v>0.90340909090909094</v>
      </c>
      <c r="RG66" s="17">
        <v>0.92820247933884292</v>
      </c>
      <c r="RH66" s="17">
        <v>0.88791322314049592</v>
      </c>
      <c r="RI66" s="17">
        <v>0.70712809917355368</v>
      </c>
      <c r="RJ66" s="17">
        <v>0.66683884297520657</v>
      </c>
      <c r="RK66" s="37">
        <v>1837</v>
      </c>
      <c r="RL66" s="37">
        <v>1670</v>
      </c>
      <c r="RM66" s="37">
        <v>1835</v>
      </c>
      <c r="RN66" s="37">
        <v>1835</v>
      </c>
      <c r="RO66" s="37">
        <v>1352</v>
      </c>
      <c r="RP66" s="37">
        <v>1749</v>
      </c>
      <c r="RQ66" s="37">
        <v>1797</v>
      </c>
      <c r="RR66" s="37">
        <v>1719</v>
      </c>
      <c r="RS66" s="37">
        <v>1369</v>
      </c>
      <c r="RT66" s="38">
        <v>1291</v>
      </c>
    </row>
    <row r="67" spans="1:488" s="4" customFormat="1" ht="12.75" x14ac:dyDescent="0.2">
      <c r="A67" s="4" t="s">
        <v>129</v>
      </c>
      <c r="B67" s="7">
        <v>7</v>
      </c>
      <c r="C67" s="4" t="s">
        <v>286</v>
      </c>
      <c r="D67" s="4" t="s">
        <v>286</v>
      </c>
      <c r="E67" s="4" t="s">
        <v>286</v>
      </c>
      <c r="F67" s="4" t="s">
        <v>286</v>
      </c>
      <c r="G67" s="4" t="s">
        <v>286</v>
      </c>
      <c r="H67" s="4" t="s">
        <v>286</v>
      </c>
      <c r="I67" s="4" t="s">
        <v>81</v>
      </c>
      <c r="J67" s="4" t="s">
        <v>268</v>
      </c>
      <c r="K67" s="4" t="s">
        <v>286</v>
      </c>
      <c r="L67" s="4" t="s">
        <v>286</v>
      </c>
      <c r="M67" s="4" t="s">
        <v>286</v>
      </c>
      <c r="N67" s="4" t="s">
        <v>286</v>
      </c>
      <c r="O67" s="110" t="s">
        <v>286</v>
      </c>
      <c r="P67" s="110" t="s">
        <v>286</v>
      </c>
      <c r="Q67" s="110" t="s">
        <v>286</v>
      </c>
      <c r="R67" s="110" t="s">
        <v>286</v>
      </c>
      <c r="S67" s="110" t="s">
        <v>286</v>
      </c>
      <c r="T67" s="39">
        <v>100100</v>
      </c>
      <c r="U67" s="40">
        <v>100600</v>
      </c>
      <c r="V67" s="40">
        <v>101500</v>
      </c>
      <c r="W67" s="40">
        <v>102400</v>
      </c>
      <c r="X67" s="40">
        <v>102800</v>
      </c>
      <c r="Y67" s="40">
        <v>103800</v>
      </c>
      <c r="Z67" s="40">
        <v>105000</v>
      </c>
      <c r="AA67" s="40">
        <v>105700</v>
      </c>
      <c r="AB67" s="40">
        <v>106100</v>
      </c>
      <c r="AC67" s="40">
        <v>106865</v>
      </c>
      <c r="AD67" s="40">
        <v>107736</v>
      </c>
      <c r="AE67" s="39">
        <v>5400</v>
      </c>
      <c r="AF67" s="40">
        <v>5500</v>
      </c>
      <c r="AG67" s="40">
        <v>5700</v>
      </c>
      <c r="AH67" s="40">
        <v>5900</v>
      </c>
      <c r="AI67" s="40">
        <v>6000</v>
      </c>
      <c r="AJ67" s="40">
        <v>6100</v>
      </c>
      <c r="AK67" s="40">
        <v>6300</v>
      </c>
      <c r="AL67" s="40">
        <v>6300</v>
      </c>
      <c r="AM67" s="40">
        <v>6200</v>
      </c>
      <c r="AN67" s="40">
        <v>6068</v>
      </c>
      <c r="AO67" s="40">
        <v>6103</v>
      </c>
      <c r="AP67" s="14">
        <v>6346</v>
      </c>
      <c r="AQ67" s="4">
        <v>5367</v>
      </c>
      <c r="AR67" s="4">
        <v>203</v>
      </c>
      <c r="AS67" s="4">
        <v>407</v>
      </c>
      <c r="AT67" s="4">
        <v>290</v>
      </c>
      <c r="AU67" s="4">
        <v>52</v>
      </c>
      <c r="AV67" s="4">
        <v>27</v>
      </c>
      <c r="AW67" s="4">
        <v>979</v>
      </c>
      <c r="AX67" s="19">
        <v>0.84572959344468956</v>
      </c>
      <c r="AY67" s="20">
        <v>3.1988654270406557E-2</v>
      </c>
      <c r="AZ67" s="20">
        <v>6.4134888118499836E-2</v>
      </c>
      <c r="BA67" s="20">
        <v>4.5698077529152219E-2</v>
      </c>
      <c r="BB67" s="20">
        <v>8.1941380397100531E-3</v>
      </c>
      <c r="BC67" s="20">
        <v>4.2546485975417589E-3</v>
      </c>
      <c r="BD67" s="20">
        <v>0.15427040655531044</v>
      </c>
      <c r="BE67" s="14">
        <v>14880</v>
      </c>
      <c r="BF67" s="4">
        <v>14481</v>
      </c>
      <c r="BG67" s="4">
        <v>399</v>
      </c>
      <c r="BH67" s="4">
        <v>328</v>
      </c>
      <c r="BI67" s="4">
        <v>71</v>
      </c>
      <c r="BJ67" s="23">
        <v>0.82205513784461148</v>
      </c>
      <c r="BK67" s="20">
        <v>0.17794486215538846</v>
      </c>
      <c r="BL67" s="39">
        <v>11895</v>
      </c>
      <c r="BM67" s="20">
        <v>0.63287095418242956</v>
      </c>
      <c r="BN67" s="20">
        <v>0.12761664564943254</v>
      </c>
      <c r="BO67" s="20">
        <v>0.23951240016813788</v>
      </c>
      <c r="BP67" s="39">
        <v>29264</v>
      </c>
      <c r="BQ67" s="40">
        <v>2042</v>
      </c>
      <c r="BR67" s="40">
        <v>1933</v>
      </c>
      <c r="BS67" s="40">
        <v>934</v>
      </c>
      <c r="BT67" s="40">
        <v>21200</v>
      </c>
      <c r="BU67" s="40">
        <v>12094</v>
      </c>
      <c r="BV67" s="20">
        <v>0.14304613858111459</v>
      </c>
      <c r="BW67" s="39">
        <v>6611</v>
      </c>
      <c r="BX67" s="40">
        <v>11</v>
      </c>
      <c r="BY67" s="40">
        <v>1759</v>
      </c>
      <c r="BZ67" s="40">
        <v>2821</v>
      </c>
      <c r="CA67" s="40">
        <v>950</v>
      </c>
      <c r="CB67" s="41">
        <v>12152</v>
      </c>
      <c r="CC67" s="40">
        <v>4957</v>
      </c>
      <c r="CD67" s="40">
        <v>3990</v>
      </c>
      <c r="CE67" s="40">
        <v>956</v>
      </c>
      <c r="CF67" s="40">
        <v>967</v>
      </c>
      <c r="CG67" s="20">
        <v>0.19285858382085938</v>
      </c>
      <c r="CH67" s="94">
        <v>0.19507766794432116</v>
      </c>
      <c r="CI67" s="40">
        <v>815</v>
      </c>
      <c r="CJ67" s="40">
        <v>735</v>
      </c>
      <c r="CK67" s="40">
        <v>575</v>
      </c>
      <c r="CL67" s="40">
        <v>585</v>
      </c>
      <c r="CM67" s="40">
        <v>535</v>
      </c>
      <c r="CN67" s="40">
        <v>500</v>
      </c>
      <c r="CO67" s="39">
        <v>2818</v>
      </c>
      <c r="CP67" s="40">
        <v>999</v>
      </c>
      <c r="CQ67" s="20">
        <v>0.35450674237047552</v>
      </c>
      <c r="CR67" s="41">
        <v>287</v>
      </c>
      <c r="CS67" s="64">
        <v>1256</v>
      </c>
      <c r="CT67" s="64">
        <v>1187</v>
      </c>
      <c r="CU67" s="64">
        <v>1268</v>
      </c>
      <c r="CV67" s="64">
        <v>1194</v>
      </c>
      <c r="CW67" s="64">
        <v>1119</v>
      </c>
      <c r="CX67" s="64">
        <v>1136</v>
      </c>
      <c r="CY67" s="568">
        <v>1183</v>
      </c>
      <c r="CZ67" s="40">
        <v>77</v>
      </c>
      <c r="DA67" s="40">
        <v>68</v>
      </c>
      <c r="DB67" s="40">
        <v>47</v>
      </c>
      <c r="DC67" s="40">
        <v>48</v>
      </c>
      <c r="DD67" s="40">
        <v>42</v>
      </c>
      <c r="DE67" s="541">
        <v>29</v>
      </c>
      <c r="DF67" s="724">
        <v>38</v>
      </c>
      <c r="DG67" s="365" t="s">
        <v>286</v>
      </c>
      <c r="DH67" s="14">
        <v>67</v>
      </c>
      <c r="DI67" s="20">
        <v>5.9874888293118857E-2</v>
      </c>
      <c r="DJ67" s="20">
        <v>4.7421919387742206E-2</v>
      </c>
      <c r="DK67" s="20">
        <v>7.5339364262638181E-2</v>
      </c>
      <c r="DL67" s="426" t="s">
        <v>286</v>
      </c>
      <c r="DM67" s="260" t="s">
        <v>286</v>
      </c>
      <c r="DN67" s="260" t="s">
        <v>286</v>
      </c>
      <c r="DO67" s="260" t="s">
        <v>286</v>
      </c>
      <c r="DP67" s="338">
        <v>89</v>
      </c>
      <c r="DQ67" s="20">
        <v>7.5873827791986356E-2</v>
      </c>
      <c r="DR67" s="20">
        <v>6.2066381875561037E-2</v>
      </c>
      <c r="DS67" s="20">
        <v>9.245014833141893E-2</v>
      </c>
      <c r="DT67" s="14">
        <v>114</v>
      </c>
      <c r="DU67" s="20">
        <v>1.7986746607762703E-2</v>
      </c>
      <c r="DV67" s="370" t="s">
        <v>286</v>
      </c>
      <c r="DW67" s="371" t="s">
        <v>286</v>
      </c>
      <c r="DX67" s="421" t="s">
        <v>286</v>
      </c>
      <c r="DY67" s="260">
        <v>0.15090000000000001</v>
      </c>
      <c r="DZ67" s="421" t="s">
        <v>286</v>
      </c>
      <c r="EA67" s="261">
        <v>0.14499999999999999</v>
      </c>
      <c r="EB67" s="4">
        <v>2346</v>
      </c>
      <c r="EC67" s="20">
        <v>4.9868208485672985E-2</v>
      </c>
      <c r="ED67" s="14">
        <v>1080</v>
      </c>
      <c r="EE67" s="4">
        <v>1075</v>
      </c>
      <c r="EF67" s="4">
        <v>1080</v>
      </c>
      <c r="EG67" s="4">
        <v>970</v>
      </c>
      <c r="EH67" s="4">
        <v>880</v>
      </c>
      <c r="EI67" s="4">
        <v>850</v>
      </c>
      <c r="EJ67" s="14">
        <v>895</v>
      </c>
      <c r="EK67" s="20">
        <v>0.15646853146853146</v>
      </c>
      <c r="EL67" s="20">
        <v>0.14728455536182358</v>
      </c>
      <c r="EM67" s="20">
        <v>0.16611361817708611</v>
      </c>
      <c r="EN67" s="4">
        <v>1070</v>
      </c>
      <c r="EO67" s="20">
        <v>0.18321917808219179</v>
      </c>
      <c r="EP67" s="20">
        <v>0.17350693172211379</v>
      </c>
      <c r="EQ67" s="20">
        <v>0.19334789723372311</v>
      </c>
      <c r="ER67" s="4">
        <v>1055</v>
      </c>
      <c r="ES67" s="20">
        <v>0.1774600504625736</v>
      </c>
      <c r="ET67" s="20">
        <v>0.16795740514684762</v>
      </c>
      <c r="EU67" s="20">
        <v>0.18737925552115159</v>
      </c>
      <c r="EV67" s="4">
        <v>1040</v>
      </c>
      <c r="EW67" s="20">
        <v>0.17049180327868851</v>
      </c>
      <c r="EX67" s="20">
        <v>0.16126262502676916</v>
      </c>
      <c r="EY67" s="20">
        <v>0.18013573416706666</v>
      </c>
      <c r="EZ67" s="4">
        <v>915</v>
      </c>
      <c r="FA67" s="20">
        <v>0.15049342105263158</v>
      </c>
      <c r="FB67" s="20">
        <v>0.14172674423547468</v>
      </c>
      <c r="FC67" s="20">
        <v>0.15970146871736088</v>
      </c>
      <c r="FD67" s="338">
        <v>925</v>
      </c>
      <c r="FE67" s="20">
        <v>0.16157205240174671</v>
      </c>
      <c r="FF67" s="20">
        <v>0.15226545392772459</v>
      </c>
      <c r="FG67" s="20">
        <v>0.17133251472723535</v>
      </c>
      <c r="FH67" s="426">
        <v>995</v>
      </c>
      <c r="FI67" s="260">
        <v>0.17299999999999999</v>
      </c>
      <c r="FJ67" s="260">
        <v>0.16300000000000001</v>
      </c>
      <c r="FK67" s="260">
        <v>0.183</v>
      </c>
      <c r="FL67" s="39">
        <v>2635</v>
      </c>
      <c r="FM67" s="20">
        <v>0.14770179372197309</v>
      </c>
      <c r="FN67" s="40">
        <v>2920</v>
      </c>
      <c r="FO67" s="20">
        <v>0.16168327796234774</v>
      </c>
      <c r="FP67" s="40">
        <v>2840</v>
      </c>
      <c r="FQ67" s="20">
        <v>0.1560010985992859</v>
      </c>
      <c r="FR67" s="40">
        <v>2785</v>
      </c>
      <c r="FS67" s="20">
        <v>0.15156462585034014</v>
      </c>
      <c r="FT67" s="40">
        <v>2475</v>
      </c>
      <c r="FU67" s="20">
        <v>0.13407367280606716</v>
      </c>
      <c r="FV67" s="40">
        <v>2455</v>
      </c>
      <c r="FW67" s="20">
        <v>0.13346017939657515</v>
      </c>
      <c r="FX67" s="40">
        <v>2675</v>
      </c>
      <c r="FY67" s="94">
        <v>0.14599999999999999</v>
      </c>
      <c r="FZ67" s="4">
        <v>1170</v>
      </c>
      <c r="GA67" s="4">
        <v>53</v>
      </c>
      <c r="GB67" s="4">
        <v>1132</v>
      </c>
      <c r="GC67" s="20">
        <v>0.96752136752136753</v>
      </c>
      <c r="GD67" s="4">
        <v>461</v>
      </c>
      <c r="GE67" s="4">
        <v>605</v>
      </c>
      <c r="GF67" s="20">
        <v>0.40724381625441697</v>
      </c>
      <c r="GG67" s="20">
        <v>0.53445229681978801</v>
      </c>
      <c r="GH67" s="20">
        <v>0.38300000000000001</v>
      </c>
      <c r="GI67" s="20">
        <v>0.44</v>
      </c>
      <c r="GJ67" s="20">
        <v>0.51700000000000002</v>
      </c>
      <c r="GK67" s="94">
        <v>0.57499999999999996</v>
      </c>
      <c r="GL67" s="338">
        <v>1005</v>
      </c>
      <c r="GM67" s="338">
        <v>414</v>
      </c>
      <c r="GN67" s="338">
        <v>152</v>
      </c>
      <c r="GO67" s="338">
        <v>566</v>
      </c>
      <c r="GP67" s="20">
        <v>0.41194029850746267</v>
      </c>
      <c r="GQ67" s="20">
        <v>0.56318407960199002</v>
      </c>
      <c r="GR67" s="20">
        <v>0.38190238384790848</v>
      </c>
      <c r="GS67" s="20">
        <v>0.44264883928787763</v>
      </c>
      <c r="GT67" s="20">
        <v>0.53233622709188544</v>
      </c>
      <c r="GU67" s="94">
        <v>0.59355074839825672</v>
      </c>
      <c r="GV67" s="40">
        <v>1213</v>
      </c>
      <c r="GW67" s="40">
        <v>286</v>
      </c>
      <c r="GX67" s="40">
        <v>927</v>
      </c>
      <c r="GY67" s="20">
        <f t="shared" si="2"/>
        <v>0.76422093981863148</v>
      </c>
      <c r="GZ67" s="40">
        <v>403</v>
      </c>
      <c r="HA67" s="40">
        <v>118</v>
      </c>
      <c r="HB67" s="40">
        <v>521</v>
      </c>
      <c r="HC67" s="20">
        <v>0.43473570658036675</v>
      </c>
      <c r="HD67" s="20">
        <v>0.56202804746494062</v>
      </c>
      <c r="HE67" s="20">
        <v>0.40315836124702709</v>
      </c>
      <c r="HF67" s="20">
        <v>0.46685172602036012</v>
      </c>
      <c r="HG67" s="20">
        <v>0.52989881349589618</v>
      </c>
      <c r="HH67" s="94">
        <v>0.59364531844005797</v>
      </c>
      <c r="HI67" s="706" t="s">
        <v>286</v>
      </c>
      <c r="HJ67" s="707" t="s">
        <v>286</v>
      </c>
      <c r="HK67" s="707" t="s">
        <v>286</v>
      </c>
      <c r="HL67" s="708" t="s">
        <v>286</v>
      </c>
      <c r="HM67" s="707" t="s">
        <v>286</v>
      </c>
      <c r="HN67" s="707" t="s">
        <v>286</v>
      </c>
      <c r="HO67" s="707" t="s">
        <v>286</v>
      </c>
      <c r="HP67" s="708" t="s">
        <v>286</v>
      </c>
      <c r="HQ67" s="708" t="s">
        <v>286</v>
      </c>
      <c r="HR67" s="708" t="s">
        <v>286</v>
      </c>
      <c r="HS67" s="708" t="s">
        <v>286</v>
      </c>
      <c r="HT67" s="708" t="s">
        <v>286</v>
      </c>
      <c r="HU67" s="709" t="s">
        <v>286</v>
      </c>
      <c r="HV67" s="4">
        <v>808</v>
      </c>
      <c r="HW67" s="269">
        <v>66.256</v>
      </c>
      <c r="HX67" s="20">
        <v>8.2000000000000003E-2</v>
      </c>
      <c r="HY67" s="20">
        <v>6.3E-2</v>
      </c>
      <c r="HZ67" s="20">
        <v>0.10100000000000001</v>
      </c>
      <c r="IA67" s="266" t="s">
        <v>707</v>
      </c>
      <c r="IB67" s="4">
        <v>1027</v>
      </c>
      <c r="IC67" s="269">
        <v>86.268000000000001</v>
      </c>
      <c r="ID67" s="20">
        <v>8.4000000000000005E-2</v>
      </c>
      <c r="IE67" s="20">
        <v>6.7000000000000004E-2</v>
      </c>
      <c r="IF67" s="20">
        <v>0.10100000000000001</v>
      </c>
      <c r="IG67" s="4" t="s">
        <v>707</v>
      </c>
      <c r="IH67" s="4">
        <v>991</v>
      </c>
      <c r="II67" s="269">
        <v>74.325000000000003</v>
      </c>
      <c r="IJ67" s="20">
        <v>7.4999999999999997E-2</v>
      </c>
      <c r="IK67" s="20">
        <v>5.8999999999999997E-2</v>
      </c>
      <c r="IL67" s="20">
        <v>9.0999999999999998E-2</v>
      </c>
      <c r="IM67" s="4" t="s">
        <v>708</v>
      </c>
      <c r="IN67" s="4">
        <v>1178</v>
      </c>
      <c r="IO67" s="269">
        <v>104.842</v>
      </c>
      <c r="IP67" s="20">
        <v>8.8999999999999996E-2</v>
      </c>
      <c r="IQ67" s="20">
        <v>7.2999999999999995E-2</v>
      </c>
      <c r="IR67" s="20">
        <v>0.105</v>
      </c>
      <c r="IS67" s="4" t="s">
        <v>707</v>
      </c>
      <c r="IT67" s="4">
        <v>696</v>
      </c>
      <c r="IU67" s="269">
        <v>57.999767999999996</v>
      </c>
      <c r="IV67" s="20">
        <v>8.333299999999999E-2</v>
      </c>
      <c r="IW67" s="20">
        <v>6.5016000000000004E-2</v>
      </c>
      <c r="IX67" s="20">
        <v>0.106225</v>
      </c>
      <c r="IY67" s="4" t="s">
        <v>772</v>
      </c>
      <c r="IZ67" s="4">
        <v>1097</v>
      </c>
      <c r="JA67" s="4">
        <v>86.999999999999943</v>
      </c>
      <c r="JB67" s="20">
        <v>7.9307201458523199E-2</v>
      </c>
      <c r="JC67" s="20">
        <v>6.4745428609291195E-2</v>
      </c>
      <c r="JD67" s="20">
        <v>9.6805044799669601E-2</v>
      </c>
      <c r="JE67" s="4" t="str">
        <f t="shared" si="5"/>
        <v>No Sig diff</v>
      </c>
      <c r="JF67" s="668">
        <v>1082</v>
      </c>
      <c r="JG67" s="673">
        <v>83.000000000000014</v>
      </c>
      <c r="JH67" s="670">
        <v>7.6709796672828109E-2</v>
      </c>
      <c r="JI67" s="670">
        <v>6.2307407441332806E-2</v>
      </c>
      <c r="JJ67" s="670">
        <v>9.4107193825738802E-2</v>
      </c>
      <c r="JK67" s="663" t="str">
        <f t="shared" si="6"/>
        <v>No Sig diff</v>
      </c>
      <c r="JL67" s="4">
        <v>890</v>
      </c>
      <c r="JM67" s="269">
        <v>132.60999999999999</v>
      </c>
      <c r="JN67" s="20">
        <v>0.14899999999999999</v>
      </c>
      <c r="JO67" s="20">
        <v>0.126</v>
      </c>
      <c r="JP67" s="20">
        <v>0.17199999999999999</v>
      </c>
      <c r="JQ67" s="4" t="s">
        <v>708</v>
      </c>
      <c r="JR67" s="4">
        <v>920</v>
      </c>
      <c r="JS67" s="269">
        <v>150.88</v>
      </c>
      <c r="JT67" s="20">
        <v>0.16400000000000001</v>
      </c>
      <c r="JU67" s="20">
        <v>0.14000000000000001</v>
      </c>
      <c r="JV67" s="20">
        <v>0.188</v>
      </c>
      <c r="JW67" s="4" t="s">
        <v>708</v>
      </c>
      <c r="JX67" s="4">
        <v>884</v>
      </c>
      <c r="JY67" s="269">
        <v>130.83199999999999</v>
      </c>
      <c r="JZ67" s="20">
        <v>0.14799999999999999</v>
      </c>
      <c r="KA67" s="20">
        <v>0.125</v>
      </c>
      <c r="KB67" s="20">
        <v>0.17099999999999999</v>
      </c>
      <c r="KC67" s="4" t="s">
        <v>708</v>
      </c>
      <c r="KD67" s="4">
        <v>871</v>
      </c>
      <c r="KE67" s="269">
        <v>133.26300000000001</v>
      </c>
      <c r="KF67" s="20">
        <v>0.153</v>
      </c>
      <c r="KG67" s="20">
        <v>0.129</v>
      </c>
      <c r="KH67" s="20">
        <v>0.17699999999999999</v>
      </c>
      <c r="KI67" s="4" t="s">
        <v>708</v>
      </c>
      <c r="KJ67" s="4">
        <v>915</v>
      </c>
      <c r="KK67" s="269">
        <v>168.00040500000003</v>
      </c>
      <c r="KL67" s="20">
        <v>0.18360700000000002</v>
      </c>
      <c r="KM67" s="20">
        <v>0.159861</v>
      </c>
      <c r="KN67" s="20">
        <v>0.20999800000000002</v>
      </c>
      <c r="KO67" s="4" t="s">
        <v>772</v>
      </c>
      <c r="KP67" s="4">
        <v>977</v>
      </c>
      <c r="KQ67" s="4">
        <v>177.00000000000011</v>
      </c>
      <c r="KR67" s="20">
        <v>0.18116683725690902</v>
      </c>
      <c r="KS67" s="20">
        <v>0.15827940905444898</v>
      </c>
      <c r="KT67" s="20">
        <v>0.20655168123300802</v>
      </c>
      <c r="KU67" s="4" t="s">
        <v>772</v>
      </c>
      <c r="KV67" s="668">
        <v>997</v>
      </c>
      <c r="KW67" s="668">
        <v>172.99999999999986</v>
      </c>
      <c r="KX67" s="666">
        <v>0.17352056168505503</v>
      </c>
      <c r="KY67" s="666">
        <v>0.15127866045115801</v>
      </c>
      <c r="KZ67" s="666">
        <v>0.19826866868618301</v>
      </c>
      <c r="LA67" s="663" t="str">
        <f t="shared" si="4"/>
        <v>No Sig diff</v>
      </c>
      <c r="LB67" s="4">
        <v>1297</v>
      </c>
      <c r="LC67" s="4">
        <v>705</v>
      </c>
      <c r="LD67" s="20">
        <v>0.54356206630686199</v>
      </c>
      <c r="LE67" s="20">
        <v>0.51636542013974696</v>
      </c>
      <c r="LF67" s="20">
        <v>0.57050142995468545</v>
      </c>
      <c r="LG67" s="4">
        <v>1297</v>
      </c>
      <c r="LH67" s="4">
        <v>34</v>
      </c>
      <c r="LI67" s="4">
        <v>259</v>
      </c>
      <c r="LJ67" s="295">
        <v>24.980694980694977</v>
      </c>
      <c r="LK67" s="20">
        <v>0.265273677038383</v>
      </c>
      <c r="LL67" s="4">
        <v>1223</v>
      </c>
      <c r="LM67" s="4">
        <v>746</v>
      </c>
      <c r="LN67" s="20">
        <v>0.60997547015535569</v>
      </c>
      <c r="LO67" s="20">
        <v>0.58233564728209375</v>
      </c>
      <c r="LP67" s="20">
        <v>0.63692658751275677</v>
      </c>
      <c r="LQ67" s="4">
        <v>1223</v>
      </c>
      <c r="LR67" s="4">
        <v>34</v>
      </c>
      <c r="LS67" s="4">
        <v>244</v>
      </c>
      <c r="LT67" s="295">
        <v>25.426229508196734</v>
      </c>
      <c r="LU67" s="20">
        <v>0.2521697203471549</v>
      </c>
      <c r="LV67" s="40">
        <v>1286</v>
      </c>
      <c r="LW67" s="40">
        <v>807</v>
      </c>
      <c r="LX67" s="20">
        <v>0.6275272161741835</v>
      </c>
      <c r="LY67" s="20">
        <v>0.60076050315139085</v>
      </c>
      <c r="LZ67" s="20">
        <v>0.65353431560865383</v>
      </c>
      <c r="MA67" s="338">
        <v>34</v>
      </c>
      <c r="MB67" s="338">
        <v>257</v>
      </c>
      <c r="MC67" s="295">
        <v>24.326848249027236</v>
      </c>
      <c r="MD67" s="20">
        <v>0.28450446326390483</v>
      </c>
      <c r="ME67" s="338">
        <v>1276</v>
      </c>
      <c r="MF67" s="338">
        <v>897</v>
      </c>
      <c r="MG67" s="20">
        <v>0.70297805642633227</v>
      </c>
      <c r="MH67" s="20">
        <v>0.67732712032017972</v>
      </c>
      <c r="MI67" s="20">
        <v>0.72741051060272344</v>
      </c>
      <c r="MJ67" s="338">
        <v>34</v>
      </c>
      <c r="MK67" s="338">
        <v>255</v>
      </c>
      <c r="ML67" s="295">
        <v>24.607003891050585</v>
      </c>
      <c r="MM67" s="94">
        <v>0.27626459143968868</v>
      </c>
      <c r="MN67" s="20"/>
      <c r="MO67" s="20"/>
      <c r="MP67" s="20"/>
      <c r="MQ67" s="20"/>
      <c r="MR67" s="20"/>
      <c r="MS67" s="20"/>
      <c r="MT67" s="20"/>
      <c r="MU67" s="20"/>
      <c r="MV67" s="20"/>
      <c r="MW67" s="20"/>
      <c r="MX67" s="20"/>
      <c r="MY67" s="20"/>
      <c r="MZ67" s="20"/>
      <c r="NA67" s="20"/>
      <c r="NB67" s="20"/>
      <c r="NC67" s="94"/>
      <c r="ND67" s="338">
        <v>49</v>
      </c>
      <c r="NE67" s="338">
        <v>460</v>
      </c>
      <c r="NF67" s="20">
        <v>0.10652173913043478</v>
      </c>
      <c r="NG67" s="20">
        <v>8.1516671517349815E-2</v>
      </c>
      <c r="NH67" s="20">
        <v>0.13804425147479416</v>
      </c>
      <c r="NI67" s="338">
        <v>37</v>
      </c>
      <c r="NJ67" s="338">
        <v>460</v>
      </c>
      <c r="NK67" s="20">
        <v>8.0434782608695646E-2</v>
      </c>
      <c r="NL67" s="20">
        <v>5.891674887057962E-2</v>
      </c>
      <c r="NM67" s="20">
        <v>0.10890235686137498</v>
      </c>
      <c r="NN67" s="338">
        <v>43</v>
      </c>
      <c r="NO67" s="338">
        <v>458</v>
      </c>
      <c r="NP67" s="20">
        <v>9.3886462882096067E-2</v>
      </c>
      <c r="NQ67" s="20">
        <v>7.0449992451338497E-2</v>
      </c>
      <c r="NR67" s="20">
        <v>0.12407879465691088</v>
      </c>
      <c r="NS67" s="338">
        <v>91</v>
      </c>
      <c r="NT67" s="338">
        <v>457</v>
      </c>
      <c r="NU67" s="20">
        <v>0.19912472647702406</v>
      </c>
      <c r="NV67" s="20">
        <v>0.16508652974029139</v>
      </c>
      <c r="NW67" s="94">
        <v>0.23817896485359236</v>
      </c>
      <c r="NX67" s="110" t="s">
        <v>286</v>
      </c>
      <c r="NY67" s="110" t="s">
        <v>286</v>
      </c>
      <c r="NZ67" s="110" t="s">
        <v>286</v>
      </c>
      <c r="OA67" s="110" t="s">
        <v>286</v>
      </c>
      <c r="OB67" s="110" t="s">
        <v>286</v>
      </c>
      <c r="OC67" s="110" t="s">
        <v>286</v>
      </c>
      <c r="OD67" s="110" t="s">
        <v>286</v>
      </c>
      <c r="OE67" s="110" t="s">
        <v>286</v>
      </c>
      <c r="OF67" s="110" t="s">
        <v>286</v>
      </c>
      <c r="OG67" s="110" t="s">
        <v>286</v>
      </c>
      <c r="OH67" s="110" t="s">
        <v>286</v>
      </c>
      <c r="OI67" s="110" t="s">
        <v>286</v>
      </c>
      <c r="OJ67" s="110" t="s">
        <v>286</v>
      </c>
      <c r="OK67" s="110" t="s">
        <v>286</v>
      </c>
      <c r="OL67" s="110" t="s">
        <v>286</v>
      </c>
      <c r="OM67" s="110" t="s">
        <v>286</v>
      </c>
      <c r="ON67" s="110" t="s">
        <v>286</v>
      </c>
      <c r="OO67" s="110" t="s">
        <v>286</v>
      </c>
      <c r="OP67" s="110" t="s">
        <v>286</v>
      </c>
      <c r="OQ67" s="110" t="s">
        <v>286</v>
      </c>
      <c r="OR67" s="110" t="s">
        <v>286</v>
      </c>
      <c r="OS67" s="110" t="s">
        <v>286</v>
      </c>
      <c r="OT67" s="116" t="s">
        <v>286</v>
      </c>
      <c r="OU67" s="4">
        <v>1147</v>
      </c>
      <c r="OV67" s="23">
        <v>0.88</v>
      </c>
      <c r="OW67" s="23">
        <v>1.0999999999999999E-2</v>
      </c>
      <c r="OX67" s="23">
        <v>0.88100000000000001</v>
      </c>
      <c r="OY67" s="4">
        <v>1009</v>
      </c>
      <c r="OZ67" s="4">
        <v>13</v>
      </c>
      <c r="PA67" s="4">
        <v>1010</v>
      </c>
      <c r="PB67" s="4">
        <v>1166</v>
      </c>
      <c r="PC67" s="23">
        <v>0.96499999999999997</v>
      </c>
      <c r="PD67" s="23">
        <v>0.92</v>
      </c>
      <c r="PE67" s="23">
        <v>0.95499999999999996</v>
      </c>
      <c r="PF67" s="23">
        <v>0.91900000000000004</v>
      </c>
      <c r="PG67" s="23">
        <v>0.91600000000000004</v>
      </c>
      <c r="PH67" s="4">
        <v>1125</v>
      </c>
      <c r="PI67" s="4">
        <v>1073</v>
      </c>
      <c r="PJ67" s="4">
        <v>1114</v>
      </c>
      <c r="PK67" s="4">
        <v>1072</v>
      </c>
      <c r="PL67" s="4">
        <v>1068</v>
      </c>
      <c r="PM67" s="4">
        <v>1322</v>
      </c>
      <c r="PN67" s="23">
        <v>0.96299999999999997</v>
      </c>
      <c r="PO67" s="23">
        <v>0.92800000000000005</v>
      </c>
      <c r="PP67" s="23">
        <v>0.96299999999999997</v>
      </c>
      <c r="PQ67" s="23">
        <v>0.95899999999999996</v>
      </c>
      <c r="PR67" s="23">
        <v>0.95799999999999996</v>
      </c>
      <c r="PS67" s="23">
        <v>0.89600000000000002</v>
      </c>
      <c r="PT67" s="23">
        <v>0.94899999999999995</v>
      </c>
      <c r="PU67" s="23">
        <v>0.92700000000000005</v>
      </c>
      <c r="PV67" s="23">
        <v>0.96299999999999997</v>
      </c>
      <c r="PW67" s="23">
        <v>0.91500000000000004</v>
      </c>
      <c r="PX67" s="4">
        <v>1273</v>
      </c>
      <c r="PY67" s="4">
        <v>1227</v>
      </c>
      <c r="PZ67" s="4">
        <v>1273</v>
      </c>
      <c r="QA67" s="4">
        <v>1268</v>
      </c>
      <c r="QB67" s="4">
        <v>1266</v>
      </c>
      <c r="QC67" s="4">
        <v>1184</v>
      </c>
      <c r="QD67" s="4">
        <v>1254</v>
      </c>
      <c r="QE67" s="4">
        <v>1226</v>
      </c>
      <c r="QF67" s="4">
        <v>1273</v>
      </c>
      <c r="QG67" s="7">
        <v>1210</v>
      </c>
      <c r="QH67" s="40">
        <v>1181</v>
      </c>
      <c r="QI67" s="20">
        <v>0.76121930567315832</v>
      </c>
      <c r="QJ67" s="20">
        <v>0.24894157493649449</v>
      </c>
      <c r="QK67" s="20">
        <v>0.77392040643522442</v>
      </c>
      <c r="QL67" s="40">
        <v>899</v>
      </c>
      <c r="QM67" s="40">
        <v>294</v>
      </c>
      <c r="QN67" s="40">
        <v>914</v>
      </c>
      <c r="QO67" s="40">
        <v>1164</v>
      </c>
      <c r="QP67" s="20">
        <v>0.87714776632302405</v>
      </c>
      <c r="QQ67" s="20">
        <v>0.7946735395189003</v>
      </c>
      <c r="QR67" s="20">
        <v>0.69845360824742264</v>
      </c>
      <c r="QS67" s="20">
        <v>0.79639175257731953</v>
      </c>
      <c r="QT67" s="20">
        <v>0.58848797250859108</v>
      </c>
      <c r="QU67" s="40">
        <v>1021</v>
      </c>
      <c r="QV67" s="40">
        <v>925</v>
      </c>
      <c r="QW67" s="40">
        <v>813</v>
      </c>
      <c r="QX67" s="40">
        <v>927</v>
      </c>
      <c r="QY67" s="40">
        <v>685</v>
      </c>
      <c r="QZ67" s="4">
        <v>1320</v>
      </c>
      <c r="RA67" s="20">
        <v>0.95227272727272727</v>
      </c>
      <c r="RB67" s="20">
        <v>0.85151515151515156</v>
      </c>
      <c r="RC67" s="20">
        <v>0.95227272727272727</v>
      </c>
      <c r="RD67" s="20">
        <v>0.9507575757575758</v>
      </c>
      <c r="RE67" s="20">
        <v>0.70378787878787874</v>
      </c>
      <c r="RF67" s="20">
        <v>0.92272727272727273</v>
      </c>
      <c r="RG67" s="20">
        <v>0.9242424242424242</v>
      </c>
      <c r="RH67" s="20">
        <v>0.87424242424242427</v>
      </c>
      <c r="RI67" s="20">
        <v>0.70606060606060606</v>
      </c>
      <c r="RJ67" s="20">
        <v>0.67348484848484846</v>
      </c>
      <c r="RK67" s="40">
        <v>1257</v>
      </c>
      <c r="RL67" s="40">
        <v>1124</v>
      </c>
      <c r="RM67" s="40">
        <v>1257</v>
      </c>
      <c r="RN67" s="40">
        <v>1255</v>
      </c>
      <c r="RO67" s="40">
        <v>929</v>
      </c>
      <c r="RP67" s="40">
        <v>1218</v>
      </c>
      <c r="RQ67" s="40">
        <v>1220</v>
      </c>
      <c r="RR67" s="40">
        <v>1154</v>
      </c>
      <c r="RS67" s="40">
        <v>932</v>
      </c>
      <c r="RT67" s="41">
        <v>889</v>
      </c>
    </row>
    <row r="68" spans="1:488" s="3" customFormat="1" x14ac:dyDescent="0.25">
      <c r="A68" s="9" t="s">
        <v>130</v>
      </c>
      <c r="B68" s="6">
        <v>1</v>
      </c>
      <c r="C68" s="9" t="s">
        <v>286</v>
      </c>
      <c r="D68" s="9" t="s">
        <v>286</v>
      </c>
      <c r="E68" s="9" t="s">
        <v>286</v>
      </c>
      <c r="F68" s="9" t="s">
        <v>286</v>
      </c>
      <c r="G68" s="9" t="s">
        <v>286</v>
      </c>
      <c r="H68" s="9" t="s">
        <v>286</v>
      </c>
      <c r="I68" s="9" t="s">
        <v>286</v>
      </c>
      <c r="J68" s="9" t="s">
        <v>268</v>
      </c>
      <c r="K68" s="9" t="s">
        <v>286</v>
      </c>
      <c r="L68" s="9" t="s">
        <v>286</v>
      </c>
      <c r="M68" s="9" t="s">
        <v>286</v>
      </c>
      <c r="N68" s="9" t="s">
        <v>286</v>
      </c>
      <c r="O68" s="109" t="s">
        <v>286</v>
      </c>
      <c r="P68" s="109" t="s">
        <v>286</v>
      </c>
      <c r="Q68" s="109" t="s">
        <v>286</v>
      </c>
      <c r="R68" s="109" t="s">
        <v>286</v>
      </c>
      <c r="S68" s="109" t="s">
        <v>286</v>
      </c>
      <c r="T68" s="36">
        <v>462250</v>
      </c>
      <c r="U68" s="37">
        <v>465500</v>
      </c>
      <c r="V68" s="37">
        <v>468900</v>
      </c>
      <c r="W68" s="37">
        <v>472100</v>
      </c>
      <c r="X68" s="37">
        <v>474150</v>
      </c>
      <c r="Y68" s="37">
        <v>477450</v>
      </c>
      <c r="Z68" s="37">
        <v>480050</v>
      </c>
      <c r="AA68" s="37">
        <v>483500</v>
      </c>
      <c r="AB68" s="37">
        <v>487050</v>
      </c>
      <c r="AC68" s="42">
        <v>490490</v>
      </c>
      <c r="AD68" s="42">
        <v>495046</v>
      </c>
      <c r="AE68" s="36">
        <v>22550</v>
      </c>
      <c r="AF68" s="37">
        <v>22850</v>
      </c>
      <c r="AG68" s="37">
        <v>23450</v>
      </c>
      <c r="AH68" s="37">
        <v>24000</v>
      </c>
      <c r="AI68" s="37">
        <v>24500</v>
      </c>
      <c r="AJ68" s="37">
        <v>25050</v>
      </c>
      <c r="AK68" s="37">
        <v>25500</v>
      </c>
      <c r="AL68" s="37">
        <v>26150</v>
      </c>
      <c r="AM68" s="37">
        <v>26300</v>
      </c>
      <c r="AN68" s="42">
        <v>26213</v>
      </c>
      <c r="AO68" s="42">
        <v>26308</v>
      </c>
      <c r="AP68" s="13">
        <v>25386</v>
      </c>
      <c r="AQ68" s="3">
        <v>22407</v>
      </c>
      <c r="AR68" s="3">
        <v>1052</v>
      </c>
      <c r="AS68" s="3">
        <v>1029</v>
      </c>
      <c r="AT68" s="3">
        <v>663</v>
      </c>
      <c r="AU68" s="3">
        <v>138</v>
      </c>
      <c r="AV68" s="3">
        <v>97</v>
      </c>
      <c r="AW68" s="9">
        <v>2979</v>
      </c>
      <c r="AX68" s="16">
        <v>0.88265185535334434</v>
      </c>
      <c r="AY68" s="17">
        <v>4.1440163869849521E-2</v>
      </c>
      <c r="AZ68" s="17">
        <v>4.0534152682580947E-2</v>
      </c>
      <c r="BA68" s="17">
        <v>2.6116757267785392E-2</v>
      </c>
      <c r="BB68" s="17">
        <v>5.4360671236114389E-3</v>
      </c>
      <c r="BC68" s="17">
        <v>3.8210037028283306E-3</v>
      </c>
      <c r="BD68" s="18">
        <v>0.11734814464665566</v>
      </c>
      <c r="BE68" s="13">
        <v>64637</v>
      </c>
      <c r="BF68" s="3">
        <v>63175</v>
      </c>
      <c r="BG68" s="3">
        <v>1462</v>
      </c>
      <c r="BH68" s="3">
        <v>1202</v>
      </c>
      <c r="BI68" s="3">
        <v>260</v>
      </c>
      <c r="BJ68" s="17">
        <v>0.82216142270861836</v>
      </c>
      <c r="BK68" s="18">
        <v>0.17783857729138167</v>
      </c>
      <c r="BL68" s="36">
        <v>49115</v>
      </c>
      <c r="BM68" s="18">
        <v>0.61329532729308767</v>
      </c>
      <c r="BN68" s="18">
        <v>0.15492212155146085</v>
      </c>
      <c r="BO68" s="18">
        <v>0.23178255115545149</v>
      </c>
      <c r="BP68" s="36">
        <v>139438</v>
      </c>
      <c r="BQ68" s="37">
        <v>7981</v>
      </c>
      <c r="BR68" s="37">
        <v>8059</v>
      </c>
      <c r="BS68" s="37">
        <v>3750</v>
      </c>
      <c r="BT68" s="37">
        <v>90716</v>
      </c>
      <c r="BU68" s="37">
        <v>51681</v>
      </c>
      <c r="BV68" s="18">
        <v>0.1411930883690331</v>
      </c>
      <c r="BW68" s="36">
        <v>29451</v>
      </c>
      <c r="BX68" s="37">
        <v>34</v>
      </c>
      <c r="BY68" s="37">
        <v>7317</v>
      </c>
      <c r="BZ68" s="37">
        <v>11198</v>
      </c>
      <c r="CA68" s="37">
        <v>3972</v>
      </c>
      <c r="CB68" s="38">
        <v>51972</v>
      </c>
      <c r="CC68" s="37">
        <v>19950</v>
      </c>
      <c r="CD68" s="37">
        <v>16409</v>
      </c>
      <c r="CE68" s="37">
        <v>3490</v>
      </c>
      <c r="CF68" s="37">
        <v>3541</v>
      </c>
      <c r="CG68" s="17">
        <v>0.174937343358396</v>
      </c>
      <c r="CH68" s="93">
        <v>0.17749373433583959</v>
      </c>
      <c r="CI68" s="37">
        <v>3270</v>
      </c>
      <c r="CJ68" s="37">
        <v>2980</v>
      </c>
      <c r="CK68" s="37">
        <v>2590</v>
      </c>
      <c r="CL68" s="37">
        <v>2500</v>
      </c>
      <c r="CM68" s="42">
        <v>2350</v>
      </c>
      <c r="CN68" s="42">
        <v>2125</v>
      </c>
      <c r="CO68" s="36">
        <v>11170</v>
      </c>
      <c r="CP68" s="37">
        <v>3826</v>
      </c>
      <c r="CQ68" s="17">
        <v>0.34252461951656221</v>
      </c>
      <c r="CR68" s="42">
        <v>1065</v>
      </c>
      <c r="CS68" s="36">
        <v>4877</v>
      </c>
      <c r="CT68" s="42">
        <v>4871</v>
      </c>
      <c r="CU68" s="42">
        <v>5013</v>
      </c>
      <c r="CV68" s="42">
        <v>5009</v>
      </c>
      <c r="CW68" s="42">
        <v>4674</v>
      </c>
      <c r="CX68" s="528" t="s">
        <v>471</v>
      </c>
      <c r="CY68" s="713">
        <v>4692</v>
      </c>
      <c r="CZ68" s="37">
        <v>299</v>
      </c>
      <c r="DA68" s="37">
        <v>254</v>
      </c>
      <c r="DB68" s="37">
        <v>239</v>
      </c>
      <c r="DC68" s="37">
        <v>228</v>
      </c>
      <c r="DD68" s="37">
        <v>213</v>
      </c>
      <c r="DE68" s="537" t="s">
        <v>471</v>
      </c>
      <c r="DF68" s="715">
        <v>124</v>
      </c>
      <c r="DG68" s="109" t="s">
        <v>286</v>
      </c>
      <c r="DH68" s="13">
        <v>310</v>
      </c>
      <c r="DI68" s="17">
        <v>6.6324347454000857E-2</v>
      </c>
      <c r="DJ68" s="17">
        <v>5.9540441409266585E-2</v>
      </c>
      <c r="DK68" s="18">
        <v>7.3820525248625979E-2</v>
      </c>
      <c r="DL68" s="425" t="s">
        <v>286</v>
      </c>
      <c r="DM68" s="258" t="s">
        <v>286</v>
      </c>
      <c r="DN68" s="258" t="s">
        <v>286</v>
      </c>
      <c r="DO68" s="258" t="s">
        <v>286</v>
      </c>
      <c r="DP68" s="337">
        <v>297</v>
      </c>
      <c r="DQ68" s="393">
        <v>6.3299232736572897E-2</v>
      </c>
      <c r="DR68" s="393">
        <v>5.6682804162753779E-2</v>
      </c>
      <c r="DS68" s="393">
        <v>7.0630152218621803E-2</v>
      </c>
      <c r="DT68" s="13">
        <v>470</v>
      </c>
      <c r="DU68" s="18">
        <v>1.8530200283866899E-2</v>
      </c>
      <c r="DV68" s="368" t="s">
        <v>286</v>
      </c>
      <c r="DW68" s="369" t="s">
        <v>286</v>
      </c>
      <c r="DX68" s="420" t="s">
        <v>286</v>
      </c>
      <c r="DY68" s="420" t="s">
        <v>286</v>
      </c>
      <c r="DZ68" s="420" t="s">
        <v>286</v>
      </c>
      <c r="EA68" s="369" t="s">
        <v>286</v>
      </c>
      <c r="EB68" s="3">
        <v>8575</v>
      </c>
      <c r="EC68" s="18">
        <v>4.0440101489327585E-2</v>
      </c>
      <c r="ED68" s="13">
        <v>4350</v>
      </c>
      <c r="EE68" s="3">
        <v>4315</v>
      </c>
      <c r="EF68" s="3">
        <v>4420</v>
      </c>
      <c r="EG68" s="3">
        <v>4155</v>
      </c>
      <c r="EH68" s="9">
        <v>3740</v>
      </c>
      <c r="EI68" s="9">
        <v>3435</v>
      </c>
      <c r="EJ68" s="13">
        <v>3775</v>
      </c>
      <c r="EK68" s="17">
        <v>0.16036533559898045</v>
      </c>
      <c r="EL68" s="17">
        <v>0.15573326262737017</v>
      </c>
      <c r="EM68" s="17">
        <v>0.16510823947128797</v>
      </c>
      <c r="EN68" s="3">
        <v>4225</v>
      </c>
      <c r="EO68" s="17">
        <v>0.17542038613244759</v>
      </c>
      <c r="EP68" s="17">
        <v>0.17066904640483549</v>
      </c>
      <c r="EQ68" s="17">
        <v>0.18027524758590444</v>
      </c>
      <c r="ER68" s="3">
        <v>4225</v>
      </c>
      <c r="ES68" s="17">
        <v>0.17227319062181448</v>
      </c>
      <c r="ET68" s="17">
        <v>0.16759858303394268</v>
      </c>
      <c r="EU68" s="17">
        <v>0.17705044871968101</v>
      </c>
      <c r="EV68" s="3">
        <v>4285</v>
      </c>
      <c r="EW68" s="17">
        <v>0.17188126754913757</v>
      </c>
      <c r="EX68" s="17">
        <v>0.16724865541324069</v>
      </c>
      <c r="EY68" s="17">
        <v>0.17661498360847847</v>
      </c>
      <c r="EZ68" s="3">
        <v>4060</v>
      </c>
      <c r="FA68" s="18">
        <v>0.15946582875098192</v>
      </c>
      <c r="FB68" s="18">
        <v>0.1550201695574164</v>
      </c>
      <c r="FC68" s="18">
        <v>0.16401423347868127</v>
      </c>
      <c r="FD68" s="337">
        <v>4015</v>
      </c>
      <c r="FE68" s="18">
        <v>0.1672219908371512</v>
      </c>
      <c r="FF68" s="18">
        <v>0.16255507036837621</v>
      </c>
      <c r="FG68" s="393">
        <v>0.17199537932111847</v>
      </c>
      <c r="FH68" s="425" t="s">
        <v>286</v>
      </c>
      <c r="FI68" s="258" t="s">
        <v>286</v>
      </c>
      <c r="FJ68" s="258" t="s">
        <v>286</v>
      </c>
      <c r="FK68" s="258" t="s">
        <v>286</v>
      </c>
      <c r="FL68" s="36">
        <v>11485</v>
      </c>
      <c r="FM68" s="18">
        <v>0.14697037558385054</v>
      </c>
      <c r="FN68" s="42">
        <v>12295</v>
      </c>
      <c r="FO68" s="18">
        <v>0.15576106923418001</v>
      </c>
      <c r="FP68" s="42">
        <v>11720</v>
      </c>
      <c r="FQ68" s="18">
        <v>0.14810134580147849</v>
      </c>
      <c r="FR68" s="42">
        <v>11535</v>
      </c>
      <c r="FS68" s="18">
        <v>0.14529537725154301</v>
      </c>
      <c r="FT68" s="42">
        <v>10680</v>
      </c>
      <c r="FU68" s="18">
        <v>0.13344161929155995</v>
      </c>
      <c r="FV68" s="42">
        <v>10475</v>
      </c>
      <c r="FW68" s="393">
        <v>0.13121633471126143</v>
      </c>
      <c r="FX68" s="114" t="s">
        <v>286</v>
      </c>
      <c r="FY68" s="259" t="s">
        <v>286</v>
      </c>
      <c r="FZ68" s="391" t="s">
        <v>286</v>
      </c>
      <c r="GA68" s="391" t="s">
        <v>286</v>
      </c>
      <c r="GB68" s="391" t="s">
        <v>286</v>
      </c>
      <c r="GC68" s="392" t="s">
        <v>286</v>
      </c>
      <c r="GD68" s="391" t="s">
        <v>286</v>
      </c>
      <c r="GE68" s="391" t="s">
        <v>286</v>
      </c>
      <c r="GF68" s="392" t="s">
        <v>286</v>
      </c>
      <c r="GG68" s="392" t="s">
        <v>286</v>
      </c>
      <c r="GH68" s="392" t="s">
        <v>286</v>
      </c>
      <c r="GI68" s="392" t="s">
        <v>286</v>
      </c>
      <c r="GJ68" s="392" t="s">
        <v>286</v>
      </c>
      <c r="GK68" s="259" t="s">
        <v>286</v>
      </c>
      <c r="GL68" s="425" t="s">
        <v>286</v>
      </c>
      <c r="GM68" s="425" t="s">
        <v>286</v>
      </c>
      <c r="GN68" s="425" t="s">
        <v>286</v>
      </c>
      <c r="GO68" s="425" t="s">
        <v>286</v>
      </c>
      <c r="GP68" s="425" t="s">
        <v>286</v>
      </c>
      <c r="GQ68" s="425" t="s">
        <v>286</v>
      </c>
      <c r="GR68" s="425" t="s">
        <v>286</v>
      </c>
      <c r="GS68" s="425" t="s">
        <v>286</v>
      </c>
      <c r="GT68" s="425" t="s">
        <v>286</v>
      </c>
      <c r="GU68" s="470" t="s">
        <v>286</v>
      </c>
      <c r="GV68" s="114">
        <v>4818</v>
      </c>
      <c r="GW68" s="114">
        <v>1261</v>
      </c>
      <c r="GX68" s="114">
        <v>3557</v>
      </c>
      <c r="GY68" s="258">
        <f t="shared" si="2"/>
        <v>0.73827314238273145</v>
      </c>
      <c r="GZ68" s="114">
        <v>1449</v>
      </c>
      <c r="HA68" s="114">
        <v>469</v>
      </c>
      <c r="HB68" s="114">
        <v>1918</v>
      </c>
      <c r="HC68" s="258">
        <v>0.40736575766095023</v>
      </c>
      <c r="HD68" s="258">
        <v>0.53921844250773121</v>
      </c>
      <c r="HE68" s="258">
        <v>0.39132709684467226</v>
      </c>
      <c r="HF68" s="258">
        <v>0.42360428731803279</v>
      </c>
      <c r="HG68" s="258">
        <v>0.52280408064594741</v>
      </c>
      <c r="HH68" s="259">
        <v>0.55554818615011525</v>
      </c>
      <c r="HI68" s="702" t="s">
        <v>286</v>
      </c>
      <c r="HJ68" s="703" t="s">
        <v>286</v>
      </c>
      <c r="HK68" s="703" t="s">
        <v>286</v>
      </c>
      <c r="HL68" s="704" t="s">
        <v>286</v>
      </c>
      <c r="HM68" s="703" t="s">
        <v>286</v>
      </c>
      <c r="HN68" s="703" t="s">
        <v>286</v>
      </c>
      <c r="HO68" s="703" t="s">
        <v>286</v>
      </c>
      <c r="HP68" s="704" t="s">
        <v>286</v>
      </c>
      <c r="HQ68" s="704" t="s">
        <v>286</v>
      </c>
      <c r="HR68" s="704" t="s">
        <v>286</v>
      </c>
      <c r="HS68" s="704" t="s">
        <v>286</v>
      </c>
      <c r="HT68" s="704" t="s">
        <v>286</v>
      </c>
      <c r="HU68" s="705" t="s">
        <v>286</v>
      </c>
      <c r="HV68" s="391" t="s">
        <v>286</v>
      </c>
      <c r="HW68" s="397" t="s">
        <v>286</v>
      </c>
      <c r="HX68" s="392" t="s">
        <v>286</v>
      </c>
      <c r="HY68" s="392" t="s">
        <v>286</v>
      </c>
      <c r="HZ68" s="392" t="s">
        <v>286</v>
      </c>
      <c r="IA68" s="406" t="s">
        <v>286</v>
      </c>
      <c r="IB68" s="391" t="s">
        <v>286</v>
      </c>
      <c r="IC68" s="397" t="s">
        <v>286</v>
      </c>
      <c r="ID68" s="392" t="s">
        <v>286</v>
      </c>
      <c r="IE68" s="392" t="s">
        <v>286</v>
      </c>
      <c r="IF68" s="392" t="s">
        <v>286</v>
      </c>
      <c r="IG68" s="399" t="s">
        <v>286</v>
      </c>
      <c r="IH68" s="391" t="s">
        <v>286</v>
      </c>
      <c r="II68" s="397" t="s">
        <v>286</v>
      </c>
      <c r="IJ68" s="392" t="s">
        <v>286</v>
      </c>
      <c r="IK68" s="392" t="s">
        <v>286</v>
      </c>
      <c r="IL68" s="392" t="s">
        <v>286</v>
      </c>
      <c r="IM68" s="399" t="s">
        <v>286</v>
      </c>
      <c r="IN68" s="391" t="s">
        <v>286</v>
      </c>
      <c r="IO68" s="397" t="s">
        <v>286</v>
      </c>
      <c r="IP68" s="392" t="s">
        <v>286</v>
      </c>
      <c r="IQ68" s="392" t="s">
        <v>286</v>
      </c>
      <c r="IR68" s="392" t="s">
        <v>286</v>
      </c>
      <c r="IS68" s="399" t="s">
        <v>286</v>
      </c>
      <c r="IT68" s="3">
        <v>3218</v>
      </c>
      <c r="IU68" s="3">
        <v>296</v>
      </c>
      <c r="IV68" s="17">
        <v>9.1982597886886258E-2</v>
      </c>
      <c r="IW68" s="17">
        <v>8.2478028547678939E-2</v>
      </c>
      <c r="IX68" s="17">
        <v>0.10246014002340673</v>
      </c>
      <c r="IY68" s="9" t="s">
        <v>772</v>
      </c>
      <c r="IZ68" s="9">
        <v>4454</v>
      </c>
      <c r="JA68" s="9">
        <v>353</v>
      </c>
      <c r="JB68" s="393">
        <v>7.9254602604400537E-2</v>
      </c>
      <c r="JC68" s="393">
        <v>7.1678985756416833E-2</v>
      </c>
      <c r="JD68" s="393">
        <v>8.755535790022817E-2</v>
      </c>
      <c r="JE68" s="9" t="str">
        <f t="shared" si="5"/>
        <v>Sig better than Eng.</v>
      </c>
      <c r="JF68" s="9">
        <v>4456</v>
      </c>
      <c r="JG68" s="109">
        <v>351</v>
      </c>
      <c r="JH68" s="258">
        <v>7.8770197486535007E-2</v>
      </c>
      <c r="JI68" s="258">
        <v>7.1218763485801015E-2</v>
      </c>
      <c r="JJ68" s="258">
        <v>8.704727922849273E-2</v>
      </c>
      <c r="JK68" s="662" t="str">
        <f t="shared" ref="JK68" si="7">IF(JI68&gt;$JD$78, "Sig worse than Eng.", IF(JJ68&lt;$JC$78,"Sig better than Eng.", "No Sig diff"))</f>
        <v>Sig better than Eng.</v>
      </c>
      <c r="JL68" s="391" t="s">
        <v>286</v>
      </c>
      <c r="JM68" s="397" t="s">
        <v>286</v>
      </c>
      <c r="JN68" s="392" t="s">
        <v>286</v>
      </c>
      <c r="JO68" s="392" t="s">
        <v>286</v>
      </c>
      <c r="JP68" s="392" t="s">
        <v>286</v>
      </c>
      <c r="JQ68" s="391" t="s">
        <v>286</v>
      </c>
      <c r="JR68" s="391" t="s">
        <v>286</v>
      </c>
      <c r="JS68" s="397" t="s">
        <v>286</v>
      </c>
      <c r="JT68" s="392" t="s">
        <v>286</v>
      </c>
      <c r="JU68" s="392" t="s">
        <v>286</v>
      </c>
      <c r="JV68" s="392" t="s">
        <v>286</v>
      </c>
      <c r="JW68" s="391" t="s">
        <v>286</v>
      </c>
      <c r="JX68" s="391" t="s">
        <v>286</v>
      </c>
      <c r="JY68" s="397" t="s">
        <v>286</v>
      </c>
      <c r="JZ68" s="392" t="s">
        <v>286</v>
      </c>
      <c r="KA68" s="392" t="s">
        <v>286</v>
      </c>
      <c r="KB68" s="392" t="s">
        <v>286</v>
      </c>
      <c r="KC68" s="391" t="s">
        <v>286</v>
      </c>
      <c r="KD68" s="391" t="s">
        <v>286</v>
      </c>
      <c r="KE68" s="397" t="s">
        <v>286</v>
      </c>
      <c r="KF68" s="392" t="s">
        <v>286</v>
      </c>
      <c r="KG68" s="392" t="s">
        <v>286</v>
      </c>
      <c r="KH68" s="392" t="s">
        <v>286</v>
      </c>
      <c r="KI68" s="391" t="s">
        <v>286</v>
      </c>
      <c r="KJ68" s="3">
        <v>3933</v>
      </c>
      <c r="KK68" s="3">
        <v>674</v>
      </c>
      <c r="KL68" s="17">
        <v>0.17137045512331553</v>
      </c>
      <c r="KM68" s="17">
        <v>0.15991551302742066</v>
      </c>
      <c r="KN68" s="17">
        <v>0.18346673209495384</v>
      </c>
      <c r="KO68" s="9" t="s">
        <v>772</v>
      </c>
      <c r="KP68" s="9">
        <v>4152</v>
      </c>
      <c r="KQ68" s="9">
        <v>673</v>
      </c>
      <c r="KR68" s="393">
        <v>0.16209055876685935</v>
      </c>
      <c r="KS68" s="393">
        <v>0.15119396217861408</v>
      </c>
      <c r="KT68" s="393">
        <v>0.17361184963975576</v>
      </c>
      <c r="KU68" s="9" t="s">
        <v>708</v>
      </c>
      <c r="KV68" s="9">
        <v>3976</v>
      </c>
      <c r="KW68" s="9">
        <v>689</v>
      </c>
      <c r="KX68" s="393">
        <v>0.17328973843058351</v>
      </c>
      <c r="KY68" s="393">
        <v>0.16184164706784654</v>
      </c>
      <c r="KZ68" s="393">
        <v>0.1853685303019226</v>
      </c>
      <c r="LA68" s="662" t="str">
        <f t="shared" si="4"/>
        <v>Sig better than Eng.</v>
      </c>
      <c r="LB68" s="3">
        <v>5155</v>
      </c>
      <c r="LC68" s="3">
        <v>2669</v>
      </c>
      <c r="LD68" s="17">
        <v>0.51774975751697383</v>
      </c>
      <c r="LE68" s="17">
        <v>0.50410112467583079</v>
      </c>
      <c r="LF68" s="17">
        <v>0.53137195614294552</v>
      </c>
      <c r="LG68" s="3">
        <v>5155</v>
      </c>
      <c r="LH68" s="3">
        <v>34</v>
      </c>
      <c r="LI68" s="3">
        <v>1031</v>
      </c>
      <c r="LJ68" s="293">
        <v>23.428709990300685</v>
      </c>
      <c r="LK68" s="17">
        <v>0.31092029440292102</v>
      </c>
      <c r="LL68" s="3">
        <v>5159</v>
      </c>
      <c r="LM68" s="3">
        <v>2997</v>
      </c>
      <c r="LN68" s="17">
        <v>0.58092653615041678</v>
      </c>
      <c r="LO68" s="17">
        <v>0.56740729295358927</v>
      </c>
      <c r="LP68" s="17">
        <v>0.59432535110686424</v>
      </c>
      <c r="LQ68" s="3">
        <v>5159</v>
      </c>
      <c r="LR68" s="3">
        <v>34</v>
      </c>
      <c r="LS68" s="3">
        <v>1031</v>
      </c>
      <c r="LT68" s="293">
        <v>24.20368574199804</v>
      </c>
      <c r="LU68" s="393">
        <v>0.28812688994123414</v>
      </c>
      <c r="LV68" s="42">
        <v>5438</v>
      </c>
      <c r="LW68" s="42">
        <v>3406</v>
      </c>
      <c r="LX68" s="393">
        <v>0.626</v>
      </c>
      <c r="LY68" s="393">
        <v>0.61338453380023994</v>
      </c>
      <c r="LZ68" s="393">
        <v>0.63910352752923527</v>
      </c>
      <c r="MA68" s="424">
        <v>34</v>
      </c>
      <c r="MB68" s="337">
        <v>1087</v>
      </c>
      <c r="MC68" s="294">
        <v>24.1</v>
      </c>
      <c r="MD68" s="393">
        <v>0.28999999999999998</v>
      </c>
      <c r="ME68" s="337">
        <v>5331</v>
      </c>
      <c r="MF68" s="337">
        <v>3625</v>
      </c>
      <c r="MG68" s="393">
        <v>0.6799849934346277</v>
      </c>
      <c r="MH68" s="393">
        <v>0.66733708907852929</v>
      </c>
      <c r="MI68" s="393">
        <v>0.69237369423389716</v>
      </c>
      <c r="MJ68" s="337">
        <v>34</v>
      </c>
      <c r="MK68" s="337">
        <v>1066</v>
      </c>
      <c r="ML68" s="294">
        <v>24.28893058161351</v>
      </c>
      <c r="MM68" s="93">
        <v>0.28561968877607324</v>
      </c>
      <c r="MN68" s="17"/>
      <c r="MO68" s="17"/>
      <c r="MP68" s="17"/>
      <c r="MQ68" s="17"/>
      <c r="MR68" s="17"/>
      <c r="MS68" s="17"/>
      <c r="MT68" s="17"/>
      <c r="MU68" s="17"/>
      <c r="MV68" s="17"/>
      <c r="MW68" s="17"/>
      <c r="MX68" s="17"/>
      <c r="MY68" s="17"/>
      <c r="MZ68" s="17"/>
      <c r="NA68" s="17"/>
      <c r="NB68" s="17"/>
      <c r="NC68" s="93"/>
      <c r="ND68" s="337">
        <v>262</v>
      </c>
      <c r="NE68" s="337">
        <v>2065</v>
      </c>
      <c r="NF68" s="393">
        <v>0.12687651331719127</v>
      </c>
      <c r="NG68" s="393">
        <v>0.11321050452041254</v>
      </c>
      <c r="NH68" s="393">
        <v>0.14192816575816</v>
      </c>
      <c r="NI68" s="337">
        <v>196</v>
      </c>
      <c r="NJ68" s="337">
        <v>2065</v>
      </c>
      <c r="NK68" s="393">
        <v>9.4915254237288138E-2</v>
      </c>
      <c r="NL68" s="393">
        <v>8.3015225726173966E-2</v>
      </c>
      <c r="NM68" s="393">
        <v>0.10831961877483309</v>
      </c>
      <c r="NN68" s="337">
        <v>231</v>
      </c>
      <c r="NO68" s="337">
        <v>2054</v>
      </c>
      <c r="NP68" s="393">
        <v>0.1124634858812074</v>
      </c>
      <c r="NQ68" s="393">
        <v>9.9517496909904538E-2</v>
      </c>
      <c r="NR68" s="393">
        <v>0.12685633612952607</v>
      </c>
      <c r="NS68" s="337">
        <v>417</v>
      </c>
      <c r="NT68" s="337">
        <v>2041</v>
      </c>
      <c r="NU68" s="393">
        <v>0.20431161195492406</v>
      </c>
      <c r="NV68" s="393">
        <v>0.18738249956944789</v>
      </c>
      <c r="NW68" s="93">
        <v>0.22235169043660574</v>
      </c>
      <c r="NX68" s="391" t="s">
        <v>286</v>
      </c>
      <c r="NY68" s="391" t="s">
        <v>286</v>
      </c>
      <c r="NZ68" s="391" t="s">
        <v>286</v>
      </c>
      <c r="OA68" s="391" t="s">
        <v>286</v>
      </c>
      <c r="OB68" s="391" t="s">
        <v>286</v>
      </c>
      <c r="OC68" s="391" t="s">
        <v>286</v>
      </c>
      <c r="OD68" s="391" t="s">
        <v>286</v>
      </c>
      <c r="OE68" s="391" t="s">
        <v>286</v>
      </c>
      <c r="OF68" s="391" t="s">
        <v>286</v>
      </c>
      <c r="OG68" s="391" t="s">
        <v>286</v>
      </c>
      <c r="OH68" s="391" t="s">
        <v>286</v>
      </c>
      <c r="OI68" s="391" t="s">
        <v>286</v>
      </c>
      <c r="OJ68" s="391" t="s">
        <v>286</v>
      </c>
      <c r="OK68" s="391" t="s">
        <v>286</v>
      </c>
      <c r="OL68" s="391" t="s">
        <v>286</v>
      </c>
      <c r="OM68" s="391" t="s">
        <v>286</v>
      </c>
      <c r="ON68" s="391" t="s">
        <v>286</v>
      </c>
      <c r="OO68" s="391" t="s">
        <v>286</v>
      </c>
      <c r="OP68" s="391" t="s">
        <v>286</v>
      </c>
      <c r="OQ68" s="391" t="s">
        <v>286</v>
      </c>
      <c r="OR68" s="391" t="s">
        <v>286</v>
      </c>
      <c r="OS68" s="391" t="s">
        <v>286</v>
      </c>
      <c r="OT68" s="115" t="s">
        <v>286</v>
      </c>
      <c r="OU68" s="3">
        <v>4768</v>
      </c>
      <c r="OV68" s="22">
        <v>0.93799999999999994</v>
      </c>
      <c r="OW68" s="22">
        <v>7.0000000000000001E-3</v>
      </c>
      <c r="OX68" s="22">
        <v>0.93700000000000006</v>
      </c>
      <c r="OY68" s="3">
        <v>4472</v>
      </c>
      <c r="OZ68" s="3">
        <v>35</v>
      </c>
      <c r="PA68" s="3">
        <v>4468</v>
      </c>
      <c r="PB68" s="3">
        <v>5022</v>
      </c>
      <c r="PC68" s="22">
        <v>0.96899999999999997</v>
      </c>
      <c r="PD68" s="22">
        <v>0.92800000000000005</v>
      </c>
      <c r="PE68" s="22">
        <v>0.96199999999999997</v>
      </c>
      <c r="PF68" s="22">
        <v>0.93200000000000005</v>
      </c>
      <c r="PG68" s="22">
        <v>0.92900000000000005</v>
      </c>
      <c r="PH68" s="3">
        <v>4867</v>
      </c>
      <c r="PI68" s="3">
        <v>4658</v>
      </c>
      <c r="PJ68" s="3">
        <v>4830</v>
      </c>
      <c r="PK68" s="3">
        <v>4680</v>
      </c>
      <c r="PL68" s="3">
        <v>4665</v>
      </c>
      <c r="PM68" s="3">
        <v>5330</v>
      </c>
      <c r="PN68" s="22">
        <v>0.96099999999999997</v>
      </c>
      <c r="PO68" s="22">
        <v>0.92</v>
      </c>
      <c r="PP68" s="22">
        <v>0.96099999999999997</v>
      </c>
      <c r="PQ68" s="22">
        <v>0.95799999999999996</v>
      </c>
      <c r="PR68" s="22">
        <v>0.95699999999999996</v>
      </c>
      <c r="PS68" s="22">
        <v>0.88800000000000001</v>
      </c>
      <c r="PT68" s="22">
        <v>0.94299999999999995</v>
      </c>
      <c r="PU68" s="22">
        <v>0.91600000000000004</v>
      </c>
      <c r="PV68" s="22">
        <v>0.96099999999999997</v>
      </c>
      <c r="PW68" s="22">
        <v>0.91300000000000003</v>
      </c>
      <c r="PX68" s="3">
        <v>5120</v>
      </c>
      <c r="PY68" s="3">
        <v>4902</v>
      </c>
      <c r="PZ68" s="3">
        <v>5120</v>
      </c>
      <c r="QA68" s="3">
        <v>5108</v>
      </c>
      <c r="QB68" s="3">
        <v>5103</v>
      </c>
      <c r="QC68" s="3">
        <v>4732</v>
      </c>
      <c r="QD68" s="3">
        <v>5024</v>
      </c>
      <c r="QE68" s="3">
        <v>4883</v>
      </c>
      <c r="QF68" s="3">
        <v>5124</v>
      </c>
      <c r="QG68" s="6">
        <v>4866</v>
      </c>
      <c r="QH68" s="37">
        <v>4845</v>
      </c>
      <c r="QI68" s="17">
        <v>0.8897832817337461</v>
      </c>
      <c r="QJ68" s="17">
        <v>0.23611971104231166</v>
      </c>
      <c r="QK68" s="17">
        <v>0.89742002063983484</v>
      </c>
      <c r="QL68" s="37">
        <v>4311</v>
      </c>
      <c r="QM68" s="37">
        <v>1144</v>
      </c>
      <c r="QN68" s="37">
        <v>4348</v>
      </c>
      <c r="QO68" s="37">
        <v>4823</v>
      </c>
      <c r="QP68" s="17">
        <v>0.93966410947543022</v>
      </c>
      <c r="QQ68" s="17">
        <v>0.88845117147003938</v>
      </c>
      <c r="QR68" s="17">
        <v>0.72050590918515445</v>
      </c>
      <c r="QS68" s="17">
        <v>0.89384200704955419</v>
      </c>
      <c r="QT68" s="17">
        <v>0.67945262284884922</v>
      </c>
      <c r="QU68" s="37">
        <v>4532</v>
      </c>
      <c r="QV68" s="37">
        <v>4285</v>
      </c>
      <c r="QW68" s="37">
        <v>3475</v>
      </c>
      <c r="QX68" s="37">
        <v>4311</v>
      </c>
      <c r="QY68" s="37">
        <v>3277</v>
      </c>
      <c r="QZ68" s="3">
        <v>5352</v>
      </c>
      <c r="RA68" s="17">
        <v>0.96449925261584457</v>
      </c>
      <c r="RB68" s="17">
        <v>0.87406576980568007</v>
      </c>
      <c r="RC68" s="17">
        <v>0.96449925261584457</v>
      </c>
      <c r="RD68" s="17">
        <v>0.96375186846038863</v>
      </c>
      <c r="RE68" s="17">
        <v>0.72215994020926755</v>
      </c>
      <c r="RF68" s="17">
        <v>0.91517189835575485</v>
      </c>
      <c r="RG68" s="17">
        <v>0.92862481315396117</v>
      </c>
      <c r="RH68" s="17">
        <v>0.90396113602391626</v>
      </c>
      <c r="RI68" s="17">
        <v>0.72290732436472349</v>
      </c>
      <c r="RJ68" s="17">
        <v>0.67432735426008972</v>
      </c>
      <c r="RK68" s="37">
        <v>5162</v>
      </c>
      <c r="RL68" s="37">
        <v>4678</v>
      </c>
      <c r="RM68" s="37">
        <v>5162</v>
      </c>
      <c r="RN68" s="37">
        <v>5158</v>
      </c>
      <c r="RO68" s="37">
        <v>3865</v>
      </c>
      <c r="RP68" s="37">
        <v>4898</v>
      </c>
      <c r="RQ68" s="37">
        <v>4970</v>
      </c>
      <c r="RR68" s="37">
        <v>4838</v>
      </c>
      <c r="RS68" s="37">
        <v>3869</v>
      </c>
      <c r="RT68" s="38">
        <v>3609</v>
      </c>
    </row>
    <row r="69" spans="1:488" s="3" customFormat="1" ht="13.5" customHeight="1" x14ac:dyDescent="0.25">
      <c r="A69" s="9" t="s">
        <v>131</v>
      </c>
      <c r="B69" s="6">
        <v>2</v>
      </c>
      <c r="C69" s="9" t="s">
        <v>286</v>
      </c>
      <c r="D69" s="9" t="s">
        <v>286</v>
      </c>
      <c r="E69" s="9" t="s">
        <v>286</v>
      </c>
      <c r="F69" s="9" t="s">
        <v>286</v>
      </c>
      <c r="G69" s="9" t="s">
        <v>286</v>
      </c>
      <c r="H69" s="9" t="s">
        <v>286</v>
      </c>
      <c r="I69" s="9" t="s">
        <v>286</v>
      </c>
      <c r="J69" s="9" t="s">
        <v>270</v>
      </c>
      <c r="K69" s="9" t="s">
        <v>286</v>
      </c>
      <c r="L69" s="9" t="s">
        <v>286</v>
      </c>
      <c r="M69" s="9" t="s">
        <v>286</v>
      </c>
      <c r="N69" s="9" t="s">
        <v>286</v>
      </c>
      <c r="O69" s="109" t="s">
        <v>286</v>
      </c>
      <c r="P69" s="109" t="s">
        <v>286</v>
      </c>
      <c r="Q69" s="109" t="s">
        <v>286</v>
      </c>
      <c r="R69" s="109" t="s">
        <v>286</v>
      </c>
      <c r="S69" s="109" t="s">
        <v>286</v>
      </c>
      <c r="T69" s="36">
        <v>208850</v>
      </c>
      <c r="U69" s="37">
        <v>211150</v>
      </c>
      <c r="V69" s="37">
        <v>213800</v>
      </c>
      <c r="W69" s="37">
        <v>216050</v>
      </c>
      <c r="X69" s="37">
        <v>218050</v>
      </c>
      <c r="Y69" s="37">
        <v>220250</v>
      </c>
      <c r="Z69" s="37">
        <v>221850</v>
      </c>
      <c r="AA69" s="37">
        <v>223350</v>
      </c>
      <c r="AB69" s="37">
        <v>225300</v>
      </c>
      <c r="AC69" s="42">
        <v>228025</v>
      </c>
      <c r="AD69" s="42">
        <v>230346</v>
      </c>
      <c r="AE69" s="36">
        <v>11900</v>
      </c>
      <c r="AF69" s="37">
        <v>12100</v>
      </c>
      <c r="AG69" s="37">
        <v>12550</v>
      </c>
      <c r="AH69" s="37">
        <v>12700</v>
      </c>
      <c r="AI69" s="37">
        <v>12750</v>
      </c>
      <c r="AJ69" s="37">
        <v>12900</v>
      </c>
      <c r="AK69" s="37">
        <v>13050</v>
      </c>
      <c r="AL69" s="37">
        <v>13200</v>
      </c>
      <c r="AM69" s="37">
        <v>13200</v>
      </c>
      <c r="AN69" s="42">
        <v>13298</v>
      </c>
      <c r="AO69" s="42">
        <v>13265</v>
      </c>
      <c r="AP69" s="13">
        <v>13029</v>
      </c>
      <c r="AQ69" s="3">
        <v>11416</v>
      </c>
      <c r="AR69" s="3">
        <v>487</v>
      </c>
      <c r="AS69" s="3">
        <v>552</v>
      </c>
      <c r="AT69" s="3">
        <v>486</v>
      </c>
      <c r="AU69" s="3">
        <v>70</v>
      </c>
      <c r="AV69" s="3">
        <v>18</v>
      </c>
      <c r="AW69" s="9">
        <v>1613</v>
      </c>
      <c r="AX69" s="16">
        <v>0.87619924783175995</v>
      </c>
      <c r="AY69" s="17">
        <v>3.7378156420293192E-2</v>
      </c>
      <c r="AZ69" s="17">
        <v>4.236702740041446E-2</v>
      </c>
      <c r="BA69" s="17">
        <v>3.7301404559060558E-2</v>
      </c>
      <c r="BB69" s="17">
        <v>5.3726302862844421E-3</v>
      </c>
      <c r="BC69" s="17">
        <v>1.381533502187428E-3</v>
      </c>
      <c r="BD69" s="18">
        <v>0.12380075216824005</v>
      </c>
      <c r="BE69" s="13">
        <v>35382</v>
      </c>
      <c r="BF69" s="3">
        <v>34670</v>
      </c>
      <c r="BG69" s="3">
        <v>712</v>
      </c>
      <c r="BH69" s="3">
        <v>619</v>
      </c>
      <c r="BI69" s="3">
        <v>93</v>
      </c>
      <c r="BJ69" s="17">
        <v>0.8693820224719101</v>
      </c>
      <c r="BK69" s="18">
        <v>0.1306179775280899</v>
      </c>
      <c r="BL69" s="36">
        <v>25861</v>
      </c>
      <c r="BM69" s="18">
        <v>0.71114806078651249</v>
      </c>
      <c r="BN69" s="18">
        <v>0.12714125517188044</v>
      </c>
      <c r="BO69" s="18">
        <v>0.16171068404160704</v>
      </c>
      <c r="BP69" s="36">
        <v>64487</v>
      </c>
      <c r="BQ69" s="37">
        <v>3778</v>
      </c>
      <c r="BR69" s="37">
        <v>4375</v>
      </c>
      <c r="BS69" s="37">
        <v>1949</v>
      </c>
      <c r="BT69" s="37">
        <v>48193</v>
      </c>
      <c r="BU69" s="37">
        <v>26961</v>
      </c>
      <c r="BV69" s="18">
        <v>0.14665628129520419</v>
      </c>
      <c r="BW69" s="36">
        <v>18197</v>
      </c>
      <c r="BX69" s="37">
        <v>13</v>
      </c>
      <c r="BY69" s="37">
        <v>3091</v>
      </c>
      <c r="BZ69" s="37">
        <v>4187</v>
      </c>
      <c r="CA69" s="37">
        <v>1565</v>
      </c>
      <c r="CB69" s="38">
        <v>27053</v>
      </c>
      <c r="CC69" s="37">
        <v>10129</v>
      </c>
      <c r="CD69" s="37">
        <v>9067</v>
      </c>
      <c r="CE69" s="37">
        <v>1049</v>
      </c>
      <c r="CF69" s="37">
        <v>1062</v>
      </c>
      <c r="CG69" s="17">
        <v>0.1035640240892487</v>
      </c>
      <c r="CH69" s="93">
        <v>0.10484746766709448</v>
      </c>
      <c r="CI69" s="37">
        <v>935</v>
      </c>
      <c r="CJ69" s="37">
        <v>855</v>
      </c>
      <c r="CK69" s="37">
        <v>725</v>
      </c>
      <c r="CL69" s="37">
        <v>710</v>
      </c>
      <c r="CM69" s="42">
        <v>665</v>
      </c>
      <c r="CN69" s="42">
        <v>620</v>
      </c>
      <c r="CO69" s="36">
        <v>4174</v>
      </c>
      <c r="CP69" s="37">
        <v>1090</v>
      </c>
      <c r="CQ69" s="17">
        <v>0.26114039290848107</v>
      </c>
      <c r="CR69" s="42">
        <v>382</v>
      </c>
      <c r="CS69" s="36">
        <v>2266</v>
      </c>
      <c r="CT69" s="42">
        <v>2282</v>
      </c>
      <c r="CU69" s="42">
        <v>2298</v>
      </c>
      <c r="CV69" s="42">
        <v>2260</v>
      </c>
      <c r="CW69" s="42">
        <v>2216</v>
      </c>
      <c r="CX69" s="528" t="s">
        <v>471</v>
      </c>
      <c r="CY69" s="568">
        <v>2183</v>
      </c>
      <c r="CZ69" s="37">
        <v>78</v>
      </c>
      <c r="DA69" s="37">
        <v>69</v>
      </c>
      <c r="DB69" s="37">
        <v>51</v>
      </c>
      <c r="DC69" s="37">
        <v>44</v>
      </c>
      <c r="DD69" s="37">
        <v>45</v>
      </c>
      <c r="DE69" s="537" t="s">
        <v>471</v>
      </c>
      <c r="DF69" s="718">
        <v>30</v>
      </c>
      <c r="DG69" s="109" t="s">
        <v>286</v>
      </c>
      <c r="DH69" s="13">
        <v>128</v>
      </c>
      <c r="DI69" s="17">
        <v>5.7761732851985562E-2</v>
      </c>
      <c r="DJ69" s="17">
        <v>4.8792080513784607E-2</v>
      </c>
      <c r="DK69" s="18">
        <v>6.8261981067143193E-2</v>
      </c>
      <c r="DL69" s="425" t="s">
        <v>286</v>
      </c>
      <c r="DM69" s="258" t="s">
        <v>286</v>
      </c>
      <c r="DN69" s="258" t="s">
        <v>286</v>
      </c>
      <c r="DO69" s="258" t="s">
        <v>286</v>
      </c>
      <c r="DP69" s="337">
        <v>137</v>
      </c>
      <c r="DQ69" s="393">
        <v>6.2757672927164457E-2</v>
      </c>
      <c r="DR69" s="393">
        <v>5.3331967119692354E-2</v>
      </c>
      <c r="DS69" s="393">
        <v>7.3719519717641832E-2</v>
      </c>
      <c r="DT69" s="13">
        <v>225</v>
      </c>
      <c r="DU69" s="18">
        <v>1.7293059718699561E-2</v>
      </c>
      <c r="DV69" s="368" t="s">
        <v>286</v>
      </c>
      <c r="DW69" s="369" t="s">
        <v>286</v>
      </c>
      <c r="DX69" s="420" t="s">
        <v>286</v>
      </c>
      <c r="DY69" s="420" t="s">
        <v>286</v>
      </c>
      <c r="DZ69" s="420" t="s">
        <v>286</v>
      </c>
      <c r="EA69" s="369" t="s">
        <v>286</v>
      </c>
      <c r="EB69" s="3">
        <v>2313</v>
      </c>
      <c r="EC69" s="18">
        <v>2.5460949969728659E-2</v>
      </c>
      <c r="ED69" s="13">
        <v>1205</v>
      </c>
      <c r="EE69" s="3">
        <v>1240</v>
      </c>
      <c r="EF69" s="3">
        <v>1270</v>
      </c>
      <c r="EG69" s="3">
        <v>1150</v>
      </c>
      <c r="EH69" s="9">
        <v>1065</v>
      </c>
      <c r="EI69" s="9">
        <v>930</v>
      </c>
      <c r="EJ69" s="13">
        <v>990</v>
      </c>
      <c r="EK69" s="18">
        <v>8.3403538331929233E-2</v>
      </c>
      <c r="EL69" s="18">
        <v>7.8563315213841745E-2</v>
      </c>
      <c r="EM69" s="18">
        <v>8.8513318384542877E-2</v>
      </c>
      <c r="EN69" s="9">
        <v>1205</v>
      </c>
      <c r="EO69" s="18">
        <v>9.9834299917149955E-2</v>
      </c>
      <c r="EP69" s="18">
        <v>9.4612902037089705E-2</v>
      </c>
      <c r="EQ69" s="18">
        <v>0.1053103342463578</v>
      </c>
      <c r="ER69" s="9">
        <v>1145</v>
      </c>
      <c r="ES69" s="18">
        <v>9.3660531697341509E-2</v>
      </c>
      <c r="ET69" s="18">
        <v>8.8622681963532401E-2</v>
      </c>
      <c r="EU69" s="18">
        <v>9.8953669119680038E-2</v>
      </c>
      <c r="EV69" s="9">
        <v>1160</v>
      </c>
      <c r="EW69" s="18">
        <v>9.4771241830065356E-2</v>
      </c>
      <c r="EX69" s="18">
        <v>8.9708742798724025E-2</v>
      </c>
      <c r="EY69" s="18">
        <v>0.10008801883334979</v>
      </c>
      <c r="EZ69" s="9">
        <v>1160</v>
      </c>
      <c r="FA69" s="18">
        <v>9.4693877551020406E-2</v>
      </c>
      <c r="FB69" s="18">
        <v>8.963531275445015E-2</v>
      </c>
      <c r="FC69" s="18">
        <v>0.10000656131663319</v>
      </c>
      <c r="FD69" s="337">
        <v>1020</v>
      </c>
      <c r="FE69" s="18">
        <v>9.6408317580340269E-2</v>
      </c>
      <c r="FF69" s="18">
        <v>9.0929873368016237E-2</v>
      </c>
      <c r="FG69" s="393">
        <v>0.10217973307996521</v>
      </c>
      <c r="FH69" s="425" t="s">
        <v>286</v>
      </c>
      <c r="FI69" s="258" t="s">
        <v>286</v>
      </c>
      <c r="FJ69" s="258" t="s">
        <v>286</v>
      </c>
      <c r="FK69" s="258" t="s">
        <v>286</v>
      </c>
      <c r="FL69" s="36">
        <v>3190</v>
      </c>
      <c r="FM69" s="18">
        <v>8.0201131363922068E-2</v>
      </c>
      <c r="FN69" s="42">
        <v>3555</v>
      </c>
      <c r="FO69" s="18">
        <v>8.8919459729864939E-2</v>
      </c>
      <c r="FP69" s="42">
        <v>3415</v>
      </c>
      <c r="FQ69" s="18">
        <v>8.4971385916894751E-2</v>
      </c>
      <c r="FR69" s="42">
        <v>3360</v>
      </c>
      <c r="FS69" s="18">
        <v>8.3467892187305923E-2</v>
      </c>
      <c r="FT69" s="42">
        <v>3115</v>
      </c>
      <c r="FU69" s="18">
        <v>7.7247365158090511E-2</v>
      </c>
      <c r="FV69" s="42">
        <v>2955</v>
      </c>
      <c r="FW69" s="393">
        <v>7.3672400897531784E-2</v>
      </c>
      <c r="FX69" s="114" t="s">
        <v>286</v>
      </c>
      <c r="FY69" s="259" t="s">
        <v>286</v>
      </c>
      <c r="FZ69" s="391" t="s">
        <v>286</v>
      </c>
      <c r="GA69" s="391" t="s">
        <v>286</v>
      </c>
      <c r="GB69" s="391" t="s">
        <v>286</v>
      </c>
      <c r="GC69" s="392" t="s">
        <v>286</v>
      </c>
      <c r="GD69" s="391" t="s">
        <v>286</v>
      </c>
      <c r="GE69" s="391" t="s">
        <v>286</v>
      </c>
      <c r="GF69" s="392" t="s">
        <v>286</v>
      </c>
      <c r="GG69" s="392" t="s">
        <v>286</v>
      </c>
      <c r="GH69" s="392" t="s">
        <v>286</v>
      </c>
      <c r="GI69" s="392" t="s">
        <v>286</v>
      </c>
      <c r="GJ69" s="392" t="s">
        <v>286</v>
      </c>
      <c r="GK69" s="259" t="s">
        <v>286</v>
      </c>
      <c r="GL69" s="425" t="s">
        <v>286</v>
      </c>
      <c r="GM69" s="425" t="s">
        <v>286</v>
      </c>
      <c r="GN69" s="425" t="s">
        <v>286</v>
      </c>
      <c r="GO69" s="425" t="s">
        <v>286</v>
      </c>
      <c r="GP69" s="425" t="s">
        <v>286</v>
      </c>
      <c r="GQ69" s="425" t="s">
        <v>286</v>
      </c>
      <c r="GR69" s="425" t="s">
        <v>286</v>
      </c>
      <c r="GS69" s="425" t="s">
        <v>286</v>
      </c>
      <c r="GT69" s="425" t="s">
        <v>286</v>
      </c>
      <c r="GU69" s="470" t="s">
        <v>286</v>
      </c>
      <c r="GV69" s="114">
        <v>2381</v>
      </c>
      <c r="GW69" s="114">
        <v>283</v>
      </c>
      <c r="GX69" s="114">
        <v>2098</v>
      </c>
      <c r="GY69" s="258">
        <f t="shared" si="2"/>
        <v>0.88114237715245691</v>
      </c>
      <c r="GZ69" s="114">
        <v>975</v>
      </c>
      <c r="HA69" s="114">
        <v>333</v>
      </c>
      <c r="HB69" s="114">
        <v>1308</v>
      </c>
      <c r="HC69" s="258">
        <v>0.46472831267874165</v>
      </c>
      <c r="HD69" s="258">
        <v>0.62345090562440419</v>
      </c>
      <c r="HE69" s="258">
        <v>0.44347034236899113</v>
      </c>
      <c r="HF69" s="258">
        <v>0.48611521253625828</v>
      </c>
      <c r="HG69" s="258">
        <v>0.60251023729289188</v>
      </c>
      <c r="HH69" s="259">
        <v>0.64394032053873485</v>
      </c>
      <c r="HI69" s="702" t="s">
        <v>286</v>
      </c>
      <c r="HJ69" s="703" t="s">
        <v>286</v>
      </c>
      <c r="HK69" s="703" t="s">
        <v>286</v>
      </c>
      <c r="HL69" s="704" t="s">
        <v>286</v>
      </c>
      <c r="HM69" s="703" t="s">
        <v>286</v>
      </c>
      <c r="HN69" s="703" t="s">
        <v>286</v>
      </c>
      <c r="HO69" s="703" t="s">
        <v>286</v>
      </c>
      <c r="HP69" s="704" t="s">
        <v>286</v>
      </c>
      <c r="HQ69" s="704" t="s">
        <v>286</v>
      </c>
      <c r="HR69" s="704" t="s">
        <v>286</v>
      </c>
      <c r="HS69" s="704" t="s">
        <v>286</v>
      </c>
      <c r="HT69" s="704" t="s">
        <v>286</v>
      </c>
      <c r="HU69" s="705" t="s">
        <v>286</v>
      </c>
      <c r="HV69" s="391" t="s">
        <v>286</v>
      </c>
      <c r="HW69" s="397" t="s">
        <v>286</v>
      </c>
      <c r="HX69" s="392" t="s">
        <v>286</v>
      </c>
      <c r="HY69" s="392" t="s">
        <v>286</v>
      </c>
      <c r="HZ69" s="392" t="s">
        <v>286</v>
      </c>
      <c r="IA69" s="406" t="s">
        <v>286</v>
      </c>
      <c r="IB69" s="391" t="s">
        <v>286</v>
      </c>
      <c r="IC69" s="397" t="s">
        <v>286</v>
      </c>
      <c r="ID69" s="392" t="s">
        <v>286</v>
      </c>
      <c r="IE69" s="392" t="s">
        <v>286</v>
      </c>
      <c r="IF69" s="392" t="s">
        <v>286</v>
      </c>
      <c r="IG69" s="399" t="s">
        <v>286</v>
      </c>
      <c r="IH69" s="391" t="s">
        <v>286</v>
      </c>
      <c r="II69" s="397" t="s">
        <v>286</v>
      </c>
      <c r="IJ69" s="392" t="s">
        <v>286</v>
      </c>
      <c r="IK69" s="392" t="s">
        <v>286</v>
      </c>
      <c r="IL69" s="392" t="s">
        <v>286</v>
      </c>
      <c r="IM69" s="399" t="s">
        <v>286</v>
      </c>
      <c r="IN69" s="391" t="s">
        <v>286</v>
      </c>
      <c r="IO69" s="397" t="s">
        <v>286</v>
      </c>
      <c r="IP69" s="392" t="s">
        <v>286</v>
      </c>
      <c r="IQ69" s="392" t="s">
        <v>286</v>
      </c>
      <c r="IR69" s="392" t="s">
        <v>286</v>
      </c>
      <c r="IS69" s="399" t="s">
        <v>286</v>
      </c>
      <c r="IT69" s="3">
        <v>1394</v>
      </c>
      <c r="IU69" s="3">
        <v>79</v>
      </c>
      <c r="IV69" s="17">
        <v>5.6671449067431851E-2</v>
      </c>
      <c r="IW69" s="17">
        <v>4.5707858353953627E-2</v>
      </c>
      <c r="IX69" s="17">
        <v>7.007169432667272E-2</v>
      </c>
      <c r="IY69" s="9" t="s">
        <v>708</v>
      </c>
      <c r="IZ69" s="9">
        <v>2089</v>
      </c>
      <c r="JA69" s="9">
        <v>121</v>
      </c>
      <c r="JB69" s="393">
        <v>5.7922450933460989E-2</v>
      </c>
      <c r="JC69" s="393">
        <v>4.8693065939726991E-2</v>
      </c>
      <c r="JD69" s="393">
        <v>6.8774723024671955E-2</v>
      </c>
      <c r="JE69" s="9" t="str">
        <f t="shared" si="5"/>
        <v>Sig better than Eng.</v>
      </c>
      <c r="JF69" s="9">
        <v>2340</v>
      </c>
      <c r="JG69" s="109">
        <v>133</v>
      </c>
      <c r="JH69" s="258">
        <v>5.6837606837606837E-2</v>
      </c>
      <c r="JI69" s="258">
        <v>4.8162477057331746E-2</v>
      </c>
      <c r="JJ69" s="258">
        <v>6.6965386137163102E-2</v>
      </c>
      <c r="JK69" s="662" t="str">
        <f t="shared" ref="JK69:JK70" si="8">IF(JI69&gt;$JD$78, "Sig worse than Eng.", IF(JJ69&lt;$JC$78,"Sig better than Eng.", "No Sig diff"))</f>
        <v>Sig better than Eng.</v>
      </c>
      <c r="JL69" s="391" t="s">
        <v>286</v>
      </c>
      <c r="JM69" s="397" t="s">
        <v>286</v>
      </c>
      <c r="JN69" s="392" t="s">
        <v>286</v>
      </c>
      <c r="JO69" s="392" t="s">
        <v>286</v>
      </c>
      <c r="JP69" s="392" t="s">
        <v>286</v>
      </c>
      <c r="JQ69" s="391" t="s">
        <v>286</v>
      </c>
      <c r="JR69" s="391" t="s">
        <v>286</v>
      </c>
      <c r="JS69" s="397" t="s">
        <v>286</v>
      </c>
      <c r="JT69" s="392" t="s">
        <v>286</v>
      </c>
      <c r="JU69" s="392" t="s">
        <v>286</v>
      </c>
      <c r="JV69" s="392" t="s">
        <v>286</v>
      </c>
      <c r="JW69" s="391" t="s">
        <v>286</v>
      </c>
      <c r="JX69" s="391" t="s">
        <v>286</v>
      </c>
      <c r="JY69" s="397" t="s">
        <v>286</v>
      </c>
      <c r="JZ69" s="392" t="s">
        <v>286</v>
      </c>
      <c r="KA69" s="392" t="s">
        <v>286</v>
      </c>
      <c r="KB69" s="392" t="s">
        <v>286</v>
      </c>
      <c r="KC69" s="391" t="s">
        <v>286</v>
      </c>
      <c r="KD69" s="391" t="s">
        <v>286</v>
      </c>
      <c r="KE69" s="397" t="s">
        <v>286</v>
      </c>
      <c r="KF69" s="392" t="s">
        <v>286</v>
      </c>
      <c r="KG69" s="392" t="s">
        <v>286</v>
      </c>
      <c r="KH69" s="392" t="s">
        <v>286</v>
      </c>
      <c r="KI69" s="391" t="s">
        <v>286</v>
      </c>
      <c r="KJ69" s="3">
        <v>2055</v>
      </c>
      <c r="KK69" s="3">
        <v>240</v>
      </c>
      <c r="KL69" s="17">
        <v>0.11678832116788321</v>
      </c>
      <c r="KM69" s="17">
        <v>0.10361196980257933</v>
      </c>
      <c r="KN69" s="17">
        <v>0.13139469219549352</v>
      </c>
      <c r="KO69" s="9" t="s">
        <v>772</v>
      </c>
      <c r="KP69" s="9">
        <v>1937</v>
      </c>
      <c r="KQ69" s="9">
        <v>238</v>
      </c>
      <c r="KR69" s="393">
        <v>0.12287041817243159</v>
      </c>
      <c r="KS69" s="393">
        <v>0.10899256218682071</v>
      </c>
      <c r="KT69" s="393">
        <v>0.13824116040289472</v>
      </c>
      <c r="KU69" s="9" t="s">
        <v>708</v>
      </c>
      <c r="KV69" s="9">
        <v>2009</v>
      </c>
      <c r="KW69" s="9">
        <v>233</v>
      </c>
      <c r="KX69" s="393">
        <v>0.11597809855649577</v>
      </c>
      <c r="KY69" s="393">
        <v>0.10270357704011035</v>
      </c>
      <c r="KZ69" s="393">
        <v>0.13071841293418701</v>
      </c>
      <c r="LA69" s="662" t="str">
        <f t="shared" si="4"/>
        <v>Sig better than Eng.</v>
      </c>
      <c r="LB69" s="9">
        <v>2517</v>
      </c>
      <c r="LC69" s="9">
        <v>1446</v>
      </c>
      <c r="LD69" s="393">
        <v>0.57449344457687723</v>
      </c>
      <c r="LE69" s="393">
        <v>0.55507898366826613</v>
      </c>
      <c r="LF69" s="393">
        <v>0.59368086740758585</v>
      </c>
      <c r="LG69" s="9">
        <v>2517</v>
      </c>
      <c r="LH69" s="9">
        <v>34</v>
      </c>
      <c r="LI69" s="9">
        <v>503</v>
      </c>
      <c r="LJ69" s="294">
        <v>25.262425447316105</v>
      </c>
      <c r="LK69" s="393">
        <v>0.25698748684364398</v>
      </c>
      <c r="LL69" s="9">
        <v>2577</v>
      </c>
      <c r="LM69" s="9">
        <v>1627</v>
      </c>
      <c r="LN69" s="393">
        <v>0.63135428793170356</v>
      </c>
      <c r="LO69" s="393">
        <v>0.61254508033958732</v>
      </c>
      <c r="LP69" s="393">
        <v>0.64977246639935593</v>
      </c>
      <c r="LQ69" s="9">
        <v>2577</v>
      </c>
      <c r="LR69" s="9">
        <v>34</v>
      </c>
      <c r="LS69" s="9">
        <v>515</v>
      </c>
      <c r="LT69" s="294">
        <v>26.021359223300998</v>
      </c>
      <c r="LU69" s="393">
        <v>0.23466590519702948</v>
      </c>
      <c r="LV69" s="42">
        <v>2428</v>
      </c>
      <c r="LW69" s="42">
        <v>1649</v>
      </c>
      <c r="LX69" s="393">
        <v>0.67900000000000005</v>
      </c>
      <c r="LY69" s="393">
        <v>0.66031716345543789</v>
      </c>
      <c r="LZ69" s="393">
        <v>0.69743642152616725</v>
      </c>
      <c r="MA69" s="424">
        <v>34</v>
      </c>
      <c r="MB69" s="337">
        <v>485</v>
      </c>
      <c r="MC69" s="294">
        <v>26</v>
      </c>
      <c r="MD69" s="393">
        <v>0.23599999999999999</v>
      </c>
      <c r="ME69" s="337">
        <v>2651</v>
      </c>
      <c r="MF69" s="337">
        <v>1863</v>
      </c>
      <c r="MG69" s="393">
        <v>0.70275367785741227</v>
      </c>
      <c r="MH69" s="393">
        <v>0.68507226872797577</v>
      </c>
      <c r="MI69" s="393">
        <v>0.71984833262406323</v>
      </c>
      <c r="MJ69" s="337">
        <v>34</v>
      </c>
      <c r="MK69" s="337">
        <v>530</v>
      </c>
      <c r="ML69" s="294">
        <v>26.669811320754718</v>
      </c>
      <c r="MM69" s="93">
        <v>0.21559378468368476</v>
      </c>
      <c r="MN69" s="17"/>
      <c r="MO69" s="17"/>
      <c r="MP69" s="17"/>
      <c r="MQ69" s="17"/>
      <c r="MR69" s="17"/>
      <c r="MS69" s="17"/>
      <c r="MT69" s="17"/>
      <c r="MU69" s="17"/>
      <c r="MV69" s="17"/>
      <c r="MW69" s="17"/>
      <c r="MX69" s="17"/>
      <c r="MY69" s="17"/>
      <c r="MZ69" s="17"/>
      <c r="NA69" s="17"/>
      <c r="NB69" s="17"/>
      <c r="NC69" s="93"/>
      <c r="ND69" s="337">
        <v>78</v>
      </c>
      <c r="NE69" s="337">
        <v>1133</v>
      </c>
      <c r="NF69" s="393">
        <v>6.884377758164166E-2</v>
      </c>
      <c r="NG69" s="393">
        <v>5.5510986775055463E-2</v>
      </c>
      <c r="NH69" s="393">
        <v>8.5090376396996834E-2</v>
      </c>
      <c r="NI69" s="337">
        <v>63</v>
      </c>
      <c r="NJ69" s="337">
        <v>1133</v>
      </c>
      <c r="NK69" s="393">
        <v>5.5604589585172108E-2</v>
      </c>
      <c r="NL69" s="393">
        <v>4.3701055070982105E-2</v>
      </c>
      <c r="NM69" s="393">
        <v>7.0511404206660327E-2</v>
      </c>
      <c r="NN69" s="337">
        <v>74</v>
      </c>
      <c r="NO69" s="337">
        <v>1126</v>
      </c>
      <c r="NP69" s="393">
        <v>6.5719360568383664E-2</v>
      </c>
      <c r="NQ69" s="393">
        <v>5.2672098902308555E-2</v>
      </c>
      <c r="NR69" s="393">
        <v>8.1719728938018016E-2</v>
      </c>
      <c r="NS69" s="337">
        <v>156</v>
      </c>
      <c r="NT69" s="337">
        <v>1117</v>
      </c>
      <c r="NU69" s="393">
        <v>0.13965980304386749</v>
      </c>
      <c r="NV69" s="393">
        <v>0.1205642254671597</v>
      </c>
      <c r="NW69" s="93">
        <v>0.16122536782019986</v>
      </c>
      <c r="NX69" s="391" t="s">
        <v>286</v>
      </c>
      <c r="NY69" s="391" t="s">
        <v>286</v>
      </c>
      <c r="NZ69" s="391" t="s">
        <v>286</v>
      </c>
      <c r="OA69" s="391" t="s">
        <v>286</v>
      </c>
      <c r="OB69" s="391" t="s">
        <v>286</v>
      </c>
      <c r="OC69" s="391" t="s">
        <v>286</v>
      </c>
      <c r="OD69" s="391" t="s">
        <v>286</v>
      </c>
      <c r="OE69" s="391" t="s">
        <v>286</v>
      </c>
      <c r="OF69" s="391" t="s">
        <v>286</v>
      </c>
      <c r="OG69" s="391" t="s">
        <v>286</v>
      </c>
      <c r="OH69" s="391" t="s">
        <v>286</v>
      </c>
      <c r="OI69" s="391" t="s">
        <v>286</v>
      </c>
      <c r="OJ69" s="391" t="s">
        <v>286</v>
      </c>
      <c r="OK69" s="391" t="s">
        <v>286</v>
      </c>
      <c r="OL69" s="391" t="s">
        <v>286</v>
      </c>
      <c r="OM69" s="391" t="s">
        <v>286</v>
      </c>
      <c r="ON69" s="391" t="s">
        <v>286</v>
      </c>
      <c r="OO69" s="391" t="s">
        <v>286</v>
      </c>
      <c r="OP69" s="391" t="s">
        <v>286</v>
      </c>
      <c r="OQ69" s="391" t="s">
        <v>286</v>
      </c>
      <c r="OR69" s="391" t="s">
        <v>286</v>
      </c>
      <c r="OS69" s="391" t="s">
        <v>286</v>
      </c>
      <c r="OT69" s="115" t="s">
        <v>286</v>
      </c>
      <c r="OU69" s="3">
        <v>2417</v>
      </c>
      <c r="OV69" s="22">
        <v>0.96599999999999997</v>
      </c>
      <c r="OW69" s="22">
        <v>0.01</v>
      </c>
      <c r="OX69" s="22">
        <v>0.96499999999999997</v>
      </c>
      <c r="OY69" s="3">
        <v>2335</v>
      </c>
      <c r="OZ69" s="3">
        <v>25</v>
      </c>
      <c r="PA69" s="3">
        <v>2332</v>
      </c>
      <c r="PB69" s="3">
        <v>2452</v>
      </c>
      <c r="PC69" s="22">
        <v>0.96199999999999997</v>
      </c>
      <c r="PD69" s="22">
        <v>0.92900000000000005</v>
      </c>
      <c r="PE69" s="22">
        <v>0.94399999999999995</v>
      </c>
      <c r="PF69" s="22">
        <v>0.93400000000000005</v>
      </c>
      <c r="PG69" s="22">
        <v>0.93200000000000005</v>
      </c>
      <c r="PH69" s="3">
        <v>2360</v>
      </c>
      <c r="PI69" s="3">
        <v>2278</v>
      </c>
      <c r="PJ69" s="3">
        <v>2315</v>
      </c>
      <c r="PK69" s="3">
        <v>2290</v>
      </c>
      <c r="PL69" s="3">
        <v>2285</v>
      </c>
      <c r="PM69" s="3">
        <v>2727</v>
      </c>
      <c r="PN69" s="22">
        <v>0.95899999999999996</v>
      </c>
      <c r="PO69" s="22">
        <v>0.90700000000000003</v>
      </c>
      <c r="PP69" s="22">
        <v>0.95899999999999996</v>
      </c>
      <c r="PQ69" s="22">
        <v>0.95699999999999996</v>
      </c>
      <c r="PR69" s="22">
        <v>0.95099999999999996</v>
      </c>
      <c r="PS69" s="22">
        <v>0.86</v>
      </c>
      <c r="PT69" s="22">
        <v>0.93400000000000005</v>
      </c>
      <c r="PU69" s="22">
        <v>0.91700000000000004</v>
      </c>
      <c r="PV69" s="22">
        <v>0.95299999999999996</v>
      </c>
      <c r="PW69" s="22">
        <v>0.91500000000000004</v>
      </c>
      <c r="PX69" s="3">
        <v>2615</v>
      </c>
      <c r="PY69" s="3">
        <v>2474</v>
      </c>
      <c r="PZ69" s="3">
        <v>2615</v>
      </c>
      <c r="QA69" s="3">
        <v>2611</v>
      </c>
      <c r="QB69" s="3">
        <v>2593</v>
      </c>
      <c r="QC69" s="3">
        <v>2346</v>
      </c>
      <c r="QD69" s="3">
        <v>2548</v>
      </c>
      <c r="QE69" s="3">
        <v>2502</v>
      </c>
      <c r="QF69" s="3">
        <v>2600</v>
      </c>
      <c r="QG69" s="6">
        <v>2496</v>
      </c>
      <c r="QH69" s="37">
        <v>2392</v>
      </c>
      <c r="QI69" s="17">
        <v>0.95610367892976589</v>
      </c>
      <c r="QJ69" s="17">
        <v>0.24414715719063546</v>
      </c>
      <c r="QK69" s="17">
        <v>0.9544314381270903</v>
      </c>
      <c r="QL69" s="37">
        <v>2287</v>
      </c>
      <c r="QM69" s="37">
        <v>584</v>
      </c>
      <c r="QN69" s="37">
        <v>2283</v>
      </c>
      <c r="QO69" s="37">
        <v>2608</v>
      </c>
      <c r="QP69" s="17">
        <v>0.96280674846625769</v>
      </c>
      <c r="QQ69" s="17">
        <v>0.89570552147239269</v>
      </c>
      <c r="QR69" s="17">
        <v>0.72430981595092025</v>
      </c>
      <c r="QS69" s="17">
        <v>0.89532208588957052</v>
      </c>
      <c r="QT69" s="17">
        <v>0.68021472392638038</v>
      </c>
      <c r="QU69" s="37">
        <v>2511</v>
      </c>
      <c r="QV69" s="37">
        <v>2336</v>
      </c>
      <c r="QW69" s="37">
        <v>1889</v>
      </c>
      <c r="QX69" s="37">
        <v>2335</v>
      </c>
      <c r="QY69" s="37">
        <v>1774</v>
      </c>
      <c r="QZ69" s="3">
        <v>2882</v>
      </c>
      <c r="RA69" s="17">
        <v>0.95523941707147819</v>
      </c>
      <c r="RB69" s="17">
        <v>0.8851492019430951</v>
      </c>
      <c r="RC69" s="17">
        <v>0.95454545454545459</v>
      </c>
      <c r="RD69" s="17">
        <v>0.95385149201943098</v>
      </c>
      <c r="RE69" s="17">
        <v>0.70957668285912556</v>
      </c>
      <c r="RF69" s="17">
        <v>0.91082581540596808</v>
      </c>
      <c r="RG69" s="17">
        <v>0.9295628036086051</v>
      </c>
      <c r="RH69" s="17">
        <v>0.90562109646079114</v>
      </c>
      <c r="RI69" s="17">
        <v>0.71651630811936151</v>
      </c>
      <c r="RJ69" s="17">
        <v>0.67626648160999303</v>
      </c>
      <c r="RK69" s="37">
        <v>2753</v>
      </c>
      <c r="RL69" s="37">
        <v>2551</v>
      </c>
      <c r="RM69" s="37">
        <v>2751</v>
      </c>
      <c r="RN69" s="37">
        <v>2749</v>
      </c>
      <c r="RO69" s="37">
        <v>2045</v>
      </c>
      <c r="RP69" s="37">
        <v>2625</v>
      </c>
      <c r="RQ69" s="37">
        <v>2679</v>
      </c>
      <c r="RR69" s="37">
        <v>2610</v>
      </c>
      <c r="RS69" s="37">
        <v>2065</v>
      </c>
      <c r="RT69" s="38">
        <v>1949</v>
      </c>
    </row>
    <row r="70" spans="1:488" s="4" customFormat="1" ht="14.25" customHeight="1" x14ac:dyDescent="0.25">
      <c r="A70" s="4" t="s">
        <v>132</v>
      </c>
      <c r="B70" s="7">
        <v>3</v>
      </c>
      <c r="C70" s="4" t="s">
        <v>286</v>
      </c>
      <c r="D70" s="4" t="s">
        <v>286</v>
      </c>
      <c r="E70" s="4" t="s">
        <v>286</v>
      </c>
      <c r="F70" s="4" t="s">
        <v>286</v>
      </c>
      <c r="G70" s="4" t="s">
        <v>286</v>
      </c>
      <c r="H70" s="4" t="s">
        <v>286</v>
      </c>
      <c r="I70" s="4" t="s">
        <v>286</v>
      </c>
      <c r="J70" s="4" t="s">
        <v>269</v>
      </c>
      <c r="K70" s="4" t="s">
        <v>286</v>
      </c>
      <c r="L70" s="4" t="s">
        <v>286</v>
      </c>
      <c r="M70" s="4" t="s">
        <v>286</v>
      </c>
      <c r="N70" s="4" t="s">
        <v>286</v>
      </c>
      <c r="O70" s="110" t="s">
        <v>286</v>
      </c>
      <c r="P70" s="110" t="s">
        <v>286</v>
      </c>
      <c r="Q70" s="110" t="s">
        <v>286</v>
      </c>
      <c r="R70" s="110" t="s">
        <v>286</v>
      </c>
      <c r="S70" s="110" t="s">
        <v>286</v>
      </c>
      <c r="T70" s="39">
        <v>99700</v>
      </c>
      <c r="U70" s="40">
        <v>100750</v>
      </c>
      <c r="V70" s="40">
        <v>101600</v>
      </c>
      <c r="W70" s="40">
        <v>102850</v>
      </c>
      <c r="X70" s="40">
        <v>103850</v>
      </c>
      <c r="Y70" s="40">
        <v>105500</v>
      </c>
      <c r="Z70" s="40">
        <v>107050</v>
      </c>
      <c r="AA70" s="40">
        <v>108300</v>
      </c>
      <c r="AB70" s="40">
        <v>108950</v>
      </c>
      <c r="AC70" s="40">
        <v>109885</v>
      </c>
      <c r="AD70" s="40">
        <v>110864</v>
      </c>
      <c r="AE70" s="39">
        <v>6300</v>
      </c>
      <c r="AF70" s="40">
        <v>6350</v>
      </c>
      <c r="AG70" s="40">
        <v>6600</v>
      </c>
      <c r="AH70" s="40">
        <v>6950</v>
      </c>
      <c r="AI70" s="40">
        <v>7200</v>
      </c>
      <c r="AJ70" s="40">
        <v>7750</v>
      </c>
      <c r="AK70" s="40">
        <v>8150</v>
      </c>
      <c r="AL70" s="40">
        <v>8300</v>
      </c>
      <c r="AM70" s="40">
        <v>8350</v>
      </c>
      <c r="AN70" s="40">
        <v>8470</v>
      </c>
      <c r="AO70" s="40">
        <v>8346</v>
      </c>
      <c r="AP70" s="14">
        <v>8071</v>
      </c>
      <c r="AQ70" s="4">
        <v>5020</v>
      </c>
      <c r="AR70" s="4">
        <v>530</v>
      </c>
      <c r="AS70" s="4">
        <v>622</v>
      </c>
      <c r="AT70" s="4">
        <v>1401</v>
      </c>
      <c r="AU70" s="4">
        <v>393</v>
      </c>
      <c r="AV70" s="4">
        <v>105</v>
      </c>
      <c r="AW70" s="4">
        <v>3051</v>
      </c>
      <c r="AX70" s="19">
        <v>0.62197992813777725</v>
      </c>
      <c r="AY70" s="20">
        <v>6.5667203568331056E-2</v>
      </c>
      <c r="AZ70" s="20">
        <v>7.7066038904720607E-2</v>
      </c>
      <c r="BA70" s="20">
        <v>0.17358443811175814</v>
      </c>
      <c r="BB70" s="20">
        <v>4.8692850947837936E-2</v>
      </c>
      <c r="BC70" s="20">
        <v>1.3009540329575022E-2</v>
      </c>
      <c r="BD70" s="20">
        <v>0.37802007186222275</v>
      </c>
      <c r="BE70" s="14">
        <v>17053</v>
      </c>
      <c r="BF70" s="4">
        <v>15550</v>
      </c>
      <c r="BG70" s="4">
        <v>1503</v>
      </c>
      <c r="BH70" s="4">
        <v>1270</v>
      </c>
      <c r="BI70" s="4">
        <v>233</v>
      </c>
      <c r="BJ70" s="20">
        <v>0.84497671324018631</v>
      </c>
      <c r="BK70" s="20">
        <v>0.15502328675981369</v>
      </c>
      <c r="BL70" s="39">
        <v>14546</v>
      </c>
      <c r="BM70" s="20">
        <v>0.49099408772171044</v>
      </c>
      <c r="BN70" s="20">
        <v>0.31527567716210642</v>
      </c>
      <c r="BO70" s="20">
        <v>0.19373023511618315</v>
      </c>
      <c r="BP70" s="39">
        <v>29829</v>
      </c>
      <c r="BQ70" s="40">
        <v>2712</v>
      </c>
      <c r="BR70" s="40">
        <v>2241</v>
      </c>
      <c r="BS70" s="40">
        <v>1333</v>
      </c>
      <c r="BT70" s="40">
        <v>24916</v>
      </c>
      <c r="BU70" s="40">
        <v>14021</v>
      </c>
      <c r="BV70" s="20">
        <v>0.16311247414592397</v>
      </c>
      <c r="BW70" s="39">
        <v>7410</v>
      </c>
      <c r="BX70" s="40">
        <v>6</v>
      </c>
      <c r="BY70" s="40">
        <v>1842</v>
      </c>
      <c r="BZ70" s="40">
        <v>3310</v>
      </c>
      <c r="CA70" s="40">
        <v>1505</v>
      </c>
      <c r="CB70" s="41">
        <v>14073</v>
      </c>
      <c r="CC70" s="40">
        <v>6335</v>
      </c>
      <c r="CD70" s="40">
        <v>4992</v>
      </c>
      <c r="CE70" s="40">
        <v>1317</v>
      </c>
      <c r="CF70" s="40">
        <v>1343</v>
      </c>
      <c r="CG70" s="20">
        <v>0.20789265982636149</v>
      </c>
      <c r="CH70" s="94">
        <v>0.21199684293606946</v>
      </c>
      <c r="CI70" s="40">
        <v>1190</v>
      </c>
      <c r="CJ70" s="40">
        <v>1060</v>
      </c>
      <c r="CK70" s="40">
        <v>940</v>
      </c>
      <c r="CL70" s="40">
        <v>925</v>
      </c>
      <c r="CM70" s="40">
        <v>885</v>
      </c>
      <c r="CN70" s="40">
        <v>810</v>
      </c>
      <c r="CO70" s="39">
        <v>3293</v>
      </c>
      <c r="CP70" s="40">
        <v>1363</v>
      </c>
      <c r="CQ70" s="20">
        <v>0.4139082903127847</v>
      </c>
      <c r="CR70" s="40">
        <v>248</v>
      </c>
      <c r="CS70" s="39">
        <v>1551</v>
      </c>
      <c r="CT70" s="40">
        <v>1666</v>
      </c>
      <c r="CU70" s="40">
        <v>1687</v>
      </c>
      <c r="CV70" s="40">
        <v>1617</v>
      </c>
      <c r="CW70" s="40">
        <v>1621</v>
      </c>
      <c r="CX70" s="529" t="s">
        <v>471</v>
      </c>
      <c r="CY70" s="569">
        <v>1283</v>
      </c>
      <c r="CZ70" s="40">
        <v>70</v>
      </c>
      <c r="DA70" s="40">
        <v>73</v>
      </c>
      <c r="DB70" s="40">
        <v>79</v>
      </c>
      <c r="DC70" s="40">
        <v>67</v>
      </c>
      <c r="DD70" s="40">
        <v>64</v>
      </c>
      <c r="DE70" s="538" t="s">
        <v>471</v>
      </c>
      <c r="DF70" s="719">
        <v>30</v>
      </c>
      <c r="DG70" s="110" t="s">
        <v>286</v>
      </c>
      <c r="DH70" s="14">
        <v>122</v>
      </c>
      <c r="DI70" s="20">
        <v>7.5262183837137564E-2</v>
      </c>
      <c r="DJ70" s="20">
        <v>6.3399657350921304E-2</v>
      </c>
      <c r="DK70" s="20">
        <v>8.9133045132296279E-2</v>
      </c>
      <c r="DL70" s="426" t="s">
        <v>286</v>
      </c>
      <c r="DM70" s="260" t="s">
        <v>286</v>
      </c>
      <c r="DN70" s="260" t="s">
        <v>286</v>
      </c>
      <c r="DO70" s="260" t="s">
        <v>286</v>
      </c>
      <c r="DP70" s="338">
        <v>111</v>
      </c>
      <c r="DQ70" s="20">
        <v>8.6515978176149644E-2</v>
      </c>
      <c r="DR70" s="20">
        <v>7.2341035950241897E-2</v>
      </c>
      <c r="DS70" s="20">
        <v>0.10315957235908553</v>
      </c>
      <c r="DT70" s="14">
        <v>158</v>
      </c>
      <c r="DU70" s="20">
        <v>1.9602977667493797E-2</v>
      </c>
      <c r="DV70" s="370" t="s">
        <v>286</v>
      </c>
      <c r="DW70" s="371" t="s">
        <v>286</v>
      </c>
      <c r="DX70" s="421" t="s">
        <v>286</v>
      </c>
      <c r="DY70" s="421" t="s">
        <v>286</v>
      </c>
      <c r="DZ70" s="421" t="s">
        <v>286</v>
      </c>
      <c r="EA70" s="371" t="s">
        <v>286</v>
      </c>
      <c r="EB70" s="4">
        <v>2084</v>
      </c>
      <c r="EC70" s="20">
        <v>4.8774779413485618E-2</v>
      </c>
      <c r="ED70" s="14">
        <v>1650</v>
      </c>
      <c r="EE70" s="4">
        <v>1650</v>
      </c>
      <c r="EF70" s="4">
        <v>1580</v>
      </c>
      <c r="EG70" s="4">
        <v>1475</v>
      </c>
      <c r="EH70" s="4">
        <v>1395</v>
      </c>
      <c r="EI70" s="4">
        <v>1270</v>
      </c>
      <c r="EJ70" s="14">
        <v>1345</v>
      </c>
      <c r="EK70" s="20">
        <v>0.20014880952380953</v>
      </c>
      <c r="EL70" s="20">
        <v>0.19075500674711679</v>
      </c>
      <c r="EM70" s="20">
        <v>0.20988523370453294</v>
      </c>
      <c r="EN70" s="4">
        <v>1480</v>
      </c>
      <c r="EO70" s="20">
        <v>0.21203438395415472</v>
      </c>
      <c r="EP70" s="20">
        <v>0.20260502362203447</v>
      </c>
      <c r="EQ70" s="20">
        <v>0.22178053499876138</v>
      </c>
      <c r="ER70" s="4">
        <v>1575</v>
      </c>
      <c r="ES70" s="20">
        <v>0.21240728253540123</v>
      </c>
      <c r="ET70" s="20">
        <v>0.20324788013175979</v>
      </c>
      <c r="EU70" s="20">
        <v>0.22186451461700626</v>
      </c>
      <c r="EV70" s="4">
        <v>1605</v>
      </c>
      <c r="EW70" s="20">
        <v>0.20603337612323491</v>
      </c>
      <c r="EX70" s="20">
        <v>0.19719780402123743</v>
      </c>
      <c r="EY70" s="20">
        <v>0.21515873104574462</v>
      </c>
      <c r="EZ70" s="4">
        <v>1475</v>
      </c>
      <c r="FA70" s="20">
        <v>0.1857682619647355</v>
      </c>
      <c r="FB70" s="20">
        <v>0.17736637729794572</v>
      </c>
      <c r="FC70" s="20">
        <v>0.19447405709803575</v>
      </c>
      <c r="FD70" s="338">
        <v>1495</v>
      </c>
      <c r="FE70" s="20">
        <v>0.19315245478036175</v>
      </c>
      <c r="FF70" s="20">
        <v>0.18451078630887058</v>
      </c>
      <c r="FG70" s="20">
        <v>0.20209855670789939</v>
      </c>
      <c r="FH70" s="426" t="s">
        <v>286</v>
      </c>
      <c r="FI70" s="260" t="s">
        <v>286</v>
      </c>
      <c r="FJ70" s="260" t="s">
        <v>286</v>
      </c>
      <c r="FK70" s="260" t="s">
        <v>286</v>
      </c>
      <c r="FL70" s="39">
        <v>3780</v>
      </c>
      <c r="FM70" s="20">
        <v>0.18694362017804153</v>
      </c>
      <c r="FN70" s="40">
        <v>4080</v>
      </c>
      <c r="FO70" s="20">
        <v>0.19507530480516375</v>
      </c>
      <c r="FP70" s="40">
        <v>4160</v>
      </c>
      <c r="FQ70" s="20">
        <v>0.19493908153701969</v>
      </c>
      <c r="FR70" s="40">
        <v>4170</v>
      </c>
      <c r="FS70" s="20">
        <v>0.19002050580997951</v>
      </c>
      <c r="FT70" s="40">
        <v>3895</v>
      </c>
      <c r="FU70" s="20">
        <v>0.17419499105545616</v>
      </c>
      <c r="FV70" s="40">
        <v>3810</v>
      </c>
      <c r="FW70" s="20">
        <v>0.16821192052980133</v>
      </c>
      <c r="FX70" s="64" t="s">
        <v>286</v>
      </c>
      <c r="FY70" s="261" t="s">
        <v>286</v>
      </c>
      <c r="FZ70" s="110" t="s">
        <v>286</v>
      </c>
      <c r="GA70" s="110" t="s">
        <v>286</v>
      </c>
      <c r="GB70" s="110" t="s">
        <v>286</v>
      </c>
      <c r="GC70" s="260" t="s">
        <v>286</v>
      </c>
      <c r="GD70" s="110" t="s">
        <v>286</v>
      </c>
      <c r="GE70" s="110" t="s">
        <v>286</v>
      </c>
      <c r="GF70" s="260" t="s">
        <v>286</v>
      </c>
      <c r="GG70" s="260" t="s">
        <v>286</v>
      </c>
      <c r="GH70" s="260" t="s">
        <v>286</v>
      </c>
      <c r="GI70" s="260" t="s">
        <v>286</v>
      </c>
      <c r="GJ70" s="260" t="s">
        <v>286</v>
      </c>
      <c r="GK70" s="261" t="s">
        <v>286</v>
      </c>
      <c r="GL70" s="426" t="s">
        <v>286</v>
      </c>
      <c r="GM70" s="426" t="s">
        <v>286</v>
      </c>
      <c r="GN70" s="426" t="s">
        <v>286</v>
      </c>
      <c r="GO70" s="426" t="s">
        <v>286</v>
      </c>
      <c r="GP70" s="426" t="s">
        <v>286</v>
      </c>
      <c r="GQ70" s="426" t="s">
        <v>286</v>
      </c>
      <c r="GR70" s="426" t="s">
        <v>286</v>
      </c>
      <c r="GS70" s="426" t="s">
        <v>286</v>
      </c>
      <c r="GT70" s="426" t="s">
        <v>286</v>
      </c>
      <c r="GU70" s="471" t="s">
        <v>286</v>
      </c>
      <c r="GV70" s="64">
        <v>1564</v>
      </c>
      <c r="GW70" s="64">
        <v>176</v>
      </c>
      <c r="GX70" s="64">
        <v>1388</v>
      </c>
      <c r="GY70" s="260">
        <f t="shared" si="2"/>
        <v>0.88746803069053704</v>
      </c>
      <c r="GZ70" s="64">
        <v>474</v>
      </c>
      <c r="HA70" s="64">
        <v>300</v>
      </c>
      <c r="HB70" s="64">
        <v>774</v>
      </c>
      <c r="HC70" s="260">
        <v>0.34149855907780979</v>
      </c>
      <c r="HD70" s="260">
        <v>0.55763688760806918</v>
      </c>
      <c r="HE70" s="260">
        <v>0.31701918092494397</v>
      </c>
      <c r="HF70" s="260">
        <v>0.36685285980819277</v>
      </c>
      <c r="HG70" s="260">
        <v>0.5313846627876323</v>
      </c>
      <c r="HH70" s="261">
        <v>0.58357095876395437</v>
      </c>
      <c r="HI70" s="706" t="s">
        <v>286</v>
      </c>
      <c r="HJ70" s="707" t="s">
        <v>286</v>
      </c>
      <c r="HK70" s="707" t="s">
        <v>286</v>
      </c>
      <c r="HL70" s="708" t="s">
        <v>286</v>
      </c>
      <c r="HM70" s="707" t="s">
        <v>286</v>
      </c>
      <c r="HN70" s="707" t="s">
        <v>286</v>
      </c>
      <c r="HO70" s="707" t="s">
        <v>286</v>
      </c>
      <c r="HP70" s="708" t="s">
        <v>286</v>
      </c>
      <c r="HQ70" s="708" t="s">
        <v>286</v>
      </c>
      <c r="HR70" s="708" t="s">
        <v>286</v>
      </c>
      <c r="HS70" s="708" t="s">
        <v>286</v>
      </c>
      <c r="HT70" s="708" t="s">
        <v>286</v>
      </c>
      <c r="HU70" s="709" t="s">
        <v>286</v>
      </c>
      <c r="HV70" s="110" t="s">
        <v>286</v>
      </c>
      <c r="HW70" s="381" t="s">
        <v>286</v>
      </c>
      <c r="HX70" s="260" t="s">
        <v>286</v>
      </c>
      <c r="HY70" s="260" t="s">
        <v>286</v>
      </c>
      <c r="HZ70" s="260" t="s">
        <v>286</v>
      </c>
      <c r="IA70" s="407" t="s">
        <v>286</v>
      </c>
      <c r="IB70" s="110" t="s">
        <v>286</v>
      </c>
      <c r="IC70" s="381" t="s">
        <v>286</v>
      </c>
      <c r="ID70" s="260" t="s">
        <v>286</v>
      </c>
      <c r="IE70" s="260" t="s">
        <v>286</v>
      </c>
      <c r="IF70" s="260" t="s">
        <v>286</v>
      </c>
      <c r="IG70" s="400" t="s">
        <v>286</v>
      </c>
      <c r="IH70" s="110" t="s">
        <v>286</v>
      </c>
      <c r="II70" s="381" t="s">
        <v>286</v>
      </c>
      <c r="IJ70" s="260" t="s">
        <v>286</v>
      </c>
      <c r="IK70" s="260" t="s">
        <v>286</v>
      </c>
      <c r="IL70" s="260" t="s">
        <v>286</v>
      </c>
      <c r="IM70" s="400" t="s">
        <v>286</v>
      </c>
      <c r="IN70" s="110" t="s">
        <v>286</v>
      </c>
      <c r="IO70" s="381" t="s">
        <v>286</v>
      </c>
      <c r="IP70" s="260" t="s">
        <v>286</v>
      </c>
      <c r="IQ70" s="260" t="s">
        <v>286</v>
      </c>
      <c r="IR70" s="260" t="s">
        <v>286</v>
      </c>
      <c r="IS70" s="400" t="s">
        <v>286</v>
      </c>
      <c r="IT70" s="4">
        <v>867</v>
      </c>
      <c r="IU70" s="4">
        <v>87</v>
      </c>
      <c r="IV70" s="20">
        <v>0.10034602076124567</v>
      </c>
      <c r="IW70" s="20">
        <v>8.2075581533498504E-2</v>
      </c>
      <c r="IX70" s="20">
        <v>0.1221423699883888</v>
      </c>
      <c r="IY70" s="4" t="s">
        <v>772</v>
      </c>
      <c r="IZ70" s="4">
        <v>1522</v>
      </c>
      <c r="JA70" s="4">
        <v>110</v>
      </c>
      <c r="JB70" s="20">
        <v>7.2273324572930356E-2</v>
      </c>
      <c r="JC70" s="20">
        <v>6.0313129175953259E-2</v>
      </c>
      <c r="JD70" s="20">
        <v>8.6387209530073714E-2</v>
      </c>
      <c r="JE70" s="4" t="str">
        <f t="shared" si="5"/>
        <v>Sig better than Eng.</v>
      </c>
      <c r="JF70" s="4">
        <v>1486</v>
      </c>
      <c r="JG70" s="110">
        <v>140</v>
      </c>
      <c r="JH70" s="260">
        <v>9.4212651413189769E-2</v>
      </c>
      <c r="JI70" s="260">
        <v>8.0388518779297188E-2</v>
      </c>
      <c r="JJ70" s="260">
        <v>0.11012937635658729</v>
      </c>
      <c r="JK70" s="663" t="str">
        <f t="shared" si="8"/>
        <v>No Sig diff</v>
      </c>
      <c r="JL70" s="110" t="s">
        <v>286</v>
      </c>
      <c r="JM70" s="381" t="s">
        <v>286</v>
      </c>
      <c r="JN70" s="260" t="s">
        <v>286</v>
      </c>
      <c r="JO70" s="260" t="s">
        <v>286</v>
      </c>
      <c r="JP70" s="260" t="s">
        <v>286</v>
      </c>
      <c r="JQ70" s="110" t="s">
        <v>286</v>
      </c>
      <c r="JR70" s="110" t="s">
        <v>286</v>
      </c>
      <c r="JS70" s="381" t="s">
        <v>286</v>
      </c>
      <c r="JT70" s="260" t="s">
        <v>286</v>
      </c>
      <c r="JU70" s="260" t="s">
        <v>286</v>
      </c>
      <c r="JV70" s="260" t="s">
        <v>286</v>
      </c>
      <c r="JW70" s="110" t="s">
        <v>286</v>
      </c>
      <c r="JX70" s="110" t="s">
        <v>286</v>
      </c>
      <c r="JY70" s="381" t="s">
        <v>286</v>
      </c>
      <c r="JZ70" s="260" t="s">
        <v>286</v>
      </c>
      <c r="KA70" s="260" t="s">
        <v>286</v>
      </c>
      <c r="KB70" s="260" t="s">
        <v>286</v>
      </c>
      <c r="KC70" s="110" t="s">
        <v>286</v>
      </c>
      <c r="KD70" s="110" t="s">
        <v>286</v>
      </c>
      <c r="KE70" s="381" t="s">
        <v>286</v>
      </c>
      <c r="KF70" s="260" t="s">
        <v>286</v>
      </c>
      <c r="KG70" s="260" t="s">
        <v>286</v>
      </c>
      <c r="KH70" s="260" t="s">
        <v>286</v>
      </c>
      <c r="KI70" s="110" t="s">
        <v>286</v>
      </c>
      <c r="KJ70" s="4">
        <v>1158</v>
      </c>
      <c r="KK70" s="4">
        <v>232</v>
      </c>
      <c r="KL70" s="20">
        <v>0.2003454231433506</v>
      </c>
      <c r="KM70" s="20">
        <v>0.17829962779839531</v>
      </c>
      <c r="KN70" s="20">
        <v>0.22437274653361386</v>
      </c>
      <c r="KO70" s="4" t="s">
        <v>772</v>
      </c>
      <c r="KP70" s="4">
        <v>1218</v>
      </c>
      <c r="KQ70" s="4">
        <v>254</v>
      </c>
      <c r="KR70" s="20">
        <v>0.20853858784893267</v>
      </c>
      <c r="KS70" s="20">
        <v>0.18665677725201979</v>
      </c>
      <c r="KT70" s="20">
        <v>0.23225310268830984</v>
      </c>
      <c r="KU70" s="4" t="s">
        <v>772</v>
      </c>
      <c r="KV70" s="4">
        <v>1157</v>
      </c>
      <c r="KW70" s="4">
        <v>252</v>
      </c>
      <c r="KX70" s="20">
        <v>0.21780466724286948</v>
      </c>
      <c r="KY70" s="20">
        <v>0.19497620907529706</v>
      </c>
      <c r="KZ70" s="20">
        <v>0.24250080810206442</v>
      </c>
      <c r="LA70" s="663" t="str">
        <f t="shared" si="4"/>
        <v>No Sig diff</v>
      </c>
      <c r="LB70" s="4">
        <v>1440</v>
      </c>
      <c r="LC70" s="4">
        <v>693</v>
      </c>
      <c r="LD70" s="20">
        <v>0.48125000000000001</v>
      </c>
      <c r="LE70" s="20">
        <v>0.45552756226071045</v>
      </c>
      <c r="LF70" s="20">
        <v>0.50707220957012045</v>
      </c>
      <c r="LG70" s="4">
        <v>1440</v>
      </c>
      <c r="LH70" s="4">
        <v>34</v>
      </c>
      <c r="LI70" s="4">
        <v>288</v>
      </c>
      <c r="LJ70" s="295">
        <v>22.378472222222197</v>
      </c>
      <c r="LK70" s="20">
        <v>0.34180964052287655</v>
      </c>
      <c r="LL70" s="4">
        <v>1518</v>
      </c>
      <c r="LM70" s="4">
        <v>841</v>
      </c>
      <c r="LN70" s="20">
        <v>0.5540184453227931</v>
      </c>
      <c r="LO70" s="20">
        <v>0.52890795807318758</v>
      </c>
      <c r="LP70" s="20">
        <v>0.57885622396393932</v>
      </c>
      <c r="LQ70" s="4">
        <v>1518</v>
      </c>
      <c r="LR70" s="4">
        <v>34</v>
      </c>
      <c r="LS70" s="4">
        <v>303</v>
      </c>
      <c r="LT70" s="295">
        <v>22.61056105610562</v>
      </c>
      <c r="LU70" s="20">
        <v>0.33498349834983471</v>
      </c>
      <c r="LV70" s="40">
        <v>1610</v>
      </c>
      <c r="LW70" s="40">
        <v>984</v>
      </c>
      <c r="LX70" s="20">
        <v>0.61099999999999999</v>
      </c>
      <c r="LY70" s="20">
        <v>0.58712497274917275</v>
      </c>
      <c r="LZ70" s="20">
        <v>0.63470598719010562</v>
      </c>
      <c r="MA70" s="442">
        <v>34</v>
      </c>
      <c r="MB70" s="338">
        <v>322</v>
      </c>
      <c r="MC70" s="295">
        <v>23.4</v>
      </c>
      <c r="MD70" s="20">
        <v>0.31</v>
      </c>
      <c r="ME70" s="338">
        <v>1558</v>
      </c>
      <c r="MF70" s="338">
        <v>1037</v>
      </c>
      <c r="MG70" s="20">
        <v>0.66559691912708596</v>
      </c>
      <c r="MH70" s="20">
        <v>0.6417885260048356</v>
      </c>
      <c r="MI70" s="20">
        <v>0.68859071773070879</v>
      </c>
      <c r="MJ70" s="338">
        <v>34</v>
      </c>
      <c r="MK70" s="338">
        <v>311</v>
      </c>
      <c r="ML70" s="295">
        <v>22.157556270096464</v>
      </c>
      <c r="MM70" s="94">
        <v>0.34830716852657462</v>
      </c>
      <c r="MN70" s="20"/>
      <c r="MO70" s="20"/>
      <c r="MP70" s="20"/>
      <c r="MQ70" s="20"/>
      <c r="MR70" s="20"/>
      <c r="MS70" s="20"/>
      <c r="MT70" s="20"/>
      <c r="MU70" s="20"/>
      <c r="MV70" s="20"/>
      <c r="MW70" s="20"/>
      <c r="MX70" s="20"/>
      <c r="MY70" s="20"/>
      <c r="MZ70" s="20"/>
      <c r="NA70" s="20"/>
      <c r="NB70" s="20"/>
      <c r="NC70" s="94"/>
      <c r="ND70" s="338">
        <v>94</v>
      </c>
      <c r="NE70" s="338">
        <v>782</v>
      </c>
      <c r="NF70" s="20">
        <v>0.12020460358056266</v>
      </c>
      <c r="NG70" s="20">
        <v>9.9248559504410971E-2</v>
      </c>
      <c r="NH70" s="20">
        <v>0.14487378434416764</v>
      </c>
      <c r="NI70" s="338">
        <v>71</v>
      </c>
      <c r="NJ70" s="338">
        <v>781</v>
      </c>
      <c r="NK70" s="20">
        <v>9.0909090909090912E-2</v>
      </c>
      <c r="NL70" s="20">
        <v>7.2699562255173211E-2</v>
      </c>
      <c r="NM70" s="20">
        <v>0.11312326499434044</v>
      </c>
      <c r="NN70" s="338">
        <v>81</v>
      </c>
      <c r="NO70" s="338">
        <v>777</v>
      </c>
      <c r="NP70" s="20">
        <v>0.10424710424710425</v>
      </c>
      <c r="NQ70" s="20">
        <v>8.467233528429223E-2</v>
      </c>
      <c r="NR70" s="20">
        <v>0.12771579670752684</v>
      </c>
      <c r="NS70" s="338">
        <v>172</v>
      </c>
      <c r="NT70" s="338">
        <v>739</v>
      </c>
      <c r="NU70" s="20">
        <v>0.2327469553450609</v>
      </c>
      <c r="NV70" s="20">
        <v>0.20370894597934167</v>
      </c>
      <c r="NW70" s="94">
        <v>0.26454905805413481</v>
      </c>
      <c r="NX70" s="110" t="s">
        <v>286</v>
      </c>
      <c r="NY70" s="110" t="s">
        <v>286</v>
      </c>
      <c r="NZ70" s="110" t="s">
        <v>286</v>
      </c>
      <c r="OA70" s="110" t="s">
        <v>286</v>
      </c>
      <c r="OB70" s="110" t="s">
        <v>286</v>
      </c>
      <c r="OC70" s="110" t="s">
        <v>286</v>
      </c>
      <c r="OD70" s="110" t="s">
        <v>286</v>
      </c>
      <c r="OE70" s="110" t="s">
        <v>286</v>
      </c>
      <c r="OF70" s="110" t="s">
        <v>286</v>
      </c>
      <c r="OG70" s="110" t="s">
        <v>286</v>
      </c>
      <c r="OH70" s="110" t="s">
        <v>286</v>
      </c>
      <c r="OI70" s="110" t="s">
        <v>286</v>
      </c>
      <c r="OJ70" s="110" t="s">
        <v>286</v>
      </c>
      <c r="OK70" s="110" t="s">
        <v>286</v>
      </c>
      <c r="OL70" s="110" t="s">
        <v>286</v>
      </c>
      <c r="OM70" s="110" t="s">
        <v>286</v>
      </c>
      <c r="ON70" s="110" t="s">
        <v>286</v>
      </c>
      <c r="OO70" s="110" t="s">
        <v>286</v>
      </c>
      <c r="OP70" s="110" t="s">
        <v>286</v>
      </c>
      <c r="OQ70" s="110" t="s">
        <v>286</v>
      </c>
      <c r="OR70" s="110" t="s">
        <v>286</v>
      </c>
      <c r="OS70" s="110" t="s">
        <v>286</v>
      </c>
      <c r="OT70" s="116" t="s">
        <v>286</v>
      </c>
      <c r="OU70" s="4">
        <v>1641</v>
      </c>
      <c r="OV70" s="23">
        <v>0.96599999999999997</v>
      </c>
      <c r="OW70" s="23">
        <v>8.9999999999999993E-3</v>
      </c>
      <c r="OX70" s="23">
        <v>0.96499999999999997</v>
      </c>
      <c r="OY70" s="4">
        <v>1586</v>
      </c>
      <c r="OZ70" s="4">
        <v>14</v>
      </c>
      <c r="PA70" s="4">
        <v>1584</v>
      </c>
      <c r="PB70" s="4">
        <v>1588</v>
      </c>
      <c r="PC70" s="23">
        <v>0.97699999999999998</v>
      </c>
      <c r="PD70" s="23">
        <v>0.96</v>
      </c>
      <c r="PE70" s="23">
        <v>0.96199999999999997</v>
      </c>
      <c r="PF70" s="23">
        <v>0.96199999999999997</v>
      </c>
      <c r="PG70" s="23">
        <v>0.96099999999999997</v>
      </c>
      <c r="PH70" s="4">
        <v>1551</v>
      </c>
      <c r="PI70" s="4">
        <v>1525</v>
      </c>
      <c r="PJ70" s="4">
        <v>1528</v>
      </c>
      <c r="PK70" s="4">
        <v>1527</v>
      </c>
      <c r="PL70" s="4">
        <v>1526</v>
      </c>
      <c r="PM70" s="4">
        <v>1727</v>
      </c>
      <c r="PN70" s="23">
        <v>0.96899999999999997</v>
      </c>
      <c r="PO70" s="23">
        <v>0.93500000000000005</v>
      </c>
      <c r="PP70" s="23">
        <v>0.96899999999999997</v>
      </c>
      <c r="PQ70" s="23">
        <v>0.96499999999999997</v>
      </c>
      <c r="PR70" s="23">
        <v>0.95</v>
      </c>
      <c r="PS70" s="23">
        <v>0.86799999999999999</v>
      </c>
      <c r="PT70" s="23">
        <v>0.95299999999999996</v>
      </c>
      <c r="PU70" s="23">
        <v>0.93</v>
      </c>
      <c r="PV70" s="23">
        <v>0.95299999999999996</v>
      </c>
      <c r="PW70" s="23">
        <v>0.93100000000000005</v>
      </c>
      <c r="PX70" s="4">
        <v>1674</v>
      </c>
      <c r="PY70" s="4">
        <v>1615</v>
      </c>
      <c r="PZ70" s="4">
        <v>1673</v>
      </c>
      <c r="QA70" s="4">
        <v>1667</v>
      </c>
      <c r="QB70" s="4">
        <v>1640</v>
      </c>
      <c r="QC70" s="4">
        <v>1499</v>
      </c>
      <c r="QD70" s="4">
        <v>1646</v>
      </c>
      <c r="QE70" s="4">
        <v>1606</v>
      </c>
      <c r="QF70" s="4">
        <v>1646</v>
      </c>
      <c r="QG70" s="7">
        <v>1608</v>
      </c>
      <c r="QH70" s="40">
        <v>1653</v>
      </c>
      <c r="QI70" s="20">
        <v>0.95039322444041141</v>
      </c>
      <c r="QJ70" s="20">
        <v>0.22444041137326073</v>
      </c>
      <c r="QK70" s="20">
        <v>0.94797338173018753</v>
      </c>
      <c r="QL70" s="40">
        <v>1571</v>
      </c>
      <c r="QM70" s="40">
        <v>371</v>
      </c>
      <c r="QN70" s="40">
        <v>1567</v>
      </c>
      <c r="QO70" s="40">
        <v>1669</v>
      </c>
      <c r="QP70" s="20">
        <v>0.96405032953864589</v>
      </c>
      <c r="QQ70" s="20">
        <v>0.94188136608747752</v>
      </c>
      <c r="QR70" s="20">
        <v>0.72079089275014974</v>
      </c>
      <c r="QS70" s="20">
        <v>0.94907130017974839</v>
      </c>
      <c r="QT70" s="20">
        <v>0.72079089275014974</v>
      </c>
      <c r="QU70" s="40">
        <v>1609</v>
      </c>
      <c r="QV70" s="40">
        <v>1572</v>
      </c>
      <c r="QW70" s="40">
        <v>1203</v>
      </c>
      <c r="QX70" s="40">
        <v>1584</v>
      </c>
      <c r="QY70" s="40">
        <v>1203</v>
      </c>
      <c r="QZ70" s="4">
        <v>1770</v>
      </c>
      <c r="RA70" s="20">
        <v>0.96723163841807913</v>
      </c>
      <c r="RB70" s="20">
        <v>0.89661016949152539</v>
      </c>
      <c r="RC70" s="20">
        <v>0.96779661016949148</v>
      </c>
      <c r="RD70" s="20">
        <v>0.96553672316384176</v>
      </c>
      <c r="RE70" s="20">
        <v>0.70338983050847459</v>
      </c>
      <c r="RF70" s="20">
        <v>0.91186440677966096</v>
      </c>
      <c r="RG70" s="20">
        <v>0.94293785310734468</v>
      </c>
      <c r="RH70" s="20">
        <v>0.91355932203389834</v>
      </c>
      <c r="RI70" s="20">
        <v>0.70169491525423733</v>
      </c>
      <c r="RJ70" s="20">
        <v>0.65593220338983049</v>
      </c>
      <c r="RK70" s="40">
        <v>1712</v>
      </c>
      <c r="RL70" s="40">
        <v>1587</v>
      </c>
      <c r="RM70" s="40">
        <v>1713</v>
      </c>
      <c r="RN70" s="40">
        <v>1709</v>
      </c>
      <c r="RO70" s="40">
        <v>1245</v>
      </c>
      <c r="RP70" s="40">
        <v>1614</v>
      </c>
      <c r="RQ70" s="40">
        <v>1669</v>
      </c>
      <c r="RR70" s="40">
        <v>1617</v>
      </c>
      <c r="RS70" s="40">
        <v>1242</v>
      </c>
      <c r="RT70" s="41">
        <v>1161</v>
      </c>
    </row>
    <row r="71" spans="1:488" s="9" customFormat="1" ht="12.75" x14ac:dyDescent="0.2">
      <c r="A71" s="9" t="s">
        <v>105</v>
      </c>
      <c r="B71" s="6">
        <v>1</v>
      </c>
      <c r="C71" s="9" t="s">
        <v>286</v>
      </c>
      <c r="D71" s="9" t="s">
        <v>286</v>
      </c>
      <c r="E71" s="9" t="s">
        <v>286</v>
      </c>
      <c r="F71" s="9" t="s">
        <v>286</v>
      </c>
      <c r="G71" s="9" t="s">
        <v>286</v>
      </c>
      <c r="H71" s="9" t="s">
        <v>286</v>
      </c>
      <c r="I71" s="9" t="s">
        <v>286</v>
      </c>
      <c r="J71" s="9" t="s">
        <v>268</v>
      </c>
      <c r="K71" s="9" t="s">
        <v>286</v>
      </c>
      <c r="L71" s="9" t="s">
        <v>274</v>
      </c>
      <c r="M71" s="9" t="s">
        <v>286</v>
      </c>
      <c r="N71" s="9" t="s">
        <v>286</v>
      </c>
      <c r="O71" s="109" t="s">
        <v>286</v>
      </c>
      <c r="P71" s="109" t="s">
        <v>286</v>
      </c>
      <c r="Q71" s="109" t="s">
        <v>286</v>
      </c>
      <c r="R71" s="109" t="s">
        <v>286</v>
      </c>
      <c r="S71" s="109" t="s">
        <v>286</v>
      </c>
      <c r="T71" s="36">
        <v>183400</v>
      </c>
      <c r="U71" s="42">
        <v>184450</v>
      </c>
      <c r="V71" s="42">
        <v>185750</v>
      </c>
      <c r="W71" s="42">
        <v>187300</v>
      </c>
      <c r="X71" s="42">
        <v>188050</v>
      </c>
      <c r="Y71" s="42">
        <v>189050</v>
      </c>
      <c r="Z71" s="42">
        <v>189700</v>
      </c>
      <c r="AA71" s="42">
        <v>191200</v>
      </c>
      <c r="AB71" s="42">
        <v>192950</v>
      </c>
      <c r="AC71" s="42">
        <v>194215</v>
      </c>
      <c r="AD71" s="42">
        <v>196767</v>
      </c>
      <c r="AE71" s="36">
        <v>8350</v>
      </c>
      <c r="AF71" s="42">
        <v>8450</v>
      </c>
      <c r="AG71" s="42">
        <v>8700</v>
      </c>
      <c r="AH71" s="42">
        <v>8950</v>
      </c>
      <c r="AI71" s="42">
        <v>9250</v>
      </c>
      <c r="AJ71" s="42">
        <v>9350</v>
      </c>
      <c r="AK71" s="42">
        <v>9450</v>
      </c>
      <c r="AL71" s="42">
        <v>9800</v>
      </c>
      <c r="AM71" s="42">
        <v>9950</v>
      </c>
      <c r="AN71" s="42">
        <v>9887</v>
      </c>
      <c r="AO71" s="42">
        <v>10083</v>
      </c>
      <c r="AP71" s="13">
        <v>9388</v>
      </c>
      <c r="AQ71" s="9">
        <v>8318</v>
      </c>
      <c r="AR71" s="9">
        <v>512</v>
      </c>
      <c r="AS71" s="9">
        <v>263</v>
      </c>
      <c r="AT71" s="9">
        <v>208</v>
      </c>
      <c r="AU71" s="9">
        <v>58</v>
      </c>
      <c r="AV71" s="9">
        <v>29</v>
      </c>
      <c r="AW71" s="9">
        <v>1070</v>
      </c>
      <c r="AX71" s="16">
        <v>0.88600000000000001</v>
      </c>
      <c r="AY71" s="18">
        <v>5.5E-2</v>
      </c>
      <c r="AZ71" s="18">
        <v>2.8000000000000001E-2</v>
      </c>
      <c r="BA71" s="18">
        <v>2.1999999999999999E-2</v>
      </c>
      <c r="BB71" s="18">
        <v>6.0000000000000001E-3</v>
      </c>
      <c r="BC71" s="18">
        <v>3.0000000000000001E-3</v>
      </c>
      <c r="BD71" s="18">
        <v>0.114</v>
      </c>
      <c r="BE71" s="36">
        <v>24396</v>
      </c>
      <c r="BF71" s="42">
        <v>23778</v>
      </c>
      <c r="BG71" s="42">
        <v>618</v>
      </c>
      <c r="BH71" s="42">
        <v>498</v>
      </c>
      <c r="BI71" s="42">
        <v>120</v>
      </c>
      <c r="BJ71" s="18">
        <v>0.80600000000000005</v>
      </c>
      <c r="BK71" s="18">
        <v>0.19400000000000001</v>
      </c>
      <c r="BL71" s="36">
        <v>18292</v>
      </c>
      <c r="BM71" s="18">
        <v>0.58199999999999996</v>
      </c>
      <c r="BN71" s="18">
        <v>0.16900000000000001</v>
      </c>
      <c r="BO71" s="18">
        <v>0.249</v>
      </c>
      <c r="BP71" s="341" t="s">
        <v>286</v>
      </c>
      <c r="BQ71" s="114" t="s">
        <v>286</v>
      </c>
      <c r="BR71" s="114" t="s">
        <v>286</v>
      </c>
      <c r="BS71" s="114" t="s">
        <v>286</v>
      </c>
      <c r="BT71" s="114" t="s">
        <v>286</v>
      </c>
      <c r="BU71" s="114" t="s">
        <v>286</v>
      </c>
      <c r="BV71" s="109" t="s">
        <v>286</v>
      </c>
      <c r="BW71" s="341">
        <v>11316</v>
      </c>
      <c r="BX71" s="114">
        <v>10</v>
      </c>
      <c r="BY71" s="114">
        <v>2623</v>
      </c>
      <c r="BZ71" s="114">
        <v>4060</v>
      </c>
      <c r="CA71" s="114">
        <v>1520</v>
      </c>
      <c r="CB71" s="108">
        <v>19529</v>
      </c>
      <c r="CC71" s="42">
        <v>7346</v>
      </c>
      <c r="CD71" s="42">
        <v>6119</v>
      </c>
      <c r="CE71" s="42">
        <v>1207</v>
      </c>
      <c r="CF71" s="42">
        <v>1227</v>
      </c>
      <c r="CG71" s="18">
        <v>0.16430710590797712</v>
      </c>
      <c r="CH71" s="93">
        <v>0.16702967601415736</v>
      </c>
      <c r="CI71" s="42">
        <v>1190</v>
      </c>
      <c r="CJ71" s="42">
        <v>1110</v>
      </c>
      <c r="CK71" s="42">
        <v>970</v>
      </c>
      <c r="CL71" s="42">
        <v>980</v>
      </c>
      <c r="CM71" s="42">
        <v>925</v>
      </c>
      <c r="CN71" s="42">
        <v>825</v>
      </c>
      <c r="CO71" s="36">
        <v>4045</v>
      </c>
      <c r="CP71" s="42">
        <v>1341</v>
      </c>
      <c r="CQ71" s="18">
        <v>0.3315203955500618</v>
      </c>
      <c r="CR71" s="38">
        <v>359</v>
      </c>
      <c r="CS71" s="109" t="s">
        <v>286</v>
      </c>
      <c r="CT71" s="109" t="s">
        <v>286</v>
      </c>
      <c r="CU71" s="109" t="s">
        <v>286</v>
      </c>
      <c r="CV71" s="109" t="s">
        <v>286</v>
      </c>
      <c r="CW71" s="109" t="s">
        <v>286</v>
      </c>
      <c r="CX71" s="109" t="s">
        <v>286</v>
      </c>
      <c r="CY71" s="568">
        <v>1744</v>
      </c>
      <c r="CZ71" s="114" t="s">
        <v>286</v>
      </c>
      <c r="DA71" s="114" t="s">
        <v>286</v>
      </c>
      <c r="DB71" s="114" t="s">
        <v>286</v>
      </c>
      <c r="DC71" s="114" t="s">
        <v>286</v>
      </c>
      <c r="DD71" s="114" t="s">
        <v>286</v>
      </c>
      <c r="DE71" s="109" t="s">
        <v>286</v>
      </c>
      <c r="DF71" s="109">
        <v>44</v>
      </c>
      <c r="DG71" s="289" t="s">
        <v>286</v>
      </c>
      <c r="DH71" s="289" t="s">
        <v>286</v>
      </c>
      <c r="DI71" s="109" t="s">
        <v>286</v>
      </c>
      <c r="DJ71" s="109" t="s">
        <v>286</v>
      </c>
      <c r="DK71" s="109" t="s">
        <v>286</v>
      </c>
      <c r="DL71" s="109" t="s">
        <v>286</v>
      </c>
      <c r="DM71" s="109" t="s">
        <v>286</v>
      </c>
      <c r="DN71" s="109" t="s">
        <v>286</v>
      </c>
      <c r="DO71" s="109" t="s">
        <v>286</v>
      </c>
      <c r="DP71" s="380">
        <v>94</v>
      </c>
      <c r="DQ71" s="258">
        <v>5.3899082568807342E-2</v>
      </c>
      <c r="DR71" s="258">
        <v>4.4247632641741211E-2</v>
      </c>
      <c r="DS71" s="258">
        <v>6.5511440672684954E-2</v>
      </c>
      <c r="DT71" s="13">
        <v>175</v>
      </c>
      <c r="DU71" s="18">
        <v>1.8660695244188525E-2</v>
      </c>
      <c r="DV71" s="368" t="s">
        <v>286</v>
      </c>
      <c r="DW71" s="369" t="s">
        <v>286</v>
      </c>
      <c r="DX71" s="420" t="s">
        <v>286</v>
      </c>
      <c r="DY71" s="420" t="s">
        <v>286</v>
      </c>
      <c r="DZ71" s="420" t="s">
        <v>286</v>
      </c>
      <c r="EA71" s="369" t="s">
        <v>286</v>
      </c>
      <c r="EB71" s="9">
        <v>3092</v>
      </c>
      <c r="EC71" s="18">
        <v>3.7113055585562875E-2</v>
      </c>
      <c r="ED71" s="289">
        <v>1485</v>
      </c>
      <c r="EE71" s="109">
        <v>1480</v>
      </c>
      <c r="EF71" s="109">
        <v>1620</v>
      </c>
      <c r="EG71" s="109">
        <v>1535</v>
      </c>
      <c r="EH71" s="109">
        <v>1445</v>
      </c>
      <c r="EI71" s="109">
        <v>1265</v>
      </c>
      <c r="EJ71" s="289" t="s">
        <v>286</v>
      </c>
      <c r="EK71" s="109" t="s">
        <v>286</v>
      </c>
      <c r="EL71" s="109" t="s">
        <v>286</v>
      </c>
      <c r="EM71" s="109" t="s">
        <v>286</v>
      </c>
      <c r="EN71" s="109" t="s">
        <v>286</v>
      </c>
      <c r="EO71" s="109" t="s">
        <v>286</v>
      </c>
      <c r="EP71" s="109" t="s">
        <v>286</v>
      </c>
      <c r="EQ71" s="109" t="s">
        <v>286</v>
      </c>
      <c r="ER71" s="109" t="s">
        <v>286</v>
      </c>
      <c r="ES71" s="109" t="s">
        <v>286</v>
      </c>
      <c r="ET71" s="109" t="s">
        <v>286</v>
      </c>
      <c r="EU71" s="109" t="s">
        <v>286</v>
      </c>
      <c r="EV71" s="109" t="s">
        <v>286</v>
      </c>
      <c r="EW71" s="109" t="s">
        <v>286</v>
      </c>
      <c r="EX71" s="109" t="s">
        <v>286</v>
      </c>
      <c r="EY71" s="109" t="s">
        <v>286</v>
      </c>
      <c r="EZ71" s="109" t="s">
        <v>286</v>
      </c>
      <c r="FA71" s="109" t="s">
        <v>286</v>
      </c>
      <c r="FB71" s="109" t="s">
        <v>286</v>
      </c>
      <c r="FC71" s="109" t="s">
        <v>286</v>
      </c>
      <c r="FD71" s="109" t="s">
        <v>286</v>
      </c>
      <c r="FE71" s="109" t="s">
        <v>286</v>
      </c>
      <c r="FF71" s="109" t="s">
        <v>286</v>
      </c>
      <c r="FG71" s="109" t="s">
        <v>286</v>
      </c>
      <c r="FH71" s="380" t="s">
        <v>286</v>
      </c>
      <c r="FI71" s="109" t="s">
        <v>286</v>
      </c>
      <c r="FJ71" s="109" t="s">
        <v>286</v>
      </c>
      <c r="FK71" s="109" t="s">
        <v>286</v>
      </c>
      <c r="FL71" s="341" t="s">
        <v>286</v>
      </c>
      <c r="FM71" s="258" t="s">
        <v>286</v>
      </c>
      <c r="FN71" s="114" t="s">
        <v>286</v>
      </c>
      <c r="FO71" s="258" t="s">
        <v>286</v>
      </c>
      <c r="FP71" s="114" t="s">
        <v>286</v>
      </c>
      <c r="FQ71" s="258" t="s">
        <v>286</v>
      </c>
      <c r="FR71" s="114" t="s">
        <v>286</v>
      </c>
      <c r="FS71" s="258" t="s">
        <v>286</v>
      </c>
      <c r="FT71" s="114" t="s">
        <v>286</v>
      </c>
      <c r="FU71" s="258" t="s">
        <v>286</v>
      </c>
      <c r="FV71" s="114" t="s">
        <v>286</v>
      </c>
      <c r="FW71" s="258" t="s">
        <v>286</v>
      </c>
      <c r="FX71" s="114" t="s">
        <v>286</v>
      </c>
      <c r="FY71" s="259" t="s">
        <v>286</v>
      </c>
      <c r="FZ71" s="109" t="s">
        <v>286</v>
      </c>
      <c r="GA71" s="109" t="s">
        <v>286</v>
      </c>
      <c r="GB71" s="109" t="s">
        <v>286</v>
      </c>
      <c r="GC71" s="258" t="s">
        <v>286</v>
      </c>
      <c r="GD71" s="109" t="s">
        <v>286</v>
      </c>
      <c r="GE71" s="109" t="s">
        <v>286</v>
      </c>
      <c r="GF71" s="258" t="s">
        <v>286</v>
      </c>
      <c r="GG71" s="258" t="s">
        <v>286</v>
      </c>
      <c r="GH71" s="258" t="s">
        <v>286</v>
      </c>
      <c r="GI71" s="258" t="s">
        <v>286</v>
      </c>
      <c r="GJ71" s="258" t="s">
        <v>286</v>
      </c>
      <c r="GK71" s="259" t="s">
        <v>286</v>
      </c>
      <c r="GL71" s="420" t="s">
        <v>286</v>
      </c>
      <c r="GM71" s="258" t="s">
        <v>286</v>
      </c>
      <c r="GN71" s="258" t="s">
        <v>286</v>
      </c>
      <c r="GO71" s="258" t="s">
        <v>286</v>
      </c>
      <c r="GP71" s="258" t="s">
        <v>286</v>
      </c>
      <c r="GQ71" s="258" t="s">
        <v>286</v>
      </c>
      <c r="GR71" s="420" t="s">
        <v>286</v>
      </c>
      <c r="GS71" s="258" t="s">
        <v>286</v>
      </c>
      <c r="GT71" s="258" t="s">
        <v>286</v>
      </c>
      <c r="GU71" s="259" t="s">
        <v>286</v>
      </c>
      <c r="GV71" s="114">
        <v>1802</v>
      </c>
      <c r="GW71" s="114">
        <v>356</v>
      </c>
      <c r="GX71" s="114">
        <v>1446</v>
      </c>
      <c r="GY71" s="258">
        <f t="shared" ref="GY71:GY76" si="9">GX71/GV71</f>
        <v>0.802441731409545</v>
      </c>
      <c r="GZ71" s="114">
        <v>575</v>
      </c>
      <c r="HA71" s="114">
        <v>198</v>
      </c>
      <c r="HB71" s="114">
        <v>773</v>
      </c>
      <c r="HC71" s="258">
        <v>0.39764868603042874</v>
      </c>
      <c r="HD71" s="258">
        <v>0.53457814661134162</v>
      </c>
      <c r="HE71" s="258">
        <v>0.3727264197752434</v>
      </c>
      <c r="HF71" s="258">
        <v>0.42311332656449269</v>
      </c>
      <c r="HG71" s="258">
        <v>0.50881098942527181</v>
      </c>
      <c r="HH71" s="259">
        <v>0.56016206924373635</v>
      </c>
      <c r="HI71" s="702" t="s">
        <v>286</v>
      </c>
      <c r="HJ71" s="703" t="s">
        <v>286</v>
      </c>
      <c r="HK71" s="703" t="s">
        <v>286</v>
      </c>
      <c r="HL71" s="704" t="s">
        <v>286</v>
      </c>
      <c r="HM71" s="703" t="s">
        <v>286</v>
      </c>
      <c r="HN71" s="703" t="s">
        <v>286</v>
      </c>
      <c r="HO71" s="703" t="s">
        <v>286</v>
      </c>
      <c r="HP71" s="704" t="s">
        <v>286</v>
      </c>
      <c r="HQ71" s="704" t="s">
        <v>286</v>
      </c>
      <c r="HR71" s="704" t="s">
        <v>286</v>
      </c>
      <c r="HS71" s="704" t="s">
        <v>286</v>
      </c>
      <c r="HT71" s="704" t="s">
        <v>286</v>
      </c>
      <c r="HU71" s="705" t="s">
        <v>286</v>
      </c>
      <c r="HV71" s="109" t="s">
        <v>286</v>
      </c>
      <c r="HW71" s="380" t="s">
        <v>286</v>
      </c>
      <c r="HX71" s="258" t="s">
        <v>286</v>
      </c>
      <c r="HY71" s="258" t="s">
        <v>286</v>
      </c>
      <c r="HZ71" s="258" t="s">
        <v>286</v>
      </c>
      <c r="IA71" s="408" t="s">
        <v>286</v>
      </c>
      <c r="IB71" s="109" t="s">
        <v>286</v>
      </c>
      <c r="IC71" s="380" t="s">
        <v>286</v>
      </c>
      <c r="ID71" s="258" t="s">
        <v>286</v>
      </c>
      <c r="IE71" s="258" t="s">
        <v>286</v>
      </c>
      <c r="IF71" s="258" t="s">
        <v>286</v>
      </c>
      <c r="IG71" s="401" t="s">
        <v>286</v>
      </c>
      <c r="IH71" s="109" t="s">
        <v>286</v>
      </c>
      <c r="II71" s="380" t="s">
        <v>286</v>
      </c>
      <c r="IJ71" s="258" t="s">
        <v>286</v>
      </c>
      <c r="IK71" s="258" t="s">
        <v>286</v>
      </c>
      <c r="IL71" s="258" t="s">
        <v>286</v>
      </c>
      <c r="IM71" s="401" t="s">
        <v>286</v>
      </c>
      <c r="IN71" s="109" t="s">
        <v>286</v>
      </c>
      <c r="IO71" s="380" t="s">
        <v>286</v>
      </c>
      <c r="IP71" s="258" t="s">
        <v>286</v>
      </c>
      <c r="IQ71" s="258" t="s">
        <v>286</v>
      </c>
      <c r="IR71" s="258" t="s">
        <v>286</v>
      </c>
      <c r="IS71" s="401" t="s">
        <v>286</v>
      </c>
      <c r="IT71" s="109" t="s">
        <v>286</v>
      </c>
      <c r="IU71" s="109" t="s">
        <v>286</v>
      </c>
      <c r="IV71" s="258" t="s">
        <v>286</v>
      </c>
      <c r="IW71" s="258" t="s">
        <v>286</v>
      </c>
      <c r="IX71" s="258" t="s">
        <v>286</v>
      </c>
      <c r="IY71" s="401" t="s">
        <v>286</v>
      </c>
      <c r="IZ71" s="109">
        <v>1558</v>
      </c>
      <c r="JA71" s="109">
        <v>125</v>
      </c>
      <c r="JB71" s="258">
        <v>8.0231065468549426E-2</v>
      </c>
      <c r="JC71" s="258">
        <v>6.7751759321581062E-2</v>
      </c>
      <c r="JD71" s="258">
        <v>9.477527399994648E-2</v>
      </c>
      <c r="JE71" s="401" t="str">
        <f t="shared" ref="JE71:JE77" si="10">IF(JC71&gt;$JD$78, "Sig worse than Eng.", IF(JD71&lt;$JC$78,"Sig better than Eng.", "No Sig diff"))</f>
        <v>No Sig diff</v>
      </c>
      <c r="JF71" s="9">
        <v>1614</v>
      </c>
      <c r="JG71" s="109">
        <v>128</v>
      </c>
      <c r="JH71" s="258">
        <v>7.9306071871127634E-2</v>
      </c>
      <c r="JI71" s="258">
        <v>6.7100020484530995E-2</v>
      </c>
      <c r="JJ71" s="258">
        <v>9.3509943739097212E-2</v>
      </c>
      <c r="JK71" s="662" t="str">
        <f t="shared" ref="JK71" si="11">IF(JI71&gt;$JD$78, "Sig worse than Eng.", IF(JJ71&lt;$JC$78,"Sig better than Eng.", "No Sig diff"))</f>
        <v>No Sig diff</v>
      </c>
      <c r="JL71" s="109" t="s">
        <v>286</v>
      </c>
      <c r="JM71" s="380" t="s">
        <v>286</v>
      </c>
      <c r="JN71" s="258" t="s">
        <v>286</v>
      </c>
      <c r="JO71" s="258" t="s">
        <v>286</v>
      </c>
      <c r="JP71" s="258" t="s">
        <v>286</v>
      </c>
      <c r="JQ71" s="109" t="s">
        <v>286</v>
      </c>
      <c r="JR71" s="109" t="s">
        <v>286</v>
      </c>
      <c r="JS71" s="380" t="s">
        <v>286</v>
      </c>
      <c r="JT71" s="258" t="s">
        <v>286</v>
      </c>
      <c r="JU71" s="258" t="s">
        <v>286</v>
      </c>
      <c r="JV71" s="258" t="s">
        <v>286</v>
      </c>
      <c r="JW71" s="109" t="s">
        <v>286</v>
      </c>
      <c r="JX71" s="109" t="s">
        <v>286</v>
      </c>
      <c r="JY71" s="380" t="s">
        <v>286</v>
      </c>
      <c r="JZ71" s="258" t="s">
        <v>286</v>
      </c>
      <c r="KA71" s="258" t="s">
        <v>286</v>
      </c>
      <c r="KB71" s="258" t="s">
        <v>286</v>
      </c>
      <c r="KC71" s="109" t="s">
        <v>286</v>
      </c>
      <c r="KD71" s="109" t="s">
        <v>286</v>
      </c>
      <c r="KE71" s="380" t="s">
        <v>286</v>
      </c>
      <c r="KF71" s="258" t="s">
        <v>286</v>
      </c>
      <c r="KG71" s="258" t="s">
        <v>286</v>
      </c>
      <c r="KH71" s="258" t="s">
        <v>286</v>
      </c>
      <c r="KI71" s="109" t="s">
        <v>286</v>
      </c>
      <c r="KJ71" s="109" t="s">
        <v>286</v>
      </c>
      <c r="KK71" s="109" t="s">
        <v>286</v>
      </c>
      <c r="KL71" s="109" t="s">
        <v>286</v>
      </c>
      <c r="KM71" s="109" t="s">
        <v>286</v>
      </c>
      <c r="KN71" s="109" t="s">
        <v>286</v>
      </c>
      <c r="KO71" s="401" t="s">
        <v>286</v>
      </c>
      <c r="KP71" s="109">
        <v>1481</v>
      </c>
      <c r="KQ71" s="109">
        <v>249</v>
      </c>
      <c r="KR71" s="258">
        <v>0.16812964213369344</v>
      </c>
      <c r="KS71" s="258">
        <v>0.14994678213938784</v>
      </c>
      <c r="KT71" s="258">
        <v>0.18802967712466842</v>
      </c>
      <c r="KU71" s="109" t="s">
        <v>708</v>
      </c>
      <c r="KV71" s="109">
        <v>1460</v>
      </c>
      <c r="KW71" s="109">
        <v>262</v>
      </c>
      <c r="KX71" s="258">
        <v>0.17945205479452056</v>
      </c>
      <c r="KY71" s="258">
        <v>0.16061780265312073</v>
      </c>
      <c r="KZ71" s="258">
        <v>0.19996869094567099</v>
      </c>
      <c r="LA71" s="664" t="str">
        <f t="shared" ref="LA71:LA77" si="12">IF(KY71&gt;$KZ$78, "Sig worse than Eng.", IF(KZ71&lt;$KY$78,"Sig better than Eng.", "No Sig diff"))</f>
        <v>No Sig diff</v>
      </c>
      <c r="LB71" s="9">
        <v>1955</v>
      </c>
      <c r="LC71" s="9">
        <v>929</v>
      </c>
      <c r="LD71" s="18">
        <v>0.4751918158567775</v>
      </c>
      <c r="LE71" s="18">
        <v>0.45312560281556069</v>
      </c>
      <c r="LF71" s="18">
        <v>0.49735533092044565</v>
      </c>
      <c r="LG71" s="9">
        <v>1955</v>
      </c>
      <c r="LH71" s="9">
        <v>33</v>
      </c>
      <c r="LI71" s="9">
        <v>391</v>
      </c>
      <c r="LJ71" s="294">
        <v>22.069053708439903</v>
      </c>
      <c r="LK71" s="18">
        <v>0.33124079671394235</v>
      </c>
      <c r="LL71" s="9">
        <v>1961</v>
      </c>
      <c r="LM71" s="9">
        <v>1078</v>
      </c>
      <c r="LN71" s="18">
        <v>0.5497195308516063</v>
      </c>
      <c r="LO71" s="18">
        <v>0.52762343707184223</v>
      </c>
      <c r="LP71" s="18">
        <v>0.57162121145926115</v>
      </c>
      <c r="LQ71" s="9">
        <v>1961</v>
      </c>
      <c r="LR71" s="9">
        <v>34</v>
      </c>
      <c r="LS71" s="9">
        <v>392</v>
      </c>
      <c r="LT71" s="294">
        <v>22.890306122448965</v>
      </c>
      <c r="LU71" s="18">
        <v>0.32675570228091277</v>
      </c>
      <c r="LV71" s="42">
        <v>1738</v>
      </c>
      <c r="LW71" s="42">
        <v>1029</v>
      </c>
      <c r="LX71" s="393">
        <v>0.59199999999999997</v>
      </c>
      <c r="LY71" s="393">
        <v>0.5687748123504528</v>
      </c>
      <c r="LZ71" s="393">
        <v>0.61493880772645981</v>
      </c>
      <c r="MA71" s="337">
        <v>34</v>
      </c>
      <c r="MB71" s="337">
        <v>347</v>
      </c>
      <c r="MC71" s="294">
        <v>23.6</v>
      </c>
      <c r="MD71" s="393">
        <v>0.30499999999999999</v>
      </c>
      <c r="ME71" s="337">
        <v>2018</v>
      </c>
      <c r="MF71" s="337">
        <v>1355</v>
      </c>
      <c r="MG71" s="393">
        <v>0.67145688800792869</v>
      </c>
      <c r="MH71" s="393">
        <v>0.65065561156550544</v>
      </c>
      <c r="MI71" s="393">
        <v>0.69160663505180953</v>
      </c>
      <c r="MJ71" s="337">
        <v>34</v>
      </c>
      <c r="MK71" s="337">
        <v>403</v>
      </c>
      <c r="ML71" s="294">
        <v>23.066997518610421</v>
      </c>
      <c r="MM71" s="93">
        <v>0.32155889651145819</v>
      </c>
      <c r="MN71" s="258" t="s">
        <v>286</v>
      </c>
      <c r="MO71" s="258" t="s">
        <v>286</v>
      </c>
      <c r="MP71" s="258" t="s">
        <v>286</v>
      </c>
      <c r="MQ71" s="258" t="s">
        <v>286</v>
      </c>
      <c r="MR71" s="258" t="s">
        <v>286</v>
      </c>
      <c r="MS71" s="258" t="s">
        <v>286</v>
      </c>
      <c r="MT71" s="258" t="s">
        <v>286</v>
      </c>
      <c r="MU71" s="258" t="s">
        <v>286</v>
      </c>
      <c r="MV71" s="258" t="s">
        <v>286</v>
      </c>
      <c r="MW71" s="258" t="s">
        <v>286</v>
      </c>
      <c r="MX71" s="258" t="s">
        <v>286</v>
      </c>
      <c r="MY71" s="258" t="s">
        <v>286</v>
      </c>
      <c r="MZ71" s="258" t="s">
        <v>286</v>
      </c>
      <c r="NA71" s="258" t="s">
        <v>286</v>
      </c>
      <c r="NB71" s="258" t="s">
        <v>286</v>
      </c>
      <c r="NC71" s="259" t="s">
        <v>286</v>
      </c>
      <c r="ND71" s="425">
        <v>113</v>
      </c>
      <c r="NE71" s="425">
        <v>878</v>
      </c>
      <c r="NF71" s="258">
        <v>0.12870159453302962</v>
      </c>
      <c r="NG71" s="258">
        <v>0.10815810117410501</v>
      </c>
      <c r="NH71" s="258">
        <v>0.15247997216854112</v>
      </c>
      <c r="NI71" s="425">
        <v>84</v>
      </c>
      <c r="NJ71" s="425">
        <v>878</v>
      </c>
      <c r="NK71" s="258">
        <v>9.5671981776765377E-2</v>
      </c>
      <c r="NL71" s="258">
        <v>7.7939876172723063E-2</v>
      </c>
      <c r="NM71" s="258">
        <v>0.11692673743660016</v>
      </c>
      <c r="NN71" s="425">
        <v>101</v>
      </c>
      <c r="NO71" s="425">
        <v>871</v>
      </c>
      <c r="NP71" s="258">
        <v>0.11595866819747416</v>
      </c>
      <c r="NQ71" s="258">
        <v>9.6361713766940846E-2</v>
      </c>
      <c r="NR71" s="258">
        <v>0.13892829992099412</v>
      </c>
      <c r="NS71" s="425">
        <v>189</v>
      </c>
      <c r="NT71" s="425">
        <v>861</v>
      </c>
      <c r="NU71" s="258">
        <v>0.21951219512195122</v>
      </c>
      <c r="NV71" s="258">
        <v>0.19314372649163489</v>
      </c>
      <c r="NW71" s="259">
        <v>0.24837240912630451</v>
      </c>
      <c r="NX71" s="109" t="s">
        <v>286</v>
      </c>
      <c r="NY71" s="109" t="s">
        <v>286</v>
      </c>
      <c r="NZ71" s="109" t="s">
        <v>286</v>
      </c>
      <c r="OA71" s="109" t="s">
        <v>286</v>
      </c>
      <c r="OB71" s="109" t="s">
        <v>286</v>
      </c>
      <c r="OC71" s="109" t="s">
        <v>286</v>
      </c>
      <c r="OD71" s="109" t="s">
        <v>286</v>
      </c>
      <c r="OE71" s="109" t="s">
        <v>286</v>
      </c>
      <c r="OF71" s="109" t="s">
        <v>286</v>
      </c>
      <c r="OG71" s="109" t="s">
        <v>286</v>
      </c>
      <c r="OH71" s="109" t="s">
        <v>286</v>
      </c>
      <c r="OI71" s="109" t="s">
        <v>286</v>
      </c>
      <c r="OJ71" s="109" t="s">
        <v>286</v>
      </c>
      <c r="OK71" s="109" t="s">
        <v>286</v>
      </c>
      <c r="OL71" s="109" t="s">
        <v>286</v>
      </c>
      <c r="OM71" s="109" t="s">
        <v>286</v>
      </c>
      <c r="ON71" s="109" t="s">
        <v>286</v>
      </c>
      <c r="OO71" s="109" t="s">
        <v>286</v>
      </c>
      <c r="OP71" s="109" t="s">
        <v>286</v>
      </c>
      <c r="OQ71" s="109" t="s">
        <v>286</v>
      </c>
      <c r="OR71" s="109" t="s">
        <v>286</v>
      </c>
      <c r="OS71" s="109" t="s">
        <v>286</v>
      </c>
      <c r="OT71" s="115" t="s">
        <v>286</v>
      </c>
      <c r="OU71" s="109" t="s">
        <v>286</v>
      </c>
      <c r="OV71" s="109" t="s">
        <v>286</v>
      </c>
      <c r="OW71" s="109" t="s">
        <v>286</v>
      </c>
      <c r="OX71" s="109" t="s">
        <v>286</v>
      </c>
      <c r="OY71" s="109" t="s">
        <v>286</v>
      </c>
      <c r="OZ71" s="109" t="s">
        <v>286</v>
      </c>
      <c r="PA71" s="109" t="s">
        <v>286</v>
      </c>
      <c r="PB71" s="109" t="s">
        <v>286</v>
      </c>
      <c r="PC71" s="109" t="s">
        <v>286</v>
      </c>
      <c r="PD71" s="109" t="s">
        <v>286</v>
      </c>
      <c r="PE71" s="109" t="s">
        <v>286</v>
      </c>
      <c r="PF71" s="109" t="s">
        <v>286</v>
      </c>
      <c r="PG71" s="109" t="s">
        <v>286</v>
      </c>
      <c r="PH71" s="109" t="s">
        <v>286</v>
      </c>
      <c r="PI71" s="109" t="s">
        <v>286</v>
      </c>
      <c r="PJ71" s="109" t="s">
        <v>286</v>
      </c>
      <c r="PK71" s="109" t="s">
        <v>286</v>
      </c>
      <c r="PL71" s="109" t="s">
        <v>286</v>
      </c>
      <c r="PM71" s="109" t="s">
        <v>286</v>
      </c>
      <c r="PN71" s="109" t="s">
        <v>286</v>
      </c>
      <c r="PO71" s="109" t="s">
        <v>286</v>
      </c>
      <c r="PP71" s="109" t="s">
        <v>286</v>
      </c>
      <c r="PQ71" s="109" t="s">
        <v>286</v>
      </c>
      <c r="PR71" s="109" t="s">
        <v>286</v>
      </c>
      <c r="PS71" s="109" t="s">
        <v>286</v>
      </c>
      <c r="PT71" s="109" t="s">
        <v>286</v>
      </c>
      <c r="PU71" s="109" t="s">
        <v>286</v>
      </c>
      <c r="PV71" s="109" t="s">
        <v>286</v>
      </c>
      <c r="PW71" s="109" t="s">
        <v>286</v>
      </c>
      <c r="PX71" s="109" t="s">
        <v>286</v>
      </c>
      <c r="PY71" s="109" t="s">
        <v>286</v>
      </c>
      <c r="PZ71" s="109" t="s">
        <v>286</v>
      </c>
      <c r="QA71" s="109" t="s">
        <v>286</v>
      </c>
      <c r="QB71" s="109" t="s">
        <v>286</v>
      </c>
      <c r="QC71" s="109" t="s">
        <v>286</v>
      </c>
      <c r="QD71" s="109" t="s">
        <v>286</v>
      </c>
      <c r="QE71" s="109" t="s">
        <v>286</v>
      </c>
      <c r="QF71" s="109" t="s">
        <v>286</v>
      </c>
      <c r="QG71" s="115" t="s">
        <v>286</v>
      </c>
      <c r="QH71" s="109" t="s">
        <v>286</v>
      </c>
      <c r="QI71" s="109" t="s">
        <v>286</v>
      </c>
      <c r="QJ71" s="109" t="s">
        <v>286</v>
      </c>
      <c r="QK71" s="109" t="s">
        <v>286</v>
      </c>
      <c r="QL71" s="114" t="s">
        <v>286</v>
      </c>
      <c r="QM71" s="114" t="s">
        <v>286</v>
      </c>
      <c r="QN71" s="114" t="s">
        <v>286</v>
      </c>
      <c r="QO71" s="114" t="s">
        <v>286</v>
      </c>
      <c r="QP71" s="109" t="s">
        <v>286</v>
      </c>
      <c r="QQ71" s="109" t="s">
        <v>286</v>
      </c>
      <c r="QR71" s="109" t="s">
        <v>286</v>
      </c>
      <c r="QS71" s="109" t="s">
        <v>286</v>
      </c>
      <c r="QT71" s="109" t="s">
        <v>286</v>
      </c>
      <c r="QU71" s="114" t="s">
        <v>286</v>
      </c>
      <c r="QV71" s="114" t="s">
        <v>286</v>
      </c>
      <c r="QW71" s="114" t="s">
        <v>286</v>
      </c>
      <c r="QX71" s="114" t="s">
        <v>286</v>
      </c>
      <c r="QY71" s="114" t="s">
        <v>286</v>
      </c>
      <c r="QZ71" s="109" t="s">
        <v>286</v>
      </c>
      <c r="RA71" s="109" t="s">
        <v>286</v>
      </c>
      <c r="RB71" s="109" t="s">
        <v>286</v>
      </c>
      <c r="RC71" s="109" t="s">
        <v>286</v>
      </c>
      <c r="RD71" s="109" t="s">
        <v>286</v>
      </c>
      <c r="RE71" s="109" t="s">
        <v>286</v>
      </c>
      <c r="RF71" s="109" t="s">
        <v>286</v>
      </c>
      <c r="RG71" s="109" t="s">
        <v>286</v>
      </c>
      <c r="RH71" s="109" t="s">
        <v>286</v>
      </c>
      <c r="RI71" s="109" t="s">
        <v>286</v>
      </c>
      <c r="RJ71" s="109" t="s">
        <v>286</v>
      </c>
      <c r="RK71" s="109" t="s">
        <v>286</v>
      </c>
      <c r="RL71" s="109" t="s">
        <v>286</v>
      </c>
      <c r="RM71" s="109" t="s">
        <v>286</v>
      </c>
      <c r="RN71" s="109" t="s">
        <v>286</v>
      </c>
      <c r="RO71" s="109" t="s">
        <v>286</v>
      </c>
      <c r="RP71" s="109" t="s">
        <v>286</v>
      </c>
      <c r="RQ71" s="109" t="s">
        <v>286</v>
      </c>
      <c r="RR71" s="109" t="s">
        <v>286</v>
      </c>
      <c r="RS71" s="109" t="s">
        <v>286</v>
      </c>
      <c r="RT71" s="115" t="s">
        <v>286</v>
      </c>
    </row>
    <row r="72" spans="1:488" s="9" customFormat="1" ht="12.75" x14ac:dyDescent="0.2">
      <c r="A72" s="9" t="s">
        <v>106</v>
      </c>
      <c r="B72" s="6">
        <v>2</v>
      </c>
      <c r="C72" s="9" t="s">
        <v>286</v>
      </c>
      <c r="D72" s="9" t="s">
        <v>286</v>
      </c>
      <c r="E72" s="9" t="s">
        <v>286</v>
      </c>
      <c r="F72" s="9" t="s">
        <v>286</v>
      </c>
      <c r="G72" s="9" t="s">
        <v>286</v>
      </c>
      <c r="H72" s="9" t="s">
        <v>286</v>
      </c>
      <c r="I72" s="9" t="s">
        <v>286</v>
      </c>
      <c r="J72" s="9" t="s">
        <v>397</v>
      </c>
      <c r="K72" s="9" t="s">
        <v>286</v>
      </c>
      <c r="L72" s="9" t="s">
        <v>271</v>
      </c>
      <c r="M72" s="9" t="s">
        <v>286</v>
      </c>
      <c r="N72" s="9" t="s">
        <v>286</v>
      </c>
      <c r="O72" s="109" t="s">
        <v>286</v>
      </c>
      <c r="P72" s="109" t="s">
        <v>286</v>
      </c>
      <c r="Q72" s="109" t="s">
        <v>286</v>
      </c>
      <c r="R72" s="109" t="s">
        <v>286</v>
      </c>
      <c r="S72" s="109" t="s">
        <v>286</v>
      </c>
      <c r="T72" s="36">
        <v>264550</v>
      </c>
      <c r="U72" s="42">
        <v>266350</v>
      </c>
      <c r="V72" s="42">
        <v>268100</v>
      </c>
      <c r="W72" s="42">
        <v>269550</v>
      </c>
      <c r="X72" s="42">
        <v>270700</v>
      </c>
      <c r="Y72" s="42">
        <v>272600</v>
      </c>
      <c r="Z72" s="42">
        <v>274300</v>
      </c>
      <c r="AA72" s="42">
        <v>276200</v>
      </c>
      <c r="AB72" s="42">
        <v>277800</v>
      </c>
      <c r="AC72" s="42">
        <v>279635</v>
      </c>
      <c r="AD72" s="42">
        <v>281433</v>
      </c>
      <c r="AE72" s="36">
        <v>13350</v>
      </c>
      <c r="AF72" s="42">
        <v>13550</v>
      </c>
      <c r="AG72" s="42">
        <v>13900</v>
      </c>
      <c r="AH72" s="42">
        <v>14150</v>
      </c>
      <c r="AI72" s="42">
        <v>14400</v>
      </c>
      <c r="AJ72" s="42">
        <v>14750</v>
      </c>
      <c r="AK72" s="42">
        <v>15100</v>
      </c>
      <c r="AL72" s="42">
        <v>15400</v>
      </c>
      <c r="AM72" s="42">
        <v>15350</v>
      </c>
      <c r="AN72" s="42">
        <v>15341</v>
      </c>
      <c r="AO72" s="42">
        <v>15225</v>
      </c>
      <c r="AP72" s="13">
        <v>15045</v>
      </c>
      <c r="AQ72" s="9">
        <v>13218</v>
      </c>
      <c r="AR72" s="9">
        <v>513</v>
      </c>
      <c r="AS72" s="9">
        <v>722</v>
      </c>
      <c r="AT72" s="9">
        <v>448</v>
      </c>
      <c r="AU72" s="9">
        <v>77</v>
      </c>
      <c r="AV72" s="9">
        <v>67</v>
      </c>
      <c r="AW72" s="9">
        <v>1827</v>
      </c>
      <c r="AX72" s="16">
        <v>0.879</v>
      </c>
      <c r="AY72" s="18">
        <v>3.4000000000000002E-2</v>
      </c>
      <c r="AZ72" s="18">
        <v>4.8000000000000001E-2</v>
      </c>
      <c r="BA72" s="18">
        <v>0.03</v>
      </c>
      <c r="BB72" s="18">
        <v>5.0000000000000001E-3</v>
      </c>
      <c r="BC72" s="18">
        <v>4.0000000000000001E-3</v>
      </c>
      <c r="BD72" s="18">
        <v>0.121</v>
      </c>
      <c r="BE72" s="36">
        <v>37709</v>
      </c>
      <c r="BF72" s="42">
        <v>36873</v>
      </c>
      <c r="BG72" s="42">
        <v>836</v>
      </c>
      <c r="BH72" s="42">
        <v>698</v>
      </c>
      <c r="BI72" s="42">
        <v>138</v>
      </c>
      <c r="BJ72" s="18">
        <v>0.83499999999999996</v>
      </c>
      <c r="BK72" s="18">
        <v>0.16500000000000001</v>
      </c>
      <c r="BL72" s="36">
        <v>28968</v>
      </c>
      <c r="BM72" s="18">
        <v>0.628</v>
      </c>
      <c r="BN72" s="18">
        <v>0.14299999999999999</v>
      </c>
      <c r="BO72" s="18">
        <v>0.22900000000000001</v>
      </c>
      <c r="BP72" s="341" t="s">
        <v>286</v>
      </c>
      <c r="BQ72" s="114" t="s">
        <v>286</v>
      </c>
      <c r="BR72" s="114" t="s">
        <v>286</v>
      </c>
      <c r="BS72" s="114" t="s">
        <v>286</v>
      </c>
      <c r="BT72" s="114" t="s">
        <v>286</v>
      </c>
      <c r="BU72" s="114" t="s">
        <v>286</v>
      </c>
      <c r="BV72" s="109" t="s">
        <v>286</v>
      </c>
      <c r="BW72" s="341">
        <v>16897</v>
      </c>
      <c r="BX72" s="114">
        <v>23</v>
      </c>
      <c r="BY72" s="114">
        <v>4470</v>
      </c>
      <c r="BZ72" s="114">
        <v>6822</v>
      </c>
      <c r="CA72" s="114">
        <v>2345</v>
      </c>
      <c r="CB72" s="108">
        <v>30557</v>
      </c>
      <c r="CC72" s="42">
        <v>11869</v>
      </c>
      <c r="CD72" s="42">
        <v>9636</v>
      </c>
      <c r="CE72" s="42">
        <v>2202</v>
      </c>
      <c r="CF72" s="42">
        <v>2233</v>
      </c>
      <c r="CG72" s="18">
        <v>0.18552531805543854</v>
      </c>
      <c r="CH72" s="93">
        <v>0.18813716404077849</v>
      </c>
      <c r="CI72" s="42">
        <v>1985</v>
      </c>
      <c r="CJ72" s="42">
        <v>1805</v>
      </c>
      <c r="CK72" s="42">
        <v>1570</v>
      </c>
      <c r="CL72" s="42">
        <v>1480</v>
      </c>
      <c r="CM72" s="42">
        <v>1380</v>
      </c>
      <c r="CN72" s="42">
        <v>1255</v>
      </c>
      <c r="CO72" s="36">
        <v>6808</v>
      </c>
      <c r="CP72" s="42">
        <v>2392</v>
      </c>
      <c r="CQ72" s="18">
        <v>0.35135135135135137</v>
      </c>
      <c r="CR72" s="38">
        <v>672</v>
      </c>
      <c r="CS72" s="109" t="s">
        <v>286</v>
      </c>
      <c r="CT72" s="109" t="s">
        <v>286</v>
      </c>
      <c r="CU72" s="109" t="s">
        <v>286</v>
      </c>
      <c r="CV72" s="109" t="s">
        <v>286</v>
      </c>
      <c r="CW72" s="109" t="s">
        <v>286</v>
      </c>
      <c r="CX72" s="109" t="s">
        <v>286</v>
      </c>
      <c r="CY72" s="568">
        <v>2793</v>
      </c>
      <c r="CZ72" s="114" t="s">
        <v>286</v>
      </c>
      <c r="DA72" s="114" t="s">
        <v>286</v>
      </c>
      <c r="DB72" s="114" t="s">
        <v>286</v>
      </c>
      <c r="DC72" s="114" t="s">
        <v>286</v>
      </c>
      <c r="DD72" s="114" t="s">
        <v>286</v>
      </c>
      <c r="DE72" s="109" t="s">
        <v>286</v>
      </c>
      <c r="DF72" s="109">
        <v>75</v>
      </c>
      <c r="DG72" s="289" t="s">
        <v>286</v>
      </c>
      <c r="DH72" s="289" t="s">
        <v>286</v>
      </c>
      <c r="DI72" s="109" t="s">
        <v>286</v>
      </c>
      <c r="DJ72" s="109" t="s">
        <v>286</v>
      </c>
      <c r="DK72" s="109" t="s">
        <v>286</v>
      </c>
      <c r="DL72" s="109" t="s">
        <v>286</v>
      </c>
      <c r="DM72" s="109" t="s">
        <v>286</v>
      </c>
      <c r="DN72" s="109" t="s">
        <v>286</v>
      </c>
      <c r="DO72" s="109" t="s">
        <v>286</v>
      </c>
      <c r="DP72" s="380">
        <v>190</v>
      </c>
      <c r="DQ72" s="258">
        <v>6.8027210884353748E-2</v>
      </c>
      <c r="DR72" s="258">
        <v>5.9270060808312729E-2</v>
      </c>
      <c r="DS72" s="258">
        <v>7.797098930918063E-2</v>
      </c>
      <c r="DT72" s="13">
        <v>289</v>
      </c>
      <c r="DU72" s="18">
        <v>1.9224373045965543E-2</v>
      </c>
      <c r="DV72" s="368" t="s">
        <v>286</v>
      </c>
      <c r="DW72" s="369" t="s">
        <v>286</v>
      </c>
      <c r="DX72" s="420" t="s">
        <v>286</v>
      </c>
      <c r="DY72" s="420" t="s">
        <v>286</v>
      </c>
      <c r="DZ72" s="420" t="s">
        <v>286</v>
      </c>
      <c r="EA72" s="369" t="s">
        <v>286</v>
      </c>
      <c r="EB72" s="9">
        <v>5313</v>
      </c>
      <c r="EC72" s="18">
        <v>4.3575611436445054E-2</v>
      </c>
      <c r="ED72" s="289">
        <v>2725</v>
      </c>
      <c r="EE72" s="109">
        <v>2710</v>
      </c>
      <c r="EF72" s="109">
        <v>2705</v>
      </c>
      <c r="EG72" s="109">
        <v>2505</v>
      </c>
      <c r="EH72" s="109">
        <v>2215</v>
      </c>
      <c r="EI72" s="109">
        <v>2090</v>
      </c>
      <c r="EJ72" s="289" t="s">
        <v>286</v>
      </c>
      <c r="EK72" s="258" t="s">
        <v>286</v>
      </c>
      <c r="EL72" s="109" t="s">
        <v>286</v>
      </c>
      <c r="EM72" s="109" t="s">
        <v>286</v>
      </c>
      <c r="EN72" s="109" t="s">
        <v>286</v>
      </c>
      <c r="EO72" s="258" t="s">
        <v>286</v>
      </c>
      <c r="EP72" s="109" t="s">
        <v>286</v>
      </c>
      <c r="EQ72" s="258" t="s">
        <v>286</v>
      </c>
      <c r="ER72" s="109" t="s">
        <v>286</v>
      </c>
      <c r="ES72" s="258" t="s">
        <v>286</v>
      </c>
      <c r="ET72" s="109" t="s">
        <v>286</v>
      </c>
      <c r="EU72" s="258" t="s">
        <v>286</v>
      </c>
      <c r="EV72" s="109" t="s">
        <v>286</v>
      </c>
      <c r="EW72" s="258" t="s">
        <v>286</v>
      </c>
      <c r="EX72" s="109" t="s">
        <v>286</v>
      </c>
      <c r="EY72" s="258" t="s">
        <v>286</v>
      </c>
      <c r="EZ72" s="109" t="s">
        <v>286</v>
      </c>
      <c r="FA72" s="258" t="s">
        <v>286</v>
      </c>
      <c r="FB72" s="258" t="s">
        <v>286</v>
      </c>
      <c r="FC72" s="258" t="s">
        <v>286</v>
      </c>
      <c r="FD72" s="258" t="s">
        <v>286</v>
      </c>
      <c r="FE72" s="258" t="s">
        <v>286</v>
      </c>
      <c r="FF72" s="258" t="s">
        <v>286</v>
      </c>
      <c r="FG72" s="258" t="s">
        <v>286</v>
      </c>
      <c r="FH72" s="425" t="s">
        <v>286</v>
      </c>
      <c r="FI72" s="258" t="s">
        <v>286</v>
      </c>
      <c r="FJ72" s="258" t="s">
        <v>286</v>
      </c>
      <c r="FK72" s="258" t="s">
        <v>286</v>
      </c>
      <c r="FL72" s="341" t="s">
        <v>286</v>
      </c>
      <c r="FM72" s="258" t="s">
        <v>286</v>
      </c>
      <c r="FN72" s="114" t="s">
        <v>286</v>
      </c>
      <c r="FO72" s="258" t="s">
        <v>286</v>
      </c>
      <c r="FP72" s="114" t="s">
        <v>286</v>
      </c>
      <c r="FQ72" s="258" t="s">
        <v>286</v>
      </c>
      <c r="FR72" s="114" t="s">
        <v>286</v>
      </c>
      <c r="FS72" s="258" t="s">
        <v>286</v>
      </c>
      <c r="FT72" s="114" t="s">
        <v>286</v>
      </c>
      <c r="FU72" s="258" t="s">
        <v>286</v>
      </c>
      <c r="FV72" s="114" t="s">
        <v>286</v>
      </c>
      <c r="FW72" s="258" t="s">
        <v>286</v>
      </c>
      <c r="FX72" s="114" t="s">
        <v>286</v>
      </c>
      <c r="FY72" s="259" t="s">
        <v>286</v>
      </c>
      <c r="FZ72" s="109" t="s">
        <v>286</v>
      </c>
      <c r="GA72" s="109" t="s">
        <v>286</v>
      </c>
      <c r="GB72" s="109" t="s">
        <v>286</v>
      </c>
      <c r="GC72" s="258" t="s">
        <v>286</v>
      </c>
      <c r="GD72" s="109" t="s">
        <v>286</v>
      </c>
      <c r="GE72" s="109" t="s">
        <v>286</v>
      </c>
      <c r="GF72" s="258" t="s">
        <v>286</v>
      </c>
      <c r="GG72" s="258" t="s">
        <v>286</v>
      </c>
      <c r="GH72" s="258" t="s">
        <v>286</v>
      </c>
      <c r="GI72" s="258" t="s">
        <v>286</v>
      </c>
      <c r="GJ72" s="258" t="s">
        <v>286</v>
      </c>
      <c r="GK72" s="259" t="s">
        <v>286</v>
      </c>
      <c r="GL72" s="420" t="s">
        <v>286</v>
      </c>
      <c r="GM72" s="258" t="s">
        <v>286</v>
      </c>
      <c r="GN72" s="258" t="s">
        <v>286</v>
      </c>
      <c r="GO72" s="258" t="s">
        <v>286</v>
      </c>
      <c r="GP72" s="258" t="s">
        <v>286</v>
      </c>
      <c r="GQ72" s="258" t="s">
        <v>286</v>
      </c>
      <c r="GR72" s="420" t="s">
        <v>286</v>
      </c>
      <c r="GS72" s="258" t="s">
        <v>286</v>
      </c>
      <c r="GT72" s="258" t="s">
        <v>286</v>
      </c>
      <c r="GU72" s="259" t="s">
        <v>286</v>
      </c>
      <c r="GV72" s="114">
        <v>2845</v>
      </c>
      <c r="GW72" s="114">
        <v>864</v>
      </c>
      <c r="GX72" s="114">
        <v>1981</v>
      </c>
      <c r="GY72" s="258">
        <f t="shared" si="9"/>
        <v>0.69630931458699474</v>
      </c>
      <c r="GZ72" s="114">
        <v>819</v>
      </c>
      <c r="HA72" s="114">
        <v>263</v>
      </c>
      <c r="HB72" s="114">
        <v>1082</v>
      </c>
      <c r="HC72" s="258">
        <v>0.41342756183745583</v>
      </c>
      <c r="HD72" s="258">
        <v>0.54618879353861682</v>
      </c>
      <c r="HE72" s="258">
        <v>0.39193011329746241</v>
      </c>
      <c r="HF72" s="258">
        <v>0.43526011467984133</v>
      </c>
      <c r="HG72" s="258">
        <v>0.52419669261951796</v>
      </c>
      <c r="HH72" s="259">
        <v>0.56800210703107523</v>
      </c>
      <c r="HI72" s="702" t="s">
        <v>286</v>
      </c>
      <c r="HJ72" s="703" t="s">
        <v>286</v>
      </c>
      <c r="HK72" s="703" t="s">
        <v>286</v>
      </c>
      <c r="HL72" s="704" t="s">
        <v>286</v>
      </c>
      <c r="HM72" s="703" t="s">
        <v>286</v>
      </c>
      <c r="HN72" s="703" t="s">
        <v>286</v>
      </c>
      <c r="HO72" s="703" t="s">
        <v>286</v>
      </c>
      <c r="HP72" s="704" t="s">
        <v>286</v>
      </c>
      <c r="HQ72" s="704" t="s">
        <v>286</v>
      </c>
      <c r="HR72" s="704" t="s">
        <v>286</v>
      </c>
      <c r="HS72" s="704" t="s">
        <v>286</v>
      </c>
      <c r="HT72" s="704" t="s">
        <v>286</v>
      </c>
      <c r="HU72" s="705" t="s">
        <v>286</v>
      </c>
      <c r="HV72" s="109" t="s">
        <v>286</v>
      </c>
      <c r="HW72" s="380" t="s">
        <v>286</v>
      </c>
      <c r="HX72" s="258" t="s">
        <v>286</v>
      </c>
      <c r="HY72" s="258" t="s">
        <v>286</v>
      </c>
      <c r="HZ72" s="258" t="s">
        <v>286</v>
      </c>
      <c r="IA72" s="408" t="s">
        <v>286</v>
      </c>
      <c r="IB72" s="109" t="s">
        <v>286</v>
      </c>
      <c r="IC72" s="380" t="s">
        <v>286</v>
      </c>
      <c r="ID72" s="258" t="s">
        <v>286</v>
      </c>
      <c r="IE72" s="258" t="s">
        <v>286</v>
      </c>
      <c r="IF72" s="258" t="s">
        <v>286</v>
      </c>
      <c r="IG72" s="401" t="s">
        <v>286</v>
      </c>
      <c r="IH72" s="109" t="s">
        <v>286</v>
      </c>
      <c r="II72" s="380" t="s">
        <v>286</v>
      </c>
      <c r="IJ72" s="258" t="s">
        <v>286</v>
      </c>
      <c r="IK72" s="258" t="s">
        <v>286</v>
      </c>
      <c r="IL72" s="258" t="s">
        <v>286</v>
      </c>
      <c r="IM72" s="401" t="s">
        <v>286</v>
      </c>
      <c r="IN72" s="109" t="s">
        <v>286</v>
      </c>
      <c r="IO72" s="380" t="s">
        <v>286</v>
      </c>
      <c r="IP72" s="258" t="s">
        <v>286</v>
      </c>
      <c r="IQ72" s="258" t="s">
        <v>286</v>
      </c>
      <c r="IR72" s="258" t="s">
        <v>286</v>
      </c>
      <c r="IS72" s="401" t="s">
        <v>286</v>
      </c>
      <c r="IT72" s="109" t="s">
        <v>286</v>
      </c>
      <c r="IU72" s="109" t="s">
        <v>286</v>
      </c>
      <c r="IV72" s="258" t="s">
        <v>286</v>
      </c>
      <c r="IW72" s="258" t="s">
        <v>286</v>
      </c>
      <c r="IX72" s="258" t="s">
        <v>286</v>
      </c>
      <c r="IY72" s="401" t="s">
        <v>286</v>
      </c>
      <c r="IZ72" s="109">
        <v>2675</v>
      </c>
      <c r="JA72" s="109">
        <v>216</v>
      </c>
      <c r="JB72" s="258">
        <v>8.0747663551401866E-2</v>
      </c>
      <c r="JC72" s="258">
        <v>7.1014285825203111E-2</v>
      </c>
      <c r="JD72" s="258">
        <v>9.1683457031354179E-2</v>
      </c>
      <c r="JE72" s="401" t="str">
        <f t="shared" si="10"/>
        <v>No Sig diff</v>
      </c>
      <c r="JF72" s="109">
        <v>2693</v>
      </c>
      <c r="JG72" s="109">
        <v>206</v>
      </c>
      <c r="JH72" s="258">
        <v>7.6494615670256214E-2</v>
      </c>
      <c r="JI72" s="258">
        <v>6.7048485264062263E-2</v>
      </c>
      <c r="JJ72" s="258">
        <v>8.7147252665055033E-2</v>
      </c>
      <c r="JK72" s="664" t="str">
        <f t="shared" ref="JK72:JK75" si="13">IF(JI72&gt;$JD$78, "Sig worse than Eng.", IF(JJ72&lt;$JC$78,"Sig better than Eng.", "No Sig diff"))</f>
        <v>Sig better than Eng.</v>
      </c>
      <c r="JL72" s="109" t="s">
        <v>286</v>
      </c>
      <c r="JM72" s="380" t="s">
        <v>286</v>
      </c>
      <c r="JN72" s="258" t="s">
        <v>286</v>
      </c>
      <c r="JO72" s="258" t="s">
        <v>286</v>
      </c>
      <c r="JP72" s="258" t="s">
        <v>286</v>
      </c>
      <c r="JQ72" s="109" t="s">
        <v>286</v>
      </c>
      <c r="JR72" s="109" t="s">
        <v>286</v>
      </c>
      <c r="JS72" s="380" t="s">
        <v>286</v>
      </c>
      <c r="JT72" s="258" t="s">
        <v>286</v>
      </c>
      <c r="JU72" s="258" t="s">
        <v>286</v>
      </c>
      <c r="JV72" s="258" t="s">
        <v>286</v>
      </c>
      <c r="JW72" s="109" t="s">
        <v>286</v>
      </c>
      <c r="JX72" s="109" t="s">
        <v>286</v>
      </c>
      <c r="JY72" s="380" t="s">
        <v>286</v>
      </c>
      <c r="JZ72" s="258" t="s">
        <v>286</v>
      </c>
      <c r="KA72" s="258" t="s">
        <v>286</v>
      </c>
      <c r="KB72" s="258" t="s">
        <v>286</v>
      </c>
      <c r="KC72" s="109" t="s">
        <v>286</v>
      </c>
      <c r="KD72" s="109" t="s">
        <v>286</v>
      </c>
      <c r="KE72" s="380" t="s">
        <v>286</v>
      </c>
      <c r="KF72" s="258" t="s">
        <v>286</v>
      </c>
      <c r="KG72" s="258" t="s">
        <v>286</v>
      </c>
      <c r="KH72" s="258" t="s">
        <v>286</v>
      </c>
      <c r="KI72" s="109" t="s">
        <v>286</v>
      </c>
      <c r="KJ72" s="109" t="s">
        <v>286</v>
      </c>
      <c r="KK72" s="109" t="s">
        <v>286</v>
      </c>
      <c r="KL72" s="109" t="s">
        <v>286</v>
      </c>
      <c r="KM72" s="109" t="s">
        <v>286</v>
      </c>
      <c r="KN72" s="109" t="s">
        <v>286</v>
      </c>
      <c r="KO72" s="401" t="s">
        <v>286</v>
      </c>
      <c r="KP72" s="109">
        <v>2410</v>
      </c>
      <c r="KQ72" s="109">
        <v>392</v>
      </c>
      <c r="KR72" s="258">
        <v>0.16265560165975104</v>
      </c>
      <c r="KS72" s="258">
        <v>0.14846021947849977</v>
      </c>
      <c r="KT72" s="258">
        <v>0.17792470358334944</v>
      </c>
      <c r="KU72" s="109" t="s">
        <v>708</v>
      </c>
      <c r="KV72" s="109">
        <v>2357</v>
      </c>
      <c r="KW72" s="109">
        <v>411</v>
      </c>
      <c r="KX72" s="258">
        <v>0.17437420449724225</v>
      </c>
      <c r="KY72" s="258">
        <v>0.15958938374703788</v>
      </c>
      <c r="KZ72" s="258">
        <v>0.1902187135884032</v>
      </c>
      <c r="LA72" s="664" t="str">
        <f t="shared" si="12"/>
        <v>Sig better than Eng.</v>
      </c>
      <c r="LB72" s="9">
        <v>3032</v>
      </c>
      <c r="LC72" s="9">
        <v>1623</v>
      </c>
      <c r="LD72" s="18">
        <v>0.53529023746701843</v>
      </c>
      <c r="LE72" s="18">
        <v>0.51750387204929615</v>
      </c>
      <c r="LF72" s="18">
        <v>0.55298729255952062</v>
      </c>
      <c r="LG72" s="9">
        <v>3032</v>
      </c>
      <c r="LH72" s="9">
        <v>34</v>
      </c>
      <c r="LI72" s="9">
        <v>606</v>
      </c>
      <c r="LJ72" s="294">
        <v>24.288778877887793</v>
      </c>
      <c r="LK72" s="18">
        <v>0.28562415065035901</v>
      </c>
      <c r="LL72" s="9">
        <v>2971</v>
      </c>
      <c r="LM72" s="9">
        <v>1768</v>
      </c>
      <c r="LN72" s="18">
        <v>0.5950858296869741</v>
      </c>
      <c r="LO72" s="18">
        <v>0.57732306780997178</v>
      </c>
      <c r="LP72" s="18">
        <v>0.61260301995672917</v>
      </c>
      <c r="LQ72" s="9">
        <v>2971</v>
      </c>
      <c r="LR72" s="9">
        <v>34</v>
      </c>
      <c r="LS72" s="9">
        <v>594</v>
      </c>
      <c r="LT72" s="294">
        <v>25.101010101010115</v>
      </c>
      <c r="LU72" s="18">
        <v>0.26173499702911429</v>
      </c>
      <c r="LV72" s="42">
        <v>3234</v>
      </c>
      <c r="LW72" s="42">
        <v>2059</v>
      </c>
      <c r="LX72" s="393">
        <v>0.63700000000000001</v>
      </c>
      <c r="LY72" s="393">
        <v>0.61995098470972387</v>
      </c>
      <c r="LZ72" s="393">
        <v>0.6530704127993362</v>
      </c>
      <c r="MA72" s="337">
        <v>34</v>
      </c>
      <c r="MB72" s="337">
        <v>646</v>
      </c>
      <c r="MC72" s="294">
        <v>24.2</v>
      </c>
      <c r="MD72" s="393">
        <v>0.28799999999999998</v>
      </c>
      <c r="ME72" s="337">
        <v>3105</v>
      </c>
      <c r="MF72" s="337">
        <v>2118</v>
      </c>
      <c r="MG72" s="393">
        <v>0.68212560386473431</v>
      </c>
      <c r="MH72" s="393">
        <v>0.66553051718097367</v>
      </c>
      <c r="MI72" s="393">
        <v>0.69827060133249108</v>
      </c>
      <c r="MJ72" s="337">
        <v>34</v>
      </c>
      <c r="MK72" s="337">
        <v>621</v>
      </c>
      <c r="ML72" s="294">
        <v>24.917874396135264</v>
      </c>
      <c r="MM72" s="93">
        <v>0.26712134129013926</v>
      </c>
      <c r="MN72" s="258" t="s">
        <v>286</v>
      </c>
      <c r="MO72" s="258" t="s">
        <v>286</v>
      </c>
      <c r="MP72" s="258" t="s">
        <v>286</v>
      </c>
      <c r="MQ72" s="258" t="s">
        <v>286</v>
      </c>
      <c r="MR72" s="258" t="s">
        <v>286</v>
      </c>
      <c r="MS72" s="258" t="s">
        <v>286</v>
      </c>
      <c r="MT72" s="258" t="s">
        <v>286</v>
      </c>
      <c r="MU72" s="258" t="s">
        <v>286</v>
      </c>
      <c r="MV72" s="258" t="s">
        <v>286</v>
      </c>
      <c r="MW72" s="258" t="s">
        <v>286</v>
      </c>
      <c r="MX72" s="258" t="s">
        <v>286</v>
      </c>
      <c r="MY72" s="258" t="s">
        <v>286</v>
      </c>
      <c r="MZ72" s="258" t="s">
        <v>286</v>
      </c>
      <c r="NA72" s="258" t="s">
        <v>286</v>
      </c>
      <c r="NB72" s="258" t="s">
        <v>286</v>
      </c>
      <c r="NC72" s="259" t="s">
        <v>286</v>
      </c>
      <c r="ND72" s="425">
        <v>134</v>
      </c>
      <c r="NE72" s="425">
        <v>1080</v>
      </c>
      <c r="NF72" s="258">
        <v>0.12407407407407407</v>
      </c>
      <c r="NG72" s="258">
        <v>0.10573494860504903</v>
      </c>
      <c r="NH72" s="258">
        <v>0.14507798774126801</v>
      </c>
      <c r="NI72" s="425">
        <v>101</v>
      </c>
      <c r="NJ72" s="425">
        <v>1080</v>
      </c>
      <c r="NK72" s="258">
        <v>9.3518518518518515E-2</v>
      </c>
      <c r="NL72" s="258">
        <v>7.7565654058858818E-2</v>
      </c>
      <c r="NM72" s="258">
        <v>0.11235276726141995</v>
      </c>
      <c r="NN72" s="425">
        <v>117</v>
      </c>
      <c r="NO72" s="425">
        <v>1076</v>
      </c>
      <c r="NP72" s="258">
        <v>0.10873605947955391</v>
      </c>
      <c r="NQ72" s="258">
        <v>9.1508158057272623E-2</v>
      </c>
      <c r="NR72" s="258">
        <v>0.12874774791659435</v>
      </c>
      <c r="NS72" s="425">
        <v>205</v>
      </c>
      <c r="NT72" s="425">
        <v>1075</v>
      </c>
      <c r="NU72" s="258">
        <v>0.19069767441860466</v>
      </c>
      <c r="NV72" s="258">
        <v>0.16833101215439381</v>
      </c>
      <c r="NW72" s="259">
        <v>0.21526701834127659</v>
      </c>
      <c r="NX72" s="109" t="s">
        <v>286</v>
      </c>
      <c r="NY72" s="109" t="s">
        <v>286</v>
      </c>
      <c r="NZ72" s="109" t="s">
        <v>286</v>
      </c>
      <c r="OA72" s="109" t="s">
        <v>286</v>
      </c>
      <c r="OB72" s="109" t="s">
        <v>286</v>
      </c>
      <c r="OC72" s="109" t="s">
        <v>286</v>
      </c>
      <c r="OD72" s="109" t="s">
        <v>286</v>
      </c>
      <c r="OE72" s="109" t="s">
        <v>286</v>
      </c>
      <c r="OF72" s="109" t="s">
        <v>286</v>
      </c>
      <c r="OG72" s="109" t="s">
        <v>286</v>
      </c>
      <c r="OH72" s="109" t="s">
        <v>286</v>
      </c>
      <c r="OI72" s="109" t="s">
        <v>286</v>
      </c>
      <c r="OJ72" s="109" t="s">
        <v>286</v>
      </c>
      <c r="OK72" s="109" t="s">
        <v>286</v>
      </c>
      <c r="OL72" s="109" t="s">
        <v>286</v>
      </c>
      <c r="OM72" s="109" t="s">
        <v>286</v>
      </c>
      <c r="ON72" s="109" t="s">
        <v>286</v>
      </c>
      <c r="OO72" s="109" t="s">
        <v>286</v>
      </c>
      <c r="OP72" s="109" t="s">
        <v>286</v>
      </c>
      <c r="OQ72" s="109" t="s">
        <v>286</v>
      </c>
      <c r="OR72" s="109" t="s">
        <v>286</v>
      </c>
      <c r="OS72" s="109" t="s">
        <v>286</v>
      </c>
      <c r="OT72" s="115" t="s">
        <v>286</v>
      </c>
      <c r="OU72" s="109" t="s">
        <v>286</v>
      </c>
      <c r="OV72" s="109" t="s">
        <v>286</v>
      </c>
      <c r="OW72" s="109" t="s">
        <v>286</v>
      </c>
      <c r="OX72" s="109" t="s">
        <v>286</v>
      </c>
      <c r="OY72" s="109" t="s">
        <v>286</v>
      </c>
      <c r="OZ72" s="109" t="s">
        <v>286</v>
      </c>
      <c r="PA72" s="109" t="s">
        <v>286</v>
      </c>
      <c r="PB72" s="109" t="s">
        <v>286</v>
      </c>
      <c r="PC72" s="109" t="s">
        <v>286</v>
      </c>
      <c r="PD72" s="109" t="s">
        <v>286</v>
      </c>
      <c r="PE72" s="109" t="s">
        <v>286</v>
      </c>
      <c r="PF72" s="109" t="s">
        <v>286</v>
      </c>
      <c r="PG72" s="109" t="s">
        <v>286</v>
      </c>
      <c r="PH72" s="109" t="s">
        <v>286</v>
      </c>
      <c r="PI72" s="109" t="s">
        <v>286</v>
      </c>
      <c r="PJ72" s="109" t="s">
        <v>286</v>
      </c>
      <c r="PK72" s="109" t="s">
        <v>286</v>
      </c>
      <c r="PL72" s="109" t="s">
        <v>286</v>
      </c>
      <c r="PM72" s="109" t="s">
        <v>286</v>
      </c>
      <c r="PN72" s="109" t="s">
        <v>286</v>
      </c>
      <c r="PO72" s="109" t="s">
        <v>286</v>
      </c>
      <c r="PP72" s="109" t="s">
        <v>286</v>
      </c>
      <c r="PQ72" s="109" t="s">
        <v>286</v>
      </c>
      <c r="PR72" s="109" t="s">
        <v>286</v>
      </c>
      <c r="PS72" s="109" t="s">
        <v>286</v>
      </c>
      <c r="PT72" s="109" t="s">
        <v>286</v>
      </c>
      <c r="PU72" s="109" t="s">
        <v>286</v>
      </c>
      <c r="PV72" s="109" t="s">
        <v>286</v>
      </c>
      <c r="PW72" s="109" t="s">
        <v>286</v>
      </c>
      <c r="PX72" s="109" t="s">
        <v>286</v>
      </c>
      <c r="PY72" s="109" t="s">
        <v>286</v>
      </c>
      <c r="PZ72" s="109" t="s">
        <v>286</v>
      </c>
      <c r="QA72" s="109" t="s">
        <v>286</v>
      </c>
      <c r="QB72" s="109" t="s">
        <v>286</v>
      </c>
      <c r="QC72" s="109" t="s">
        <v>286</v>
      </c>
      <c r="QD72" s="109" t="s">
        <v>286</v>
      </c>
      <c r="QE72" s="109" t="s">
        <v>286</v>
      </c>
      <c r="QF72" s="109" t="s">
        <v>286</v>
      </c>
      <c r="QG72" s="115" t="s">
        <v>286</v>
      </c>
      <c r="QH72" s="109" t="s">
        <v>286</v>
      </c>
      <c r="QI72" s="109" t="s">
        <v>286</v>
      </c>
      <c r="QJ72" s="109" t="s">
        <v>286</v>
      </c>
      <c r="QK72" s="109" t="s">
        <v>286</v>
      </c>
      <c r="QL72" s="114" t="s">
        <v>286</v>
      </c>
      <c r="QM72" s="114" t="s">
        <v>286</v>
      </c>
      <c r="QN72" s="114" t="s">
        <v>286</v>
      </c>
      <c r="QO72" s="114" t="s">
        <v>286</v>
      </c>
      <c r="QP72" s="109" t="s">
        <v>286</v>
      </c>
      <c r="QQ72" s="109" t="s">
        <v>286</v>
      </c>
      <c r="QR72" s="109" t="s">
        <v>286</v>
      </c>
      <c r="QS72" s="109" t="s">
        <v>286</v>
      </c>
      <c r="QT72" s="109" t="s">
        <v>286</v>
      </c>
      <c r="QU72" s="114" t="s">
        <v>286</v>
      </c>
      <c r="QV72" s="114" t="s">
        <v>286</v>
      </c>
      <c r="QW72" s="114" t="s">
        <v>286</v>
      </c>
      <c r="QX72" s="114" t="s">
        <v>286</v>
      </c>
      <c r="QY72" s="114" t="s">
        <v>286</v>
      </c>
      <c r="QZ72" s="109" t="s">
        <v>286</v>
      </c>
      <c r="RA72" s="109" t="s">
        <v>286</v>
      </c>
      <c r="RB72" s="109" t="s">
        <v>286</v>
      </c>
      <c r="RC72" s="109" t="s">
        <v>286</v>
      </c>
      <c r="RD72" s="109" t="s">
        <v>286</v>
      </c>
      <c r="RE72" s="109" t="s">
        <v>286</v>
      </c>
      <c r="RF72" s="109" t="s">
        <v>286</v>
      </c>
      <c r="RG72" s="109" t="s">
        <v>286</v>
      </c>
      <c r="RH72" s="109" t="s">
        <v>286</v>
      </c>
      <c r="RI72" s="109" t="s">
        <v>286</v>
      </c>
      <c r="RJ72" s="109" t="s">
        <v>286</v>
      </c>
      <c r="RK72" s="109" t="s">
        <v>286</v>
      </c>
      <c r="RL72" s="109" t="s">
        <v>286</v>
      </c>
      <c r="RM72" s="109" t="s">
        <v>286</v>
      </c>
      <c r="RN72" s="109" t="s">
        <v>286</v>
      </c>
      <c r="RO72" s="109" t="s">
        <v>286</v>
      </c>
      <c r="RP72" s="109" t="s">
        <v>286</v>
      </c>
      <c r="RQ72" s="109" t="s">
        <v>286</v>
      </c>
      <c r="RR72" s="109" t="s">
        <v>286</v>
      </c>
      <c r="RS72" s="109" t="s">
        <v>286</v>
      </c>
      <c r="RT72" s="115" t="s">
        <v>286</v>
      </c>
    </row>
    <row r="73" spans="1:488" s="9" customFormat="1" ht="12.75" x14ac:dyDescent="0.2">
      <c r="A73" s="9" t="s">
        <v>108</v>
      </c>
      <c r="B73" s="6">
        <v>3</v>
      </c>
      <c r="C73" s="9" t="s">
        <v>286</v>
      </c>
      <c r="D73" s="9" t="s">
        <v>286</v>
      </c>
      <c r="E73" s="9" t="s">
        <v>286</v>
      </c>
      <c r="F73" s="9" t="s">
        <v>286</v>
      </c>
      <c r="G73" s="9" t="s">
        <v>286</v>
      </c>
      <c r="H73" s="9" t="s">
        <v>286</v>
      </c>
      <c r="I73" s="9" t="s">
        <v>286</v>
      </c>
      <c r="J73" s="9" t="s">
        <v>269</v>
      </c>
      <c r="K73" s="9" t="s">
        <v>286</v>
      </c>
      <c r="L73" s="9" t="s">
        <v>272</v>
      </c>
      <c r="M73" s="9" t="s">
        <v>286</v>
      </c>
      <c r="N73" s="9" t="s">
        <v>286</v>
      </c>
      <c r="O73" s="109" t="s">
        <v>286</v>
      </c>
      <c r="P73" s="109" t="s">
        <v>286</v>
      </c>
      <c r="Q73" s="109" t="s">
        <v>286</v>
      </c>
      <c r="R73" s="109" t="s">
        <v>286</v>
      </c>
      <c r="S73" s="109" t="s">
        <v>286</v>
      </c>
      <c r="T73" s="36">
        <v>99700</v>
      </c>
      <c r="U73" s="42">
        <v>100750</v>
      </c>
      <c r="V73" s="42">
        <v>101600</v>
      </c>
      <c r="W73" s="42">
        <v>102850</v>
      </c>
      <c r="X73" s="42">
        <v>103850</v>
      </c>
      <c r="Y73" s="42">
        <v>105500</v>
      </c>
      <c r="Z73" s="42">
        <v>107050</v>
      </c>
      <c r="AA73" s="42">
        <v>108300</v>
      </c>
      <c r="AB73" s="42">
        <v>108950</v>
      </c>
      <c r="AC73" s="42">
        <v>109885</v>
      </c>
      <c r="AD73" s="42">
        <v>110864</v>
      </c>
      <c r="AE73" s="36">
        <v>6300</v>
      </c>
      <c r="AF73" s="42">
        <v>6350</v>
      </c>
      <c r="AG73" s="42">
        <v>6600</v>
      </c>
      <c r="AH73" s="42">
        <v>6950</v>
      </c>
      <c r="AI73" s="42">
        <v>7200</v>
      </c>
      <c r="AJ73" s="42">
        <v>7750</v>
      </c>
      <c r="AK73" s="42">
        <v>8150</v>
      </c>
      <c r="AL73" s="42">
        <v>8300</v>
      </c>
      <c r="AM73" s="42">
        <v>8350</v>
      </c>
      <c r="AN73" s="42">
        <v>8470</v>
      </c>
      <c r="AO73" s="42">
        <v>8346</v>
      </c>
      <c r="AP73" s="13">
        <v>8071</v>
      </c>
      <c r="AQ73" s="9">
        <v>5020</v>
      </c>
      <c r="AR73" s="9">
        <v>530</v>
      </c>
      <c r="AS73" s="9">
        <v>622</v>
      </c>
      <c r="AT73" s="9">
        <v>1401</v>
      </c>
      <c r="AU73" s="9">
        <v>393</v>
      </c>
      <c r="AV73" s="9">
        <v>105</v>
      </c>
      <c r="AW73" s="9">
        <v>3051</v>
      </c>
      <c r="AX73" s="16">
        <v>0.622</v>
      </c>
      <c r="AY73" s="18">
        <v>6.6000000000000003E-2</v>
      </c>
      <c r="AZ73" s="18">
        <v>7.6999999999999999E-2</v>
      </c>
      <c r="BA73" s="18">
        <v>0.17399999999999999</v>
      </c>
      <c r="BB73" s="18">
        <v>4.9000000000000002E-2</v>
      </c>
      <c r="BC73" s="18">
        <v>1.2999999999999999E-2</v>
      </c>
      <c r="BD73" s="18">
        <v>0.378</v>
      </c>
      <c r="BE73" s="36">
        <v>17053</v>
      </c>
      <c r="BF73" s="42">
        <v>15550</v>
      </c>
      <c r="BG73" s="42">
        <v>1503</v>
      </c>
      <c r="BH73" s="42">
        <v>1270</v>
      </c>
      <c r="BI73" s="42">
        <v>233</v>
      </c>
      <c r="BJ73" s="18">
        <v>0.84499999999999997</v>
      </c>
      <c r="BK73" s="18">
        <v>0.155</v>
      </c>
      <c r="BL73" s="36">
        <v>14546</v>
      </c>
      <c r="BM73" s="18">
        <v>0.49099999999999999</v>
      </c>
      <c r="BN73" s="18">
        <v>0.315</v>
      </c>
      <c r="BO73" s="18">
        <v>0.19400000000000001</v>
      </c>
      <c r="BP73" s="341" t="s">
        <v>286</v>
      </c>
      <c r="BQ73" s="114" t="s">
        <v>286</v>
      </c>
      <c r="BR73" s="114" t="s">
        <v>286</v>
      </c>
      <c r="BS73" s="114" t="s">
        <v>286</v>
      </c>
      <c r="BT73" s="114" t="s">
        <v>286</v>
      </c>
      <c r="BU73" s="114" t="s">
        <v>286</v>
      </c>
      <c r="BV73" s="109" t="s">
        <v>286</v>
      </c>
      <c r="BW73" s="341">
        <v>7410</v>
      </c>
      <c r="BX73" s="114">
        <v>6</v>
      </c>
      <c r="BY73" s="114">
        <v>1842</v>
      </c>
      <c r="BZ73" s="114">
        <v>3310</v>
      </c>
      <c r="CA73" s="114">
        <v>1505</v>
      </c>
      <c r="CB73" s="108">
        <v>14073</v>
      </c>
      <c r="CC73" s="42">
        <v>6335</v>
      </c>
      <c r="CD73" s="42">
        <v>4992</v>
      </c>
      <c r="CE73" s="42">
        <v>1317</v>
      </c>
      <c r="CF73" s="42">
        <v>1343</v>
      </c>
      <c r="CG73" s="18">
        <v>0.20789265982636149</v>
      </c>
      <c r="CH73" s="93">
        <v>0.21199684293606946</v>
      </c>
      <c r="CI73" s="42">
        <v>1190</v>
      </c>
      <c r="CJ73" s="42">
        <v>1060</v>
      </c>
      <c r="CK73" s="42">
        <v>940</v>
      </c>
      <c r="CL73" s="42">
        <v>925</v>
      </c>
      <c r="CM73" s="42">
        <v>885</v>
      </c>
      <c r="CN73" s="42">
        <v>810</v>
      </c>
      <c r="CO73" s="36">
        <v>3293</v>
      </c>
      <c r="CP73" s="42">
        <v>1363</v>
      </c>
      <c r="CQ73" s="18">
        <v>0.4139082903127847</v>
      </c>
      <c r="CR73" s="38">
        <v>248</v>
      </c>
      <c r="CS73" s="109" t="s">
        <v>286</v>
      </c>
      <c r="CT73" s="109" t="s">
        <v>286</v>
      </c>
      <c r="CU73" s="109" t="s">
        <v>286</v>
      </c>
      <c r="CV73" s="109" t="s">
        <v>286</v>
      </c>
      <c r="CW73" s="109" t="s">
        <v>286</v>
      </c>
      <c r="CX73" s="109" t="s">
        <v>286</v>
      </c>
      <c r="CY73" s="568">
        <v>1283</v>
      </c>
      <c r="CZ73" s="114" t="s">
        <v>286</v>
      </c>
      <c r="DA73" s="114" t="s">
        <v>286</v>
      </c>
      <c r="DB73" s="114" t="s">
        <v>286</v>
      </c>
      <c r="DC73" s="114" t="s">
        <v>286</v>
      </c>
      <c r="DD73" s="114" t="s">
        <v>286</v>
      </c>
      <c r="DE73" s="109" t="s">
        <v>286</v>
      </c>
      <c r="DF73" s="109">
        <v>30</v>
      </c>
      <c r="DG73" s="289" t="s">
        <v>286</v>
      </c>
      <c r="DH73" s="289" t="s">
        <v>286</v>
      </c>
      <c r="DI73" s="109" t="s">
        <v>286</v>
      </c>
      <c r="DJ73" s="109" t="s">
        <v>286</v>
      </c>
      <c r="DK73" s="109" t="s">
        <v>286</v>
      </c>
      <c r="DL73" s="109" t="s">
        <v>286</v>
      </c>
      <c r="DM73" s="109" t="s">
        <v>286</v>
      </c>
      <c r="DN73" s="109" t="s">
        <v>286</v>
      </c>
      <c r="DO73" s="109" t="s">
        <v>286</v>
      </c>
      <c r="DP73" s="380">
        <v>111</v>
      </c>
      <c r="DQ73" s="258">
        <v>8.6515978176149644E-2</v>
      </c>
      <c r="DR73" s="258">
        <v>7.2341035950241897E-2</v>
      </c>
      <c r="DS73" s="258">
        <v>0.10315957235908553</v>
      </c>
      <c r="DT73" s="13">
        <v>158</v>
      </c>
      <c r="DU73" s="18">
        <v>1.9602977667493797E-2</v>
      </c>
      <c r="DV73" s="368" t="s">
        <v>286</v>
      </c>
      <c r="DW73" s="369" t="s">
        <v>286</v>
      </c>
      <c r="DX73" s="420" t="s">
        <v>286</v>
      </c>
      <c r="DY73" s="420" t="s">
        <v>286</v>
      </c>
      <c r="DZ73" s="420" t="s">
        <v>286</v>
      </c>
      <c r="EA73" s="369" t="s">
        <v>286</v>
      </c>
      <c r="EB73" s="9">
        <v>2084</v>
      </c>
      <c r="EC73" s="18">
        <v>4.8774779413485618E-2</v>
      </c>
      <c r="ED73" s="289">
        <v>1650</v>
      </c>
      <c r="EE73" s="109">
        <v>1650</v>
      </c>
      <c r="EF73" s="109">
        <v>1580</v>
      </c>
      <c r="EG73" s="109">
        <v>1475</v>
      </c>
      <c r="EH73" s="109">
        <v>1395</v>
      </c>
      <c r="EI73" s="109">
        <v>1270</v>
      </c>
      <c r="EJ73" s="289" t="s">
        <v>286</v>
      </c>
      <c r="EK73" s="258" t="s">
        <v>286</v>
      </c>
      <c r="EL73" s="109" t="s">
        <v>286</v>
      </c>
      <c r="EM73" s="109" t="s">
        <v>286</v>
      </c>
      <c r="EN73" s="109" t="s">
        <v>286</v>
      </c>
      <c r="EO73" s="258" t="s">
        <v>286</v>
      </c>
      <c r="EP73" s="109" t="s">
        <v>286</v>
      </c>
      <c r="EQ73" s="258" t="s">
        <v>286</v>
      </c>
      <c r="ER73" s="109" t="s">
        <v>286</v>
      </c>
      <c r="ES73" s="258" t="s">
        <v>286</v>
      </c>
      <c r="ET73" s="109" t="s">
        <v>286</v>
      </c>
      <c r="EU73" s="258" t="s">
        <v>286</v>
      </c>
      <c r="EV73" s="109" t="s">
        <v>286</v>
      </c>
      <c r="EW73" s="258" t="s">
        <v>286</v>
      </c>
      <c r="EX73" s="109" t="s">
        <v>286</v>
      </c>
      <c r="EY73" s="258" t="s">
        <v>286</v>
      </c>
      <c r="EZ73" s="109" t="s">
        <v>286</v>
      </c>
      <c r="FA73" s="258" t="s">
        <v>286</v>
      </c>
      <c r="FB73" s="258" t="s">
        <v>286</v>
      </c>
      <c r="FC73" s="258" t="s">
        <v>286</v>
      </c>
      <c r="FD73" s="258" t="s">
        <v>286</v>
      </c>
      <c r="FE73" s="258" t="s">
        <v>286</v>
      </c>
      <c r="FF73" s="258" t="s">
        <v>286</v>
      </c>
      <c r="FG73" s="258" t="s">
        <v>286</v>
      </c>
      <c r="FH73" s="425" t="s">
        <v>286</v>
      </c>
      <c r="FI73" s="258" t="s">
        <v>286</v>
      </c>
      <c r="FJ73" s="258" t="s">
        <v>286</v>
      </c>
      <c r="FK73" s="258" t="s">
        <v>286</v>
      </c>
      <c r="FL73" s="341" t="s">
        <v>286</v>
      </c>
      <c r="FM73" s="258" t="s">
        <v>286</v>
      </c>
      <c r="FN73" s="114" t="s">
        <v>286</v>
      </c>
      <c r="FO73" s="258" t="s">
        <v>286</v>
      </c>
      <c r="FP73" s="114" t="s">
        <v>286</v>
      </c>
      <c r="FQ73" s="258" t="s">
        <v>286</v>
      </c>
      <c r="FR73" s="114" t="s">
        <v>286</v>
      </c>
      <c r="FS73" s="258" t="s">
        <v>286</v>
      </c>
      <c r="FT73" s="114" t="s">
        <v>286</v>
      </c>
      <c r="FU73" s="258" t="s">
        <v>286</v>
      </c>
      <c r="FV73" s="114" t="s">
        <v>286</v>
      </c>
      <c r="FW73" s="258" t="s">
        <v>286</v>
      </c>
      <c r="FX73" s="114" t="s">
        <v>286</v>
      </c>
      <c r="FY73" s="259" t="s">
        <v>286</v>
      </c>
      <c r="FZ73" s="109" t="s">
        <v>286</v>
      </c>
      <c r="GA73" s="109" t="s">
        <v>286</v>
      </c>
      <c r="GB73" s="109" t="s">
        <v>286</v>
      </c>
      <c r="GC73" s="258" t="s">
        <v>286</v>
      </c>
      <c r="GD73" s="109" t="s">
        <v>286</v>
      </c>
      <c r="GE73" s="109" t="s">
        <v>286</v>
      </c>
      <c r="GF73" s="258" t="s">
        <v>286</v>
      </c>
      <c r="GG73" s="258" t="s">
        <v>286</v>
      </c>
      <c r="GH73" s="258" t="s">
        <v>286</v>
      </c>
      <c r="GI73" s="258" t="s">
        <v>286</v>
      </c>
      <c r="GJ73" s="258" t="s">
        <v>286</v>
      </c>
      <c r="GK73" s="259" t="s">
        <v>286</v>
      </c>
      <c r="GL73" s="420" t="s">
        <v>286</v>
      </c>
      <c r="GM73" s="258" t="s">
        <v>286</v>
      </c>
      <c r="GN73" s="258" t="s">
        <v>286</v>
      </c>
      <c r="GO73" s="258" t="s">
        <v>286</v>
      </c>
      <c r="GP73" s="258" t="s">
        <v>286</v>
      </c>
      <c r="GQ73" s="258" t="s">
        <v>286</v>
      </c>
      <c r="GR73" s="420" t="s">
        <v>286</v>
      </c>
      <c r="GS73" s="258" t="s">
        <v>286</v>
      </c>
      <c r="GT73" s="258" t="s">
        <v>286</v>
      </c>
      <c r="GU73" s="259" t="s">
        <v>286</v>
      </c>
      <c r="GV73" s="114">
        <v>1564</v>
      </c>
      <c r="GW73" s="114">
        <v>176</v>
      </c>
      <c r="GX73" s="114">
        <v>1388</v>
      </c>
      <c r="GY73" s="258">
        <f t="shared" si="9"/>
        <v>0.88746803069053704</v>
      </c>
      <c r="GZ73" s="114">
        <v>474</v>
      </c>
      <c r="HA73" s="114">
        <v>300</v>
      </c>
      <c r="HB73" s="114">
        <v>774</v>
      </c>
      <c r="HC73" s="258">
        <v>0.34149855907780979</v>
      </c>
      <c r="HD73" s="258">
        <v>0.55763688760806918</v>
      </c>
      <c r="HE73" s="258">
        <v>0.31701918092494397</v>
      </c>
      <c r="HF73" s="258">
        <v>0.36685285980819277</v>
      </c>
      <c r="HG73" s="258">
        <v>0.5313846627876323</v>
      </c>
      <c r="HH73" s="259">
        <v>0.58357095876395437</v>
      </c>
      <c r="HI73" s="702" t="s">
        <v>286</v>
      </c>
      <c r="HJ73" s="703" t="s">
        <v>286</v>
      </c>
      <c r="HK73" s="703" t="s">
        <v>286</v>
      </c>
      <c r="HL73" s="704" t="s">
        <v>286</v>
      </c>
      <c r="HM73" s="703" t="s">
        <v>286</v>
      </c>
      <c r="HN73" s="703" t="s">
        <v>286</v>
      </c>
      <c r="HO73" s="703" t="s">
        <v>286</v>
      </c>
      <c r="HP73" s="704" t="s">
        <v>286</v>
      </c>
      <c r="HQ73" s="704" t="s">
        <v>286</v>
      </c>
      <c r="HR73" s="704" t="s">
        <v>286</v>
      </c>
      <c r="HS73" s="704" t="s">
        <v>286</v>
      </c>
      <c r="HT73" s="704" t="s">
        <v>286</v>
      </c>
      <c r="HU73" s="705" t="s">
        <v>286</v>
      </c>
      <c r="HV73" s="109" t="s">
        <v>286</v>
      </c>
      <c r="HW73" s="380" t="s">
        <v>286</v>
      </c>
      <c r="HX73" s="258" t="s">
        <v>286</v>
      </c>
      <c r="HY73" s="258" t="s">
        <v>286</v>
      </c>
      <c r="HZ73" s="258" t="s">
        <v>286</v>
      </c>
      <c r="IA73" s="408" t="s">
        <v>286</v>
      </c>
      <c r="IB73" s="109" t="s">
        <v>286</v>
      </c>
      <c r="IC73" s="380" t="s">
        <v>286</v>
      </c>
      <c r="ID73" s="258" t="s">
        <v>286</v>
      </c>
      <c r="IE73" s="258" t="s">
        <v>286</v>
      </c>
      <c r="IF73" s="258" t="s">
        <v>286</v>
      </c>
      <c r="IG73" s="401" t="s">
        <v>286</v>
      </c>
      <c r="IH73" s="109" t="s">
        <v>286</v>
      </c>
      <c r="II73" s="380" t="s">
        <v>286</v>
      </c>
      <c r="IJ73" s="258" t="s">
        <v>286</v>
      </c>
      <c r="IK73" s="258" t="s">
        <v>286</v>
      </c>
      <c r="IL73" s="258" t="s">
        <v>286</v>
      </c>
      <c r="IM73" s="401" t="s">
        <v>286</v>
      </c>
      <c r="IN73" s="109" t="s">
        <v>286</v>
      </c>
      <c r="IO73" s="380" t="s">
        <v>286</v>
      </c>
      <c r="IP73" s="258" t="s">
        <v>286</v>
      </c>
      <c r="IQ73" s="258" t="s">
        <v>286</v>
      </c>
      <c r="IR73" s="258" t="s">
        <v>286</v>
      </c>
      <c r="IS73" s="401" t="s">
        <v>286</v>
      </c>
      <c r="IT73" s="109" t="s">
        <v>286</v>
      </c>
      <c r="IU73" s="109" t="s">
        <v>286</v>
      </c>
      <c r="IV73" s="258" t="s">
        <v>286</v>
      </c>
      <c r="IW73" s="258" t="s">
        <v>286</v>
      </c>
      <c r="IX73" s="258" t="s">
        <v>286</v>
      </c>
      <c r="IY73" s="401" t="s">
        <v>286</v>
      </c>
      <c r="IZ73" s="109">
        <v>1522</v>
      </c>
      <c r="JA73" s="109">
        <v>110</v>
      </c>
      <c r="JB73" s="258">
        <v>7.2273324572930356E-2</v>
      </c>
      <c r="JC73" s="258">
        <v>6.0313129175953259E-2</v>
      </c>
      <c r="JD73" s="258">
        <v>8.6387209530073714E-2</v>
      </c>
      <c r="JE73" s="401" t="str">
        <f t="shared" si="10"/>
        <v>Sig better than Eng.</v>
      </c>
      <c r="JF73" s="109">
        <v>1486</v>
      </c>
      <c r="JG73" s="109">
        <v>140</v>
      </c>
      <c r="JH73" s="258">
        <v>9.4212651413189769E-2</v>
      </c>
      <c r="JI73" s="258">
        <v>8.0388518779297188E-2</v>
      </c>
      <c r="JJ73" s="258">
        <v>0.11012937635658729</v>
      </c>
      <c r="JK73" s="664" t="str">
        <f t="shared" si="13"/>
        <v>No Sig diff</v>
      </c>
      <c r="JL73" s="109" t="s">
        <v>286</v>
      </c>
      <c r="JM73" s="380" t="s">
        <v>286</v>
      </c>
      <c r="JN73" s="258" t="s">
        <v>286</v>
      </c>
      <c r="JO73" s="258" t="s">
        <v>286</v>
      </c>
      <c r="JP73" s="258" t="s">
        <v>286</v>
      </c>
      <c r="JQ73" s="109" t="s">
        <v>286</v>
      </c>
      <c r="JR73" s="109" t="s">
        <v>286</v>
      </c>
      <c r="JS73" s="380" t="s">
        <v>286</v>
      </c>
      <c r="JT73" s="258" t="s">
        <v>286</v>
      </c>
      <c r="JU73" s="258" t="s">
        <v>286</v>
      </c>
      <c r="JV73" s="258" t="s">
        <v>286</v>
      </c>
      <c r="JW73" s="109" t="s">
        <v>286</v>
      </c>
      <c r="JX73" s="109" t="s">
        <v>286</v>
      </c>
      <c r="JY73" s="380" t="s">
        <v>286</v>
      </c>
      <c r="JZ73" s="258" t="s">
        <v>286</v>
      </c>
      <c r="KA73" s="258" t="s">
        <v>286</v>
      </c>
      <c r="KB73" s="258" t="s">
        <v>286</v>
      </c>
      <c r="KC73" s="109" t="s">
        <v>286</v>
      </c>
      <c r="KD73" s="109" t="s">
        <v>286</v>
      </c>
      <c r="KE73" s="380" t="s">
        <v>286</v>
      </c>
      <c r="KF73" s="258" t="s">
        <v>286</v>
      </c>
      <c r="KG73" s="258" t="s">
        <v>286</v>
      </c>
      <c r="KH73" s="258" t="s">
        <v>286</v>
      </c>
      <c r="KI73" s="109" t="s">
        <v>286</v>
      </c>
      <c r="KJ73" s="109" t="s">
        <v>286</v>
      </c>
      <c r="KK73" s="109" t="s">
        <v>286</v>
      </c>
      <c r="KL73" s="109" t="s">
        <v>286</v>
      </c>
      <c r="KM73" s="109" t="s">
        <v>286</v>
      </c>
      <c r="KN73" s="109" t="s">
        <v>286</v>
      </c>
      <c r="KO73" s="401" t="s">
        <v>286</v>
      </c>
      <c r="KP73" s="109">
        <v>1218</v>
      </c>
      <c r="KQ73" s="109">
        <v>254</v>
      </c>
      <c r="KR73" s="258">
        <v>0.20853858784893267</v>
      </c>
      <c r="KS73" s="258">
        <v>0.18665677725201979</v>
      </c>
      <c r="KT73" s="258">
        <v>0.23225310268830984</v>
      </c>
      <c r="KU73" s="109" t="s">
        <v>772</v>
      </c>
      <c r="KV73" s="109">
        <v>1157</v>
      </c>
      <c r="KW73" s="109">
        <v>252</v>
      </c>
      <c r="KX73" s="258">
        <v>0.21780466724286948</v>
      </c>
      <c r="KY73" s="258">
        <v>0.19497620907529706</v>
      </c>
      <c r="KZ73" s="258">
        <v>0.24250080810206442</v>
      </c>
      <c r="LA73" s="664" t="str">
        <f t="shared" si="12"/>
        <v>No Sig diff</v>
      </c>
      <c r="LB73" s="9">
        <v>1440</v>
      </c>
      <c r="LC73" s="9">
        <v>693</v>
      </c>
      <c r="LD73" s="18">
        <v>0.48125000000000001</v>
      </c>
      <c r="LE73" s="18">
        <v>0.45552756226071045</v>
      </c>
      <c r="LF73" s="18">
        <v>0.50707220957012045</v>
      </c>
      <c r="LG73" s="9">
        <v>1440</v>
      </c>
      <c r="LH73" s="9">
        <v>34</v>
      </c>
      <c r="LI73" s="9">
        <v>288</v>
      </c>
      <c r="LJ73" s="294">
        <v>22.378472222222197</v>
      </c>
      <c r="LK73" s="18">
        <v>0.34180964052287655</v>
      </c>
      <c r="LL73" s="9">
        <v>1518</v>
      </c>
      <c r="LM73" s="9">
        <v>841</v>
      </c>
      <c r="LN73" s="18">
        <v>0.5540184453227931</v>
      </c>
      <c r="LO73" s="18">
        <v>0.52890795807318758</v>
      </c>
      <c r="LP73" s="18">
        <v>0.57885622396393932</v>
      </c>
      <c r="LQ73" s="9">
        <v>1518</v>
      </c>
      <c r="LR73" s="9">
        <v>34</v>
      </c>
      <c r="LS73" s="9">
        <v>303</v>
      </c>
      <c r="LT73" s="294">
        <v>22.61056105610562</v>
      </c>
      <c r="LU73" s="18">
        <v>0.33498349834983471</v>
      </c>
      <c r="LV73" s="42">
        <v>1610</v>
      </c>
      <c r="LW73" s="42">
        <v>984</v>
      </c>
      <c r="LX73" s="393">
        <v>0.61099999999999999</v>
      </c>
      <c r="LY73" s="393">
        <v>0.58712497274917275</v>
      </c>
      <c r="LZ73" s="393">
        <v>0.63470598719010562</v>
      </c>
      <c r="MA73" s="337">
        <v>34</v>
      </c>
      <c r="MB73" s="337">
        <v>322</v>
      </c>
      <c r="MC73" s="294">
        <v>23.4</v>
      </c>
      <c r="MD73" s="393">
        <v>0.31</v>
      </c>
      <c r="ME73" s="337">
        <v>1558</v>
      </c>
      <c r="MF73" s="337">
        <v>1037</v>
      </c>
      <c r="MG73" s="393">
        <v>0.66559691912708596</v>
      </c>
      <c r="MH73" s="393">
        <v>0.6417885260048356</v>
      </c>
      <c r="MI73" s="393">
        <v>0.68859071773070879</v>
      </c>
      <c r="MJ73" s="337">
        <v>34</v>
      </c>
      <c r="MK73" s="337">
        <v>311</v>
      </c>
      <c r="ML73" s="294">
        <v>22.157556270096464</v>
      </c>
      <c r="MM73" s="93">
        <v>0.34830716852657462</v>
      </c>
      <c r="MN73" s="258" t="s">
        <v>286</v>
      </c>
      <c r="MO73" s="258" t="s">
        <v>286</v>
      </c>
      <c r="MP73" s="258" t="s">
        <v>286</v>
      </c>
      <c r="MQ73" s="258" t="s">
        <v>286</v>
      </c>
      <c r="MR73" s="258" t="s">
        <v>286</v>
      </c>
      <c r="MS73" s="258" t="s">
        <v>286</v>
      </c>
      <c r="MT73" s="258" t="s">
        <v>286</v>
      </c>
      <c r="MU73" s="258" t="s">
        <v>286</v>
      </c>
      <c r="MV73" s="258" t="s">
        <v>286</v>
      </c>
      <c r="MW73" s="258" t="s">
        <v>286</v>
      </c>
      <c r="MX73" s="258" t="s">
        <v>286</v>
      </c>
      <c r="MY73" s="258" t="s">
        <v>286</v>
      </c>
      <c r="MZ73" s="258" t="s">
        <v>286</v>
      </c>
      <c r="NA73" s="258" t="s">
        <v>286</v>
      </c>
      <c r="NB73" s="258" t="s">
        <v>286</v>
      </c>
      <c r="NC73" s="259" t="s">
        <v>286</v>
      </c>
      <c r="ND73" s="425">
        <v>94</v>
      </c>
      <c r="NE73" s="425">
        <v>782</v>
      </c>
      <c r="NF73" s="258">
        <v>0.12020460358056266</v>
      </c>
      <c r="NG73" s="258">
        <v>9.9248559504410971E-2</v>
      </c>
      <c r="NH73" s="258">
        <v>0.14487378434416764</v>
      </c>
      <c r="NI73" s="425">
        <v>71</v>
      </c>
      <c r="NJ73" s="425">
        <v>781</v>
      </c>
      <c r="NK73" s="258">
        <v>9.0909090909090912E-2</v>
      </c>
      <c r="NL73" s="258">
        <v>7.2699562255173211E-2</v>
      </c>
      <c r="NM73" s="258">
        <v>0.11312326499434044</v>
      </c>
      <c r="NN73" s="425">
        <v>81</v>
      </c>
      <c r="NO73" s="425">
        <v>777</v>
      </c>
      <c r="NP73" s="258">
        <v>0.10424710424710425</v>
      </c>
      <c r="NQ73" s="258">
        <v>8.467233528429223E-2</v>
      </c>
      <c r="NR73" s="258">
        <v>0.12771579670752684</v>
      </c>
      <c r="NS73" s="425">
        <v>172</v>
      </c>
      <c r="NT73" s="425">
        <v>739</v>
      </c>
      <c r="NU73" s="258">
        <v>0.2327469553450609</v>
      </c>
      <c r="NV73" s="258">
        <v>0.20370894597934167</v>
      </c>
      <c r="NW73" s="259">
        <v>0.26454905805413481</v>
      </c>
      <c r="NX73" s="109" t="s">
        <v>286</v>
      </c>
      <c r="NY73" s="109" t="s">
        <v>286</v>
      </c>
      <c r="NZ73" s="109" t="s">
        <v>286</v>
      </c>
      <c r="OA73" s="109" t="s">
        <v>286</v>
      </c>
      <c r="OB73" s="109" t="s">
        <v>286</v>
      </c>
      <c r="OC73" s="109" t="s">
        <v>286</v>
      </c>
      <c r="OD73" s="109" t="s">
        <v>286</v>
      </c>
      <c r="OE73" s="109" t="s">
        <v>286</v>
      </c>
      <c r="OF73" s="109" t="s">
        <v>286</v>
      </c>
      <c r="OG73" s="109" t="s">
        <v>286</v>
      </c>
      <c r="OH73" s="109" t="s">
        <v>286</v>
      </c>
      <c r="OI73" s="109" t="s">
        <v>286</v>
      </c>
      <c r="OJ73" s="109" t="s">
        <v>286</v>
      </c>
      <c r="OK73" s="109" t="s">
        <v>286</v>
      </c>
      <c r="OL73" s="109" t="s">
        <v>286</v>
      </c>
      <c r="OM73" s="109" t="s">
        <v>286</v>
      </c>
      <c r="ON73" s="109" t="s">
        <v>286</v>
      </c>
      <c r="OO73" s="109" t="s">
        <v>286</v>
      </c>
      <c r="OP73" s="109" t="s">
        <v>286</v>
      </c>
      <c r="OQ73" s="109" t="s">
        <v>286</v>
      </c>
      <c r="OR73" s="109" t="s">
        <v>286</v>
      </c>
      <c r="OS73" s="109" t="s">
        <v>286</v>
      </c>
      <c r="OT73" s="115" t="s">
        <v>286</v>
      </c>
      <c r="OU73" s="109" t="s">
        <v>286</v>
      </c>
      <c r="OV73" s="109" t="s">
        <v>286</v>
      </c>
      <c r="OW73" s="109" t="s">
        <v>286</v>
      </c>
      <c r="OX73" s="109" t="s">
        <v>286</v>
      </c>
      <c r="OY73" s="109" t="s">
        <v>286</v>
      </c>
      <c r="OZ73" s="109" t="s">
        <v>286</v>
      </c>
      <c r="PA73" s="109" t="s">
        <v>286</v>
      </c>
      <c r="PB73" s="109" t="s">
        <v>286</v>
      </c>
      <c r="PC73" s="109" t="s">
        <v>286</v>
      </c>
      <c r="PD73" s="109" t="s">
        <v>286</v>
      </c>
      <c r="PE73" s="109" t="s">
        <v>286</v>
      </c>
      <c r="PF73" s="109" t="s">
        <v>286</v>
      </c>
      <c r="PG73" s="109" t="s">
        <v>286</v>
      </c>
      <c r="PH73" s="109" t="s">
        <v>286</v>
      </c>
      <c r="PI73" s="109" t="s">
        <v>286</v>
      </c>
      <c r="PJ73" s="109" t="s">
        <v>286</v>
      </c>
      <c r="PK73" s="109" t="s">
        <v>286</v>
      </c>
      <c r="PL73" s="109" t="s">
        <v>286</v>
      </c>
      <c r="PM73" s="109" t="s">
        <v>286</v>
      </c>
      <c r="PN73" s="109" t="s">
        <v>286</v>
      </c>
      <c r="PO73" s="109" t="s">
        <v>286</v>
      </c>
      <c r="PP73" s="109" t="s">
        <v>286</v>
      </c>
      <c r="PQ73" s="109" t="s">
        <v>286</v>
      </c>
      <c r="PR73" s="109" t="s">
        <v>286</v>
      </c>
      <c r="PS73" s="109" t="s">
        <v>286</v>
      </c>
      <c r="PT73" s="109" t="s">
        <v>286</v>
      </c>
      <c r="PU73" s="109" t="s">
        <v>286</v>
      </c>
      <c r="PV73" s="109" t="s">
        <v>286</v>
      </c>
      <c r="PW73" s="109" t="s">
        <v>286</v>
      </c>
      <c r="PX73" s="109" t="s">
        <v>286</v>
      </c>
      <c r="PY73" s="109" t="s">
        <v>286</v>
      </c>
      <c r="PZ73" s="109" t="s">
        <v>286</v>
      </c>
      <c r="QA73" s="109" t="s">
        <v>286</v>
      </c>
      <c r="QB73" s="109" t="s">
        <v>286</v>
      </c>
      <c r="QC73" s="109" t="s">
        <v>286</v>
      </c>
      <c r="QD73" s="109" t="s">
        <v>286</v>
      </c>
      <c r="QE73" s="109" t="s">
        <v>286</v>
      </c>
      <c r="QF73" s="109" t="s">
        <v>286</v>
      </c>
      <c r="QG73" s="115" t="s">
        <v>286</v>
      </c>
      <c r="QH73" s="109" t="s">
        <v>286</v>
      </c>
      <c r="QI73" s="109" t="s">
        <v>286</v>
      </c>
      <c r="QJ73" s="109" t="s">
        <v>286</v>
      </c>
      <c r="QK73" s="109" t="s">
        <v>286</v>
      </c>
      <c r="QL73" s="114" t="s">
        <v>286</v>
      </c>
      <c r="QM73" s="114" t="s">
        <v>286</v>
      </c>
      <c r="QN73" s="114" t="s">
        <v>286</v>
      </c>
      <c r="QO73" s="114" t="s">
        <v>286</v>
      </c>
      <c r="QP73" s="109" t="s">
        <v>286</v>
      </c>
      <c r="QQ73" s="109" t="s">
        <v>286</v>
      </c>
      <c r="QR73" s="109" t="s">
        <v>286</v>
      </c>
      <c r="QS73" s="109" t="s">
        <v>286</v>
      </c>
      <c r="QT73" s="109" t="s">
        <v>286</v>
      </c>
      <c r="QU73" s="114" t="s">
        <v>286</v>
      </c>
      <c r="QV73" s="114" t="s">
        <v>286</v>
      </c>
      <c r="QW73" s="114" t="s">
        <v>286</v>
      </c>
      <c r="QX73" s="114" t="s">
        <v>286</v>
      </c>
      <c r="QY73" s="114" t="s">
        <v>286</v>
      </c>
      <c r="QZ73" s="109" t="s">
        <v>286</v>
      </c>
      <c r="RA73" s="109" t="s">
        <v>286</v>
      </c>
      <c r="RB73" s="109" t="s">
        <v>286</v>
      </c>
      <c r="RC73" s="109" t="s">
        <v>286</v>
      </c>
      <c r="RD73" s="109" t="s">
        <v>286</v>
      </c>
      <c r="RE73" s="109" t="s">
        <v>286</v>
      </c>
      <c r="RF73" s="109" t="s">
        <v>286</v>
      </c>
      <c r="RG73" s="109" t="s">
        <v>286</v>
      </c>
      <c r="RH73" s="109" t="s">
        <v>286</v>
      </c>
      <c r="RI73" s="109" t="s">
        <v>286</v>
      </c>
      <c r="RJ73" s="109" t="s">
        <v>286</v>
      </c>
      <c r="RK73" s="109" t="s">
        <v>286</v>
      </c>
      <c r="RL73" s="109" t="s">
        <v>286</v>
      </c>
      <c r="RM73" s="109" t="s">
        <v>286</v>
      </c>
      <c r="RN73" s="109" t="s">
        <v>286</v>
      </c>
      <c r="RO73" s="109" t="s">
        <v>286</v>
      </c>
      <c r="RP73" s="109" t="s">
        <v>286</v>
      </c>
      <c r="RQ73" s="109" t="s">
        <v>286</v>
      </c>
      <c r="RR73" s="109" t="s">
        <v>286</v>
      </c>
      <c r="RS73" s="109" t="s">
        <v>286</v>
      </c>
      <c r="RT73" s="115" t="s">
        <v>286</v>
      </c>
    </row>
    <row r="74" spans="1:488" s="9" customFormat="1" ht="12.75" x14ac:dyDescent="0.2">
      <c r="A74" s="9" t="s">
        <v>107</v>
      </c>
      <c r="B74" s="6">
        <v>4</v>
      </c>
      <c r="C74" s="9" t="s">
        <v>286</v>
      </c>
      <c r="D74" s="9" t="s">
        <v>286</v>
      </c>
      <c r="E74" s="9" t="s">
        <v>286</v>
      </c>
      <c r="F74" s="9" t="s">
        <v>286</v>
      </c>
      <c r="G74" s="9" t="s">
        <v>286</v>
      </c>
      <c r="H74" s="9" t="s">
        <v>286</v>
      </c>
      <c r="I74" s="9" t="s">
        <v>286</v>
      </c>
      <c r="J74" s="9" t="s">
        <v>270</v>
      </c>
      <c r="K74" s="9" t="s">
        <v>286</v>
      </c>
      <c r="L74" s="9" t="s">
        <v>275</v>
      </c>
      <c r="M74" s="9" t="s">
        <v>286</v>
      </c>
      <c r="N74" s="9" t="s">
        <v>286</v>
      </c>
      <c r="O74" s="109" t="s">
        <v>286</v>
      </c>
      <c r="P74" s="109" t="s">
        <v>286</v>
      </c>
      <c r="Q74" s="109" t="s">
        <v>286</v>
      </c>
      <c r="R74" s="109" t="s">
        <v>286</v>
      </c>
      <c r="S74" s="109" t="s">
        <v>286</v>
      </c>
      <c r="T74" s="36">
        <v>130500</v>
      </c>
      <c r="U74" s="42">
        <v>132050</v>
      </c>
      <c r="V74" s="42">
        <v>134000</v>
      </c>
      <c r="W74" s="42">
        <v>135750</v>
      </c>
      <c r="X74" s="42">
        <v>137200</v>
      </c>
      <c r="Y74" s="42">
        <v>138900</v>
      </c>
      <c r="Z74" s="42">
        <v>140200</v>
      </c>
      <c r="AA74" s="42">
        <v>141150</v>
      </c>
      <c r="AB74" s="42">
        <v>142750</v>
      </c>
      <c r="AC74" s="42">
        <v>144375</v>
      </c>
      <c r="AD74" s="42">
        <v>145651</v>
      </c>
      <c r="AE74" s="36">
        <v>7450</v>
      </c>
      <c r="AF74" s="42">
        <v>7650</v>
      </c>
      <c r="AG74" s="42">
        <v>8000</v>
      </c>
      <c r="AH74" s="42">
        <v>8150</v>
      </c>
      <c r="AI74" s="42">
        <v>8150</v>
      </c>
      <c r="AJ74" s="42">
        <v>8250</v>
      </c>
      <c r="AK74" s="42">
        <v>8350</v>
      </c>
      <c r="AL74" s="42">
        <v>8500</v>
      </c>
      <c r="AM74" s="42">
        <v>8550</v>
      </c>
      <c r="AN74" s="42">
        <v>8695</v>
      </c>
      <c r="AO74" s="42">
        <v>8631</v>
      </c>
      <c r="AP74" s="13">
        <v>8343</v>
      </c>
      <c r="AQ74" s="9">
        <v>7298</v>
      </c>
      <c r="AR74" s="9">
        <v>325</v>
      </c>
      <c r="AS74" s="9">
        <v>336</v>
      </c>
      <c r="AT74" s="9">
        <v>331</v>
      </c>
      <c r="AU74" s="9">
        <v>46</v>
      </c>
      <c r="AV74" s="9">
        <v>7</v>
      </c>
      <c r="AW74" s="9">
        <v>1045</v>
      </c>
      <c r="AX74" s="16">
        <v>0.875</v>
      </c>
      <c r="AY74" s="18">
        <v>3.9E-2</v>
      </c>
      <c r="AZ74" s="18">
        <v>0.04</v>
      </c>
      <c r="BA74" s="18">
        <v>0.04</v>
      </c>
      <c r="BB74" s="18">
        <v>6.0000000000000001E-3</v>
      </c>
      <c r="BC74" s="18">
        <v>1E-3</v>
      </c>
      <c r="BD74" s="18">
        <v>0.125</v>
      </c>
      <c r="BE74" s="36">
        <v>22188</v>
      </c>
      <c r="BF74" s="42">
        <v>21777</v>
      </c>
      <c r="BG74" s="42">
        <v>411</v>
      </c>
      <c r="BH74" s="42">
        <v>362</v>
      </c>
      <c r="BI74" s="42">
        <v>49</v>
      </c>
      <c r="BJ74" s="18">
        <v>0.88100000000000001</v>
      </c>
      <c r="BK74" s="18">
        <v>0.11899999999999999</v>
      </c>
      <c r="BL74" s="36">
        <v>16498</v>
      </c>
      <c r="BM74" s="18">
        <v>0.71</v>
      </c>
      <c r="BN74" s="18">
        <v>0.125</v>
      </c>
      <c r="BO74" s="18">
        <v>0.16500000000000001</v>
      </c>
      <c r="BP74" s="341" t="s">
        <v>286</v>
      </c>
      <c r="BQ74" s="114" t="s">
        <v>286</v>
      </c>
      <c r="BR74" s="114" t="s">
        <v>286</v>
      </c>
      <c r="BS74" s="114" t="s">
        <v>286</v>
      </c>
      <c r="BT74" s="114" t="s">
        <v>286</v>
      </c>
      <c r="BU74" s="114" t="s">
        <v>286</v>
      </c>
      <c r="BV74" s="109" t="s">
        <v>286</v>
      </c>
      <c r="BW74" s="341">
        <v>11413</v>
      </c>
      <c r="BX74" s="114">
        <v>8</v>
      </c>
      <c r="BY74" s="114">
        <v>1979</v>
      </c>
      <c r="BZ74" s="114">
        <v>2652</v>
      </c>
      <c r="CA74" s="114">
        <v>993</v>
      </c>
      <c r="CB74" s="108">
        <v>17045</v>
      </c>
      <c r="CC74" s="42">
        <v>6511</v>
      </c>
      <c r="CD74" s="42">
        <v>5856</v>
      </c>
      <c r="CE74" s="42">
        <v>647</v>
      </c>
      <c r="CF74" s="42">
        <v>655</v>
      </c>
      <c r="CG74" s="18">
        <v>9.9370296421440643E-2</v>
      </c>
      <c r="CH74" s="93">
        <v>0.10059898633082476</v>
      </c>
      <c r="CI74" s="42">
        <v>565</v>
      </c>
      <c r="CJ74" s="42">
        <v>525</v>
      </c>
      <c r="CK74" s="42">
        <v>450</v>
      </c>
      <c r="CL74" s="42">
        <v>450</v>
      </c>
      <c r="CM74" s="42">
        <v>420</v>
      </c>
      <c r="CN74" s="42">
        <v>395</v>
      </c>
      <c r="CO74" s="36">
        <v>2645</v>
      </c>
      <c r="CP74" s="42">
        <v>656</v>
      </c>
      <c r="CQ74" s="18">
        <v>0.24801512287334593</v>
      </c>
      <c r="CR74" s="38">
        <v>222</v>
      </c>
      <c r="CS74" s="109" t="s">
        <v>286</v>
      </c>
      <c r="CT74" s="109" t="s">
        <v>286</v>
      </c>
      <c r="CU74" s="109" t="s">
        <v>286</v>
      </c>
      <c r="CV74" s="109" t="s">
        <v>286</v>
      </c>
      <c r="CW74" s="109" t="s">
        <v>286</v>
      </c>
      <c r="CX74" s="109" t="s">
        <v>286</v>
      </c>
      <c r="CY74" s="568">
        <v>1457</v>
      </c>
      <c r="CZ74" s="114" t="s">
        <v>286</v>
      </c>
      <c r="DA74" s="114" t="s">
        <v>286</v>
      </c>
      <c r="DB74" s="114" t="s">
        <v>286</v>
      </c>
      <c r="DC74" s="114" t="s">
        <v>286</v>
      </c>
      <c r="DD74" s="114" t="s">
        <v>286</v>
      </c>
      <c r="DE74" s="109" t="s">
        <v>286</v>
      </c>
      <c r="DF74" s="109">
        <v>21</v>
      </c>
      <c r="DG74" s="366" t="s">
        <v>286</v>
      </c>
      <c r="DH74" s="289" t="s">
        <v>286</v>
      </c>
      <c r="DI74" s="109" t="s">
        <v>286</v>
      </c>
      <c r="DJ74" s="109" t="s">
        <v>286</v>
      </c>
      <c r="DK74" s="109" t="s">
        <v>286</v>
      </c>
      <c r="DL74" s="109" t="s">
        <v>286</v>
      </c>
      <c r="DM74" s="109" t="s">
        <v>286</v>
      </c>
      <c r="DN74" s="109" t="s">
        <v>286</v>
      </c>
      <c r="DO74" s="109" t="s">
        <v>286</v>
      </c>
      <c r="DP74" s="380">
        <v>85</v>
      </c>
      <c r="DQ74" s="258">
        <v>5.8339052848318459E-2</v>
      </c>
      <c r="DR74" s="258">
        <v>4.7425327970069951E-2</v>
      </c>
      <c r="DS74" s="258">
        <v>7.1575579192732372E-2</v>
      </c>
      <c r="DT74" s="13">
        <v>140</v>
      </c>
      <c r="DU74" s="18">
        <v>1.6794625719769675E-2</v>
      </c>
      <c r="DV74" s="368" t="s">
        <v>286</v>
      </c>
      <c r="DW74" s="369" t="s">
        <v>286</v>
      </c>
      <c r="DX74" s="420" t="s">
        <v>286</v>
      </c>
      <c r="DY74" s="420" t="s">
        <v>286</v>
      </c>
      <c r="DZ74" s="420" t="s">
        <v>286</v>
      </c>
      <c r="EA74" s="369" t="s">
        <v>286</v>
      </c>
      <c r="EB74" s="9">
        <v>1360</v>
      </c>
      <c r="EC74" s="18">
        <v>2.3689665383476458E-2</v>
      </c>
      <c r="ED74" s="289">
        <v>740</v>
      </c>
      <c r="EE74" s="109">
        <v>770</v>
      </c>
      <c r="EF74" s="109">
        <v>785</v>
      </c>
      <c r="EG74" s="109">
        <v>690</v>
      </c>
      <c r="EH74" s="109">
        <v>665</v>
      </c>
      <c r="EI74" s="109">
        <v>605</v>
      </c>
      <c r="EJ74" s="289" t="s">
        <v>286</v>
      </c>
      <c r="EK74" s="258" t="s">
        <v>286</v>
      </c>
      <c r="EL74" s="109" t="s">
        <v>286</v>
      </c>
      <c r="EM74" s="109" t="s">
        <v>286</v>
      </c>
      <c r="EN74" s="109" t="s">
        <v>286</v>
      </c>
      <c r="EO74" s="258" t="s">
        <v>286</v>
      </c>
      <c r="EP74" s="109" t="s">
        <v>286</v>
      </c>
      <c r="EQ74" s="258" t="s">
        <v>286</v>
      </c>
      <c r="ER74" s="109" t="s">
        <v>286</v>
      </c>
      <c r="ES74" s="258" t="s">
        <v>286</v>
      </c>
      <c r="ET74" s="109" t="s">
        <v>286</v>
      </c>
      <c r="EU74" s="258" t="s">
        <v>286</v>
      </c>
      <c r="EV74" s="109" t="s">
        <v>286</v>
      </c>
      <c r="EW74" s="258" t="s">
        <v>286</v>
      </c>
      <c r="EX74" s="109" t="s">
        <v>286</v>
      </c>
      <c r="EY74" s="258" t="s">
        <v>286</v>
      </c>
      <c r="EZ74" s="109" t="s">
        <v>286</v>
      </c>
      <c r="FA74" s="258" t="s">
        <v>286</v>
      </c>
      <c r="FB74" s="258" t="s">
        <v>286</v>
      </c>
      <c r="FC74" s="258" t="s">
        <v>286</v>
      </c>
      <c r="FD74" s="258" t="s">
        <v>286</v>
      </c>
      <c r="FE74" s="258" t="s">
        <v>286</v>
      </c>
      <c r="FF74" s="258" t="s">
        <v>286</v>
      </c>
      <c r="FG74" s="258" t="s">
        <v>286</v>
      </c>
      <c r="FH74" s="425" t="s">
        <v>286</v>
      </c>
      <c r="FI74" s="258" t="s">
        <v>286</v>
      </c>
      <c r="FJ74" s="258" t="s">
        <v>286</v>
      </c>
      <c r="FK74" s="258" t="s">
        <v>286</v>
      </c>
      <c r="FL74" s="341" t="s">
        <v>286</v>
      </c>
      <c r="FM74" s="258" t="s">
        <v>286</v>
      </c>
      <c r="FN74" s="114" t="s">
        <v>286</v>
      </c>
      <c r="FO74" s="258" t="s">
        <v>286</v>
      </c>
      <c r="FP74" s="114" t="s">
        <v>286</v>
      </c>
      <c r="FQ74" s="258" t="s">
        <v>286</v>
      </c>
      <c r="FR74" s="114" t="s">
        <v>286</v>
      </c>
      <c r="FS74" s="258" t="s">
        <v>286</v>
      </c>
      <c r="FT74" s="114" t="s">
        <v>286</v>
      </c>
      <c r="FU74" s="258" t="s">
        <v>286</v>
      </c>
      <c r="FV74" s="114" t="s">
        <v>286</v>
      </c>
      <c r="FW74" s="258" t="s">
        <v>286</v>
      </c>
      <c r="FX74" s="114" t="s">
        <v>286</v>
      </c>
      <c r="FY74" s="259" t="s">
        <v>286</v>
      </c>
      <c r="FZ74" s="109" t="s">
        <v>286</v>
      </c>
      <c r="GA74" s="109" t="s">
        <v>286</v>
      </c>
      <c r="GB74" s="109" t="s">
        <v>286</v>
      </c>
      <c r="GC74" s="258" t="s">
        <v>286</v>
      </c>
      <c r="GD74" s="109" t="s">
        <v>286</v>
      </c>
      <c r="GE74" s="109" t="s">
        <v>286</v>
      </c>
      <c r="GF74" s="258" t="s">
        <v>286</v>
      </c>
      <c r="GG74" s="258" t="s">
        <v>286</v>
      </c>
      <c r="GH74" s="258" t="s">
        <v>286</v>
      </c>
      <c r="GI74" s="258" t="s">
        <v>286</v>
      </c>
      <c r="GJ74" s="258" t="s">
        <v>286</v>
      </c>
      <c r="GK74" s="259" t="s">
        <v>286</v>
      </c>
      <c r="GL74" s="420" t="s">
        <v>286</v>
      </c>
      <c r="GM74" s="258" t="s">
        <v>286</v>
      </c>
      <c r="GN74" s="258" t="s">
        <v>286</v>
      </c>
      <c r="GO74" s="258" t="s">
        <v>286</v>
      </c>
      <c r="GP74" s="258" t="s">
        <v>286</v>
      </c>
      <c r="GQ74" s="258" t="s">
        <v>286</v>
      </c>
      <c r="GR74" s="420" t="s">
        <v>286</v>
      </c>
      <c r="GS74" s="258" t="s">
        <v>286</v>
      </c>
      <c r="GT74" s="258" t="s">
        <v>286</v>
      </c>
      <c r="GU74" s="259" t="s">
        <v>286</v>
      </c>
      <c r="GV74" s="114">
        <v>1543</v>
      </c>
      <c r="GW74" s="114">
        <v>192</v>
      </c>
      <c r="GX74" s="114">
        <v>1351</v>
      </c>
      <c r="GY74" s="258">
        <f t="shared" si="9"/>
        <v>0.87556707712248871</v>
      </c>
      <c r="GZ74" s="114">
        <v>656</v>
      </c>
      <c r="HA74" s="114">
        <v>215</v>
      </c>
      <c r="HB74" s="114">
        <v>871</v>
      </c>
      <c r="HC74" s="258">
        <v>0.48556624722427832</v>
      </c>
      <c r="HD74" s="258">
        <v>0.64470762398223536</v>
      </c>
      <c r="HE74" s="258">
        <v>0.45899420241850991</v>
      </c>
      <c r="HF74" s="258">
        <v>0.51222014170560104</v>
      </c>
      <c r="HG74" s="258">
        <v>0.61880940142987839</v>
      </c>
      <c r="HH74" s="259">
        <v>0.66978525106941944</v>
      </c>
      <c r="HI74" s="702" t="s">
        <v>286</v>
      </c>
      <c r="HJ74" s="703" t="s">
        <v>286</v>
      </c>
      <c r="HK74" s="703" t="s">
        <v>286</v>
      </c>
      <c r="HL74" s="704" t="s">
        <v>286</v>
      </c>
      <c r="HM74" s="703" t="s">
        <v>286</v>
      </c>
      <c r="HN74" s="703" t="s">
        <v>286</v>
      </c>
      <c r="HO74" s="703" t="s">
        <v>286</v>
      </c>
      <c r="HP74" s="704" t="s">
        <v>286</v>
      </c>
      <c r="HQ74" s="704" t="s">
        <v>286</v>
      </c>
      <c r="HR74" s="704" t="s">
        <v>286</v>
      </c>
      <c r="HS74" s="704" t="s">
        <v>286</v>
      </c>
      <c r="HT74" s="704" t="s">
        <v>286</v>
      </c>
      <c r="HU74" s="705" t="s">
        <v>286</v>
      </c>
      <c r="HV74" s="109" t="s">
        <v>286</v>
      </c>
      <c r="HW74" s="380" t="s">
        <v>286</v>
      </c>
      <c r="HX74" s="258" t="s">
        <v>286</v>
      </c>
      <c r="HY74" s="258" t="s">
        <v>286</v>
      </c>
      <c r="HZ74" s="258" t="s">
        <v>286</v>
      </c>
      <c r="IA74" s="408" t="s">
        <v>286</v>
      </c>
      <c r="IB74" s="109" t="s">
        <v>286</v>
      </c>
      <c r="IC74" s="380" t="s">
        <v>286</v>
      </c>
      <c r="ID74" s="258" t="s">
        <v>286</v>
      </c>
      <c r="IE74" s="258" t="s">
        <v>286</v>
      </c>
      <c r="IF74" s="258" t="s">
        <v>286</v>
      </c>
      <c r="IG74" s="401" t="s">
        <v>286</v>
      </c>
      <c r="IH74" s="109" t="s">
        <v>286</v>
      </c>
      <c r="II74" s="380" t="s">
        <v>286</v>
      </c>
      <c r="IJ74" s="258" t="s">
        <v>286</v>
      </c>
      <c r="IK74" s="258" t="s">
        <v>286</v>
      </c>
      <c r="IL74" s="258" t="s">
        <v>286</v>
      </c>
      <c r="IM74" s="401" t="s">
        <v>286</v>
      </c>
      <c r="IN74" s="109" t="s">
        <v>286</v>
      </c>
      <c r="IO74" s="380" t="s">
        <v>286</v>
      </c>
      <c r="IP74" s="258" t="s">
        <v>286</v>
      </c>
      <c r="IQ74" s="258" t="s">
        <v>286</v>
      </c>
      <c r="IR74" s="258" t="s">
        <v>286</v>
      </c>
      <c r="IS74" s="401" t="s">
        <v>286</v>
      </c>
      <c r="IT74" s="109" t="s">
        <v>286</v>
      </c>
      <c r="IU74" s="109" t="s">
        <v>286</v>
      </c>
      <c r="IV74" s="258" t="s">
        <v>286</v>
      </c>
      <c r="IW74" s="258" t="s">
        <v>286</v>
      </c>
      <c r="IX74" s="258" t="s">
        <v>286</v>
      </c>
      <c r="IY74" s="401" t="s">
        <v>286</v>
      </c>
      <c r="IZ74" s="109">
        <v>1359</v>
      </c>
      <c r="JA74" s="109">
        <v>81</v>
      </c>
      <c r="JB74" s="258">
        <v>5.9602649006622516E-2</v>
      </c>
      <c r="JC74" s="258">
        <v>4.8213471990640556E-2</v>
      </c>
      <c r="JD74" s="258">
        <v>7.3474533424311761E-2</v>
      </c>
      <c r="JE74" s="401" t="str">
        <f t="shared" si="10"/>
        <v>Sig better than Eng.</v>
      </c>
      <c r="JF74" s="109">
        <v>1535</v>
      </c>
      <c r="JG74" s="109">
        <v>91</v>
      </c>
      <c r="JH74" s="258">
        <v>5.9283387622149838E-2</v>
      </c>
      <c r="JI74" s="258">
        <v>4.8533331255978994E-2</v>
      </c>
      <c r="JJ74" s="258">
        <v>7.2233793749293174E-2</v>
      </c>
      <c r="JK74" s="664" t="str">
        <f t="shared" si="13"/>
        <v>Sig better than Eng.</v>
      </c>
      <c r="JL74" s="109" t="s">
        <v>286</v>
      </c>
      <c r="JM74" s="380" t="s">
        <v>286</v>
      </c>
      <c r="JN74" s="258" t="s">
        <v>286</v>
      </c>
      <c r="JO74" s="258" t="s">
        <v>286</v>
      </c>
      <c r="JP74" s="258" t="s">
        <v>286</v>
      </c>
      <c r="JQ74" s="109" t="s">
        <v>286</v>
      </c>
      <c r="JR74" s="109" t="s">
        <v>286</v>
      </c>
      <c r="JS74" s="380" t="s">
        <v>286</v>
      </c>
      <c r="JT74" s="258" t="s">
        <v>286</v>
      </c>
      <c r="JU74" s="258" t="s">
        <v>286</v>
      </c>
      <c r="JV74" s="258" t="s">
        <v>286</v>
      </c>
      <c r="JW74" s="109" t="s">
        <v>286</v>
      </c>
      <c r="JX74" s="109" t="s">
        <v>286</v>
      </c>
      <c r="JY74" s="380" t="s">
        <v>286</v>
      </c>
      <c r="JZ74" s="258" t="s">
        <v>286</v>
      </c>
      <c r="KA74" s="258" t="s">
        <v>286</v>
      </c>
      <c r="KB74" s="258" t="s">
        <v>286</v>
      </c>
      <c r="KC74" s="109" t="s">
        <v>286</v>
      </c>
      <c r="KD74" s="109" t="s">
        <v>286</v>
      </c>
      <c r="KE74" s="380" t="s">
        <v>286</v>
      </c>
      <c r="KF74" s="258" t="s">
        <v>286</v>
      </c>
      <c r="KG74" s="258" t="s">
        <v>286</v>
      </c>
      <c r="KH74" s="258" t="s">
        <v>286</v>
      </c>
      <c r="KI74" s="109" t="s">
        <v>286</v>
      </c>
      <c r="KJ74" s="109" t="s">
        <v>286</v>
      </c>
      <c r="KK74" s="109" t="s">
        <v>286</v>
      </c>
      <c r="KL74" s="109" t="s">
        <v>286</v>
      </c>
      <c r="KM74" s="109" t="s">
        <v>286</v>
      </c>
      <c r="KN74" s="109" t="s">
        <v>286</v>
      </c>
      <c r="KO74" s="401" t="s">
        <v>286</v>
      </c>
      <c r="KP74" s="109">
        <v>1250</v>
      </c>
      <c r="KQ74" s="109">
        <v>149</v>
      </c>
      <c r="KR74" s="258">
        <v>0.1192</v>
      </c>
      <c r="KS74" s="258">
        <v>0.10239368062052333</v>
      </c>
      <c r="KT74" s="258">
        <v>0.13833967262542246</v>
      </c>
      <c r="KU74" s="109" t="s">
        <v>708</v>
      </c>
      <c r="KV74" s="109">
        <v>1226</v>
      </c>
      <c r="KW74" s="109">
        <v>144</v>
      </c>
      <c r="KX74" s="258">
        <v>0.11745513866231648</v>
      </c>
      <c r="KY74" s="258">
        <v>0.10061639392025708</v>
      </c>
      <c r="KZ74" s="258">
        <v>0.13668367165123824</v>
      </c>
      <c r="LA74" s="664" t="str">
        <f t="shared" si="12"/>
        <v>Sig better than Eng.</v>
      </c>
      <c r="LB74" s="9">
        <v>1637</v>
      </c>
      <c r="LC74" s="9">
        <v>947</v>
      </c>
      <c r="LD74" s="18">
        <v>0.57849725106902872</v>
      </c>
      <c r="LE74" s="18">
        <v>0.55442004800520173</v>
      </c>
      <c r="LF74" s="18">
        <v>0.60220690618250572</v>
      </c>
      <c r="LG74" s="9">
        <v>1637</v>
      </c>
      <c r="LH74" s="9">
        <v>34</v>
      </c>
      <c r="LI74" s="9">
        <v>327</v>
      </c>
      <c r="LJ74" s="294">
        <v>25.431192660550472</v>
      </c>
      <c r="LK74" s="18">
        <v>0.25202374527792726</v>
      </c>
      <c r="LL74" s="9">
        <v>1614</v>
      </c>
      <c r="LM74" s="9">
        <v>1025</v>
      </c>
      <c r="LN74" s="18">
        <v>0.63506815365551428</v>
      </c>
      <c r="LO74" s="18">
        <v>0.61128697123654441</v>
      </c>
      <c r="LP74" s="18">
        <v>0.65820791506573717</v>
      </c>
      <c r="LQ74" s="9">
        <v>1614</v>
      </c>
      <c r="LR74" s="9">
        <v>34</v>
      </c>
      <c r="LS74" s="9">
        <v>322</v>
      </c>
      <c r="LT74" s="294">
        <v>26.602484472049689</v>
      </c>
      <c r="LU74" s="18">
        <v>0.21757398611618561</v>
      </c>
      <c r="LV74" s="42">
        <v>1729</v>
      </c>
      <c r="LW74" s="42">
        <v>1188</v>
      </c>
      <c r="LX74" s="393">
        <v>0.68700000000000006</v>
      </c>
      <c r="LY74" s="393">
        <v>0.66484874293830565</v>
      </c>
      <c r="LZ74" s="393">
        <v>0.70852644191000924</v>
      </c>
      <c r="MA74" s="337">
        <v>34</v>
      </c>
      <c r="MB74" s="337">
        <v>345</v>
      </c>
      <c r="MC74" s="294">
        <v>26.3</v>
      </c>
      <c r="MD74" s="393">
        <v>0.22600000000000001</v>
      </c>
      <c r="ME74" s="337">
        <v>1671</v>
      </c>
      <c r="MF74" s="337">
        <v>1159</v>
      </c>
      <c r="MG74" s="393">
        <v>0.69359664871334525</v>
      </c>
      <c r="MH74" s="393">
        <v>0.6710700562692532</v>
      </c>
      <c r="MI74" s="393">
        <v>0.71523516479660953</v>
      </c>
      <c r="MJ74" s="337">
        <v>34</v>
      </c>
      <c r="MK74" s="337">
        <v>334</v>
      </c>
      <c r="ML74" s="294">
        <v>27.023952095808383</v>
      </c>
      <c r="MM74" s="93">
        <v>0.20517787953504757</v>
      </c>
      <c r="MN74" s="258" t="s">
        <v>286</v>
      </c>
      <c r="MO74" s="258" t="s">
        <v>286</v>
      </c>
      <c r="MP74" s="258" t="s">
        <v>286</v>
      </c>
      <c r="MQ74" s="258" t="s">
        <v>286</v>
      </c>
      <c r="MR74" s="258" t="s">
        <v>286</v>
      </c>
      <c r="MS74" s="258" t="s">
        <v>286</v>
      </c>
      <c r="MT74" s="258" t="s">
        <v>286</v>
      </c>
      <c r="MU74" s="258" t="s">
        <v>286</v>
      </c>
      <c r="MV74" s="258" t="s">
        <v>286</v>
      </c>
      <c r="MW74" s="258" t="s">
        <v>286</v>
      </c>
      <c r="MX74" s="258" t="s">
        <v>286</v>
      </c>
      <c r="MY74" s="258" t="s">
        <v>286</v>
      </c>
      <c r="MZ74" s="258" t="s">
        <v>286</v>
      </c>
      <c r="NA74" s="258" t="s">
        <v>286</v>
      </c>
      <c r="NB74" s="258" t="s">
        <v>286</v>
      </c>
      <c r="NC74" s="259" t="s">
        <v>286</v>
      </c>
      <c r="ND74" s="425">
        <v>55</v>
      </c>
      <c r="NE74" s="425">
        <v>823</v>
      </c>
      <c r="NF74" s="258">
        <v>6.6828675577156743E-2</v>
      </c>
      <c r="NG74" s="258">
        <v>5.170105847217684E-2</v>
      </c>
      <c r="NH74" s="258">
        <v>8.5981271805581239E-2</v>
      </c>
      <c r="NI74" s="425">
        <v>43</v>
      </c>
      <c r="NJ74" s="425">
        <v>823</v>
      </c>
      <c r="NK74" s="258">
        <v>5.2247873633049821E-2</v>
      </c>
      <c r="NL74" s="258">
        <v>3.9018455733918607E-2</v>
      </c>
      <c r="NM74" s="258">
        <v>6.9637753823876228E-2</v>
      </c>
      <c r="NN74" s="425">
        <v>50</v>
      </c>
      <c r="NO74" s="425">
        <v>818</v>
      </c>
      <c r="NP74" s="258">
        <v>6.1124694376528114E-2</v>
      </c>
      <c r="NQ74" s="258">
        <v>4.6669911343793682E-2</v>
      </c>
      <c r="NR74" s="258">
        <v>7.9682267298668577E-2</v>
      </c>
      <c r="NS74" s="425">
        <v>112</v>
      </c>
      <c r="NT74" s="425">
        <v>814</v>
      </c>
      <c r="NU74" s="258">
        <v>0.13759213759213759</v>
      </c>
      <c r="NV74" s="258">
        <v>0.11562469537313362</v>
      </c>
      <c r="NW74" s="259">
        <v>0.16296409022014693</v>
      </c>
      <c r="NX74" s="109" t="s">
        <v>286</v>
      </c>
      <c r="NY74" s="109" t="s">
        <v>286</v>
      </c>
      <c r="NZ74" s="109" t="s">
        <v>286</v>
      </c>
      <c r="OA74" s="109" t="s">
        <v>286</v>
      </c>
      <c r="OB74" s="109" t="s">
        <v>286</v>
      </c>
      <c r="OC74" s="109" t="s">
        <v>286</v>
      </c>
      <c r="OD74" s="109" t="s">
        <v>286</v>
      </c>
      <c r="OE74" s="109" t="s">
        <v>286</v>
      </c>
      <c r="OF74" s="109" t="s">
        <v>286</v>
      </c>
      <c r="OG74" s="109" t="s">
        <v>286</v>
      </c>
      <c r="OH74" s="109" t="s">
        <v>286</v>
      </c>
      <c r="OI74" s="109" t="s">
        <v>286</v>
      </c>
      <c r="OJ74" s="109" t="s">
        <v>286</v>
      </c>
      <c r="OK74" s="109" t="s">
        <v>286</v>
      </c>
      <c r="OL74" s="109" t="s">
        <v>286</v>
      </c>
      <c r="OM74" s="109" t="s">
        <v>286</v>
      </c>
      <c r="ON74" s="109" t="s">
        <v>286</v>
      </c>
      <c r="OO74" s="109" t="s">
        <v>286</v>
      </c>
      <c r="OP74" s="109" t="s">
        <v>286</v>
      </c>
      <c r="OQ74" s="109" t="s">
        <v>286</v>
      </c>
      <c r="OR74" s="109" t="s">
        <v>286</v>
      </c>
      <c r="OS74" s="109" t="s">
        <v>286</v>
      </c>
      <c r="OT74" s="115" t="s">
        <v>286</v>
      </c>
      <c r="OU74" s="109" t="s">
        <v>286</v>
      </c>
      <c r="OV74" s="109" t="s">
        <v>286</v>
      </c>
      <c r="OW74" s="109" t="s">
        <v>286</v>
      </c>
      <c r="OX74" s="109" t="s">
        <v>286</v>
      </c>
      <c r="OY74" s="109" t="s">
        <v>286</v>
      </c>
      <c r="OZ74" s="109" t="s">
        <v>286</v>
      </c>
      <c r="PA74" s="109" t="s">
        <v>286</v>
      </c>
      <c r="PB74" s="109" t="s">
        <v>286</v>
      </c>
      <c r="PC74" s="109" t="s">
        <v>286</v>
      </c>
      <c r="PD74" s="109" t="s">
        <v>286</v>
      </c>
      <c r="PE74" s="109" t="s">
        <v>286</v>
      </c>
      <c r="PF74" s="109" t="s">
        <v>286</v>
      </c>
      <c r="PG74" s="109" t="s">
        <v>286</v>
      </c>
      <c r="PH74" s="109" t="s">
        <v>286</v>
      </c>
      <c r="PI74" s="109" t="s">
        <v>286</v>
      </c>
      <c r="PJ74" s="109" t="s">
        <v>286</v>
      </c>
      <c r="PK74" s="109" t="s">
        <v>286</v>
      </c>
      <c r="PL74" s="109" t="s">
        <v>286</v>
      </c>
      <c r="PM74" s="109" t="s">
        <v>286</v>
      </c>
      <c r="PN74" s="109" t="s">
        <v>286</v>
      </c>
      <c r="PO74" s="109" t="s">
        <v>286</v>
      </c>
      <c r="PP74" s="109" t="s">
        <v>286</v>
      </c>
      <c r="PQ74" s="109" t="s">
        <v>286</v>
      </c>
      <c r="PR74" s="109" t="s">
        <v>286</v>
      </c>
      <c r="PS74" s="109" t="s">
        <v>286</v>
      </c>
      <c r="PT74" s="109" t="s">
        <v>286</v>
      </c>
      <c r="PU74" s="109" t="s">
        <v>286</v>
      </c>
      <c r="PV74" s="109" t="s">
        <v>286</v>
      </c>
      <c r="PW74" s="109" t="s">
        <v>286</v>
      </c>
      <c r="PX74" s="109" t="s">
        <v>286</v>
      </c>
      <c r="PY74" s="109" t="s">
        <v>286</v>
      </c>
      <c r="PZ74" s="109" t="s">
        <v>286</v>
      </c>
      <c r="QA74" s="109" t="s">
        <v>286</v>
      </c>
      <c r="QB74" s="109" t="s">
        <v>286</v>
      </c>
      <c r="QC74" s="109" t="s">
        <v>286</v>
      </c>
      <c r="QD74" s="109" t="s">
        <v>286</v>
      </c>
      <c r="QE74" s="109" t="s">
        <v>286</v>
      </c>
      <c r="QF74" s="109" t="s">
        <v>286</v>
      </c>
      <c r="QG74" s="115" t="s">
        <v>286</v>
      </c>
      <c r="QH74" s="109" t="s">
        <v>286</v>
      </c>
      <c r="QI74" s="109" t="s">
        <v>286</v>
      </c>
      <c r="QJ74" s="109" t="s">
        <v>286</v>
      </c>
      <c r="QK74" s="109" t="s">
        <v>286</v>
      </c>
      <c r="QL74" s="114" t="s">
        <v>286</v>
      </c>
      <c r="QM74" s="114" t="s">
        <v>286</v>
      </c>
      <c r="QN74" s="114" t="s">
        <v>286</v>
      </c>
      <c r="QO74" s="114" t="s">
        <v>286</v>
      </c>
      <c r="QP74" s="109" t="s">
        <v>286</v>
      </c>
      <c r="QQ74" s="109" t="s">
        <v>286</v>
      </c>
      <c r="QR74" s="109" t="s">
        <v>286</v>
      </c>
      <c r="QS74" s="109" t="s">
        <v>286</v>
      </c>
      <c r="QT74" s="109" t="s">
        <v>286</v>
      </c>
      <c r="QU74" s="114" t="s">
        <v>286</v>
      </c>
      <c r="QV74" s="114" t="s">
        <v>286</v>
      </c>
      <c r="QW74" s="114" t="s">
        <v>286</v>
      </c>
      <c r="QX74" s="114" t="s">
        <v>286</v>
      </c>
      <c r="QY74" s="114" t="s">
        <v>286</v>
      </c>
      <c r="QZ74" s="109" t="s">
        <v>286</v>
      </c>
      <c r="RA74" s="109" t="s">
        <v>286</v>
      </c>
      <c r="RB74" s="109" t="s">
        <v>286</v>
      </c>
      <c r="RC74" s="109" t="s">
        <v>286</v>
      </c>
      <c r="RD74" s="109" t="s">
        <v>286</v>
      </c>
      <c r="RE74" s="109" t="s">
        <v>286</v>
      </c>
      <c r="RF74" s="109" t="s">
        <v>286</v>
      </c>
      <c r="RG74" s="109" t="s">
        <v>286</v>
      </c>
      <c r="RH74" s="109" t="s">
        <v>286</v>
      </c>
      <c r="RI74" s="109" t="s">
        <v>286</v>
      </c>
      <c r="RJ74" s="109" t="s">
        <v>286</v>
      </c>
      <c r="RK74" s="109" t="s">
        <v>286</v>
      </c>
      <c r="RL74" s="109" t="s">
        <v>286</v>
      </c>
      <c r="RM74" s="109" t="s">
        <v>286</v>
      </c>
      <c r="RN74" s="109" t="s">
        <v>286</v>
      </c>
      <c r="RO74" s="109" t="s">
        <v>286</v>
      </c>
      <c r="RP74" s="109" t="s">
        <v>286</v>
      </c>
      <c r="RQ74" s="109" t="s">
        <v>286</v>
      </c>
      <c r="RR74" s="109" t="s">
        <v>286</v>
      </c>
      <c r="RS74" s="109" t="s">
        <v>286</v>
      </c>
      <c r="RT74" s="115" t="s">
        <v>286</v>
      </c>
    </row>
    <row r="75" spans="1:488" s="4" customFormat="1" ht="12.75" x14ac:dyDescent="0.2">
      <c r="A75" s="4" t="s">
        <v>109</v>
      </c>
      <c r="B75" s="7">
        <v>5</v>
      </c>
      <c r="C75" s="4" t="s">
        <v>286</v>
      </c>
      <c r="D75" s="4" t="s">
        <v>286</v>
      </c>
      <c r="E75" s="4" t="s">
        <v>286</v>
      </c>
      <c r="F75" s="4" t="s">
        <v>286</v>
      </c>
      <c r="G75" s="4" t="s">
        <v>286</v>
      </c>
      <c r="H75" s="4" t="s">
        <v>286</v>
      </c>
      <c r="I75" s="4" t="s">
        <v>286</v>
      </c>
      <c r="J75" s="4" t="s">
        <v>397</v>
      </c>
      <c r="K75" s="4" t="s">
        <v>286</v>
      </c>
      <c r="L75" s="4" t="s">
        <v>273</v>
      </c>
      <c r="M75" s="4" t="s">
        <v>286</v>
      </c>
      <c r="N75" s="4" t="s">
        <v>286</v>
      </c>
      <c r="O75" s="110" t="s">
        <v>286</v>
      </c>
      <c r="P75" s="110" t="s">
        <v>286</v>
      </c>
      <c r="Q75" s="110" t="s">
        <v>286</v>
      </c>
      <c r="R75" s="110" t="s">
        <v>286</v>
      </c>
      <c r="S75" s="110" t="s">
        <v>286</v>
      </c>
      <c r="T75" s="39">
        <v>92650</v>
      </c>
      <c r="U75" s="40">
        <v>93800</v>
      </c>
      <c r="V75" s="40">
        <v>94800</v>
      </c>
      <c r="W75" s="40">
        <v>95550</v>
      </c>
      <c r="X75" s="40">
        <v>96250</v>
      </c>
      <c r="Y75" s="40">
        <v>97100</v>
      </c>
      <c r="Z75" s="40">
        <v>97700</v>
      </c>
      <c r="AA75" s="40">
        <v>98250</v>
      </c>
      <c r="AB75" s="40">
        <v>98900</v>
      </c>
      <c r="AC75" s="40">
        <v>100290</v>
      </c>
      <c r="AD75" s="40">
        <v>101541</v>
      </c>
      <c r="AE75" s="39">
        <v>5300</v>
      </c>
      <c r="AF75" s="40">
        <v>5250</v>
      </c>
      <c r="AG75" s="40">
        <v>5450</v>
      </c>
      <c r="AH75" s="40">
        <v>5450</v>
      </c>
      <c r="AI75" s="40">
        <v>5500</v>
      </c>
      <c r="AJ75" s="40">
        <v>5550</v>
      </c>
      <c r="AK75" s="40">
        <v>5650</v>
      </c>
      <c r="AL75" s="40">
        <v>5650</v>
      </c>
      <c r="AM75" s="40">
        <v>5650</v>
      </c>
      <c r="AN75" s="40">
        <v>5588</v>
      </c>
      <c r="AO75" s="40">
        <v>5634</v>
      </c>
      <c r="AP75" s="14">
        <v>5639</v>
      </c>
      <c r="AQ75" s="4">
        <v>4989</v>
      </c>
      <c r="AR75" s="4">
        <v>189</v>
      </c>
      <c r="AS75" s="4">
        <v>260</v>
      </c>
      <c r="AT75" s="4">
        <v>162</v>
      </c>
      <c r="AU75" s="4">
        <v>27</v>
      </c>
      <c r="AV75" s="4">
        <v>12</v>
      </c>
      <c r="AW75" s="4">
        <v>650</v>
      </c>
      <c r="AX75" s="19">
        <v>0.88500000000000001</v>
      </c>
      <c r="AY75" s="20">
        <v>3.4000000000000002E-2</v>
      </c>
      <c r="AZ75" s="20">
        <v>4.5999999999999999E-2</v>
      </c>
      <c r="BA75" s="20">
        <v>2.9000000000000001E-2</v>
      </c>
      <c r="BB75" s="20">
        <v>5.0000000000000001E-3</v>
      </c>
      <c r="BC75" s="20">
        <v>2E-3</v>
      </c>
      <c r="BD75" s="20">
        <v>0.115</v>
      </c>
      <c r="BE75" s="39">
        <v>15726</v>
      </c>
      <c r="BF75" s="40">
        <v>15417</v>
      </c>
      <c r="BG75" s="40">
        <v>309</v>
      </c>
      <c r="BH75" s="40">
        <v>263</v>
      </c>
      <c r="BI75" s="40">
        <v>46</v>
      </c>
      <c r="BJ75" s="20">
        <v>0.85099999999999998</v>
      </c>
      <c r="BK75" s="20">
        <v>0.14899999999999999</v>
      </c>
      <c r="BL75" s="39">
        <v>11218</v>
      </c>
      <c r="BM75" s="20">
        <v>0.70799999999999996</v>
      </c>
      <c r="BN75" s="20">
        <v>0.14399999999999999</v>
      </c>
      <c r="BO75" s="20">
        <v>0.14799999999999999</v>
      </c>
      <c r="BP75" s="342" t="s">
        <v>286</v>
      </c>
      <c r="BQ75" s="64" t="s">
        <v>286</v>
      </c>
      <c r="BR75" s="64" t="s">
        <v>286</v>
      </c>
      <c r="BS75" s="64" t="s">
        <v>286</v>
      </c>
      <c r="BT75" s="64" t="s">
        <v>286</v>
      </c>
      <c r="BU75" s="64" t="s">
        <v>286</v>
      </c>
      <c r="BV75" s="110" t="s">
        <v>286</v>
      </c>
      <c r="BW75" s="342">
        <v>8022</v>
      </c>
      <c r="BX75" s="64">
        <v>6</v>
      </c>
      <c r="BY75" s="64">
        <v>1336</v>
      </c>
      <c r="BZ75" s="64">
        <v>1851</v>
      </c>
      <c r="CA75" s="64">
        <v>679</v>
      </c>
      <c r="CB75" s="247">
        <v>11894</v>
      </c>
      <c r="CC75" s="40">
        <v>4353</v>
      </c>
      <c r="CD75" s="40">
        <v>3865</v>
      </c>
      <c r="CE75" s="40">
        <v>483</v>
      </c>
      <c r="CF75" s="40">
        <v>488</v>
      </c>
      <c r="CG75" s="20">
        <v>0.11095796002756719</v>
      </c>
      <c r="CH75" s="94">
        <v>0.11210659315414656</v>
      </c>
      <c r="CI75" s="40">
        <v>465</v>
      </c>
      <c r="CJ75" s="40">
        <v>395</v>
      </c>
      <c r="CK75" s="40">
        <v>325</v>
      </c>
      <c r="CL75" s="40">
        <v>300</v>
      </c>
      <c r="CM75" s="40">
        <v>290</v>
      </c>
      <c r="CN75" s="40">
        <v>270</v>
      </c>
      <c r="CO75" s="39">
        <v>1846</v>
      </c>
      <c r="CP75" s="40">
        <v>527</v>
      </c>
      <c r="CQ75" s="20">
        <v>0.28548212351029251</v>
      </c>
      <c r="CR75" s="41">
        <v>194</v>
      </c>
      <c r="CS75" s="110" t="s">
        <v>286</v>
      </c>
      <c r="CT75" s="110" t="s">
        <v>286</v>
      </c>
      <c r="CU75" s="110" t="s">
        <v>286</v>
      </c>
      <c r="CV75" s="110" t="s">
        <v>286</v>
      </c>
      <c r="CW75" s="110" t="s">
        <v>286</v>
      </c>
      <c r="CX75" s="110" t="s">
        <v>286</v>
      </c>
      <c r="CY75" s="569">
        <v>881</v>
      </c>
      <c r="CZ75" s="64" t="s">
        <v>286</v>
      </c>
      <c r="DA75" s="64" t="s">
        <v>286</v>
      </c>
      <c r="DB75" s="64" t="s">
        <v>286</v>
      </c>
      <c r="DC75" s="64" t="s">
        <v>286</v>
      </c>
      <c r="DD75" s="64" t="s">
        <v>286</v>
      </c>
      <c r="DE75" s="110" t="s">
        <v>286</v>
      </c>
      <c r="DF75" s="116">
        <v>14</v>
      </c>
      <c r="DG75" s="365" t="s">
        <v>286</v>
      </c>
      <c r="DH75" s="290" t="s">
        <v>286</v>
      </c>
      <c r="DI75" s="110" t="s">
        <v>286</v>
      </c>
      <c r="DJ75" s="110" t="s">
        <v>286</v>
      </c>
      <c r="DK75" s="110" t="s">
        <v>286</v>
      </c>
      <c r="DL75" s="110" t="s">
        <v>286</v>
      </c>
      <c r="DM75" s="110" t="s">
        <v>286</v>
      </c>
      <c r="DN75" s="110" t="s">
        <v>286</v>
      </c>
      <c r="DO75" s="110" t="s">
        <v>286</v>
      </c>
      <c r="DP75" s="381">
        <v>65</v>
      </c>
      <c r="DQ75" s="260">
        <v>7.3779795686719635E-2</v>
      </c>
      <c r="DR75" s="260">
        <v>5.8306798318563093E-2</v>
      </c>
      <c r="DS75" s="260">
        <v>9.2953585659236032E-2</v>
      </c>
      <c r="DT75" s="14">
        <v>91</v>
      </c>
      <c r="DU75" s="20">
        <v>1.6169154228855721E-2</v>
      </c>
      <c r="DV75" s="370" t="s">
        <v>286</v>
      </c>
      <c r="DW75" s="371" t="s">
        <v>286</v>
      </c>
      <c r="DX75" s="421" t="s">
        <v>286</v>
      </c>
      <c r="DY75" s="421" t="s">
        <v>286</v>
      </c>
      <c r="DZ75" s="421" t="s">
        <v>286</v>
      </c>
      <c r="EA75" s="371" t="s">
        <v>286</v>
      </c>
      <c r="EB75" s="4">
        <v>1123</v>
      </c>
      <c r="EC75" s="20">
        <v>2.7908248216903998E-2</v>
      </c>
      <c r="ED75" s="290">
        <v>605</v>
      </c>
      <c r="EE75" s="110">
        <v>595</v>
      </c>
      <c r="EF75" s="110">
        <v>580</v>
      </c>
      <c r="EG75" s="110">
        <v>575</v>
      </c>
      <c r="EH75" s="110">
        <v>480</v>
      </c>
      <c r="EI75" s="110">
        <v>405</v>
      </c>
      <c r="EJ75" s="290" t="s">
        <v>286</v>
      </c>
      <c r="EK75" s="260" t="s">
        <v>286</v>
      </c>
      <c r="EL75" s="110" t="s">
        <v>286</v>
      </c>
      <c r="EM75" s="110" t="s">
        <v>286</v>
      </c>
      <c r="EN75" s="110" t="s">
        <v>286</v>
      </c>
      <c r="EO75" s="260" t="s">
        <v>286</v>
      </c>
      <c r="EP75" s="110" t="s">
        <v>286</v>
      </c>
      <c r="EQ75" s="260" t="s">
        <v>286</v>
      </c>
      <c r="ER75" s="110" t="s">
        <v>286</v>
      </c>
      <c r="ES75" s="260" t="s">
        <v>286</v>
      </c>
      <c r="ET75" s="110" t="s">
        <v>286</v>
      </c>
      <c r="EU75" s="260" t="s">
        <v>286</v>
      </c>
      <c r="EV75" s="110" t="s">
        <v>286</v>
      </c>
      <c r="EW75" s="260" t="s">
        <v>286</v>
      </c>
      <c r="EX75" s="110" t="s">
        <v>286</v>
      </c>
      <c r="EY75" s="260" t="s">
        <v>286</v>
      </c>
      <c r="EZ75" s="110" t="s">
        <v>286</v>
      </c>
      <c r="FA75" s="260" t="s">
        <v>286</v>
      </c>
      <c r="FB75" s="260" t="s">
        <v>286</v>
      </c>
      <c r="FC75" s="260" t="s">
        <v>286</v>
      </c>
      <c r="FD75" s="260" t="s">
        <v>286</v>
      </c>
      <c r="FE75" s="260" t="s">
        <v>286</v>
      </c>
      <c r="FF75" s="260" t="s">
        <v>286</v>
      </c>
      <c r="FG75" s="260" t="s">
        <v>286</v>
      </c>
      <c r="FH75" s="426" t="s">
        <v>286</v>
      </c>
      <c r="FI75" s="260" t="s">
        <v>286</v>
      </c>
      <c r="FJ75" s="260" t="s">
        <v>286</v>
      </c>
      <c r="FK75" s="260" t="s">
        <v>286</v>
      </c>
      <c r="FL75" s="342" t="s">
        <v>286</v>
      </c>
      <c r="FM75" s="260" t="s">
        <v>286</v>
      </c>
      <c r="FN75" s="64" t="s">
        <v>286</v>
      </c>
      <c r="FO75" s="260" t="s">
        <v>286</v>
      </c>
      <c r="FP75" s="64" t="s">
        <v>286</v>
      </c>
      <c r="FQ75" s="260" t="s">
        <v>286</v>
      </c>
      <c r="FR75" s="64" t="s">
        <v>286</v>
      </c>
      <c r="FS75" s="260" t="s">
        <v>286</v>
      </c>
      <c r="FT75" s="64" t="s">
        <v>286</v>
      </c>
      <c r="FU75" s="260" t="s">
        <v>286</v>
      </c>
      <c r="FV75" s="64" t="s">
        <v>286</v>
      </c>
      <c r="FW75" s="260" t="s">
        <v>286</v>
      </c>
      <c r="FX75" s="64" t="s">
        <v>286</v>
      </c>
      <c r="FY75" s="261" t="s">
        <v>286</v>
      </c>
      <c r="FZ75" s="110" t="s">
        <v>286</v>
      </c>
      <c r="GA75" s="110" t="s">
        <v>286</v>
      </c>
      <c r="GB75" s="110" t="s">
        <v>286</v>
      </c>
      <c r="GC75" s="260" t="s">
        <v>286</v>
      </c>
      <c r="GD75" s="110" t="s">
        <v>286</v>
      </c>
      <c r="GE75" s="110" t="s">
        <v>286</v>
      </c>
      <c r="GF75" s="260" t="s">
        <v>286</v>
      </c>
      <c r="GG75" s="260" t="s">
        <v>286</v>
      </c>
      <c r="GH75" s="260" t="s">
        <v>286</v>
      </c>
      <c r="GI75" s="260" t="s">
        <v>286</v>
      </c>
      <c r="GJ75" s="260" t="s">
        <v>286</v>
      </c>
      <c r="GK75" s="261" t="s">
        <v>286</v>
      </c>
      <c r="GL75" s="421" t="s">
        <v>286</v>
      </c>
      <c r="GM75" s="260" t="s">
        <v>286</v>
      </c>
      <c r="GN75" s="260" t="s">
        <v>286</v>
      </c>
      <c r="GO75" s="260" t="s">
        <v>286</v>
      </c>
      <c r="GP75" s="260" t="s">
        <v>286</v>
      </c>
      <c r="GQ75" s="260" t="s">
        <v>286</v>
      </c>
      <c r="GR75" s="421" t="s">
        <v>286</v>
      </c>
      <c r="GS75" s="260" t="s">
        <v>286</v>
      </c>
      <c r="GT75" s="260" t="s">
        <v>286</v>
      </c>
      <c r="GU75" s="261" t="s">
        <v>286</v>
      </c>
      <c r="GV75" s="64">
        <v>1009</v>
      </c>
      <c r="GW75" s="64">
        <v>132</v>
      </c>
      <c r="GX75" s="64">
        <v>877</v>
      </c>
      <c r="GY75" s="260">
        <f t="shared" si="9"/>
        <v>0.86917740336967297</v>
      </c>
      <c r="GZ75" s="64">
        <v>374</v>
      </c>
      <c r="HA75" s="64">
        <v>126</v>
      </c>
      <c r="HB75" s="64">
        <v>500</v>
      </c>
      <c r="HC75" s="260">
        <v>0.4264538198403649</v>
      </c>
      <c r="HD75" s="260">
        <v>0.5701254275940707</v>
      </c>
      <c r="HE75" s="260">
        <v>0.3941127454951876</v>
      </c>
      <c r="HF75" s="260">
        <v>0.45943638220741806</v>
      </c>
      <c r="HG75" s="260">
        <v>0.53712513187450306</v>
      </c>
      <c r="HH75" s="261">
        <v>0.60251407194394269</v>
      </c>
      <c r="HI75" s="706" t="s">
        <v>286</v>
      </c>
      <c r="HJ75" s="707" t="s">
        <v>286</v>
      </c>
      <c r="HK75" s="707" t="s">
        <v>286</v>
      </c>
      <c r="HL75" s="708" t="s">
        <v>286</v>
      </c>
      <c r="HM75" s="707" t="s">
        <v>286</v>
      </c>
      <c r="HN75" s="707" t="s">
        <v>286</v>
      </c>
      <c r="HO75" s="707" t="s">
        <v>286</v>
      </c>
      <c r="HP75" s="708" t="s">
        <v>286</v>
      </c>
      <c r="HQ75" s="708" t="s">
        <v>286</v>
      </c>
      <c r="HR75" s="708" t="s">
        <v>286</v>
      </c>
      <c r="HS75" s="708" t="s">
        <v>286</v>
      </c>
      <c r="HT75" s="708" t="s">
        <v>286</v>
      </c>
      <c r="HU75" s="709" t="s">
        <v>286</v>
      </c>
      <c r="HV75" s="110" t="s">
        <v>286</v>
      </c>
      <c r="HW75" s="381" t="s">
        <v>286</v>
      </c>
      <c r="HX75" s="260" t="s">
        <v>286</v>
      </c>
      <c r="HY75" s="260" t="s">
        <v>286</v>
      </c>
      <c r="HZ75" s="260" t="s">
        <v>286</v>
      </c>
      <c r="IA75" s="407" t="s">
        <v>286</v>
      </c>
      <c r="IB75" s="110" t="s">
        <v>286</v>
      </c>
      <c r="IC75" s="381" t="s">
        <v>286</v>
      </c>
      <c r="ID75" s="260" t="s">
        <v>286</v>
      </c>
      <c r="IE75" s="260" t="s">
        <v>286</v>
      </c>
      <c r="IF75" s="260" t="s">
        <v>286</v>
      </c>
      <c r="IG75" s="400" t="s">
        <v>286</v>
      </c>
      <c r="IH75" s="110" t="s">
        <v>286</v>
      </c>
      <c r="II75" s="381" t="s">
        <v>286</v>
      </c>
      <c r="IJ75" s="260" t="s">
        <v>286</v>
      </c>
      <c r="IK75" s="260" t="s">
        <v>286</v>
      </c>
      <c r="IL75" s="260" t="s">
        <v>286</v>
      </c>
      <c r="IM75" s="400" t="s">
        <v>286</v>
      </c>
      <c r="IN75" s="110" t="s">
        <v>286</v>
      </c>
      <c r="IO75" s="381" t="s">
        <v>286</v>
      </c>
      <c r="IP75" s="260" t="s">
        <v>286</v>
      </c>
      <c r="IQ75" s="260" t="s">
        <v>286</v>
      </c>
      <c r="IR75" s="260" t="s">
        <v>286</v>
      </c>
      <c r="IS75" s="400" t="s">
        <v>286</v>
      </c>
      <c r="IT75" s="110" t="s">
        <v>286</v>
      </c>
      <c r="IU75" s="110" t="s">
        <v>286</v>
      </c>
      <c r="IV75" s="260" t="s">
        <v>286</v>
      </c>
      <c r="IW75" s="260" t="s">
        <v>286</v>
      </c>
      <c r="IX75" s="260" t="s">
        <v>286</v>
      </c>
      <c r="IY75" s="400" t="s">
        <v>286</v>
      </c>
      <c r="IZ75" s="110">
        <v>951</v>
      </c>
      <c r="JA75" s="110">
        <v>52</v>
      </c>
      <c r="JB75" s="260">
        <v>5.4679284963196635E-2</v>
      </c>
      <c r="JC75" s="260">
        <v>4.1939401979816826E-2</v>
      </c>
      <c r="JD75" s="260">
        <v>7.1002341201178876E-2</v>
      </c>
      <c r="JE75" s="400" t="str">
        <f t="shared" si="10"/>
        <v>Sig better than Eng.</v>
      </c>
      <c r="JF75" s="110">
        <v>954</v>
      </c>
      <c r="JG75" s="110">
        <v>59</v>
      </c>
      <c r="JH75" s="260">
        <v>6.1844863731656187E-2</v>
      </c>
      <c r="JI75" s="260">
        <v>4.8246986102222916E-2</v>
      </c>
      <c r="JJ75" s="260">
        <v>7.8957216324665971E-2</v>
      </c>
      <c r="JK75" s="665" t="str">
        <f t="shared" si="13"/>
        <v>Sig better than Eng.</v>
      </c>
      <c r="JL75" s="110" t="s">
        <v>286</v>
      </c>
      <c r="JM75" s="381" t="s">
        <v>286</v>
      </c>
      <c r="JN75" s="260" t="s">
        <v>286</v>
      </c>
      <c r="JO75" s="260" t="s">
        <v>286</v>
      </c>
      <c r="JP75" s="260" t="s">
        <v>286</v>
      </c>
      <c r="JQ75" s="110" t="s">
        <v>286</v>
      </c>
      <c r="JR75" s="110" t="s">
        <v>286</v>
      </c>
      <c r="JS75" s="381" t="s">
        <v>286</v>
      </c>
      <c r="JT75" s="260" t="s">
        <v>286</v>
      </c>
      <c r="JU75" s="260" t="s">
        <v>286</v>
      </c>
      <c r="JV75" s="260" t="s">
        <v>286</v>
      </c>
      <c r="JW75" s="110" t="s">
        <v>286</v>
      </c>
      <c r="JX75" s="110" t="s">
        <v>286</v>
      </c>
      <c r="JY75" s="381" t="s">
        <v>286</v>
      </c>
      <c r="JZ75" s="260" t="s">
        <v>286</v>
      </c>
      <c r="KA75" s="260" t="s">
        <v>286</v>
      </c>
      <c r="KB75" s="260" t="s">
        <v>286</v>
      </c>
      <c r="KC75" s="110" t="s">
        <v>286</v>
      </c>
      <c r="KD75" s="110" t="s">
        <v>286</v>
      </c>
      <c r="KE75" s="381" t="s">
        <v>286</v>
      </c>
      <c r="KF75" s="260" t="s">
        <v>286</v>
      </c>
      <c r="KG75" s="260" t="s">
        <v>286</v>
      </c>
      <c r="KH75" s="260" t="s">
        <v>286</v>
      </c>
      <c r="KI75" s="110" t="s">
        <v>286</v>
      </c>
      <c r="KJ75" s="110" t="s">
        <v>286</v>
      </c>
      <c r="KK75" s="110" t="s">
        <v>286</v>
      </c>
      <c r="KL75" s="110" t="s">
        <v>286</v>
      </c>
      <c r="KM75" s="110" t="s">
        <v>286</v>
      </c>
      <c r="KN75" s="110" t="s">
        <v>286</v>
      </c>
      <c r="KO75" s="400" t="s">
        <v>286</v>
      </c>
      <c r="KP75" s="110">
        <v>948</v>
      </c>
      <c r="KQ75" s="110">
        <v>121</v>
      </c>
      <c r="KR75" s="260">
        <v>0.12763713080168776</v>
      </c>
      <c r="KS75" s="260">
        <v>0.10788832837084729</v>
      </c>
      <c r="KT75" s="260">
        <v>0.15039151071631024</v>
      </c>
      <c r="KU75" s="110" t="s">
        <v>708</v>
      </c>
      <c r="KV75" s="110">
        <v>942</v>
      </c>
      <c r="KW75" s="110">
        <v>105</v>
      </c>
      <c r="KX75" s="260">
        <v>0.11146496815286625</v>
      </c>
      <c r="KY75" s="260">
        <v>9.292493968201912E-2</v>
      </c>
      <c r="KZ75" s="260">
        <v>0.13316100403133704</v>
      </c>
      <c r="LA75" s="665" t="str">
        <f t="shared" si="12"/>
        <v>Sig better than Eng.</v>
      </c>
      <c r="LB75" s="4">
        <v>1048</v>
      </c>
      <c r="LC75" s="4">
        <v>616</v>
      </c>
      <c r="LD75" s="20">
        <v>0.58778625954198471</v>
      </c>
      <c r="LE75" s="20">
        <v>0.55771687583754714</v>
      </c>
      <c r="LF75" s="20">
        <v>0.61721443007075727</v>
      </c>
      <c r="LG75" s="4">
        <v>1048</v>
      </c>
      <c r="LH75" s="4">
        <v>34</v>
      </c>
      <c r="LI75" s="4">
        <v>209</v>
      </c>
      <c r="LJ75" s="295">
        <v>25.28708133971292</v>
      </c>
      <c r="LK75" s="20">
        <v>0.25626231353785528</v>
      </c>
      <c r="LL75" s="4">
        <v>1190</v>
      </c>
      <c r="LM75" s="4">
        <v>753</v>
      </c>
      <c r="LN75" s="20">
        <v>0.63277310924369745</v>
      </c>
      <c r="LO75" s="20">
        <v>0.60499829450020992</v>
      </c>
      <c r="LP75" s="20">
        <v>0.6596934680996186</v>
      </c>
      <c r="LQ75" s="4">
        <v>1190</v>
      </c>
      <c r="LR75" s="4">
        <v>34</v>
      </c>
      <c r="LS75" s="4">
        <v>238</v>
      </c>
      <c r="LT75" s="295">
        <v>25.205882352941188</v>
      </c>
      <c r="LU75" s="20">
        <v>0.2586505190311415</v>
      </c>
      <c r="LV75" s="40">
        <v>1165</v>
      </c>
      <c r="LW75" s="40">
        <v>779</v>
      </c>
      <c r="LX75" s="20">
        <v>0.66900000000000004</v>
      </c>
      <c r="LY75" s="20">
        <v>0.64113888079698667</v>
      </c>
      <c r="LZ75" s="20">
        <v>0.69509149247923041</v>
      </c>
      <c r="MA75" s="338">
        <v>34</v>
      </c>
      <c r="MB75" s="338">
        <v>233</v>
      </c>
      <c r="MC75" s="295">
        <v>25.4</v>
      </c>
      <c r="MD75" s="20">
        <v>0.253</v>
      </c>
      <c r="ME75" s="338">
        <v>1188</v>
      </c>
      <c r="MF75" s="338">
        <v>856</v>
      </c>
      <c r="MG75" s="20">
        <v>0.72053872053872059</v>
      </c>
      <c r="MH75" s="20">
        <v>0.69434215171841518</v>
      </c>
      <c r="MI75" s="20">
        <v>0.74531363984843357</v>
      </c>
      <c r="MJ75" s="338">
        <v>34</v>
      </c>
      <c r="MK75" s="338">
        <v>237</v>
      </c>
      <c r="ML75" s="295">
        <v>26.371308016877638</v>
      </c>
      <c r="MM75" s="94">
        <v>0.22437329362124595</v>
      </c>
      <c r="MN75" s="260" t="s">
        <v>286</v>
      </c>
      <c r="MO75" s="260" t="s">
        <v>286</v>
      </c>
      <c r="MP75" s="260" t="s">
        <v>286</v>
      </c>
      <c r="MQ75" s="260" t="s">
        <v>286</v>
      </c>
      <c r="MR75" s="260" t="s">
        <v>286</v>
      </c>
      <c r="MS75" s="260" t="s">
        <v>286</v>
      </c>
      <c r="MT75" s="260" t="s">
        <v>286</v>
      </c>
      <c r="MU75" s="260" t="s">
        <v>286</v>
      </c>
      <c r="MV75" s="260" t="s">
        <v>286</v>
      </c>
      <c r="MW75" s="260" t="s">
        <v>286</v>
      </c>
      <c r="MX75" s="260" t="s">
        <v>286</v>
      </c>
      <c r="MY75" s="260" t="s">
        <v>286</v>
      </c>
      <c r="MZ75" s="260" t="s">
        <v>286</v>
      </c>
      <c r="NA75" s="260" t="s">
        <v>286</v>
      </c>
      <c r="NB75" s="260" t="s">
        <v>286</v>
      </c>
      <c r="NC75" s="261" t="s">
        <v>286</v>
      </c>
      <c r="ND75" s="426">
        <v>38</v>
      </c>
      <c r="NE75" s="426">
        <v>417</v>
      </c>
      <c r="NF75" s="260">
        <v>9.1127098321342928E-2</v>
      </c>
      <c r="NG75" s="260">
        <v>6.7111500233552293E-2</v>
      </c>
      <c r="NH75" s="260">
        <v>0.12260711504838881</v>
      </c>
      <c r="NI75" s="426">
        <v>31</v>
      </c>
      <c r="NJ75" s="426">
        <v>417</v>
      </c>
      <c r="NK75" s="260">
        <v>7.4340527577937646E-2</v>
      </c>
      <c r="NL75" s="260">
        <v>5.2863909450450441E-2</v>
      </c>
      <c r="NM75" s="260">
        <v>0.10358802141491347</v>
      </c>
      <c r="NN75" s="426">
        <v>37</v>
      </c>
      <c r="NO75" s="426">
        <v>415</v>
      </c>
      <c r="NP75" s="260">
        <v>8.91566265060241E-2</v>
      </c>
      <c r="NQ75" s="260">
        <v>6.5374670446320476E-2</v>
      </c>
      <c r="NR75" s="260">
        <v>0.12047478925107311</v>
      </c>
      <c r="NS75" s="426">
        <v>67</v>
      </c>
      <c r="NT75" s="426">
        <v>408</v>
      </c>
      <c r="NU75" s="260">
        <v>0.1642156862745098</v>
      </c>
      <c r="NV75" s="260">
        <v>0.13143113339150828</v>
      </c>
      <c r="NW75" s="261">
        <v>0.20326430794507408</v>
      </c>
      <c r="NX75" s="110" t="s">
        <v>286</v>
      </c>
      <c r="NY75" s="110" t="s">
        <v>286</v>
      </c>
      <c r="NZ75" s="110" t="s">
        <v>286</v>
      </c>
      <c r="OA75" s="110" t="s">
        <v>286</v>
      </c>
      <c r="OB75" s="110" t="s">
        <v>286</v>
      </c>
      <c r="OC75" s="110" t="s">
        <v>286</v>
      </c>
      <c r="OD75" s="110" t="s">
        <v>286</v>
      </c>
      <c r="OE75" s="110" t="s">
        <v>286</v>
      </c>
      <c r="OF75" s="110" t="s">
        <v>286</v>
      </c>
      <c r="OG75" s="110" t="s">
        <v>286</v>
      </c>
      <c r="OH75" s="110" t="s">
        <v>286</v>
      </c>
      <c r="OI75" s="110" t="s">
        <v>286</v>
      </c>
      <c r="OJ75" s="110" t="s">
        <v>286</v>
      </c>
      <c r="OK75" s="110" t="s">
        <v>286</v>
      </c>
      <c r="OL75" s="110" t="s">
        <v>286</v>
      </c>
      <c r="OM75" s="110" t="s">
        <v>286</v>
      </c>
      <c r="ON75" s="110" t="s">
        <v>286</v>
      </c>
      <c r="OO75" s="110" t="s">
        <v>286</v>
      </c>
      <c r="OP75" s="110" t="s">
        <v>286</v>
      </c>
      <c r="OQ75" s="110" t="s">
        <v>286</v>
      </c>
      <c r="OR75" s="110" t="s">
        <v>286</v>
      </c>
      <c r="OS75" s="110" t="s">
        <v>286</v>
      </c>
      <c r="OT75" s="116" t="s">
        <v>286</v>
      </c>
      <c r="OU75" s="110" t="s">
        <v>286</v>
      </c>
      <c r="OV75" s="110" t="s">
        <v>286</v>
      </c>
      <c r="OW75" s="110" t="s">
        <v>286</v>
      </c>
      <c r="OX75" s="110" t="s">
        <v>286</v>
      </c>
      <c r="OY75" s="110" t="s">
        <v>286</v>
      </c>
      <c r="OZ75" s="110" t="s">
        <v>286</v>
      </c>
      <c r="PA75" s="110" t="s">
        <v>286</v>
      </c>
      <c r="PB75" s="110" t="s">
        <v>286</v>
      </c>
      <c r="PC75" s="390" t="s">
        <v>286</v>
      </c>
      <c r="PD75" s="390" t="s">
        <v>286</v>
      </c>
      <c r="PE75" s="390" t="s">
        <v>286</v>
      </c>
      <c r="PF75" s="390" t="s">
        <v>286</v>
      </c>
      <c r="PG75" s="390" t="s">
        <v>286</v>
      </c>
      <c r="PH75" s="110" t="s">
        <v>286</v>
      </c>
      <c r="PI75" s="110" t="s">
        <v>286</v>
      </c>
      <c r="PJ75" s="110" t="s">
        <v>286</v>
      </c>
      <c r="PK75" s="110" t="s">
        <v>286</v>
      </c>
      <c r="PL75" s="110" t="s">
        <v>286</v>
      </c>
      <c r="PM75" s="110" t="s">
        <v>286</v>
      </c>
      <c r="PN75" s="110" t="s">
        <v>286</v>
      </c>
      <c r="PO75" s="110" t="s">
        <v>286</v>
      </c>
      <c r="PP75" s="110" t="s">
        <v>286</v>
      </c>
      <c r="PQ75" s="110" t="s">
        <v>286</v>
      </c>
      <c r="PR75" s="110" t="s">
        <v>286</v>
      </c>
      <c r="PS75" s="110" t="s">
        <v>286</v>
      </c>
      <c r="PT75" s="110" t="s">
        <v>286</v>
      </c>
      <c r="PU75" s="110" t="s">
        <v>286</v>
      </c>
      <c r="PV75" s="110" t="s">
        <v>286</v>
      </c>
      <c r="PW75" s="110" t="s">
        <v>286</v>
      </c>
      <c r="PX75" s="110" t="s">
        <v>286</v>
      </c>
      <c r="PY75" s="110" t="s">
        <v>286</v>
      </c>
      <c r="PZ75" s="110" t="s">
        <v>286</v>
      </c>
      <c r="QA75" s="110" t="s">
        <v>286</v>
      </c>
      <c r="QB75" s="110" t="s">
        <v>286</v>
      </c>
      <c r="QC75" s="110" t="s">
        <v>286</v>
      </c>
      <c r="QD75" s="110" t="s">
        <v>286</v>
      </c>
      <c r="QE75" s="110" t="s">
        <v>286</v>
      </c>
      <c r="QF75" s="110" t="s">
        <v>286</v>
      </c>
      <c r="QG75" s="116" t="s">
        <v>286</v>
      </c>
      <c r="QH75" s="110" t="s">
        <v>286</v>
      </c>
      <c r="QI75" s="110" t="s">
        <v>286</v>
      </c>
      <c r="QJ75" s="110" t="s">
        <v>286</v>
      </c>
      <c r="QK75" s="110" t="s">
        <v>286</v>
      </c>
      <c r="QL75" s="64" t="s">
        <v>286</v>
      </c>
      <c r="QM75" s="64" t="s">
        <v>286</v>
      </c>
      <c r="QN75" s="64" t="s">
        <v>286</v>
      </c>
      <c r="QO75" s="64" t="s">
        <v>286</v>
      </c>
      <c r="QP75" s="110" t="s">
        <v>286</v>
      </c>
      <c r="QQ75" s="110" t="s">
        <v>286</v>
      </c>
      <c r="QR75" s="110" t="s">
        <v>286</v>
      </c>
      <c r="QS75" s="110" t="s">
        <v>286</v>
      </c>
      <c r="QT75" s="110" t="s">
        <v>286</v>
      </c>
      <c r="QU75" s="64" t="s">
        <v>286</v>
      </c>
      <c r="QV75" s="64" t="s">
        <v>286</v>
      </c>
      <c r="QW75" s="64" t="s">
        <v>286</v>
      </c>
      <c r="QX75" s="64" t="s">
        <v>286</v>
      </c>
      <c r="QY75" s="64" t="s">
        <v>286</v>
      </c>
      <c r="QZ75" s="110" t="s">
        <v>286</v>
      </c>
      <c r="RA75" s="110" t="s">
        <v>286</v>
      </c>
      <c r="RB75" s="110" t="s">
        <v>286</v>
      </c>
      <c r="RC75" s="110" t="s">
        <v>286</v>
      </c>
      <c r="RD75" s="110" t="s">
        <v>286</v>
      </c>
      <c r="RE75" s="110" t="s">
        <v>286</v>
      </c>
      <c r="RF75" s="110" t="s">
        <v>286</v>
      </c>
      <c r="RG75" s="110" t="s">
        <v>286</v>
      </c>
      <c r="RH75" s="110" t="s">
        <v>286</v>
      </c>
      <c r="RI75" s="110" t="s">
        <v>286</v>
      </c>
      <c r="RJ75" s="110" t="s">
        <v>286</v>
      </c>
      <c r="RK75" s="110" t="s">
        <v>286</v>
      </c>
      <c r="RL75" s="110" t="s">
        <v>286</v>
      </c>
      <c r="RM75" s="110" t="s">
        <v>286</v>
      </c>
      <c r="RN75" s="110" t="s">
        <v>286</v>
      </c>
      <c r="RO75" s="110" t="s">
        <v>286</v>
      </c>
      <c r="RP75" s="110" t="s">
        <v>286</v>
      </c>
      <c r="RQ75" s="110" t="s">
        <v>286</v>
      </c>
      <c r="RR75" s="110" t="s">
        <v>286</v>
      </c>
      <c r="RS75" s="110" t="s">
        <v>286</v>
      </c>
      <c r="RT75" s="116" t="s">
        <v>286</v>
      </c>
    </row>
    <row r="76" spans="1:488" s="9" customFormat="1" ht="12.75" x14ac:dyDescent="0.2">
      <c r="A76" s="9" t="s">
        <v>110</v>
      </c>
      <c r="B76" s="6">
        <v>1</v>
      </c>
      <c r="C76" s="9" t="s">
        <v>286</v>
      </c>
      <c r="D76" s="9" t="s">
        <v>286</v>
      </c>
      <c r="E76" s="9" t="s">
        <v>286</v>
      </c>
      <c r="F76" s="9" t="s">
        <v>286</v>
      </c>
      <c r="G76" s="9" t="s">
        <v>286</v>
      </c>
      <c r="H76" s="9" t="s">
        <v>286</v>
      </c>
      <c r="I76" s="9" t="s">
        <v>286</v>
      </c>
      <c r="J76" s="9" t="s">
        <v>286</v>
      </c>
      <c r="K76" s="9" t="s">
        <v>286</v>
      </c>
      <c r="L76" s="9" t="s">
        <v>286</v>
      </c>
      <c r="M76" s="9" t="s">
        <v>286</v>
      </c>
      <c r="N76" s="9" t="s">
        <v>286</v>
      </c>
      <c r="O76" s="109" t="s">
        <v>286</v>
      </c>
      <c r="P76" s="109" t="s">
        <v>286</v>
      </c>
      <c r="Q76" s="109" t="s">
        <v>286</v>
      </c>
      <c r="R76" s="109" t="s">
        <v>286</v>
      </c>
      <c r="S76" s="109" t="s">
        <v>286</v>
      </c>
      <c r="T76" s="36">
        <v>770795</v>
      </c>
      <c r="U76" s="42">
        <v>777395</v>
      </c>
      <c r="V76" s="42">
        <v>784280</v>
      </c>
      <c r="W76" s="42">
        <v>790985</v>
      </c>
      <c r="X76" s="42">
        <v>796040</v>
      </c>
      <c r="Y76" s="42">
        <v>803155</v>
      </c>
      <c r="Z76" s="42">
        <v>808920</v>
      </c>
      <c r="AA76" s="42">
        <v>815120</v>
      </c>
      <c r="AB76" s="42">
        <v>821360</v>
      </c>
      <c r="AC76" s="42">
        <v>828400</v>
      </c>
      <c r="AD76" s="42">
        <f>MROUND(836256, 5)</f>
        <v>836255</v>
      </c>
      <c r="AE76" s="36">
        <v>40730</v>
      </c>
      <c r="AF76" s="42">
        <v>41335</v>
      </c>
      <c r="AG76" s="42">
        <v>42610</v>
      </c>
      <c r="AH76" s="42">
        <v>43655</v>
      </c>
      <c r="AI76" s="42">
        <v>44415</v>
      </c>
      <c r="AJ76" s="42">
        <v>45670</v>
      </c>
      <c r="AK76" s="42">
        <v>46670</v>
      </c>
      <c r="AL76" s="42">
        <v>47670</v>
      </c>
      <c r="AM76" s="42">
        <v>47835</v>
      </c>
      <c r="AN76" s="42">
        <v>47980</v>
      </c>
      <c r="AO76" s="42">
        <v>47919</v>
      </c>
      <c r="AP76" s="13">
        <v>46486</v>
      </c>
      <c r="AQ76" s="9">
        <v>38843</v>
      </c>
      <c r="AR76" s="9">
        <v>2069</v>
      </c>
      <c r="AS76" s="9">
        <v>2203</v>
      </c>
      <c r="AT76" s="9">
        <v>2550</v>
      </c>
      <c r="AU76" s="9">
        <v>601</v>
      </c>
      <c r="AV76" s="9">
        <v>220</v>
      </c>
      <c r="AW76" s="9">
        <v>7643</v>
      </c>
      <c r="AX76" s="16">
        <v>0.83558490728391344</v>
      </c>
      <c r="AY76" s="18">
        <v>4.450802392118057E-2</v>
      </c>
      <c r="AZ76" s="18">
        <v>4.7390612227337266E-2</v>
      </c>
      <c r="BA76" s="18">
        <v>5.4855225229101232E-2</v>
      </c>
      <c r="BB76" s="18">
        <v>1.2928623671643075E-2</v>
      </c>
      <c r="BC76" s="18">
        <v>4.7326076668244201E-3</v>
      </c>
      <c r="BD76" s="18">
        <v>0.16441509271608656</v>
      </c>
      <c r="BE76" s="50">
        <v>117072</v>
      </c>
      <c r="BF76" s="49">
        <v>113395</v>
      </c>
      <c r="BG76" s="49">
        <v>3677</v>
      </c>
      <c r="BH76" s="49">
        <v>3091</v>
      </c>
      <c r="BI76" s="49">
        <v>586</v>
      </c>
      <c r="BJ76" s="18">
        <v>0.84063094914332337</v>
      </c>
      <c r="BK76" s="18">
        <v>0.15936905085667663</v>
      </c>
      <c r="BL76" s="36">
        <v>89522</v>
      </c>
      <c r="BM76" s="18">
        <v>0.62169075757914261</v>
      </c>
      <c r="BN76" s="18">
        <v>0.17295190009159758</v>
      </c>
      <c r="BO76" s="18">
        <v>0.20535734232925984</v>
      </c>
      <c r="BP76" s="36">
        <v>233754</v>
      </c>
      <c r="BQ76" s="42">
        <v>14471</v>
      </c>
      <c r="BR76" s="42">
        <v>14675</v>
      </c>
      <c r="BS76" s="42">
        <v>7032</v>
      </c>
      <c r="BT76" s="42">
        <v>163825</v>
      </c>
      <c r="BU76" s="42">
        <v>92663</v>
      </c>
      <c r="BV76" s="18">
        <v>0.14609930608765095</v>
      </c>
      <c r="BW76" s="36">
        <v>55058</v>
      </c>
      <c r="BX76" s="42">
        <v>53</v>
      </c>
      <c r="BY76" s="42">
        <v>12250</v>
      </c>
      <c r="BZ76" s="42">
        <v>18695</v>
      </c>
      <c r="CA76" s="42">
        <v>7042</v>
      </c>
      <c r="CB76" s="38">
        <v>93098</v>
      </c>
      <c r="CC76" s="42">
        <v>36414</v>
      </c>
      <c r="CD76" s="42">
        <v>30468</v>
      </c>
      <c r="CE76" s="42">
        <v>5856</v>
      </c>
      <c r="CF76" s="42">
        <v>5946</v>
      </c>
      <c r="CG76" s="18">
        <v>0.16081726808370406</v>
      </c>
      <c r="CH76" s="93">
        <v>0.1632888449497446</v>
      </c>
      <c r="CI76" s="42">
        <v>5395</v>
      </c>
      <c r="CJ76" s="42">
        <v>4895</v>
      </c>
      <c r="CK76" s="42">
        <v>4255</v>
      </c>
      <c r="CL76" s="42">
        <v>4135</v>
      </c>
      <c r="CM76" s="42">
        <v>3900</v>
      </c>
      <c r="CN76" s="42">
        <v>3555</v>
      </c>
      <c r="CO76" s="36">
        <v>18637</v>
      </c>
      <c r="CP76" s="42">
        <v>6279</v>
      </c>
      <c r="CQ76" s="18">
        <v>0.33691044696034772</v>
      </c>
      <c r="CR76" s="38">
        <v>1695</v>
      </c>
      <c r="CS76" s="42">
        <v>8927</v>
      </c>
      <c r="CT76" s="42">
        <v>9024</v>
      </c>
      <c r="CU76" s="42">
        <v>9198</v>
      </c>
      <c r="CV76" s="42">
        <v>9207</v>
      </c>
      <c r="CW76" s="42">
        <v>8835</v>
      </c>
      <c r="CX76" s="42">
        <v>8719</v>
      </c>
      <c r="CY76" s="570">
        <v>8974</v>
      </c>
      <c r="CZ76" s="42">
        <v>456</v>
      </c>
      <c r="DA76" s="42">
        <v>399</v>
      </c>
      <c r="DB76" s="42">
        <v>367</v>
      </c>
      <c r="DC76" s="42">
        <v>345</v>
      </c>
      <c r="DD76" s="42">
        <v>331</v>
      </c>
      <c r="DE76" s="109">
        <v>240</v>
      </c>
      <c r="DF76" s="109">
        <v>241</v>
      </c>
      <c r="DG76" s="13">
        <v>666</v>
      </c>
      <c r="DH76" s="13">
        <v>560</v>
      </c>
      <c r="DI76" s="18">
        <v>6.3384267119411433E-2</v>
      </c>
      <c r="DJ76" s="18">
        <v>5.8490971257775859E-2</v>
      </c>
      <c r="DK76" s="18">
        <v>6.8657079089836148E-2</v>
      </c>
      <c r="DL76" s="393"/>
      <c r="DM76" s="393"/>
      <c r="DN76" s="393"/>
      <c r="DO76" s="393"/>
      <c r="DP76" s="337">
        <v>545</v>
      </c>
      <c r="DQ76" s="393">
        <v>6.680558960529541E-2</v>
      </c>
      <c r="DR76" s="393">
        <v>6.1588795596513903E-2</v>
      </c>
      <c r="DS76" s="393">
        <v>7.2430158868541747E-2</v>
      </c>
      <c r="DT76" s="13">
        <v>853</v>
      </c>
      <c r="DU76" s="18">
        <v>1.8369764186497255E-2</v>
      </c>
      <c r="DV76" s="368" t="s">
        <v>286</v>
      </c>
      <c r="DW76" s="369" t="s">
        <v>286</v>
      </c>
      <c r="DX76" s="420" t="s">
        <v>286</v>
      </c>
      <c r="DY76" s="258">
        <v>0.1321</v>
      </c>
      <c r="DZ76" s="420" t="s">
        <v>286</v>
      </c>
      <c r="EA76" s="259">
        <v>0.129</v>
      </c>
      <c r="EB76" s="9">
        <v>12972</v>
      </c>
      <c r="EC76" s="18">
        <v>3.7533201780020488E-2</v>
      </c>
      <c r="ED76" s="13">
        <v>7150</v>
      </c>
      <c r="EE76" s="9">
        <v>7170</v>
      </c>
      <c r="EF76" s="9">
        <v>7270</v>
      </c>
      <c r="EG76" s="9">
        <v>6830</v>
      </c>
      <c r="EH76" s="9">
        <v>6170</v>
      </c>
      <c r="EI76" s="9">
        <v>5700</v>
      </c>
      <c r="EJ76" s="13">
        <v>6110</v>
      </c>
      <c r="EK76" s="18">
        <v>0.14502729646332779</v>
      </c>
      <c r="EL76" s="18">
        <v>0.14169722698358567</v>
      </c>
      <c r="EM76" s="18">
        <v>0.14842209362874459</v>
      </c>
      <c r="EN76" s="9">
        <v>6940</v>
      </c>
      <c r="EO76" s="18">
        <v>0.16019473745218499</v>
      </c>
      <c r="EP76" s="18">
        <v>0.15676365982333609</v>
      </c>
      <c r="EQ76" s="18">
        <v>0.16368633353164547</v>
      </c>
      <c r="ER76" s="9">
        <v>6955</v>
      </c>
      <c r="ES76" s="18">
        <v>0.15725121702705763</v>
      </c>
      <c r="ET76" s="18">
        <v>0.15388592402837381</v>
      </c>
      <c r="EU76" s="18">
        <v>0.16067612921846403</v>
      </c>
      <c r="EV76" s="9">
        <v>7065</v>
      </c>
      <c r="EW76" s="18">
        <v>0.15680604982206406</v>
      </c>
      <c r="EX76" s="18">
        <v>0.15347429649501526</v>
      </c>
      <c r="EY76" s="18">
        <v>0.16019644428760754</v>
      </c>
      <c r="EZ76" s="9">
        <v>6685</v>
      </c>
      <c r="FA76" s="18">
        <v>0.14665936473165389</v>
      </c>
      <c r="FB76" s="18">
        <v>0.14344387874183293</v>
      </c>
      <c r="FC76" s="18">
        <v>0.14993431312186389</v>
      </c>
      <c r="FD76" s="337">
        <v>6530</v>
      </c>
      <c r="FE76" s="18">
        <v>0.15426411528466807</v>
      </c>
      <c r="FF76" s="18">
        <v>0.1508545873636733</v>
      </c>
      <c r="FG76" s="393">
        <v>0.15773638875948945</v>
      </c>
      <c r="FH76" s="337">
        <v>6765</v>
      </c>
      <c r="FI76" s="258">
        <v>0.154</v>
      </c>
      <c r="FJ76" s="258">
        <v>0.151</v>
      </c>
      <c r="FK76" s="258">
        <v>0.158</v>
      </c>
      <c r="FL76" s="36">
        <v>18490</v>
      </c>
      <c r="FM76" s="18">
        <v>0.13359635152743593</v>
      </c>
      <c r="FN76" s="42">
        <v>19950</v>
      </c>
      <c r="FO76" s="18">
        <v>0.14253021526138884</v>
      </c>
      <c r="FP76" s="42">
        <v>19345</v>
      </c>
      <c r="FQ76" s="18">
        <v>0.13716987168094408</v>
      </c>
      <c r="FR76" s="42">
        <v>19070</v>
      </c>
      <c r="FS76" s="18">
        <v>0.13467038593270012</v>
      </c>
      <c r="FT76" s="42">
        <v>17655</v>
      </c>
      <c r="FU76" s="18">
        <v>0.12370808954910135</v>
      </c>
      <c r="FV76" s="42">
        <v>17240</v>
      </c>
      <c r="FW76" s="393">
        <v>0.1209060943965215</v>
      </c>
      <c r="FX76" s="42">
        <v>18500</v>
      </c>
      <c r="FY76" s="93">
        <v>0.13</v>
      </c>
      <c r="FZ76" s="9">
        <v>8655</v>
      </c>
      <c r="GA76" s="9">
        <v>345</v>
      </c>
      <c r="GB76" s="9">
        <v>8310</v>
      </c>
      <c r="GC76" s="18">
        <v>0.96013864818024264</v>
      </c>
      <c r="GD76" s="9">
        <v>3498</v>
      </c>
      <c r="GE76" s="9">
        <v>4605</v>
      </c>
      <c r="GF76" s="393">
        <v>0.42093862815884475</v>
      </c>
      <c r="GG76" s="393">
        <v>0.55415162454873645</v>
      </c>
      <c r="GH76" s="18">
        <v>0.41036256656596182</v>
      </c>
      <c r="GI76" s="18">
        <v>0.43158775128549393</v>
      </c>
      <c r="GJ76" s="393">
        <v>0.54344199999999998</v>
      </c>
      <c r="GK76" s="93">
        <v>0.56481099999999995</v>
      </c>
      <c r="GL76" s="337">
        <v>7801</v>
      </c>
      <c r="GM76" s="337">
        <v>3156</v>
      </c>
      <c r="GN76" s="337">
        <v>1238</v>
      </c>
      <c r="GO76" s="337">
        <v>4394</v>
      </c>
      <c r="GP76" s="393">
        <v>0.40456351749775671</v>
      </c>
      <c r="GQ76" s="393">
        <v>0.56326112036918341</v>
      </c>
      <c r="GR76" s="393">
        <v>0.39372166155286392</v>
      </c>
      <c r="GS76" s="393">
        <v>0.41549931905819043</v>
      </c>
      <c r="GT76" s="393">
        <v>0.55222641414261608</v>
      </c>
      <c r="GU76" s="93">
        <v>0.5742335537129174</v>
      </c>
      <c r="GV76" s="42">
        <v>8763</v>
      </c>
      <c r="GW76" s="42">
        <v>1720</v>
      </c>
      <c r="GX76" s="42">
        <v>7043</v>
      </c>
      <c r="GY76" s="393">
        <f t="shared" si="9"/>
        <v>0.80372018715051918</v>
      </c>
      <c r="GZ76" s="42">
        <v>2898</v>
      </c>
      <c r="HA76" s="42">
        <v>1102</v>
      </c>
      <c r="HB76" s="42">
        <v>4000</v>
      </c>
      <c r="HC76" s="393">
        <v>0.41147238392730373</v>
      </c>
      <c r="HD76" s="393">
        <v>0.56793979838137154</v>
      </c>
      <c r="HE76" s="393">
        <v>0.40003094972776554</v>
      </c>
      <c r="HF76" s="393">
        <v>0.42301033660072124</v>
      </c>
      <c r="HG76" s="393">
        <v>0.5563369443079067</v>
      </c>
      <c r="HH76" s="93">
        <v>0.57946858013767333</v>
      </c>
      <c r="HI76" s="696">
        <v>8573</v>
      </c>
      <c r="HJ76" s="696">
        <v>707</v>
      </c>
      <c r="HK76" s="696">
        <v>7866</v>
      </c>
      <c r="HL76" s="697">
        <v>0.91753178583926276</v>
      </c>
      <c r="HM76" s="696">
        <v>3184</v>
      </c>
      <c r="HN76" s="696">
        <v>1248</v>
      </c>
      <c r="HO76" s="696">
        <v>4432</v>
      </c>
      <c r="HP76" s="697">
        <v>0.40478006610729722</v>
      </c>
      <c r="HQ76" s="697">
        <v>0.56343757945588613</v>
      </c>
      <c r="HR76" s="697">
        <v>0.39398184929837549</v>
      </c>
      <c r="HS76" s="697">
        <v>0.41567124119418986</v>
      </c>
      <c r="HT76" s="697">
        <v>0.55244907788444697</v>
      </c>
      <c r="HU76" s="698">
        <v>0.57436415021196141</v>
      </c>
      <c r="HV76" s="9">
        <v>6935</v>
      </c>
      <c r="HW76" s="270">
        <v>540.92999999999995</v>
      </c>
      <c r="HX76" s="18">
        <v>7.8E-2</v>
      </c>
      <c r="HY76" s="18">
        <v>7.1999999999999995E-2</v>
      </c>
      <c r="HZ76" s="18">
        <v>8.4000000000000005E-2</v>
      </c>
      <c r="IA76" s="408" t="s">
        <v>708</v>
      </c>
      <c r="IB76" s="9">
        <v>7601</v>
      </c>
      <c r="IC76" s="270">
        <v>608.08000000000004</v>
      </c>
      <c r="ID76" s="18">
        <v>0.08</v>
      </c>
      <c r="IE76" s="18">
        <v>7.3999999999999996E-2</v>
      </c>
      <c r="IF76" s="18">
        <v>8.6000000000000007E-2</v>
      </c>
      <c r="IG76" s="401" t="s">
        <v>708</v>
      </c>
      <c r="IH76" s="9">
        <v>6858</v>
      </c>
      <c r="II76" s="270">
        <v>541.78200000000004</v>
      </c>
      <c r="IJ76" s="18">
        <v>7.9000000000000001E-2</v>
      </c>
      <c r="IK76" s="18">
        <v>7.2999999999999995E-2</v>
      </c>
      <c r="IL76" s="18">
        <v>8.5000000000000006E-2</v>
      </c>
      <c r="IM76" s="401" t="s">
        <v>708</v>
      </c>
      <c r="IN76" s="9">
        <v>7939</v>
      </c>
      <c r="IO76" s="270">
        <v>674.81500000000005</v>
      </c>
      <c r="IP76" s="18">
        <v>8.5000000000000006E-2</v>
      </c>
      <c r="IQ76" s="18">
        <v>7.9000000000000001E-2</v>
      </c>
      <c r="IR76" s="18">
        <v>9.1000000000000011E-2</v>
      </c>
      <c r="IS76" s="401" t="s">
        <v>708</v>
      </c>
      <c r="IT76" s="9">
        <v>5584</v>
      </c>
      <c r="IU76" s="270">
        <v>474.99737599999992</v>
      </c>
      <c r="IV76" s="18">
        <v>8.5063999999999987E-2</v>
      </c>
      <c r="IW76" s="18">
        <v>7.8029000000000001E-2</v>
      </c>
      <c r="IX76" s="18">
        <v>9.2669999999999988E-2</v>
      </c>
      <c r="IY76" s="401" t="s">
        <v>708</v>
      </c>
      <c r="IZ76" s="109">
        <v>8184</v>
      </c>
      <c r="JA76" s="109">
        <v>593.99999999999977</v>
      </c>
      <c r="JB76" s="258">
        <v>7.25806451612903E-2</v>
      </c>
      <c r="JC76" s="258">
        <v>6.7157915551190397E-2</v>
      </c>
      <c r="JD76" s="258">
        <v>7.8404436237721309E-2</v>
      </c>
      <c r="JE76" s="401" t="str">
        <f t="shared" si="10"/>
        <v>Sig better than Eng.</v>
      </c>
      <c r="JF76" s="672">
        <v>8426</v>
      </c>
      <c r="JG76" s="674">
        <v>636.00000000000034</v>
      </c>
      <c r="JH76" s="669">
        <v>7.5480655115119907E-2</v>
      </c>
      <c r="JI76" s="669">
        <v>7.0031632904304808E-2</v>
      </c>
      <c r="JJ76" s="669">
        <v>8.1316582249338201E-2</v>
      </c>
      <c r="JK76" s="664" t="str">
        <f t="shared" ref="JK76:JK77" si="14">IF(JI76&gt;$JJ$78, "Sig worse than Eng.", IF(JJ76&lt;$JI$78,"Sig better than Eng.", "No Sig diff"))</f>
        <v>Sig better than Eng.</v>
      </c>
      <c r="JL76" s="9">
        <v>7034</v>
      </c>
      <c r="JM76" s="270">
        <v>1104.338</v>
      </c>
      <c r="JN76" s="18">
        <v>0.157</v>
      </c>
      <c r="JO76" s="18">
        <v>0.14799999999999999</v>
      </c>
      <c r="JP76" s="18">
        <v>0.16600000000000001</v>
      </c>
      <c r="JQ76" s="9" t="s">
        <v>708</v>
      </c>
      <c r="JR76" s="9">
        <v>7004</v>
      </c>
      <c r="JS76" s="270">
        <v>1113.636</v>
      </c>
      <c r="JT76" s="18">
        <v>0.159</v>
      </c>
      <c r="JU76" s="18">
        <v>0.15</v>
      </c>
      <c r="JV76" s="18">
        <v>0.16800000000000001</v>
      </c>
      <c r="JW76" s="9" t="s">
        <v>708</v>
      </c>
      <c r="JX76" s="9">
        <v>6928</v>
      </c>
      <c r="JY76" s="270">
        <v>1080.768</v>
      </c>
      <c r="JZ76" s="18">
        <v>0.156</v>
      </c>
      <c r="KA76" s="18">
        <v>0.14699999999999999</v>
      </c>
      <c r="KB76" s="18">
        <v>0.16500000000000001</v>
      </c>
      <c r="KC76" s="9" t="s">
        <v>708</v>
      </c>
      <c r="KD76" s="9">
        <v>6804</v>
      </c>
      <c r="KE76" s="270">
        <v>1000.188</v>
      </c>
      <c r="KF76" s="18">
        <v>0.14699999999999999</v>
      </c>
      <c r="KG76" s="18">
        <v>0.13899999999999998</v>
      </c>
      <c r="KH76" s="18">
        <v>0.155</v>
      </c>
      <c r="KI76" s="9" t="s">
        <v>708</v>
      </c>
      <c r="KJ76" s="9">
        <v>7269</v>
      </c>
      <c r="KK76" s="270">
        <v>1162.996386</v>
      </c>
      <c r="KL76" s="18">
        <v>0.159994</v>
      </c>
      <c r="KM76" s="18">
        <v>0.15174699999999999</v>
      </c>
      <c r="KN76" s="18">
        <v>0.168601</v>
      </c>
      <c r="KO76" s="9" t="s">
        <v>708</v>
      </c>
      <c r="KP76" s="9">
        <v>7429</v>
      </c>
      <c r="KQ76" s="9">
        <v>1184.000000000002</v>
      </c>
      <c r="KR76" s="393">
        <v>0.159375420648809</v>
      </c>
      <c r="KS76" s="393">
        <v>0.151228469864401</v>
      </c>
      <c r="KT76" s="393">
        <v>0.16787445624550401</v>
      </c>
      <c r="KU76" s="9" t="s">
        <v>708</v>
      </c>
      <c r="KV76" s="667">
        <v>7571</v>
      </c>
      <c r="KW76" s="667">
        <v>1227.0000000000036</v>
      </c>
      <c r="KX76" s="385">
        <v>0.16206577730815</v>
      </c>
      <c r="KY76" s="385">
        <v>0.153936650003725</v>
      </c>
      <c r="KZ76" s="385">
        <v>0.17053766040690502</v>
      </c>
      <c r="LA76" s="662" t="str">
        <f t="shared" si="12"/>
        <v>Sig better than Eng.</v>
      </c>
      <c r="LB76" s="109" t="s">
        <v>286</v>
      </c>
      <c r="LC76" s="109" t="s">
        <v>286</v>
      </c>
      <c r="LD76" s="18">
        <v>0.52</v>
      </c>
      <c r="LE76" s="109" t="s">
        <v>286</v>
      </c>
      <c r="LF76" s="109" t="s">
        <v>286</v>
      </c>
      <c r="LG76" s="109" t="s">
        <v>286</v>
      </c>
      <c r="LH76" s="9">
        <v>34</v>
      </c>
      <c r="LI76" s="109" t="s">
        <v>286</v>
      </c>
      <c r="LJ76" s="294">
        <v>23.7</v>
      </c>
      <c r="LK76" s="18">
        <v>0.30399999999999999</v>
      </c>
      <c r="LL76" s="109" t="s">
        <v>286</v>
      </c>
      <c r="LM76" s="109" t="s">
        <v>286</v>
      </c>
      <c r="LN76" s="18">
        <v>0.59</v>
      </c>
      <c r="LO76" s="109" t="s">
        <v>286</v>
      </c>
      <c r="LP76" s="109" t="s">
        <v>286</v>
      </c>
      <c r="LQ76" s="109" t="s">
        <v>286</v>
      </c>
      <c r="LR76" s="9">
        <v>34</v>
      </c>
      <c r="LS76" s="109" t="s">
        <v>286</v>
      </c>
      <c r="LT76" s="294">
        <v>24.5</v>
      </c>
      <c r="LU76" s="18">
        <v>0.27900000000000003</v>
      </c>
      <c r="LV76" s="384">
        <v>9660</v>
      </c>
      <c r="LW76" s="109" t="s">
        <v>286</v>
      </c>
      <c r="LX76" s="385">
        <v>0.63500000000000001</v>
      </c>
      <c r="LY76" s="109" t="s">
        <v>286</v>
      </c>
      <c r="LZ76" s="109" t="s">
        <v>286</v>
      </c>
      <c r="MA76" s="337">
        <v>34</v>
      </c>
      <c r="MB76" s="109" t="s">
        <v>286</v>
      </c>
      <c r="MC76" s="294">
        <v>24.5</v>
      </c>
      <c r="MD76" s="393">
        <v>0.27900000000000003</v>
      </c>
      <c r="ME76" s="425">
        <v>9731</v>
      </c>
      <c r="MF76" s="258" t="s">
        <v>286</v>
      </c>
      <c r="MG76" s="393">
        <v>0.68300000000000005</v>
      </c>
      <c r="MH76" s="258" t="s">
        <v>286</v>
      </c>
      <c r="MI76" s="258" t="s">
        <v>286</v>
      </c>
      <c r="MJ76" s="337">
        <v>34</v>
      </c>
      <c r="MK76" s="425" t="s">
        <v>286</v>
      </c>
      <c r="ML76" s="294">
        <v>24.8</v>
      </c>
      <c r="MM76" s="93">
        <v>0.27100000000000002</v>
      </c>
      <c r="MN76" s="18"/>
      <c r="MO76" s="18"/>
      <c r="MP76" s="18"/>
      <c r="MQ76" s="18"/>
      <c r="MR76" s="18"/>
      <c r="MS76" s="18"/>
      <c r="MT76" s="18"/>
      <c r="MU76" s="18"/>
      <c r="MV76" s="18"/>
      <c r="MW76" s="18"/>
      <c r="MX76" s="18"/>
      <c r="MY76" s="18"/>
      <c r="MZ76" s="18"/>
      <c r="NA76" s="18"/>
      <c r="NB76" s="18"/>
      <c r="NC76" s="93"/>
      <c r="ND76" s="337">
        <v>477</v>
      </c>
      <c r="NE76" s="337">
        <v>4343</v>
      </c>
      <c r="NF76" s="393">
        <v>0.10983191342390053</v>
      </c>
      <c r="NG76" s="393">
        <v>0.10087506725523812</v>
      </c>
      <c r="NH76" s="393">
        <v>0.11947837049828836</v>
      </c>
      <c r="NI76" s="337">
        <v>366</v>
      </c>
      <c r="NJ76" s="337">
        <v>4343</v>
      </c>
      <c r="NK76" s="393">
        <v>8.4273543633433104E-2</v>
      </c>
      <c r="NL76" s="393">
        <v>7.6374485919414287E-2</v>
      </c>
      <c r="NM76" s="393">
        <v>9.2907385938946346E-2</v>
      </c>
      <c r="NN76" s="337">
        <v>426</v>
      </c>
      <c r="NO76" s="337">
        <v>4318</v>
      </c>
      <c r="NP76" s="393">
        <v>9.8656785548865214E-2</v>
      </c>
      <c r="NQ76" s="393">
        <v>9.0115944888874061E-2</v>
      </c>
      <c r="NR76" s="393">
        <v>0.10791109219134049</v>
      </c>
      <c r="NS76" s="337">
        <v>811</v>
      </c>
      <c r="NT76" s="337">
        <v>4245</v>
      </c>
      <c r="NU76" s="393">
        <v>0.19104829210836277</v>
      </c>
      <c r="NV76" s="393">
        <v>0.1795035530603909</v>
      </c>
      <c r="NW76" s="93">
        <v>0.20315168945175535</v>
      </c>
      <c r="NX76" s="109" t="s">
        <v>286</v>
      </c>
      <c r="NY76" s="109" t="s">
        <v>286</v>
      </c>
      <c r="NZ76" s="109" t="s">
        <v>286</v>
      </c>
      <c r="OA76" s="109" t="s">
        <v>286</v>
      </c>
      <c r="OB76" s="109" t="s">
        <v>286</v>
      </c>
      <c r="OC76" s="109" t="s">
        <v>286</v>
      </c>
      <c r="OD76" s="109" t="s">
        <v>286</v>
      </c>
      <c r="OE76" s="109" t="s">
        <v>286</v>
      </c>
      <c r="OF76" s="109" t="s">
        <v>286</v>
      </c>
      <c r="OG76" s="109" t="s">
        <v>286</v>
      </c>
      <c r="OH76" s="109" t="s">
        <v>286</v>
      </c>
      <c r="OI76" s="109" t="s">
        <v>286</v>
      </c>
      <c r="OJ76" s="109" t="s">
        <v>286</v>
      </c>
      <c r="OK76" s="109" t="s">
        <v>286</v>
      </c>
      <c r="OL76" s="109" t="s">
        <v>286</v>
      </c>
      <c r="OM76" s="109" t="s">
        <v>286</v>
      </c>
      <c r="ON76" s="109" t="s">
        <v>286</v>
      </c>
      <c r="OO76" s="109" t="s">
        <v>286</v>
      </c>
      <c r="OP76" s="109" t="s">
        <v>286</v>
      </c>
      <c r="OQ76" s="109" t="s">
        <v>286</v>
      </c>
      <c r="OR76" s="109" t="s">
        <v>286</v>
      </c>
      <c r="OS76" s="109" t="s">
        <v>286</v>
      </c>
      <c r="OT76" s="115" t="s">
        <v>286</v>
      </c>
      <c r="OU76" s="9">
        <v>8826</v>
      </c>
      <c r="OV76" s="389">
        <v>0.95099999999999996</v>
      </c>
      <c r="OW76" s="389">
        <v>8.0000000000000002E-3</v>
      </c>
      <c r="OX76" s="389">
        <v>0.95</v>
      </c>
      <c r="OY76" s="9">
        <v>8393</v>
      </c>
      <c r="OZ76" s="9">
        <v>74</v>
      </c>
      <c r="PA76" s="9">
        <v>8384</v>
      </c>
      <c r="PB76" s="9">
        <v>9062</v>
      </c>
      <c r="PC76" s="389">
        <v>0.96899999999999997</v>
      </c>
      <c r="PD76" s="389">
        <v>0.93400000000000005</v>
      </c>
      <c r="PE76" s="389">
        <v>0.95699999999999996</v>
      </c>
      <c r="PF76" s="389">
        <v>0.93799999999999994</v>
      </c>
      <c r="PG76" s="389">
        <v>0.93500000000000005</v>
      </c>
      <c r="PH76" s="9">
        <v>8778</v>
      </c>
      <c r="PI76" s="9">
        <v>8461</v>
      </c>
      <c r="PJ76" s="9">
        <v>8673</v>
      </c>
      <c r="PK76" s="9">
        <v>8497</v>
      </c>
      <c r="PL76" s="9">
        <v>8476</v>
      </c>
      <c r="PM76" s="9">
        <v>9784</v>
      </c>
      <c r="PN76" s="389">
        <v>0.96199999999999997</v>
      </c>
      <c r="PO76" s="389">
        <v>0.91900000000000004</v>
      </c>
      <c r="PP76" s="389">
        <v>0.96199999999999997</v>
      </c>
      <c r="PQ76" s="389">
        <v>0.95899999999999996</v>
      </c>
      <c r="PR76" s="389">
        <v>0.95399999999999996</v>
      </c>
      <c r="PS76" s="389">
        <v>0.877</v>
      </c>
      <c r="PT76" s="389">
        <v>0.94199999999999995</v>
      </c>
      <c r="PU76" s="389">
        <v>0.91900000000000004</v>
      </c>
      <c r="PV76" s="389">
        <v>0.95799999999999996</v>
      </c>
      <c r="PW76" s="389">
        <v>0.91700000000000004</v>
      </c>
      <c r="PX76" s="9">
        <v>9409</v>
      </c>
      <c r="PY76" s="9">
        <v>8991</v>
      </c>
      <c r="PZ76" s="9">
        <v>9408</v>
      </c>
      <c r="QA76" s="9">
        <v>9386</v>
      </c>
      <c r="QB76" s="9">
        <v>9336</v>
      </c>
      <c r="QC76" s="9">
        <v>8577</v>
      </c>
      <c r="QD76" s="9">
        <v>9218</v>
      </c>
      <c r="QE76" s="9">
        <v>8991</v>
      </c>
      <c r="QF76" s="9">
        <v>9370</v>
      </c>
      <c r="QG76" s="6">
        <v>8970</v>
      </c>
      <c r="QH76" s="42">
        <v>8890</v>
      </c>
      <c r="QI76" s="393">
        <v>0.91889763779527556</v>
      </c>
      <c r="QJ76" s="393">
        <v>0.23610798650168729</v>
      </c>
      <c r="QK76" s="393">
        <v>0.92215973003374574</v>
      </c>
      <c r="QL76" s="42">
        <v>8169</v>
      </c>
      <c r="QM76" s="42">
        <v>2099</v>
      </c>
      <c r="QN76" s="42">
        <v>8198</v>
      </c>
      <c r="QO76" s="42">
        <v>9100</v>
      </c>
      <c r="QP76" s="393">
        <v>0.95076923076923081</v>
      </c>
      <c r="QQ76" s="393">
        <v>0.90032967032967037</v>
      </c>
      <c r="QR76" s="393">
        <v>0.72164835164835162</v>
      </c>
      <c r="QS76" s="393">
        <v>0.9043956043956044</v>
      </c>
      <c r="QT76" s="393">
        <v>0.68725274725274721</v>
      </c>
      <c r="QU76" s="42">
        <v>8652</v>
      </c>
      <c r="QV76" s="42">
        <v>8193</v>
      </c>
      <c r="QW76" s="42">
        <v>6567</v>
      </c>
      <c r="QX76" s="42">
        <v>8230</v>
      </c>
      <c r="QY76" s="42">
        <v>6254</v>
      </c>
      <c r="QZ76" s="9">
        <v>10004</v>
      </c>
      <c r="RA76" s="393">
        <v>0.96231507397041183</v>
      </c>
      <c r="RB76" s="393">
        <v>0.88124750099960014</v>
      </c>
      <c r="RC76" s="393">
        <v>0.96221511395441828</v>
      </c>
      <c r="RD76" s="393">
        <v>0.96121551379448222</v>
      </c>
      <c r="RE76" s="393">
        <v>0.71521391443422633</v>
      </c>
      <c r="RF76" s="393">
        <v>0.91333466613354664</v>
      </c>
      <c r="RG76" s="393">
        <v>0.9314274290283886</v>
      </c>
      <c r="RH76" s="393">
        <v>0.90613754498200716</v>
      </c>
      <c r="RI76" s="393">
        <v>0.71731307477009199</v>
      </c>
      <c r="RJ76" s="393">
        <v>0.6716313474610156</v>
      </c>
      <c r="RK76" s="9">
        <v>9627</v>
      </c>
      <c r="RL76" s="9">
        <v>8816</v>
      </c>
      <c r="RM76" s="9">
        <v>9626</v>
      </c>
      <c r="RN76" s="9">
        <v>9616</v>
      </c>
      <c r="RO76" s="9">
        <v>7155</v>
      </c>
      <c r="RP76" s="9">
        <v>9137</v>
      </c>
      <c r="RQ76" s="9">
        <v>9318</v>
      </c>
      <c r="RR76" s="9">
        <v>9065</v>
      </c>
      <c r="RS76" s="9">
        <v>7176</v>
      </c>
      <c r="RT76" s="6">
        <v>6719</v>
      </c>
    </row>
    <row r="77" spans="1:488" s="9" customFormat="1" ht="12.75" x14ac:dyDescent="0.2">
      <c r="A77" s="9" t="s">
        <v>111</v>
      </c>
      <c r="B77" s="6">
        <v>2</v>
      </c>
      <c r="C77" s="9" t="s">
        <v>286</v>
      </c>
      <c r="D77" s="9" t="s">
        <v>286</v>
      </c>
      <c r="E77" s="9" t="s">
        <v>286</v>
      </c>
      <c r="F77" s="9" t="s">
        <v>286</v>
      </c>
      <c r="G77" s="9" t="s">
        <v>286</v>
      </c>
      <c r="H77" s="9" t="s">
        <v>286</v>
      </c>
      <c r="I77" s="9" t="s">
        <v>286</v>
      </c>
      <c r="J77" s="9" t="s">
        <v>286</v>
      </c>
      <c r="K77" s="9" t="s">
        <v>286</v>
      </c>
      <c r="L77" s="9" t="s">
        <v>286</v>
      </c>
      <c r="M77" s="9" t="s">
        <v>286</v>
      </c>
      <c r="N77" s="9" t="s">
        <v>286</v>
      </c>
      <c r="O77" s="109" t="s">
        <v>286</v>
      </c>
      <c r="P77" s="109" t="s">
        <v>286</v>
      </c>
      <c r="Q77" s="109" t="s">
        <v>286</v>
      </c>
      <c r="R77" s="109" t="s">
        <v>286</v>
      </c>
      <c r="S77" s="109" t="s">
        <v>286</v>
      </c>
      <c r="T77" s="36">
        <v>8202900</v>
      </c>
      <c r="U77" s="42">
        <v>8270900</v>
      </c>
      <c r="V77" s="42">
        <v>8351400</v>
      </c>
      <c r="W77" s="42">
        <v>8426400</v>
      </c>
      <c r="X77" s="42">
        <v>8490900</v>
      </c>
      <c r="Y77" s="42">
        <v>8577800</v>
      </c>
      <c r="Z77" s="42">
        <v>8652800</v>
      </c>
      <c r="AA77" s="42">
        <v>8724700</v>
      </c>
      <c r="AB77" s="42">
        <v>8792800</v>
      </c>
      <c r="AC77" s="42">
        <v>8873800</v>
      </c>
      <c r="AD77" s="42">
        <f>MROUND(8947913, 5)</f>
        <v>8947915</v>
      </c>
      <c r="AE77" s="36">
        <v>463200</v>
      </c>
      <c r="AF77" s="42">
        <v>471000</v>
      </c>
      <c r="AG77" s="42">
        <v>485900</v>
      </c>
      <c r="AH77" s="42">
        <v>500100</v>
      </c>
      <c r="AI77" s="42">
        <v>510600</v>
      </c>
      <c r="AJ77" s="42">
        <v>525200</v>
      </c>
      <c r="AK77" s="42">
        <v>536000</v>
      </c>
      <c r="AL77" s="42">
        <v>545700</v>
      </c>
      <c r="AM77" s="42">
        <v>547500</v>
      </c>
      <c r="AN77" s="42">
        <v>548300</v>
      </c>
      <c r="AO77" s="42">
        <v>546369</v>
      </c>
      <c r="AP77" s="13">
        <v>534235</v>
      </c>
      <c r="AQ77" s="9">
        <v>420966</v>
      </c>
      <c r="AR77" s="9">
        <v>26435</v>
      </c>
      <c r="AS77" s="9">
        <v>31296</v>
      </c>
      <c r="AT77" s="9">
        <v>38794</v>
      </c>
      <c r="AU77" s="9">
        <v>12779</v>
      </c>
      <c r="AV77" s="9">
        <v>3965</v>
      </c>
      <c r="AW77" s="9">
        <v>113269</v>
      </c>
      <c r="AX77" s="16">
        <v>0.78797907287991242</v>
      </c>
      <c r="AY77" s="18">
        <v>4.9481969545237585E-2</v>
      </c>
      <c r="AZ77" s="18">
        <v>5.8580961561859497E-2</v>
      </c>
      <c r="BA77" s="18">
        <v>7.2615983602721645E-2</v>
      </c>
      <c r="BB77" s="18">
        <v>2.392018493734031E-2</v>
      </c>
      <c r="BC77" s="18">
        <v>7.4218274729285797E-3</v>
      </c>
      <c r="BD77" s="18">
        <v>0.2120209271200876</v>
      </c>
      <c r="BE77" s="50">
        <v>1321193</v>
      </c>
      <c r="BF77" s="49">
        <v>1269063</v>
      </c>
      <c r="BG77" s="49">
        <v>52130</v>
      </c>
      <c r="BH77" s="49">
        <v>43594</v>
      </c>
      <c r="BI77" s="49">
        <v>8536</v>
      </c>
      <c r="BJ77" s="18">
        <v>0.83625551505850759</v>
      </c>
      <c r="BK77" s="18">
        <v>0.16374448494149244</v>
      </c>
      <c r="BL77" s="36">
        <v>1020973</v>
      </c>
      <c r="BM77" s="18">
        <v>0.60131071046932683</v>
      </c>
      <c r="BN77" s="18">
        <v>0.17231993402372051</v>
      </c>
      <c r="BO77" s="18">
        <v>0.22636935550695267</v>
      </c>
      <c r="BP77" s="36">
        <v>2458022</v>
      </c>
      <c r="BQ77" s="42">
        <v>167421</v>
      </c>
      <c r="BR77" s="42">
        <v>162401</v>
      </c>
      <c r="BS77" s="42">
        <v>85422</v>
      </c>
      <c r="BT77" s="42">
        <v>1860927</v>
      </c>
      <c r="BU77" s="42">
        <v>1041021</v>
      </c>
      <c r="BV77" s="18">
        <v>0.15760681100573379</v>
      </c>
      <c r="BW77" s="36">
        <v>607685</v>
      </c>
      <c r="BX77" s="42">
        <v>566</v>
      </c>
      <c r="BY77" s="42">
        <v>138651</v>
      </c>
      <c r="BZ77" s="42">
        <v>216366</v>
      </c>
      <c r="CA77" s="42">
        <v>81369</v>
      </c>
      <c r="CB77" s="38">
        <v>1044637</v>
      </c>
      <c r="CC77" s="42">
        <v>417901</v>
      </c>
      <c r="CD77" s="42">
        <v>345105</v>
      </c>
      <c r="CE77" s="42">
        <v>71738</v>
      </c>
      <c r="CF77" s="42">
        <v>72796</v>
      </c>
      <c r="CG77" s="18">
        <v>0.17166266651671089</v>
      </c>
      <c r="CH77" s="93">
        <v>0.17419436660835941</v>
      </c>
      <c r="CI77" s="114">
        <v>66340</v>
      </c>
      <c r="CJ77" s="114">
        <v>63190</v>
      </c>
      <c r="CK77" s="114">
        <v>54770</v>
      </c>
      <c r="CL77" s="114">
        <v>52480</v>
      </c>
      <c r="CM77" s="114">
        <v>49270</v>
      </c>
      <c r="CN77" s="114">
        <v>46540</v>
      </c>
      <c r="CO77" s="36">
        <v>215348</v>
      </c>
      <c r="CP77" s="42">
        <v>78504</v>
      </c>
      <c r="CQ77" s="18">
        <v>0.364544829763917</v>
      </c>
      <c r="CR77" s="38">
        <v>22090</v>
      </c>
      <c r="CS77" s="42">
        <v>103669</v>
      </c>
      <c r="CT77" s="42">
        <v>106434</v>
      </c>
      <c r="CU77" s="42">
        <v>107132</v>
      </c>
      <c r="CV77" s="42">
        <v>107858</v>
      </c>
      <c r="CW77" s="42">
        <v>102190</v>
      </c>
      <c r="CX77" s="42">
        <v>102406</v>
      </c>
      <c r="CY77" s="570">
        <v>102703</v>
      </c>
      <c r="CZ77" s="42">
        <v>5317</v>
      </c>
      <c r="DA77" s="42">
        <v>4994</v>
      </c>
      <c r="DB77" s="42">
        <v>4521</v>
      </c>
      <c r="DC77" s="42">
        <v>4191</v>
      </c>
      <c r="DD77" s="42">
        <v>3686</v>
      </c>
      <c r="DE77" s="539">
        <v>3244</v>
      </c>
      <c r="DF77" s="539">
        <v>2998</v>
      </c>
      <c r="DG77" s="289" t="s">
        <v>286</v>
      </c>
      <c r="DH77" s="289" t="s">
        <v>286</v>
      </c>
      <c r="DI77" s="109" t="s">
        <v>286</v>
      </c>
      <c r="DJ77" s="109" t="s">
        <v>286</v>
      </c>
      <c r="DK77" s="109" t="s">
        <v>286</v>
      </c>
      <c r="DL77" s="109" t="s">
        <v>286</v>
      </c>
      <c r="DM77" s="109" t="s">
        <v>286</v>
      </c>
      <c r="DN77" s="109" t="s">
        <v>286</v>
      </c>
      <c r="DO77" s="109" t="s">
        <v>286</v>
      </c>
      <c r="DP77" s="380" t="s">
        <v>286</v>
      </c>
      <c r="DQ77" s="109" t="s">
        <v>286</v>
      </c>
      <c r="DR77" s="109" t="s">
        <v>286</v>
      </c>
      <c r="DS77" s="109" t="s">
        <v>286</v>
      </c>
      <c r="DT77" s="13">
        <v>10296</v>
      </c>
      <c r="DU77" s="18">
        <v>1.9291520050364809E-2</v>
      </c>
      <c r="DV77" s="368" t="s">
        <v>286</v>
      </c>
      <c r="DW77" s="369" t="s">
        <v>286</v>
      </c>
      <c r="DX77" s="420" t="s">
        <v>286</v>
      </c>
      <c r="DY77" s="420" t="s">
        <v>286</v>
      </c>
      <c r="DZ77" s="420" t="s">
        <v>286</v>
      </c>
      <c r="EA77" s="369" t="s">
        <v>286</v>
      </c>
      <c r="EB77" s="9">
        <v>143982</v>
      </c>
      <c r="EC77" s="18">
        <v>4.0495991661282933E-2</v>
      </c>
      <c r="ED77" s="13">
        <v>87780</v>
      </c>
      <c r="EE77" s="9">
        <v>87380</v>
      </c>
      <c r="EF77" s="9">
        <v>88800</v>
      </c>
      <c r="EG77" s="9">
        <v>84810</v>
      </c>
      <c r="EH77" s="9">
        <v>77170</v>
      </c>
      <c r="EI77" s="9">
        <v>70740</v>
      </c>
      <c r="EJ77" s="13">
        <v>80315</v>
      </c>
      <c r="EK77" s="18">
        <v>0.16714880332986473</v>
      </c>
      <c r="EL77" s="18">
        <v>0.16609650340974497</v>
      </c>
      <c r="EM77" s="18">
        <v>0.16820642530593949</v>
      </c>
      <c r="EN77" s="9">
        <v>88955</v>
      </c>
      <c r="EO77" s="18">
        <v>0.18006356017974981</v>
      </c>
      <c r="EP77" s="18">
        <v>0.17899458214908345</v>
      </c>
      <c r="EQ77" s="18">
        <v>0.18113751377052345</v>
      </c>
      <c r="ER77" s="9">
        <v>87905</v>
      </c>
      <c r="ES77" s="18">
        <v>0.17398834205864597</v>
      </c>
      <c r="ET77" s="18">
        <v>0.17294548913366911</v>
      </c>
      <c r="EU77" s="18">
        <v>0.17503615248196333</v>
      </c>
      <c r="EV77" s="9">
        <v>88660</v>
      </c>
      <c r="EW77" s="18">
        <v>0.17238127643027268</v>
      </c>
      <c r="EX77" s="18">
        <v>0.17135146343848351</v>
      </c>
      <c r="EY77" s="18">
        <v>0.17341598330991739</v>
      </c>
      <c r="EZ77" s="9">
        <v>85520</v>
      </c>
      <c r="FA77" s="18">
        <v>0.16435249690109446</v>
      </c>
      <c r="FB77" s="18">
        <v>0.16334803891218105</v>
      </c>
      <c r="FC77" s="18">
        <v>0.16536191070410292</v>
      </c>
      <c r="FD77" s="337">
        <v>83245</v>
      </c>
      <c r="FE77" s="18">
        <v>0.17539109823544904</v>
      </c>
      <c r="FF77" s="18">
        <v>0.17431179317805806</v>
      </c>
      <c r="FG77" s="393">
        <v>0.17647565780592492</v>
      </c>
      <c r="FH77" s="337">
        <v>85210</v>
      </c>
      <c r="FI77" s="258">
        <v>0.17100000000000001</v>
      </c>
      <c r="FJ77" s="258">
        <v>0.17</v>
      </c>
      <c r="FK77" s="258">
        <v>0.17199999999999999</v>
      </c>
      <c r="FL77" s="36">
        <v>233325</v>
      </c>
      <c r="FM77" s="18">
        <v>0.15182670314975744</v>
      </c>
      <c r="FN77" s="42">
        <v>249690</v>
      </c>
      <c r="FO77" s="18">
        <v>0.15990240247451995</v>
      </c>
      <c r="FP77" s="42">
        <v>243950</v>
      </c>
      <c r="FQ77" s="18">
        <v>0.1553312130097452</v>
      </c>
      <c r="FR77" s="42">
        <v>239725</v>
      </c>
      <c r="FS77" s="18">
        <v>0.1514811631933474</v>
      </c>
      <c r="FT77" s="42">
        <v>226550</v>
      </c>
      <c r="FU77" s="18">
        <v>0.14191838831326659</v>
      </c>
      <c r="FV77" s="42">
        <v>219485</v>
      </c>
      <c r="FW77" s="393">
        <v>0.13700000000000001</v>
      </c>
      <c r="FX77" s="42">
        <v>233640</v>
      </c>
      <c r="FY77" s="93">
        <v>0.14699999999999999</v>
      </c>
      <c r="FZ77" s="109" t="s">
        <v>286</v>
      </c>
      <c r="GA77" s="109" t="s">
        <v>286</v>
      </c>
      <c r="GB77" s="109" t="s">
        <v>286</v>
      </c>
      <c r="GC77" s="258" t="s">
        <v>286</v>
      </c>
      <c r="GD77" s="109" t="s">
        <v>286</v>
      </c>
      <c r="GE77" s="109" t="s">
        <v>286</v>
      </c>
      <c r="GF77" s="258" t="s">
        <v>286</v>
      </c>
      <c r="GG77" s="258" t="s">
        <v>286</v>
      </c>
      <c r="GH77" s="258" t="s">
        <v>286</v>
      </c>
      <c r="GI77" s="258" t="s">
        <v>286</v>
      </c>
      <c r="GJ77" s="258" t="s">
        <v>286</v>
      </c>
      <c r="GK77" s="259" t="s">
        <v>286</v>
      </c>
      <c r="GL77" s="420" t="s">
        <v>286</v>
      </c>
      <c r="GM77" s="258" t="s">
        <v>286</v>
      </c>
      <c r="GN77" s="258" t="s">
        <v>286</v>
      </c>
      <c r="GO77" s="258" t="s">
        <v>286</v>
      </c>
      <c r="GP77" s="258" t="s">
        <v>286</v>
      </c>
      <c r="GQ77" s="258" t="s">
        <v>286</v>
      </c>
      <c r="GR77" s="258" t="s">
        <v>286</v>
      </c>
      <c r="GS77" s="258" t="s">
        <v>286</v>
      </c>
      <c r="GT77" s="258" t="s">
        <v>286</v>
      </c>
      <c r="GU77" s="259" t="s">
        <v>286</v>
      </c>
      <c r="GV77" s="420" t="s">
        <v>286</v>
      </c>
      <c r="GW77" s="420" t="s">
        <v>286</v>
      </c>
      <c r="GX77" s="420" t="s">
        <v>286</v>
      </c>
      <c r="GY77" s="420" t="s">
        <v>286</v>
      </c>
      <c r="GZ77" s="420" t="s">
        <v>286</v>
      </c>
      <c r="HA77" s="420" t="s">
        <v>286</v>
      </c>
      <c r="HB77" s="420" t="s">
        <v>286</v>
      </c>
      <c r="HC77" s="258" t="s">
        <v>286</v>
      </c>
      <c r="HD77" s="258" t="s">
        <v>286</v>
      </c>
      <c r="HE77" s="258" t="s">
        <v>286</v>
      </c>
      <c r="HF77" s="258" t="s">
        <v>286</v>
      </c>
      <c r="HG77" s="258" t="s">
        <v>286</v>
      </c>
      <c r="HH77" s="259" t="s">
        <v>286</v>
      </c>
      <c r="HI77" s="702" t="s">
        <v>286</v>
      </c>
      <c r="HJ77" s="703" t="s">
        <v>286</v>
      </c>
      <c r="HK77" s="703" t="s">
        <v>286</v>
      </c>
      <c r="HL77" s="704" t="s">
        <v>286</v>
      </c>
      <c r="HM77" s="703" t="s">
        <v>286</v>
      </c>
      <c r="HN77" s="703" t="s">
        <v>286</v>
      </c>
      <c r="HO77" s="703" t="s">
        <v>286</v>
      </c>
      <c r="HP77" s="704" t="s">
        <v>286</v>
      </c>
      <c r="HQ77" s="704" t="s">
        <v>286</v>
      </c>
      <c r="HR77" s="704" t="s">
        <v>286</v>
      </c>
      <c r="HS77" s="704" t="s">
        <v>286</v>
      </c>
      <c r="HT77" s="704" t="s">
        <v>286</v>
      </c>
      <c r="HU77" s="705" t="s">
        <v>286</v>
      </c>
      <c r="HV77" s="9">
        <v>82264</v>
      </c>
      <c r="HW77" s="270">
        <v>7156.9679999999998</v>
      </c>
      <c r="HX77" s="18">
        <v>8.6999999999999994E-2</v>
      </c>
      <c r="HY77" s="18">
        <v>8.4999999999999992E-2</v>
      </c>
      <c r="HZ77" s="18">
        <v>8.8999999999999996E-2</v>
      </c>
      <c r="IA77" s="408" t="s">
        <v>708</v>
      </c>
      <c r="IB77" s="9">
        <v>83380</v>
      </c>
      <c r="IC77" s="270">
        <v>6837.16</v>
      </c>
      <c r="ID77" s="18">
        <v>8.2000000000000003E-2</v>
      </c>
      <c r="IE77" s="18">
        <v>0.08</v>
      </c>
      <c r="IF77" s="18">
        <v>8.4000000000000005E-2</v>
      </c>
      <c r="IG77" s="401" t="s">
        <v>708</v>
      </c>
      <c r="IH77" s="9">
        <v>87844</v>
      </c>
      <c r="II77" s="270">
        <v>7291.0520000000006</v>
      </c>
      <c r="IJ77" s="18">
        <v>8.3000000000000004E-2</v>
      </c>
      <c r="IK77" s="18">
        <v>8.1000000000000003E-2</v>
      </c>
      <c r="IL77" s="18">
        <v>8.5000000000000006E-2</v>
      </c>
      <c r="IM77" s="401" t="s">
        <v>708</v>
      </c>
      <c r="IN77" s="9">
        <v>89710</v>
      </c>
      <c r="IO77" s="270">
        <v>7087.09</v>
      </c>
      <c r="IP77" s="18">
        <v>7.9000000000000001E-2</v>
      </c>
      <c r="IQ77" s="18">
        <v>7.6999999999999999E-2</v>
      </c>
      <c r="IR77" s="18">
        <v>8.1000000000000003E-2</v>
      </c>
      <c r="IS77" s="401" t="s">
        <v>708</v>
      </c>
      <c r="IT77" s="9">
        <v>86205</v>
      </c>
      <c r="IU77" s="270">
        <v>6863.9869200000003</v>
      </c>
      <c r="IV77" s="18">
        <v>7.9624E-2</v>
      </c>
      <c r="IW77" s="18">
        <v>7.7836000000000002E-2</v>
      </c>
      <c r="IX77" s="18">
        <v>8.1449999999999995E-2</v>
      </c>
      <c r="IY77" s="401" t="s">
        <v>708</v>
      </c>
      <c r="IZ77" s="109">
        <v>96798</v>
      </c>
      <c r="JA77" s="109">
        <v>7633.0000000000018</v>
      </c>
      <c r="JB77" s="258">
        <v>7.8854935019318603E-2</v>
      </c>
      <c r="JC77" s="258">
        <v>7.7173772386484096E-2</v>
      </c>
      <c r="JD77" s="258">
        <v>8.0569522872175392E-2</v>
      </c>
      <c r="JE77" s="401" t="str">
        <f t="shared" si="10"/>
        <v>Sig better than Eng.</v>
      </c>
      <c r="JF77" s="109">
        <v>99583</v>
      </c>
      <c r="JG77" s="674">
        <v>8023.9999999999973</v>
      </c>
      <c r="JH77" s="258">
        <v>8.0576001928039903E-2</v>
      </c>
      <c r="JI77" s="258">
        <v>7.8901631723598695E-2</v>
      </c>
      <c r="JJ77" s="258">
        <v>8.2282729821376688E-2</v>
      </c>
      <c r="JK77" s="664" t="str">
        <f t="shared" si="14"/>
        <v>Sig better than Eng.</v>
      </c>
      <c r="JL77" s="9">
        <v>78560</v>
      </c>
      <c r="JM77" s="270">
        <v>13040.960000000001</v>
      </c>
      <c r="JN77" s="18">
        <v>0.16600000000000001</v>
      </c>
      <c r="JO77" s="18">
        <v>0.16300000000000001</v>
      </c>
      <c r="JP77" s="18">
        <v>0.16900000000000001</v>
      </c>
      <c r="JQ77" s="9" t="s">
        <v>708</v>
      </c>
      <c r="JR77" s="9">
        <v>76553</v>
      </c>
      <c r="JS77" s="270">
        <v>12707.798000000001</v>
      </c>
      <c r="JT77" s="18">
        <v>0.16600000000000001</v>
      </c>
      <c r="JU77" s="18">
        <v>0.16300000000000001</v>
      </c>
      <c r="JV77" s="18">
        <v>0.16900000000000001</v>
      </c>
      <c r="JW77" s="9" t="s">
        <v>708</v>
      </c>
      <c r="JX77" s="9">
        <v>76433</v>
      </c>
      <c r="JY77" s="270">
        <v>12611.445</v>
      </c>
      <c r="JZ77" s="18">
        <v>0.16500000000000001</v>
      </c>
      <c r="KA77" s="18">
        <v>0.16200000000000001</v>
      </c>
      <c r="KB77" s="18">
        <v>0.16800000000000001</v>
      </c>
      <c r="KC77" s="9" t="s">
        <v>708</v>
      </c>
      <c r="KD77" s="9">
        <v>76191</v>
      </c>
      <c r="KE77" s="270">
        <v>12190.56</v>
      </c>
      <c r="KF77" s="18">
        <v>0.16</v>
      </c>
      <c r="KG77" s="18">
        <v>0.157</v>
      </c>
      <c r="KH77" s="18">
        <v>0.16300000000000001</v>
      </c>
      <c r="KI77" s="9" t="s">
        <v>708</v>
      </c>
      <c r="KJ77" s="9">
        <v>79890</v>
      </c>
      <c r="KK77" s="270">
        <v>13118.976570000001</v>
      </c>
      <c r="KL77" s="18">
        <v>0.164213</v>
      </c>
      <c r="KM77" s="18">
        <v>0.161661</v>
      </c>
      <c r="KN77" s="18">
        <v>0.166798</v>
      </c>
      <c r="KO77" s="9" t="s">
        <v>708</v>
      </c>
      <c r="KP77" s="9">
        <v>83234</v>
      </c>
      <c r="KQ77" s="9">
        <v>13680.000000000007</v>
      </c>
      <c r="KR77" s="393">
        <v>0.16435591224739898</v>
      </c>
      <c r="KS77" s="393">
        <v>0.161853729805707</v>
      </c>
      <c r="KT77" s="393">
        <v>0.166889074899988</v>
      </c>
      <c r="KU77" s="9" t="s">
        <v>708</v>
      </c>
      <c r="KV77" s="667">
        <v>84877</v>
      </c>
      <c r="KW77" s="667">
        <v>14545.999999999967</v>
      </c>
      <c r="KX77" s="393">
        <v>0.17137740495069298</v>
      </c>
      <c r="KY77" s="393">
        <v>0.16885711441740198</v>
      </c>
      <c r="KZ77" s="393">
        <v>0.17392744048049402</v>
      </c>
      <c r="LA77" s="662" t="str">
        <f t="shared" si="12"/>
        <v>Sig better than Eng.</v>
      </c>
      <c r="LB77" s="109" t="s">
        <v>286</v>
      </c>
      <c r="LC77" s="109" t="s">
        <v>286</v>
      </c>
      <c r="LD77" s="18">
        <v>0.54</v>
      </c>
      <c r="LE77" s="109" t="s">
        <v>286</v>
      </c>
      <c r="LF77" s="109" t="s">
        <v>286</v>
      </c>
      <c r="LG77" s="109" t="s">
        <v>286</v>
      </c>
      <c r="LH77" s="9">
        <v>34</v>
      </c>
      <c r="LI77" s="109" t="s">
        <v>286</v>
      </c>
      <c r="LJ77" s="294">
        <v>23.4</v>
      </c>
      <c r="LK77" s="18">
        <v>0.311</v>
      </c>
      <c r="LL77" s="109" t="s">
        <v>286</v>
      </c>
      <c r="LM77" s="109" t="s">
        <v>286</v>
      </c>
      <c r="LN77" s="18">
        <v>0.64</v>
      </c>
      <c r="LO77" s="109" t="s">
        <v>286</v>
      </c>
      <c r="LP77" s="109" t="s">
        <v>286</v>
      </c>
      <c r="LQ77" s="109" t="s">
        <v>286</v>
      </c>
      <c r="LR77" s="9">
        <v>34</v>
      </c>
      <c r="LS77" s="109" t="s">
        <v>286</v>
      </c>
      <c r="LT77" s="294">
        <v>24.7</v>
      </c>
      <c r="LU77" s="18">
        <v>0.27500000000000002</v>
      </c>
      <c r="LV77" s="42">
        <v>105096</v>
      </c>
      <c r="LW77" s="109" t="s">
        <v>286</v>
      </c>
      <c r="LX77" s="18">
        <v>0.70099999999999996</v>
      </c>
      <c r="LY77" s="109" t="s">
        <v>286</v>
      </c>
      <c r="LZ77" s="109" t="s">
        <v>286</v>
      </c>
      <c r="MA77" s="337">
        <v>34</v>
      </c>
      <c r="MB77" s="109" t="s">
        <v>286</v>
      </c>
      <c r="MC77" s="294">
        <v>25.3</v>
      </c>
      <c r="MD77" s="393">
        <v>0.25700000000000001</v>
      </c>
      <c r="ME77" s="425">
        <v>107906</v>
      </c>
      <c r="MF77" s="258" t="s">
        <v>286</v>
      </c>
      <c r="MG77" s="393">
        <v>0.73</v>
      </c>
      <c r="MH77" s="258" t="s">
        <v>286</v>
      </c>
      <c r="MI77" s="258" t="s">
        <v>286</v>
      </c>
      <c r="MJ77" s="337">
        <v>34</v>
      </c>
      <c r="MK77" s="425" t="s">
        <v>286</v>
      </c>
      <c r="ML77" s="294">
        <v>25.4</v>
      </c>
      <c r="MM77" s="93">
        <v>0.252</v>
      </c>
      <c r="MN77" s="18"/>
      <c r="MO77" s="18"/>
      <c r="MP77" s="18"/>
      <c r="MQ77" s="18"/>
      <c r="MR77" s="18"/>
      <c r="MS77" s="18"/>
      <c r="MT77" s="18"/>
      <c r="MU77" s="18"/>
      <c r="MV77" s="18"/>
      <c r="MW77" s="18"/>
      <c r="MX77" s="18"/>
      <c r="MY77" s="18"/>
      <c r="MZ77" s="18"/>
      <c r="NA77" s="18"/>
      <c r="NB77" s="18"/>
      <c r="NC77" s="93"/>
      <c r="ND77" s="425" t="s">
        <v>286</v>
      </c>
      <c r="NE77" s="425" t="s">
        <v>286</v>
      </c>
      <c r="NF77" s="258" t="s">
        <v>286</v>
      </c>
      <c r="NG77" s="258" t="s">
        <v>286</v>
      </c>
      <c r="NH77" s="258" t="s">
        <v>286</v>
      </c>
      <c r="NI77" s="425" t="s">
        <v>286</v>
      </c>
      <c r="NJ77" s="425" t="s">
        <v>286</v>
      </c>
      <c r="NK77" s="258" t="s">
        <v>286</v>
      </c>
      <c r="NL77" s="258" t="s">
        <v>286</v>
      </c>
      <c r="NM77" s="258" t="s">
        <v>286</v>
      </c>
      <c r="NN77" s="425" t="s">
        <v>286</v>
      </c>
      <c r="NO77" s="425" t="s">
        <v>286</v>
      </c>
      <c r="NP77" s="258" t="s">
        <v>286</v>
      </c>
      <c r="NQ77" s="258" t="s">
        <v>286</v>
      </c>
      <c r="NR77" s="258" t="s">
        <v>286</v>
      </c>
      <c r="NS77" s="425" t="s">
        <v>286</v>
      </c>
      <c r="NT77" s="425" t="s">
        <v>286</v>
      </c>
      <c r="NU77" s="258" t="s">
        <v>286</v>
      </c>
      <c r="NV77" s="258" t="s">
        <v>286</v>
      </c>
      <c r="NW77" s="259" t="s">
        <v>286</v>
      </c>
      <c r="NX77" s="109" t="s">
        <v>286</v>
      </c>
      <c r="NY77" s="109" t="s">
        <v>286</v>
      </c>
      <c r="NZ77" s="109" t="s">
        <v>286</v>
      </c>
      <c r="OA77" s="109" t="s">
        <v>286</v>
      </c>
      <c r="OB77" s="109" t="s">
        <v>286</v>
      </c>
      <c r="OC77" s="109" t="s">
        <v>286</v>
      </c>
      <c r="OD77" s="109" t="s">
        <v>286</v>
      </c>
      <c r="OE77" s="109" t="s">
        <v>286</v>
      </c>
      <c r="OF77" s="109" t="s">
        <v>286</v>
      </c>
      <c r="OG77" s="109" t="s">
        <v>286</v>
      </c>
      <c r="OH77" s="109" t="s">
        <v>286</v>
      </c>
      <c r="OI77" s="109" t="s">
        <v>286</v>
      </c>
      <c r="OJ77" s="109" t="s">
        <v>286</v>
      </c>
      <c r="OK77" s="109" t="s">
        <v>286</v>
      </c>
      <c r="OL77" s="109" t="s">
        <v>286</v>
      </c>
      <c r="OM77" s="109" t="s">
        <v>286</v>
      </c>
      <c r="ON77" s="109" t="s">
        <v>286</v>
      </c>
      <c r="OO77" s="109" t="s">
        <v>286</v>
      </c>
      <c r="OP77" s="109" t="s">
        <v>286</v>
      </c>
      <c r="OQ77" s="109" t="s">
        <v>286</v>
      </c>
      <c r="OR77" s="109" t="s">
        <v>286</v>
      </c>
      <c r="OS77" s="109" t="s">
        <v>286</v>
      </c>
      <c r="OT77" s="115" t="s">
        <v>286</v>
      </c>
      <c r="OU77" s="109" t="s">
        <v>286</v>
      </c>
      <c r="OV77" s="109" t="s">
        <v>286</v>
      </c>
      <c r="OW77" s="109" t="s">
        <v>286</v>
      </c>
      <c r="OX77" s="109" t="s">
        <v>286</v>
      </c>
      <c r="OY77" s="109" t="s">
        <v>286</v>
      </c>
      <c r="OZ77" s="109" t="s">
        <v>286</v>
      </c>
      <c r="PA77" s="109" t="s">
        <v>286</v>
      </c>
      <c r="PB77" s="109" t="s">
        <v>286</v>
      </c>
      <c r="PC77" s="109" t="s">
        <v>286</v>
      </c>
      <c r="PD77" s="109" t="s">
        <v>286</v>
      </c>
      <c r="PE77" s="109" t="s">
        <v>286</v>
      </c>
      <c r="PF77" s="109" t="s">
        <v>286</v>
      </c>
      <c r="PG77" s="109" t="s">
        <v>286</v>
      </c>
      <c r="PH77" s="109" t="s">
        <v>286</v>
      </c>
      <c r="PI77" s="109" t="s">
        <v>286</v>
      </c>
      <c r="PJ77" s="109" t="s">
        <v>286</v>
      </c>
      <c r="PK77" s="109" t="s">
        <v>286</v>
      </c>
      <c r="PL77" s="109" t="s">
        <v>286</v>
      </c>
      <c r="PM77" s="109" t="s">
        <v>286</v>
      </c>
      <c r="PN77" s="109" t="s">
        <v>286</v>
      </c>
      <c r="PO77" s="109" t="s">
        <v>286</v>
      </c>
      <c r="PP77" s="109" t="s">
        <v>286</v>
      </c>
      <c r="PQ77" s="109" t="s">
        <v>286</v>
      </c>
      <c r="PR77" s="109" t="s">
        <v>286</v>
      </c>
      <c r="PS77" s="109" t="s">
        <v>286</v>
      </c>
      <c r="PT77" s="109" t="s">
        <v>286</v>
      </c>
      <c r="PU77" s="109" t="s">
        <v>286</v>
      </c>
      <c r="PV77" s="109" t="s">
        <v>286</v>
      </c>
      <c r="PW77" s="109" t="s">
        <v>286</v>
      </c>
      <c r="PX77" s="109" t="s">
        <v>286</v>
      </c>
      <c r="PY77" s="109" t="s">
        <v>286</v>
      </c>
      <c r="PZ77" s="109" t="s">
        <v>286</v>
      </c>
      <c r="QA77" s="109" t="s">
        <v>286</v>
      </c>
      <c r="QB77" s="109" t="s">
        <v>286</v>
      </c>
      <c r="QC77" s="109" t="s">
        <v>286</v>
      </c>
      <c r="QD77" s="109" t="s">
        <v>286</v>
      </c>
      <c r="QE77" s="109" t="s">
        <v>286</v>
      </c>
      <c r="QF77" s="109" t="s">
        <v>286</v>
      </c>
      <c r="QG77" s="115" t="s">
        <v>286</v>
      </c>
      <c r="QH77" s="109" t="s">
        <v>286</v>
      </c>
      <c r="QI77" s="109" t="s">
        <v>286</v>
      </c>
      <c r="QJ77" s="109" t="s">
        <v>286</v>
      </c>
      <c r="QK77" s="109" t="s">
        <v>286</v>
      </c>
      <c r="QL77" s="109" t="s">
        <v>286</v>
      </c>
      <c r="QM77" s="109" t="s">
        <v>286</v>
      </c>
      <c r="QN77" s="109" t="s">
        <v>286</v>
      </c>
      <c r="QO77" s="109" t="s">
        <v>286</v>
      </c>
      <c r="QP77" s="109" t="s">
        <v>286</v>
      </c>
      <c r="QQ77" s="109" t="s">
        <v>286</v>
      </c>
      <c r="QR77" s="109" t="s">
        <v>286</v>
      </c>
      <c r="QS77" s="109" t="s">
        <v>286</v>
      </c>
      <c r="QT77" s="109" t="s">
        <v>286</v>
      </c>
      <c r="QU77" s="109" t="s">
        <v>286</v>
      </c>
      <c r="QV77" s="109" t="s">
        <v>286</v>
      </c>
      <c r="QW77" s="109" t="s">
        <v>286</v>
      </c>
      <c r="QX77" s="109" t="s">
        <v>286</v>
      </c>
      <c r="QY77" s="109" t="s">
        <v>286</v>
      </c>
      <c r="QZ77" s="109" t="s">
        <v>286</v>
      </c>
      <c r="RA77" s="109" t="s">
        <v>286</v>
      </c>
      <c r="RB77" s="109" t="s">
        <v>286</v>
      </c>
      <c r="RC77" s="109" t="s">
        <v>286</v>
      </c>
      <c r="RD77" s="109" t="s">
        <v>286</v>
      </c>
      <c r="RE77" s="109" t="s">
        <v>286</v>
      </c>
      <c r="RF77" s="109" t="s">
        <v>286</v>
      </c>
      <c r="RG77" s="109" t="s">
        <v>286</v>
      </c>
      <c r="RH77" s="109" t="s">
        <v>286</v>
      </c>
      <c r="RI77" s="109" t="s">
        <v>286</v>
      </c>
      <c r="RJ77" s="109" t="s">
        <v>286</v>
      </c>
      <c r="RK77" s="109" t="s">
        <v>286</v>
      </c>
      <c r="RL77" s="109" t="s">
        <v>286</v>
      </c>
      <c r="RM77" s="109" t="s">
        <v>286</v>
      </c>
      <c r="RN77" s="109" t="s">
        <v>286</v>
      </c>
      <c r="RO77" s="109" t="s">
        <v>286</v>
      </c>
      <c r="RP77" s="109" t="s">
        <v>286</v>
      </c>
      <c r="RQ77" s="109" t="s">
        <v>286</v>
      </c>
      <c r="RR77" s="109" t="s">
        <v>286</v>
      </c>
      <c r="RS77" s="109" t="s">
        <v>286</v>
      </c>
      <c r="RT77" s="115" t="s">
        <v>286</v>
      </c>
    </row>
    <row r="78" spans="1:488" s="4" customFormat="1" ht="12.75" x14ac:dyDescent="0.2">
      <c r="A78" s="4" t="s">
        <v>112</v>
      </c>
      <c r="B78" s="7">
        <v>3</v>
      </c>
      <c r="C78" s="4" t="s">
        <v>286</v>
      </c>
      <c r="D78" s="4" t="s">
        <v>286</v>
      </c>
      <c r="E78" s="4" t="s">
        <v>286</v>
      </c>
      <c r="F78" s="4" t="s">
        <v>286</v>
      </c>
      <c r="G78" s="4" t="s">
        <v>286</v>
      </c>
      <c r="H78" s="4" t="s">
        <v>286</v>
      </c>
      <c r="I78" s="4" t="s">
        <v>286</v>
      </c>
      <c r="J78" s="4" t="s">
        <v>286</v>
      </c>
      <c r="K78" s="4" t="s">
        <v>286</v>
      </c>
      <c r="L78" s="4" t="s">
        <v>286</v>
      </c>
      <c r="M78" s="4" t="s">
        <v>286</v>
      </c>
      <c r="N78" s="4" t="s">
        <v>286</v>
      </c>
      <c r="O78" s="110" t="s">
        <v>286</v>
      </c>
      <c r="P78" s="110" t="s">
        <v>286</v>
      </c>
      <c r="Q78" s="110" t="s">
        <v>286</v>
      </c>
      <c r="R78" s="110" t="s">
        <v>286</v>
      </c>
      <c r="S78" s="110" t="s">
        <v>286</v>
      </c>
      <c r="T78" s="39">
        <v>50606000</v>
      </c>
      <c r="U78" s="40">
        <v>50965200</v>
      </c>
      <c r="V78" s="40">
        <v>51381100</v>
      </c>
      <c r="W78" s="40">
        <v>51815900</v>
      </c>
      <c r="X78" s="40">
        <v>52196400</v>
      </c>
      <c r="Y78" s="40">
        <v>52642500</v>
      </c>
      <c r="Z78" s="40">
        <v>53107200</v>
      </c>
      <c r="AA78" s="40">
        <v>53493700</v>
      </c>
      <c r="AB78" s="40">
        <v>53865800</v>
      </c>
      <c r="AC78" s="40">
        <v>54316600</v>
      </c>
      <c r="AD78" s="40">
        <f>MROUND(54786327, 5)</f>
        <v>54786325</v>
      </c>
      <c r="AE78" s="39">
        <v>2908000</v>
      </c>
      <c r="AF78" s="40">
        <v>2963100</v>
      </c>
      <c r="AG78" s="40">
        <v>3049000</v>
      </c>
      <c r="AH78" s="40">
        <v>3142700</v>
      </c>
      <c r="AI78" s="40">
        <v>3211900</v>
      </c>
      <c r="AJ78" s="40">
        <v>3280500</v>
      </c>
      <c r="AK78" s="40">
        <v>3328700</v>
      </c>
      <c r="AL78" s="40">
        <v>3393300</v>
      </c>
      <c r="AM78" s="40">
        <v>3414100</v>
      </c>
      <c r="AN78" s="40">
        <v>3431000</v>
      </c>
      <c r="AO78" s="40">
        <v>3434680</v>
      </c>
      <c r="AP78" s="14">
        <v>3318449</v>
      </c>
      <c r="AQ78" s="4">
        <v>2346692</v>
      </c>
      <c r="AR78" s="4">
        <v>173830</v>
      </c>
      <c r="AS78" s="4">
        <v>215247</v>
      </c>
      <c r="AT78" s="4">
        <v>358785</v>
      </c>
      <c r="AU78" s="4">
        <v>175346</v>
      </c>
      <c r="AV78" s="4">
        <v>48549</v>
      </c>
      <c r="AW78" s="4">
        <v>971757</v>
      </c>
      <c r="AX78" s="19">
        <v>0.70716530523747689</v>
      </c>
      <c r="AY78" s="20">
        <v>5.2382905387426473E-2</v>
      </c>
      <c r="AZ78" s="20">
        <v>6.4863736040541825E-2</v>
      </c>
      <c r="BA78" s="20">
        <v>0.10811828055817642</v>
      </c>
      <c r="BB78" s="20">
        <v>5.2839745314753973E-2</v>
      </c>
      <c r="BC78" s="20">
        <v>1.4630027461624392E-2</v>
      </c>
      <c r="BD78" s="20">
        <v>0.29283469476252311</v>
      </c>
      <c r="BE78" s="51">
        <v>8015990</v>
      </c>
      <c r="BF78" s="52">
        <v>7549840</v>
      </c>
      <c r="BG78" s="52">
        <v>466150</v>
      </c>
      <c r="BH78" s="52">
        <v>390060</v>
      </c>
      <c r="BI78" s="52">
        <v>76090</v>
      </c>
      <c r="BJ78" s="20">
        <v>0.83676928027458974</v>
      </c>
      <c r="BK78" s="20">
        <v>0.16323071972541028</v>
      </c>
      <c r="BL78" s="39">
        <v>6286051</v>
      </c>
      <c r="BM78" s="20">
        <v>0.55249679011512953</v>
      </c>
      <c r="BN78" s="20">
        <v>0.21446978397089048</v>
      </c>
      <c r="BO78" s="20">
        <v>0.23303342591398002</v>
      </c>
      <c r="BP78" s="39">
        <v>14885145</v>
      </c>
      <c r="BQ78" s="40">
        <v>1064130</v>
      </c>
      <c r="BR78" s="40">
        <v>957255</v>
      </c>
      <c r="BS78" s="40">
        <v>566275</v>
      </c>
      <c r="BT78" s="40">
        <v>11437443</v>
      </c>
      <c r="BU78" s="40">
        <v>6408564</v>
      </c>
      <c r="BV78" s="20">
        <v>0.16224570746270148</v>
      </c>
      <c r="BW78" s="39">
        <v>3373005</v>
      </c>
      <c r="BX78" s="40">
        <v>2885</v>
      </c>
      <c r="BY78" s="40">
        <v>890780</v>
      </c>
      <c r="BZ78" s="40">
        <v>1573255</v>
      </c>
      <c r="CA78" s="40">
        <v>584016</v>
      </c>
      <c r="CB78" s="41">
        <v>6423941</v>
      </c>
      <c r="CC78" s="40">
        <v>2606564</v>
      </c>
      <c r="CD78" s="40">
        <v>2018660</v>
      </c>
      <c r="CE78" s="40">
        <v>579738</v>
      </c>
      <c r="CF78" s="40">
        <v>587904</v>
      </c>
      <c r="CG78" s="20">
        <v>0.22241464241814127</v>
      </c>
      <c r="CH78" s="94">
        <v>0.22554750238244678</v>
      </c>
      <c r="CI78" s="64">
        <v>532700</v>
      </c>
      <c r="CJ78" s="64">
        <v>506980</v>
      </c>
      <c r="CK78" s="64">
        <v>438170</v>
      </c>
      <c r="CL78" s="64">
        <v>415710</v>
      </c>
      <c r="CM78" s="64">
        <v>387480</v>
      </c>
      <c r="CN78" s="64">
        <v>363220</v>
      </c>
      <c r="CO78" s="39">
        <v>1564681</v>
      </c>
      <c r="CP78" s="40">
        <v>634019</v>
      </c>
      <c r="CQ78" s="20">
        <v>0.40520655648020265</v>
      </c>
      <c r="CR78" s="41">
        <v>151744</v>
      </c>
      <c r="CS78" s="40">
        <v>671058</v>
      </c>
      <c r="CT78" s="40">
        <v>687006</v>
      </c>
      <c r="CU78" s="40">
        <v>688120</v>
      </c>
      <c r="CV78" s="40">
        <v>694241</v>
      </c>
      <c r="CW78" s="40">
        <v>664517</v>
      </c>
      <c r="CX78" s="40">
        <v>661496</v>
      </c>
      <c r="CY78" s="571">
        <v>664399</v>
      </c>
      <c r="CZ78" s="40">
        <v>40359</v>
      </c>
      <c r="DA78" s="40">
        <v>37844</v>
      </c>
      <c r="DB78" s="40">
        <v>34025</v>
      </c>
      <c r="DC78" s="40">
        <v>31566</v>
      </c>
      <c r="DD78" s="40">
        <v>27213</v>
      </c>
      <c r="DE78" s="540">
        <v>24246</v>
      </c>
      <c r="DF78" s="540">
        <v>22420</v>
      </c>
      <c r="DG78" s="290" t="s">
        <v>286</v>
      </c>
      <c r="DH78" s="290" t="s">
        <v>286</v>
      </c>
      <c r="DI78" s="110" t="s">
        <v>286</v>
      </c>
      <c r="DJ78" s="110" t="s">
        <v>286</v>
      </c>
      <c r="DK78" s="110" t="s">
        <v>286</v>
      </c>
      <c r="DL78" s="110" t="s">
        <v>286</v>
      </c>
      <c r="DM78" s="110" t="s">
        <v>286</v>
      </c>
      <c r="DN78" s="110" t="s">
        <v>286</v>
      </c>
      <c r="DO78" s="110" t="s">
        <v>286</v>
      </c>
      <c r="DP78" s="381" t="s">
        <v>286</v>
      </c>
      <c r="DQ78" s="110" t="s">
        <v>286</v>
      </c>
      <c r="DR78" s="110" t="s">
        <v>286</v>
      </c>
      <c r="DS78" s="110" t="s">
        <v>286</v>
      </c>
      <c r="DT78" s="14">
        <v>70922</v>
      </c>
      <c r="DU78" s="20">
        <v>2.1388687416405674E-2</v>
      </c>
      <c r="DV78" s="370" t="s">
        <v>286</v>
      </c>
      <c r="DW78" s="371" t="s">
        <v>286</v>
      </c>
      <c r="DX78" s="421" t="s">
        <v>286</v>
      </c>
      <c r="DY78" s="421" t="s">
        <v>286</v>
      </c>
      <c r="DZ78" s="421" t="s">
        <v>286</v>
      </c>
      <c r="EA78" s="371" t="s">
        <v>286</v>
      </c>
      <c r="EB78" s="4">
        <v>1249557</v>
      </c>
      <c r="EC78" s="20">
        <v>5.6634916301083318E-2</v>
      </c>
      <c r="ED78" s="14">
        <v>724870</v>
      </c>
      <c r="EE78" s="4">
        <v>721690</v>
      </c>
      <c r="EF78" s="4">
        <v>731680</v>
      </c>
      <c r="EG78" s="4">
        <v>700500</v>
      </c>
      <c r="EH78" s="4">
        <v>637860</v>
      </c>
      <c r="EI78" s="4">
        <v>578850</v>
      </c>
      <c r="EJ78" s="14">
        <v>706015</v>
      </c>
      <c r="EK78" s="20">
        <v>0.23214288650065187</v>
      </c>
      <c r="EL78" s="20">
        <v>0.2316687244671867</v>
      </c>
      <c r="EM78" s="20">
        <v>0.23261772519374502</v>
      </c>
      <c r="EN78" s="4">
        <v>749615</v>
      </c>
      <c r="EO78" s="20">
        <v>0.23928108580877047</v>
      </c>
      <c r="EP78" s="20">
        <v>0.23880896266935656</v>
      </c>
      <c r="EQ78" s="20">
        <v>0.23975384834178659</v>
      </c>
      <c r="ER78" s="4">
        <v>734090</v>
      </c>
      <c r="ES78" s="20">
        <v>0.22961623757049512</v>
      </c>
      <c r="ET78" s="20">
        <v>0.22915553218576157</v>
      </c>
      <c r="EU78" s="20">
        <v>0.230077592725072</v>
      </c>
      <c r="EV78" s="4">
        <v>735425</v>
      </c>
      <c r="EW78" s="20">
        <v>0.2265069406586773</v>
      </c>
      <c r="EX78" s="20">
        <v>0.2260519738612651</v>
      </c>
      <c r="EY78" s="20">
        <v>0.22696255462120365</v>
      </c>
      <c r="EZ78" s="4">
        <v>707815</v>
      </c>
      <c r="FA78" s="20">
        <v>0.21546519008053139</v>
      </c>
      <c r="FB78" s="20">
        <v>0.21502092091881381</v>
      </c>
      <c r="FC78" s="20">
        <v>0.21591012469684692</v>
      </c>
      <c r="FD78" s="338">
        <v>689470</v>
      </c>
      <c r="FE78" s="20">
        <v>0.22145456531025867</v>
      </c>
      <c r="FF78" s="20">
        <v>0.2209936797092171</v>
      </c>
      <c r="FG78" s="20">
        <v>0.2219161382818966</v>
      </c>
      <c r="FH78" s="338">
        <v>709935</v>
      </c>
      <c r="FI78" s="260">
        <v>0.223</v>
      </c>
      <c r="FJ78" s="260">
        <v>0.223</v>
      </c>
      <c r="FK78" s="260">
        <v>0.224</v>
      </c>
      <c r="FL78" s="39">
        <v>2068970</v>
      </c>
      <c r="FM78" s="20">
        <v>0.21572973020880418</v>
      </c>
      <c r="FN78" s="40">
        <v>2131350</v>
      </c>
      <c r="FO78" s="20">
        <v>0.21868108021589544</v>
      </c>
      <c r="FP78" s="40">
        <v>2066320</v>
      </c>
      <c r="FQ78" s="20">
        <v>0.21087878235852719</v>
      </c>
      <c r="FR78" s="40">
        <v>2026465</v>
      </c>
      <c r="FS78" s="20">
        <v>0.20561079077053887</v>
      </c>
      <c r="FT78" s="40">
        <v>1912310</v>
      </c>
      <c r="FU78" s="20">
        <v>0.19245423914399926</v>
      </c>
      <c r="FV78" s="40">
        <v>1854005</v>
      </c>
      <c r="FW78" s="23">
        <v>0.186</v>
      </c>
      <c r="FX78" s="40">
        <v>2003060</v>
      </c>
      <c r="FY78" s="343">
        <v>0.20100000000000001</v>
      </c>
      <c r="FZ78" s="110" t="s">
        <v>286</v>
      </c>
      <c r="GA78" s="110" t="s">
        <v>286</v>
      </c>
      <c r="GB78" s="110" t="s">
        <v>286</v>
      </c>
      <c r="GC78" s="260" t="s">
        <v>286</v>
      </c>
      <c r="GD78" s="110" t="s">
        <v>286</v>
      </c>
      <c r="GE78" s="110" t="s">
        <v>286</v>
      </c>
      <c r="GF78" s="260" t="s">
        <v>286</v>
      </c>
      <c r="GG78" s="260" t="s">
        <v>286</v>
      </c>
      <c r="GH78" s="260" t="s">
        <v>286</v>
      </c>
      <c r="GI78" s="260" t="s">
        <v>286</v>
      </c>
      <c r="GJ78" s="260" t="s">
        <v>286</v>
      </c>
      <c r="GK78" s="261" t="s">
        <v>286</v>
      </c>
      <c r="GL78" s="421" t="s">
        <v>286</v>
      </c>
      <c r="GM78" s="260" t="s">
        <v>286</v>
      </c>
      <c r="GN78" s="260" t="s">
        <v>286</v>
      </c>
      <c r="GO78" s="260" t="s">
        <v>286</v>
      </c>
      <c r="GP78" s="260" t="s">
        <v>286</v>
      </c>
      <c r="GQ78" s="260" t="s">
        <v>286</v>
      </c>
      <c r="GR78" s="260" t="s">
        <v>286</v>
      </c>
      <c r="GS78" s="260" t="s">
        <v>286</v>
      </c>
      <c r="GT78" s="260" t="s">
        <v>286</v>
      </c>
      <c r="GU78" s="261" t="s">
        <v>286</v>
      </c>
      <c r="GV78" s="421" t="s">
        <v>286</v>
      </c>
      <c r="GW78" s="421" t="s">
        <v>286</v>
      </c>
      <c r="GX78" s="421" t="s">
        <v>286</v>
      </c>
      <c r="GY78" s="421" t="s">
        <v>286</v>
      </c>
      <c r="GZ78" s="421" t="s">
        <v>286</v>
      </c>
      <c r="HA78" s="421" t="s">
        <v>286</v>
      </c>
      <c r="HB78" s="421" t="s">
        <v>286</v>
      </c>
      <c r="HC78" s="260" t="s">
        <v>286</v>
      </c>
      <c r="HD78" s="260" t="s">
        <v>286</v>
      </c>
      <c r="HE78" s="260" t="s">
        <v>286</v>
      </c>
      <c r="HF78" s="260" t="s">
        <v>286</v>
      </c>
      <c r="HG78" s="260" t="s">
        <v>286</v>
      </c>
      <c r="HH78" s="261" t="s">
        <v>286</v>
      </c>
      <c r="HI78" s="706" t="s">
        <v>286</v>
      </c>
      <c r="HJ78" s="707" t="s">
        <v>286</v>
      </c>
      <c r="HK78" s="707" t="s">
        <v>286</v>
      </c>
      <c r="HL78" s="708" t="s">
        <v>286</v>
      </c>
      <c r="HM78" s="707" t="s">
        <v>286</v>
      </c>
      <c r="HN78" s="707" t="s">
        <v>286</v>
      </c>
      <c r="HO78" s="707" t="s">
        <v>286</v>
      </c>
      <c r="HP78" s="708" t="s">
        <v>286</v>
      </c>
      <c r="HQ78" s="708" t="s">
        <v>286</v>
      </c>
      <c r="HR78" s="708" t="s">
        <v>286</v>
      </c>
      <c r="HS78" s="708" t="s">
        <v>286</v>
      </c>
      <c r="HT78" s="708" t="s">
        <v>286</v>
      </c>
      <c r="HU78" s="709" t="s">
        <v>286</v>
      </c>
      <c r="HV78" s="4">
        <v>526499</v>
      </c>
      <c r="HW78" s="269">
        <v>51596.902000000002</v>
      </c>
      <c r="HX78" s="20">
        <v>9.8000000000000004E-2</v>
      </c>
      <c r="HY78" s="20">
        <v>9.7000000000000003E-2</v>
      </c>
      <c r="HZ78" s="20">
        <v>9.9000000000000005E-2</v>
      </c>
      <c r="IA78" s="110" t="s">
        <v>286</v>
      </c>
      <c r="IB78" s="4">
        <v>540228</v>
      </c>
      <c r="IC78" s="269">
        <v>50781.432000000001</v>
      </c>
      <c r="ID78" s="20">
        <v>9.4E-2</v>
      </c>
      <c r="IE78" s="20">
        <v>9.2999999999999999E-2</v>
      </c>
      <c r="IF78" s="20">
        <v>9.5000000000000001E-2</v>
      </c>
      <c r="IG78" s="110" t="s">
        <v>286</v>
      </c>
      <c r="IH78" s="4">
        <v>565662</v>
      </c>
      <c r="II78" s="269">
        <v>53737.89</v>
      </c>
      <c r="IJ78" s="20">
        <v>9.5000000000000001E-2</v>
      </c>
      <c r="IK78" s="20">
        <v>9.4E-2</v>
      </c>
      <c r="IL78" s="20">
        <v>9.6000000000000002E-2</v>
      </c>
      <c r="IM78" s="110" t="s">
        <v>286</v>
      </c>
      <c r="IN78" s="4">
        <v>586332</v>
      </c>
      <c r="IO78" s="269">
        <v>54528.875999999997</v>
      </c>
      <c r="IP78" s="20">
        <v>9.2999999999999999E-2</v>
      </c>
      <c r="IQ78" s="20">
        <v>9.1999999999999998E-2</v>
      </c>
      <c r="IR78" s="20">
        <v>9.4E-2</v>
      </c>
      <c r="IS78" s="110" t="s">
        <v>286</v>
      </c>
      <c r="IT78" s="4">
        <v>587336</v>
      </c>
      <c r="IU78" s="269">
        <v>55672.992103999997</v>
      </c>
      <c r="IV78" s="20">
        <v>9.4788999999999998E-2</v>
      </c>
      <c r="IW78" s="20">
        <v>9.4042999999999988E-2</v>
      </c>
      <c r="IX78" s="20">
        <v>9.5541000000000001E-2</v>
      </c>
      <c r="IY78" s="110" t="s">
        <v>286</v>
      </c>
      <c r="IZ78" s="110">
        <v>610636</v>
      </c>
      <c r="JA78" s="110">
        <v>55449</v>
      </c>
      <c r="JB78" s="463">
        <v>9.0805324284844002E-2</v>
      </c>
      <c r="JC78" s="463">
        <v>9.008721860664419E-2</v>
      </c>
      <c r="JD78" s="463">
        <v>9.1528578348031797E-2</v>
      </c>
      <c r="JE78" s="110" t="s">
        <v>286</v>
      </c>
      <c r="JF78" s="110">
        <v>625326</v>
      </c>
      <c r="JG78" s="675">
        <v>58240</v>
      </c>
      <c r="JH78" s="260">
        <v>9.3135420564633489E-2</v>
      </c>
      <c r="JI78" s="260">
        <v>9.2417601107732103E-2</v>
      </c>
      <c r="JJ78" s="260">
        <v>9.38582388347175E-2</v>
      </c>
      <c r="JK78" s="567" t="s">
        <v>286</v>
      </c>
      <c r="JL78" s="4">
        <v>499867</v>
      </c>
      <c r="JM78" s="269">
        <v>93475.129000000001</v>
      </c>
      <c r="JN78" s="20">
        <v>0.187</v>
      </c>
      <c r="JO78" s="20">
        <v>0.186</v>
      </c>
      <c r="JP78" s="20">
        <v>0.188</v>
      </c>
      <c r="JQ78" s="4" t="s">
        <v>286</v>
      </c>
      <c r="JR78" s="4">
        <v>464334</v>
      </c>
      <c r="JS78" s="269">
        <v>88223.46</v>
      </c>
      <c r="JT78" s="20">
        <v>0.19</v>
      </c>
      <c r="JU78" s="20">
        <v>0.189</v>
      </c>
      <c r="JV78" s="20">
        <v>0.191</v>
      </c>
      <c r="JW78" s="4" t="s">
        <v>286</v>
      </c>
      <c r="JX78" s="4">
        <v>491118</v>
      </c>
      <c r="JY78" s="269">
        <v>94294.656000000003</v>
      </c>
      <c r="JZ78" s="20">
        <v>0.192</v>
      </c>
      <c r="KA78" s="20">
        <v>0.191</v>
      </c>
      <c r="KB78" s="20">
        <v>0.193</v>
      </c>
      <c r="KC78" s="4" t="s">
        <v>286</v>
      </c>
      <c r="KD78" s="4">
        <v>487817</v>
      </c>
      <c r="KE78" s="269">
        <v>92197.413</v>
      </c>
      <c r="KF78" s="20">
        <v>0.189</v>
      </c>
      <c r="KG78" s="20">
        <v>0.188</v>
      </c>
      <c r="KH78" s="20">
        <v>0.19</v>
      </c>
      <c r="KI78" s="4" t="s">
        <v>286</v>
      </c>
      <c r="KJ78" s="4">
        <v>514275</v>
      </c>
      <c r="KK78" s="269">
        <v>98190.011475000007</v>
      </c>
      <c r="KL78" s="20">
        <v>0.19092900000000002</v>
      </c>
      <c r="KM78" s="20">
        <v>0.18985700000000003</v>
      </c>
      <c r="KN78" s="20">
        <v>0.19200500000000001</v>
      </c>
      <c r="KO78" s="4" t="s">
        <v>286</v>
      </c>
      <c r="KP78" s="4">
        <v>531223</v>
      </c>
      <c r="KQ78" s="4">
        <v>101357.00000000003</v>
      </c>
      <c r="KR78" s="20">
        <v>0.19079934415490299</v>
      </c>
      <c r="KS78" s="20">
        <v>0.18974494357371099</v>
      </c>
      <c r="KT78" s="20">
        <v>0.19185821657936</v>
      </c>
      <c r="KU78" s="4" t="s">
        <v>286</v>
      </c>
      <c r="KV78" s="668">
        <v>544615</v>
      </c>
      <c r="KW78" s="668">
        <v>107997.00000000003</v>
      </c>
      <c r="KX78" s="20">
        <v>0.19829971631335902</v>
      </c>
      <c r="KY78" s="20">
        <v>0.197242908377319</v>
      </c>
      <c r="KZ78" s="20">
        <v>0.19936078032402499</v>
      </c>
      <c r="LA78" s="567" t="s">
        <v>286</v>
      </c>
      <c r="LB78" s="110" t="s">
        <v>286</v>
      </c>
      <c r="LC78" s="110" t="s">
        <v>286</v>
      </c>
      <c r="LD78" s="20">
        <v>0.52</v>
      </c>
      <c r="LE78" s="110" t="s">
        <v>286</v>
      </c>
      <c r="LF78" s="110" t="s">
        <v>286</v>
      </c>
      <c r="LG78" s="110" t="s">
        <v>286</v>
      </c>
      <c r="LH78" s="4">
        <v>34</v>
      </c>
      <c r="LI78" s="110" t="s">
        <v>286</v>
      </c>
      <c r="LJ78" s="295">
        <v>21.6</v>
      </c>
      <c r="LK78" s="20">
        <v>0.36599999999999999</v>
      </c>
      <c r="LL78" s="110" t="s">
        <v>286</v>
      </c>
      <c r="LM78" s="110" t="s">
        <v>286</v>
      </c>
      <c r="LN78" s="20">
        <v>0.6</v>
      </c>
      <c r="LO78" s="110" t="s">
        <v>286</v>
      </c>
      <c r="LP78" s="110" t="s">
        <v>286</v>
      </c>
      <c r="LQ78" s="110" t="s">
        <v>286</v>
      </c>
      <c r="LR78" s="4">
        <v>34</v>
      </c>
      <c r="LS78" s="110" t="s">
        <v>286</v>
      </c>
      <c r="LT78" s="295">
        <v>22.5</v>
      </c>
      <c r="LU78" s="20">
        <v>0.33900000000000002</v>
      </c>
      <c r="LV78" s="40">
        <v>655016</v>
      </c>
      <c r="LW78" s="110" t="s">
        <v>286</v>
      </c>
      <c r="LX78" s="20">
        <v>0.66300000000000003</v>
      </c>
      <c r="LY78" s="110" t="s">
        <v>286</v>
      </c>
      <c r="LZ78" s="110" t="s">
        <v>286</v>
      </c>
      <c r="MA78" s="338">
        <v>34</v>
      </c>
      <c r="MB78" s="110" t="s">
        <v>286</v>
      </c>
      <c r="MC78" s="295">
        <v>23.1</v>
      </c>
      <c r="MD78" s="20">
        <v>0.32100000000000001</v>
      </c>
      <c r="ME78" s="426">
        <v>669151</v>
      </c>
      <c r="MF78" s="260" t="s">
        <v>286</v>
      </c>
      <c r="MG78" s="20">
        <v>0.69299999999999995</v>
      </c>
      <c r="MH78" s="260" t="s">
        <v>286</v>
      </c>
      <c r="MI78" s="260" t="s">
        <v>286</v>
      </c>
      <c r="MJ78" s="338">
        <v>34</v>
      </c>
      <c r="MK78" s="426" t="s">
        <v>286</v>
      </c>
      <c r="ML78" s="295">
        <v>23.3</v>
      </c>
      <c r="MM78" s="94">
        <v>0.314</v>
      </c>
      <c r="MN78" s="20"/>
      <c r="MO78" s="20"/>
      <c r="MP78" s="20"/>
      <c r="MQ78" s="20"/>
      <c r="MR78" s="20"/>
      <c r="MS78" s="20"/>
      <c r="MT78" s="20"/>
      <c r="MU78" s="20"/>
      <c r="MV78" s="20"/>
      <c r="MW78" s="20"/>
      <c r="MX78" s="20"/>
      <c r="MY78" s="20"/>
      <c r="MZ78" s="20"/>
      <c r="NA78" s="20"/>
      <c r="NB78" s="20"/>
      <c r="NC78" s="94"/>
      <c r="ND78" s="426" t="s">
        <v>286</v>
      </c>
      <c r="NE78" s="426" t="s">
        <v>286</v>
      </c>
      <c r="NF78" s="260" t="s">
        <v>286</v>
      </c>
      <c r="NG78" s="260" t="s">
        <v>286</v>
      </c>
      <c r="NH78" s="260" t="s">
        <v>286</v>
      </c>
      <c r="NI78" s="426" t="s">
        <v>286</v>
      </c>
      <c r="NJ78" s="426" t="s">
        <v>286</v>
      </c>
      <c r="NK78" s="260" t="s">
        <v>286</v>
      </c>
      <c r="NL78" s="260" t="s">
        <v>286</v>
      </c>
      <c r="NM78" s="260" t="s">
        <v>286</v>
      </c>
      <c r="NN78" s="426" t="s">
        <v>286</v>
      </c>
      <c r="NO78" s="426" t="s">
        <v>286</v>
      </c>
      <c r="NP78" s="260" t="s">
        <v>286</v>
      </c>
      <c r="NQ78" s="260" t="s">
        <v>286</v>
      </c>
      <c r="NR78" s="260" t="s">
        <v>286</v>
      </c>
      <c r="NS78" s="426" t="s">
        <v>286</v>
      </c>
      <c r="NT78" s="426" t="s">
        <v>286</v>
      </c>
      <c r="NU78" s="260" t="s">
        <v>286</v>
      </c>
      <c r="NV78" s="260" t="s">
        <v>286</v>
      </c>
      <c r="NW78" s="261" t="s">
        <v>286</v>
      </c>
      <c r="NX78" s="110" t="s">
        <v>286</v>
      </c>
      <c r="NY78" s="110" t="s">
        <v>286</v>
      </c>
      <c r="NZ78" s="110" t="s">
        <v>286</v>
      </c>
      <c r="OA78" s="110" t="s">
        <v>286</v>
      </c>
      <c r="OB78" s="110" t="s">
        <v>286</v>
      </c>
      <c r="OC78" s="110" t="s">
        <v>286</v>
      </c>
      <c r="OD78" s="110" t="s">
        <v>286</v>
      </c>
      <c r="OE78" s="110" t="s">
        <v>286</v>
      </c>
      <c r="OF78" s="110" t="s">
        <v>286</v>
      </c>
      <c r="OG78" s="110" t="s">
        <v>286</v>
      </c>
      <c r="OH78" s="110" t="s">
        <v>286</v>
      </c>
      <c r="OI78" s="110" t="s">
        <v>286</v>
      </c>
      <c r="OJ78" s="110" t="s">
        <v>286</v>
      </c>
      <c r="OK78" s="110" t="s">
        <v>286</v>
      </c>
      <c r="OL78" s="110" t="s">
        <v>286</v>
      </c>
      <c r="OM78" s="110" t="s">
        <v>286</v>
      </c>
      <c r="ON78" s="110" t="s">
        <v>286</v>
      </c>
      <c r="OO78" s="110" t="s">
        <v>286</v>
      </c>
      <c r="OP78" s="110" t="s">
        <v>286</v>
      </c>
      <c r="OQ78" s="110" t="s">
        <v>286</v>
      </c>
      <c r="OR78" s="110" t="s">
        <v>286</v>
      </c>
      <c r="OS78" s="110" t="s">
        <v>286</v>
      </c>
      <c r="OT78" s="116" t="s">
        <v>286</v>
      </c>
      <c r="OU78" s="110" t="s">
        <v>286</v>
      </c>
      <c r="OV78" s="110" t="s">
        <v>286</v>
      </c>
      <c r="OW78" s="110" t="s">
        <v>286</v>
      </c>
      <c r="OX78" s="110" t="s">
        <v>286</v>
      </c>
      <c r="OY78" s="110" t="s">
        <v>286</v>
      </c>
      <c r="OZ78" s="110" t="s">
        <v>286</v>
      </c>
      <c r="PA78" s="110" t="s">
        <v>286</v>
      </c>
      <c r="PB78" s="110" t="s">
        <v>286</v>
      </c>
      <c r="PC78" s="110" t="s">
        <v>286</v>
      </c>
      <c r="PD78" s="110" t="s">
        <v>286</v>
      </c>
      <c r="PE78" s="110" t="s">
        <v>286</v>
      </c>
      <c r="PF78" s="110" t="s">
        <v>286</v>
      </c>
      <c r="PG78" s="110" t="s">
        <v>286</v>
      </c>
      <c r="PH78" s="110" t="s">
        <v>286</v>
      </c>
      <c r="PI78" s="110" t="s">
        <v>286</v>
      </c>
      <c r="PJ78" s="110" t="s">
        <v>286</v>
      </c>
      <c r="PK78" s="110" t="s">
        <v>286</v>
      </c>
      <c r="PL78" s="110" t="s">
        <v>286</v>
      </c>
      <c r="PM78" s="110" t="s">
        <v>286</v>
      </c>
      <c r="PN78" s="110" t="s">
        <v>286</v>
      </c>
      <c r="PO78" s="110" t="s">
        <v>286</v>
      </c>
      <c r="PP78" s="110" t="s">
        <v>286</v>
      </c>
      <c r="PQ78" s="110" t="s">
        <v>286</v>
      </c>
      <c r="PR78" s="110" t="s">
        <v>286</v>
      </c>
      <c r="PS78" s="110" t="s">
        <v>286</v>
      </c>
      <c r="PT78" s="110" t="s">
        <v>286</v>
      </c>
      <c r="PU78" s="110" t="s">
        <v>286</v>
      </c>
      <c r="PV78" s="110" t="s">
        <v>286</v>
      </c>
      <c r="PW78" s="110" t="s">
        <v>286</v>
      </c>
      <c r="PX78" s="110" t="s">
        <v>286</v>
      </c>
      <c r="PY78" s="110" t="s">
        <v>286</v>
      </c>
      <c r="PZ78" s="110" t="s">
        <v>286</v>
      </c>
      <c r="QA78" s="110" t="s">
        <v>286</v>
      </c>
      <c r="QB78" s="110" t="s">
        <v>286</v>
      </c>
      <c r="QC78" s="110" t="s">
        <v>286</v>
      </c>
      <c r="QD78" s="110" t="s">
        <v>286</v>
      </c>
      <c r="QE78" s="110" t="s">
        <v>286</v>
      </c>
      <c r="QF78" s="110" t="s">
        <v>286</v>
      </c>
      <c r="QG78" s="116" t="s">
        <v>286</v>
      </c>
      <c r="QH78" s="110" t="s">
        <v>286</v>
      </c>
      <c r="QI78" s="110" t="s">
        <v>286</v>
      </c>
      <c r="QJ78" s="110" t="s">
        <v>286</v>
      </c>
      <c r="QK78" s="110" t="s">
        <v>286</v>
      </c>
      <c r="QL78" s="110" t="s">
        <v>286</v>
      </c>
      <c r="QM78" s="110" t="s">
        <v>286</v>
      </c>
      <c r="QN78" s="110" t="s">
        <v>286</v>
      </c>
      <c r="QO78" s="110" t="s">
        <v>286</v>
      </c>
      <c r="QP78" s="110" t="s">
        <v>286</v>
      </c>
      <c r="QQ78" s="110" t="s">
        <v>286</v>
      </c>
      <c r="QR78" s="110" t="s">
        <v>286</v>
      </c>
      <c r="QS78" s="110" t="s">
        <v>286</v>
      </c>
      <c r="QT78" s="110" t="s">
        <v>286</v>
      </c>
      <c r="QU78" s="110" t="s">
        <v>286</v>
      </c>
      <c r="QV78" s="110" t="s">
        <v>286</v>
      </c>
      <c r="QW78" s="110" t="s">
        <v>286</v>
      </c>
      <c r="QX78" s="110" t="s">
        <v>286</v>
      </c>
      <c r="QY78" s="110" t="s">
        <v>286</v>
      </c>
      <c r="QZ78" s="110" t="s">
        <v>286</v>
      </c>
      <c r="RA78" s="110" t="s">
        <v>286</v>
      </c>
      <c r="RB78" s="110" t="s">
        <v>286</v>
      </c>
      <c r="RC78" s="110" t="s">
        <v>286</v>
      </c>
      <c r="RD78" s="110" t="s">
        <v>286</v>
      </c>
      <c r="RE78" s="110" t="s">
        <v>286</v>
      </c>
      <c r="RF78" s="110" t="s">
        <v>286</v>
      </c>
      <c r="RG78" s="110" t="s">
        <v>286</v>
      </c>
      <c r="RH78" s="110" t="s">
        <v>286</v>
      </c>
      <c r="RI78" s="110" t="s">
        <v>286</v>
      </c>
      <c r="RJ78" s="110" t="s">
        <v>286</v>
      </c>
      <c r="RK78" s="110" t="s">
        <v>286</v>
      </c>
      <c r="RL78" s="110" t="s">
        <v>286</v>
      </c>
      <c r="RM78" s="110" t="s">
        <v>286</v>
      </c>
      <c r="RN78" s="110" t="s">
        <v>286</v>
      </c>
      <c r="RO78" s="110" t="s">
        <v>286</v>
      </c>
      <c r="RP78" s="110" t="s">
        <v>286</v>
      </c>
      <c r="RQ78" s="110" t="s">
        <v>286</v>
      </c>
      <c r="RR78" s="110" t="s">
        <v>286</v>
      </c>
      <c r="RS78" s="110" t="s">
        <v>286</v>
      </c>
      <c r="RT78" s="116" t="s">
        <v>286</v>
      </c>
    </row>
    <row r="79" spans="1:488" s="184" customFormat="1" ht="12.75" x14ac:dyDescent="0.2">
      <c r="A79" s="178" t="s">
        <v>84</v>
      </c>
      <c r="B79" s="179"/>
      <c r="C79" s="178" t="s">
        <v>471</v>
      </c>
      <c r="D79" s="178" t="s">
        <v>471</v>
      </c>
      <c r="E79" s="178" t="s">
        <v>471</v>
      </c>
      <c r="F79" s="178" t="s">
        <v>471</v>
      </c>
      <c r="G79" s="178" t="s">
        <v>471</v>
      </c>
      <c r="H79" s="178" t="s">
        <v>471</v>
      </c>
      <c r="I79" s="178" t="s">
        <v>471</v>
      </c>
      <c r="J79" s="178" t="s">
        <v>471</v>
      </c>
      <c r="K79" s="178" t="s">
        <v>471</v>
      </c>
      <c r="L79" s="178" t="s">
        <v>471</v>
      </c>
      <c r="M79" s="178" t="s">
        <v>471</v>
      </c>
      <c r="N79" s="178" t="s">
        <v>471</v>
      </c>
      <c r="O79" s="286" t="s">
        <v>471</v>
      </c>
      <c r="P79" s="286" t="s">
        <v>471</v>
      </c>
      <c r="Q79" s="286" t="s">
        <v>471</v>
      </c>
      <c r="R79" s="286" t="s">
        <v>471</v>
      </c>
      <c r="S79" s="286" t="s">
        <v>471</v>
      </c>
      <c r="T79" s="180">
        <v>770795</v>
      </c>
      <c r="U79" s="181">
        <v>777395</v>
      </c>
      <c r="V79" s="181">
        <v>784280</v>
      </c>
      <c r="W79" s="181">
        <v>790985</v>
      </c>
      <c r="X79" s="181">
        <v>796040</v>
      </c>
      <c r="Y79" s="181">
        <v>803155</v>
      </c>
      <c r="Z79" s="181">
        <v>808920</v>
      </c>
      <c r="AA79" s="181">
        <v>815120</v>
      </c>
      <c r="AB79" s="181">
        <v>821360</v>
      </c>
      <c r="AC79" s="182">
        <v>828398</v>
      </c>
      <c r="AD79" s="182">
        <f>SUM(AD6:AD48)</f>
        <v>836256</v>
      </c>
      <c r="AE79" s="180">
        <v>40730</v>
      </c>
      <c r="AF79" s="181">
        <v>41335</v>
      </c>
      <c r="AG79" s="181">
        <v>42610</v>
      </c>
      <c r="AH79" s="181">
        <v>43655</v>
      </c>
      <c r="AI79" s="181">
        <v>44415</v>
      </c>
      <c r="AJ79" s="181">
        <v>45670</v>
      </c>
      <c r="AK79" s="181">
        <v>46670</v>
      </c>
      <c r="AL79" s="181">
        <v>47670</v>
      </c>
      <c r="AM79" s="181">
        <v>47835</v>
      </c>
      <c r="AN79" s="182">
        <v>47981</v>
      </c>
      <c r="AO79" s="182">
        <f>SUM(AO6:AO48)</f>
        <v>47919</v>
      </c>
      <c r="AP79" s="183">
        <v>46486</v>
      </c>
      <c r="AQ79" s="184">
        <v>38843</v>
      </c>
      <c r="AR79" s="184">
        <v>2069</v>
      </c>
      <c r="AS79" s="184">
        <v>2203</v>
      </c>
      <c r="AT79" s="184">
        <v>2550</v>
      </c>
      <c r="AU79" s="184">
        <v>601</v>
      </c>
      <c r="AV79" s="184">
        <v>220</v>
      </c>
      <c r="AW79" s="178">
        <v>7643</v>
      </c>
      <c r="AX79" s="359" t="s">
        <v>471</v>
      </c>
      <c r="AY79" s="360" t="s">
        <v>471</v>
      </c>
      <c r="AZ79" s="360" t="s">
        <v>471</v>
      </c>
      <c r="BA79" s="360" t="s">
        <v>471</v>
      </c>
      <c r="BB79" s="360" t="s">
        <v>471</v>
      </c>
      <c r="BC79" s="360" t="s">
        <v>471</v>
      </c>
      <c r="BD79" s="361" t="s">
        <v>471</v>
      </c>
      <c r="BE79" s="186">
        <v>117072</v>
      </c>
      <c r="BF79" s="187">
        <v>113395</v>
      </c>
      <c r="BG79" s="187">
        <v>3677</v>
      </c>
      <c r="BH79" s="187">
        <v>3091</v>
      </c>
      <c r="BI79" s="187">
        <v>586</v>
      </c>
      <c r="BJ79" s="185">
        <v>0.85257398680246155</v>
      </c>
      <c r="BK79" s="185">
        <v>0.14742601319753845</v>
      </c>
      <c r="BL79" s="180">
        <v>89522</v>
      </c>
      <c r="BM79" s="188">
        <v>0.62706341087054307</v>
      </c>
      <c r="BN79" s="188">
        <v>0.16984454656539485</v>
      </c>
      <c r="BO79" s="189">
        <v>0.20309204256406221</v>
      </c>
      <c r="BP79" s="180">
        <v>233754</v>
      </c>
      <c r="BQ79" s="181">
        <v>14471</v>
      </c>
      <c r="BR79" s="181">
        <v>14675</v>
      </c>
      <c r="BS79" s="181">
        <v>7032</v>
      </c>
      <c r="BT79" s="181">
        <v>163825</v>
      </c>
      <c r="BU79" s="181">
        <v>92663</v>
      </c>
      <c r="BV79" s="286" t="s">
        <v>286</v>
      </c>
      <c r="BW79" s="180">
        <v>55058</v>
      </c>
      <c r="BX79" s="181">
        <v>53</v>
      </c>
      <c r="BY79" s="181">
        <v>12250</v>
      </c>
      <c r="BZ79" s="181">
        <v>18695</v>
      </c>
      <c r="CA79" s="181">
        <v>7042</v>
      </c>
      <c r="CB79" s="190">
        <v>93098</v>
      </c>
      <c r="CC79" s="181">
        <v>36414</v>
      </c>
      <c r="CD79" s="181">
        <v>30468</v>
      </c>
      <c r="CE79" s="181">
        <v>5856</v>
      </c>
      <c r="CF79" s="181">
        <v>5946</v>
      </c>
      <c r="CG79" s="276" t="s">
        <v>286</v>
      </c>
      <c r="CH79" s="277" t="s">
        <v>286</v>
      </c>
      <c r="CI79" s="181">
        <v>5395</v>
      </c>
      <c r="CJ79" s="181">
        <v>4895</v>
      </c>
      <c r="CK79" s="181">
        <v>4255</v>
      </c>
      <c r="CL79" s="181">
        <v>4135</v>
      </c>
      <c r="CM79" s="181">
        <v>3900</v>
      </c>
      <c r="CN79" s="181">
        <v>3555</v>
      </c>
      <c r="CO79" s="180">
        <v>18637</v>
      </c>
      <c r="CP79" s="181">
        <v>6279</v>
      </c>
      <c r="CQ79" s="276" t="s">
        <v>286</v>
      </c>
      <c r="CR79" s="190">
        <v>1695</v>
      </c>
      <c r="CS79" s="181">
        <v>8694</v>
      </c>
      <c r="CT79" s="181">
        <v>8819</v>
      </c>
      <c r="CU79" s="181">
        <v>8998</v>
      </c>
      <c r="CV79" s="181">
        <v>8886</v>
      </c>
      <c r="CW79" s="181">
        <v>8511</v>
      </c>
      <c r="CX79" s="530" t="s">
        <v>471</v>
      </c>
      <c r="CY79" s="714">
        <f>SUM(CY6:CY48)</f>
        <v>8158</v>
      </c>
      <c r="CZ79" s="181">
        <v>447</v>
      </c>
      <c r="DA79" s="181">
        <v>396</v>
      </c>
      <c r="DB79" s="181">
        <v>369</v>
      </c>
      <c r="DC79" s="181">
        <v>339</v>
      </c>
      <c r="DD79" s="181">
        <v>322</v>
      </c>
      <c r="DE79" s="530" t="s">
        <v>471</v>
      </c>
      <c r="DF79" s="286">
        <f>SUM(DF6:DF48)</f>
        <v>184</v>
      </c>
      <c r="DG79" s="183">
        <v>666</v>
      </c>
      <c r="DH79" s="183">
        <v>560</v>
      </c>
      <c r="DI79" s="285" t="s">
        <v>286</v>
      </c>
      <c r="DJ79" s="285" t="s">
        <v>286</v>
      </c>
      <c r="DK79" s="286" t="s">
        <v>286</v>
      </c>
      <c r="DL79" s="428">
        <f>SUM(DL6:DL48)</f>
        <v>0</v>
      </c>
      <c r="DM79" s="286" t="s">
        <v>286</v>
      </c>
      <c r="DN79" s="286" t="s">
        <v>286</v>
      </c>
      <c r="DO79" s="286" t="s">
        <v>286</v>
      </c>
      <c r="DP79" s="428">
        <f>SUM(DP6:DP48)</f>
        <v>545</v>
      </c>
      <c r="DQ79" s="286" t="s">
        <v>286</v>
      </c>
      <c r="DR79" s="286" t="s">
        <v>286</v>
      </c>
      <c r="DS79" s="286" t="s">
        <v>286</v>
      </c>
      <c r="DT79" s="183">
        <v>853</v>
      </c>
      <c r="DU79" s="286" t="s">
        <v>286</v>
      </c>
      <c r="DV79" s="372" t="s">
        <v>286</v>
      </c>
      <c r="DW79" s="373" t="s">
        <v>286</v>
      </c>
      <c r="DX79" s="423" t="s">
        <v>286</v>
      </c>
      <c r="DY79" s="423" t="s">
        <v>286</v>
      </c>
      <c r="DZ79" s="423" t="s">
        <v>286</v>
      </c>
      <c r="EA79" s="373" t="s">
        <v>286</v>
      </c>
      <c r="EB79" s="184">
        <v>12972</v>
      </c>
      <c r="EC79" s="286" t="s">
        <v>286</v>
      </c>
      <c r="ED79" s="183">
        <v>7205</v>
      </c>
      <c r="EE79" s="184">
        <v>7205</v>
      </c>
      <c r="EF79" s="184">
        <v>7270</v>
      </c>
      <c r="EG79" s="184">
        <v>6780</v>
      </c>
      <c r="EH79" s="178">
        <v>6200</v>
      </c>
      <c r="EI79" s="178">
        <v>5635</v>
      </c>
      <c r="EJ79" s="367">
        <v>6110</v>
      </c>
      <c r="EK79" s="276" t="s">
        <v>286</v>
      </c>
      <c r="EL79" s="276" t="s">
        <v>286</v>
      </c>
      <c r="EM79" s="276" t="s">
        <v>286</v>
      </c>
      <c r="EN79" s="285">
        <v>6910</v>
      </c>
      <c r="EO79" s="276" t="s">
        <v>286</v>
      </c>
      <c r="EP79" s="276" t="s">
        <v>286</v>
      </c>
      <c r="EQ79" s="276" t="s">
        <v>286</v>
      </c>
      <c r="ER79" s="285">
        <v>6945</v>
      </c>
      <c r="ES79" s="276" t="s">
        <v>286</v>
      </c>
      <c r="ET79" s="276" t="s">
        <v>286</v>
      </c>
      <c r="EU79" s="276" t="s">
        <v>286</v>
      </c>
      <c r="EV79" s="285">
        <v>7050</v>
      </c>
      <c r="EW79" s="276" t="s">
        <v>286</v>
      </c>
      <c r="EX79" s="276" t="s">
        <v>286</v>
      </c>
      <c r="EY79" s="276" t="s">
        <v>286</v>
      </c>
      <c r="EZ79" s="285">
        <v>6695</v>
      </c>
      <c r="FA79" s="278" t="s">
        <v>286</v>
      </c>
      <c r="FB79" s="278" t="s">
        <v>286</v>
      </c>
      <c r="FC79" s="278" t="s">
        <v>286</v>
      </c>
      <c r="FD79" s="376">
        <v>6530</v>
      </c>
      <c r="FE79" s="278" t="s">
        <v>286</v>
      </c>
      <c r="FF79" s="278" t="s">
        <v>286</v>
      </c>
      <c r="FG79" s="278" t="s">
        <v>286</v>
      </c>
      <c r="FH79" s="427">
        <f>SUM(FH6:FH48)</f>
        <v>0</v>
      </c>
      <c r="FI79" s="278" t="s">
        <v>286</v>
      </c>
      <c r="FJ79" s="278" t="s">
        <v>286</v>
      </c>
      <c r="FK79" s="278" t="s">
        <v>286</v>
      </c>
      <c r="FL79" s="377">
        <v>18455</v>
      </c>
      <c r="FM79" s="278" t="s">
        <v>286</v>
      </c>
      <c r="FN79" s="376">
        <v>19930</v>
      </c>
      <c r="FO79" s="278" t="s">
        <v>286</v>
      </c>
      <c r="FP79" s="376">
        <v>19295</v>
      </c>
      <c r="FQ79" s="278" t="s">
        <v>286</v>
      </c>
      <c r="FR79" s="376">
        <v>19065</v>
      </c>
      <c r="FS79" s="278" t="s">
        <v>286</v>
      </c>
      <c r="FT79" s="376">
        <v>17690</v>
      </c>
      <c r="FU79" s="278" t="s">
        <v>286</v>
      </c>
      <c r="FV79" s="376">
        <v>17240</v>
      </c>
      <c r="FW79" s="286" t="s">
        <v>286</v>
      </c>
      <c r="FX79" s="428">
        <f>SUM(FX6:FX48)</f>
        <v>0</v>
      </c>
      <c r="FY79" s="344" t="s">
        <v>286</v>
      </c>
      <c r="FZ79" s="184">
        <v>8655</v>
      </c>
      <c r="GA79" s="184">
        <v>345</v>
      </c>
      <c r="GB79" s="184">
        <v>8310</v>
      </c>
      <c r="GC79" s="276" t="s">
        <v>286</v>
      </c>
      <c r="GD79" s="184">
        <v>3498</v>
      </c>
      <c r="GE79" s="184">
        <v>4605</v>
      </c>
      <c r="GF79" s="276" t="s">
        <v>286</v>
      </c>
      <c r="GG79" s="276" t="s">
        <v>286</v>
      </c>
      <c r="GH79" s="276" t="s">
        <v>286</v>
      </c>
      <c r="GI79" s="276" t="s">
        <v>286</v>
      </c>
      <c r="GJ79" s="276" t="s">
        <v>286</v>
      </c>
      <c r="GK79" s="395" t="s">
        <v>286</v>
      </c>
      <c r="GL79" s="427">
        <v>7801</v>
      </c>
      <c r="GM79" s="427">
        <v>3156</v>
      </c>
      <c r="GN79" s="427">
        <v>1238</v>
      </c>
      <c r="GO79" s="427">
        <v>4394</v>
      </c>
      <c r="GP79" s="278" t="s">
        <v>286</v>
      </c>
      <c r="GQ79" s="278" t="s">
        <v>286</v>
      </c>
      <c r="GR79" s="278" t="s">
        <v>286</v>
      </c>
      <c r="GS79" s="278" t="s">
        <v>286</v>
      </c>
      <c r="GT79" s="278" t="s">
        <v>286</v>
      </c>
      <c r="GU79" s="277" t="s">
        <v>286</v>
      </c>
      <c r="GV79" s="427">
        <v>8763</v>
      </c>
      <c r="GW79" s="427">
        <v>1720</v>
      </c>
      <c r="GX79" s="427">
        <v>7043</v>
      </c>
      <c r="GY79" s="427" t="s">
        <v>286</v>
      </c>
      <c r="GZ79" s="427">
        <v>2898</v>
      </c>
      <c r="HA79" s="427">
        <v>1102</v>
      </c>
      <c r="HB79" s="427">
        <v>4000</v>
      </c>
      <c r="HC79" s="278" t="s">
        <v>286</v>
      </c>
      <c r="HD79" s="278" t="s">
        <v>286</v>
      </c>
      <c r="HE79" s="278" t="s">
        <v>286</v>
      </c>
      <c r="HF79" s="278" t="s">
        <v>286</v>
      </c>
      <c r="HG79" s="278" t="s">
        <v>286</v>
      </c>
      <c r="HH79" s="277" t="s">
        <v>286</v>
      </c>
      <c r="HI79" s="427">
        <v>8573</v>
      </c>
      <c r="HJ79" s="427">
        <v>707</v>
      </c>
      <c r="HK79" s="427">
        <v>7866</v>
      </c>
      <c r="HL79" s="427" t="s">
        <v>286</v>
      </c>
      <c r="HM79" s="427">
        <v>3184</v>
      </c>
      <c r="HN79" s="427">
        <v>1248</v>
      </c>
      <c r="HO79" s="427">
        <v>4432</v>
      </c>
      <c r="HP79" s="427" t="s">
        <v>286</v>
      </c>
      <c r="HQ79" s="427" t="s">
        <v>286</v>
      </c>
      <c r="HR79" s="427" t="s">
        <v>286</v>
      </c>
      <c r="HS79" s="427" t="s">
        <v>286</v>
      </c>
      <c r="HT79" s="427" t="s">
        <v>286</v>
      </c>
      <c r="HU79" s="461" t="s">
        <v>286</v>
      </c>
      <c r="HV79" s="285">
        <v>6842</v>
      </c>
      <c r="HW79" s="285">
        <v>534</v>
      </c>
      <c r="HX79" s="276" t="s">
        <v>286</v>
      </c>
      <c r="HY79" s="276" t="s">
        <v>286</v>
      </c>
      <c r="HZ79" s="276" t="s">
        <v>286</v>
      </c>
      <c r="IA79" s="403" t="s">
        <v>286</v>
      </c>
      <c r="IB79" s="285">
        <v>7515</v>
      </c>
      <c r="IC79" s="285">
        <v>599</v>
      </c>
      <c r="ID79" s="276" t="s">
        <v>286</v>
      </c>
      <c r="IE79" s="276" t="s">
        <v>286</v>
      </c>
      <c r="IF79" s="276" t="s">
        <v>286</v>
      </c>
      <c r="IG79" s="402" t="s">
        <v>286</v>
      </c>
      <c r="IH79" s="285">
        <v>6743</v>
      </c>
      <c r="II79" s="285">
        <v>525</v>
      </c>
      <c r="IJ79" s="285" t="s">
        <v>286</v>
      </c>
      <c r="IK79" s="285" t="s">
        <v>286</v>
      </c>
      <c r="IL79" s="285" t="s">
        <v>286</v>
      </c>
      <c r="IM79" s="402" t="s">
        <v>286</v>
      </c>
      <c r="IN79" s="285">
        <v>7841</v>
      </c>
      <c r="IO79" s="285">
        <v>666</v>
      </c>
      <c r="IP79" s="276" t="s">
        <v>286</v>
      </c>
      <c r="IQ79" s="276" t="s">
        <v>286</v>
      </c>
      <c r="IR79" s="276" t="s">
        <v>286</v>
      </c>
      <c r="IS79" s="402" t="s">
        <v>286</v>
      </c>
      <c r="IT79" s="184">
        <v>5479</v>
      </c>
      <c r="IU79" s="184">
        <v>462</v>
      </c>
      <c r="IV79" s="285" t="s">
        <v>286</v>
      </c>
      <c r="IW79" s="285" t="s">
        <v>286</v>
      </c>
      <c r="IX79" s="285" t="s">
        <v>286</v>
      </c>
      <c r="IY79" s="404" t="s">
        <v>286</v>
      </c>
      <c r="IZ79" s="286">
        <f>SUM(IZ6:IZ48)</f>
        <v>8065</v>
      </c>
      <c r="JA79" s="286">
        <f>SUM(JA6:JA48)</f>
        <v>584</v>
      </c>
      <c r="JB79" s="278" t="s">
        <v>286</v>
      </c>
      <c r="JC79" s="286" t="s">
        <v>286</v>
      </c>
      <c r="JD79" s="286" t="s">
        <v>286</v>
      </c>
      <c r="JE79" s="404" t="s">
        <v>286</v>
      </c>
      <c r="JF79" s="286">
        <f>SUM(JF6:JF48)</f>
        <v>8282</v>
      </c>
      <c r="JG79" s="286">
        <f>SUM(JG6:JG48)</f>
        <v>624</v>
      </c>
      <c r="JH79" s="286" t="s">
        <v>286</v>
      </c>
      <c r="JI79" s="286" t="s">
        <v>286</v>
      </c>
      <c r="JJ79" s="286" t="s">
        <v>286</v>
      </c>
      <c r="JK79" s="344" t="s">
        <v>286</v>
      </c>
      <c r="JL79" s="184">
        <v>6911</v>
      </c>
      <c r="JM79" s="184">
        <v>1099</v>
      </c>
      <c r="JN79" s="276" t="s">
        <v>286</v>
      </c>
      <c r="JO79" s="276" t="s">
        <v>286</v>
      </c>
      <c r="JP79" s="276" t="s">
        <v>286</v>
      </c>
      <c r="JQ79" s="285" t="s">
        <v>286</v>
      </c>
      <c r="JR79" s="184">
        <v>6888</v>
      </c>
      <c r="JS79" s="184">
        <v>1096</v>
      </c>
      <c r="JT79" s="276" t="s">
        <v>286</v>
      </c>
      <c r="JU79" s="276" t="s">
        <v>286</v>
      </c>
      <c r="JV79" s="276" t="s">
        <v>286</v>
      </c>
      <c r="JW79" s="285" t="s">
        <v>286</v>
      </c>
      <c r="JX79" s="184">
        <v>6812</v>
      </c>
      <c r="JY79" s="184">
        <v>1062</v>
      </c>
      <c r="JZ79" s="285" t="s">
        <v>286</v>
      </c>
      <c r="KA79" s="285" t="s">
        <v>286</v>
      </c>
      <c r="KB79" s="285" t="s">
        <v>286</v>
      </c>
      <c r="KC79" s="285" t="s">
        <v>286</v>
      </c>
      <c r="KD79" s="184">
        <v>6666</v>
      </c>
      <c r="KE79" s="184">
        <v>979</v>
      </c>
      <c r="KF79" s="285" t="s">
        <v>286</v>
      </c>
      <c r="KG79" s="285" t="s">
        <v>286</v>
      </c>
      <c r="KH79" s="285" t="s">
        <v>286</v>
      </c>
      <c r="KI79" s="285" t="s">
        <v>286</v>
      </c>
      <c r="KJ79" s="184">
        <v>7146</v>
      </c>
      <c r="KK79" s="184">
        <v>1146</v>
      </c>
      <c r="KL79" s="285" t="s">
        <v>286</v>
      </c>
      <c r="KM79" s="285" t="s">
        <v>286</v>
      </c>
      <c r="KN79" s="285" t="s">
        <v>286</v>
      </c>
      <c r="KO79" s="404" t="s">
        <v>286</v>
      </c>
      <c r="KP79" s="286">
        <v>7307</v>
      </c>
      <c r="KQ79" s="286">
        <v>1165</v>
      </c>
      <c r="KR79" s="286" t="s">
        <v>286</v>
      </c>
      <c r="KS79" s="286" t="s">
        <v>286</v>
      </c>
      <c r="KT79" s="286" t="s">
        <v>286</v>
      </c>
      <c r="KU79" s="286" t="s">
        <v>286</v>
      </c>
      <c r="KV79" s="604">
        <f>SUM(KV6:KV48)</f>
        <v>7142</v>
      </c>
      <c r="KW79" s="604">
        <f>SUM(KW6:KW48)</f>
        <v>1174</v>
      </c>
      <c r="KX79" s="286" t="s">
        <v>286</v>
      </c>
      <c r="KY79" s="286" t="s">
        <v>286</v>
      </c>
      <c r="KZ79" s="286" t="s">
        <v>286</v>
      </c>
      <c r="LA79" s="344" t="s">
        <v>286</v>
      </c>
      <c r="LB79" s="184">
        <v>9112</v>
      </c>
      <c r="LC79" s="184">
        <v>4808</v>
      </c>
      <c r="LD79" s="285" t="s">
        <v>286</v>
      </c>
      <c r="LE79" s="285" t="s">
        <v>286</v>
      </c>
      <c r="LF79" s="285" t="s">
        <v>286</v>
      </c>
      <c r="LG79" s="184">
        <v>9112</v>
      </c>
      <c r="LH79" s="285" t="s">
        <v>286</v>
      </c>
      <c r="LI79" s="285" t="s">
        <v>286</v>
      </c>
      <c r="LJ79" s="285" t="s">
        <v>286</v>
      </c>
      <c r="LK79" s="285" t="s">
        <v>286</v>
      </c>
      <c r="LL79" s="184">
        <v>9254</v>
      </c>
      <c r="LM79" s="184">
        <v>5465</v>
      </c>
      <c r="LN79" s="285" t="s">
        <v>286</v>
      </c>
      <c r="LO79" s="285" t="s">
        <v>286</v>
      </c>
      <c r="LP79" s="285" t="s">
        <v>286</v>
      </c>
      <c r="LQ79" s="184">
        <v>9254</v>
      </c>
      <c r="LR79" s="285" t="s">
        <v>286</v>
      </c>
      <c r="LS79" s="285" t="s">
        <v>286</v>
      </c>
      <c r="LT79" s="285" t="s">
        <v>286</v>
      </c>
      <c r="LU79" s="285" t="s">
        <v>286</v>
      </c>
      <c r="LV79" s="411">
        <v>9476</v>
      </c>
      <c r="LW79" s="443">
        <v>6051</v>
      </c>
      <c r="LX79" s="285" t="s">
        <v>286</v>
      </c>
      <c r="LY79" s="285" t="s">
        <v>286</v>
      </c>
      <c r="LZ79" s="285" t="s">
        <v>286</v>
      </c>
      <c r="MA79" s="285" t="s">
        <v>286</v>
      </c>
      <c r="MB79" s="285" t="s">
        <v>286</v>
      </c>
      <c r="MC79" s="285" t="s">
        <v>286</v>
      </c>
      <c r="MD79" s="286" t="s">
        <v>286</v>
      </c>
      <c r="ME79" s="428">
        <f>SUM(ME6:ME48)</f>
        <v>9705</v>
      </c>
      <c r="MF79" s="286">
        <f>SUM(MF6:MF48)</f>
        <v>6648</v>
      </c>
      <c r="MG79" s="286" t="s">
        <v>286</v>
      </c>
      <c r="MH79" s="286" t="s">
        <v>286</v>
      </c>
      <c r="MI79" s="286" t="s">
        <v>286</v>
      </c>
      <c r="MJ79" s="286" t="s">
        <v>286</v>
      </c>
      <c r="MK79" s="428" t="s">
        <v>286</v>
      </c>
      <c r="ML79" s="642" t="s">
        <v>286</v>
      </c>
      <c r="MM79" s="344" t="s">
        <v>286</v>
      </c>
      <c r="MN79" s="276" t="s">
        <v>286</v>
      </c>
      <c r="MO79" s="276" t="s">
        <v>286</v>
      </c>
      <c r="MP79" s="276" t="s">
        <v>286</v>
      </c>
      <c r="MQ79" s="276" t="s">
        <v>286</v>
      </c>
      <c r="MR79" s="276" t="s">
        <v>286</v>
      </c>
      <c r="MS79" s="276" t="s">
        <v>286</v>
      </c>
      <c r="MT79" s="276" t="s">
        <v>286</v>
      </c>
      <c r="MU79" s="276" t="s">
        <v>286</v>
      </c>
      <c r="MV79" s="276" t="s">
        <v>286</v>
      </c>
      <c r="MW79" s="276" t="s">
        <v>286</v>
      </c>
      <c r="MX79" s="276" t="s">
        <v>286</v>
      </c>
      <c r="MY79" s="276" t="s">
        <v>286</v>
      </c>
      <c r="MZ79" s="276" t="s">
        <v>286</v>
      </c>
      <c r="NA79" s="276" t="s">
        <v>286</v>
      </c>
      <c r="NB79" s="276" t="s">
        <v>286</v>
      </c>
      <c r="NC79" s="277" t="s">
        <v>286</v>
      </c>
      <c r="ND79" s="427"/>
      <c r="NE79" s="427"/>
      <c r="NF79" s="278"/>
      <c r="NG79" s="278"/>
      <c r="NH79" s="278"/>
      <c r="NI79" s="427"/>
      <c r="NJ79" s="427"/>
      <c r="NK79" s="278"/>
      <c r="NL79" s="278"/>
      <c r="NM79" s="278"/>
      <c r="NN79" s="427"/>
      <c r="NO79" s="427"/>
      <c r="NP79" s="278"/>
      <c r="NQ79" s="278"/>
      <c r="NR79" s="278"/>
      <c r="NS79" s="427"/>
      <c r="NT79" s="427"/>
      <c r="NU79" s="278"/>
      <c r="NV79" s="278"/>
      <c r="NW79" s="277"/>
      <c r="NX79" s="178">
        <v>2363</v>
      </c>
      <c r="NY79" s="178">
        <v>2265</v>
      </c>
      <c r="NZ79" s="178">
        <v>2269</v>
      </c>
      <c r="OA79" s="178">
        <v>2313</v>
      </c>
      <c r="OB79" s="178">
        <v>2279</v>
      </c>
      <c r="OC79" s="178">
        <v>2336</v>
      </c>
      <c r="OD79" s="178">
        <v>2213</v>
      </c>
      <c r="OE79" s="178">
        <v>2225</v>
      </c>
      <c r="OF79" s="178">
        <v>2201</v>
      </c>
      <c r="OG79" s="178">
        <v>2233</v>
      </c>
      <c r="OH79" s="178">
        <v>2264</v>
      </c>
      <c r="OI79" s="178">
        <v>2204</v>
      </c>
      <c r="OJ79" s="178">
        <v>2266</v>
      </c>
      <c r="OK79" s="178">
        <v>2498</v>
      </c>
      <c r="OL79" s="178">
        <v>2331</v>
      </c>
      <c r="OM79" s="178">
        <v>2283</v>
      </c>
      <c r="ON79" s="178">
        <v>2222</v>
      </c>
      <c r="OO79" s="178">
        <v>2288</v>
      </c>
      <c r="OP79" s="178">
        <v>2326</v>
      </c>
      <c r="OQ79" s="178">
        <v>2214</v>
      </c>
      <c r="OR79" s="178">
        <v>2351</v>
      </c>
      <c r="OS79" s="178">
        <v>2265</v>
      </c>
      <c r="OT79" s="179">
        <v>2347</v>
      </c>
      <c r="OU79" s="184">
        <v>8826</v>
      </c>
      <c r="OV79" s="285" t="s">
        <v>286</v>
      </c>
      <c r="OW79" s="285" t="s">
        <v>286</v>
      </c>
      <c r="OX79" s="285" t="s">
        <v>286</v>
      </c>
      <c r="OY79" s="184">
        <v>8393</v>
      </c>
      <c r="OZ79" s="184">
        <v>74</v>
      </c>
      <c r="PA79" s="184">
        <v>8384</v>
      </c>
      <c r="PB79" s="184">
        <v>9062</v>
      </c>
      <c r="PC79" s="285" t="s">
        <v>286</v>
      </c>
      <c r="PD79" s="285" t="s">
        <v>286</v>
      </c>
      <c r="PE79" s="285" t="s">
        <v>286</v>
      </c>
      <c r="PF79" s="285" t="s">
        <v>286</v>
      </c>
      <c r="PG79" s="285" t="s">
        <v>286</v>
      </c>
      <c r="PH79" s="184">
        <v>8778</v>
      </c>
      <c r="PI79" s="184">
        <v>8461</v>
      </c>
      <c r="PJ79" s="184">
        <v>8673</v>
      </c>
      <c r="PK79" s="184">
        <v>8497</v>
      </c>
      <c r="PL79" s="184">
        <v>8476</v>
      </c>
      <c r="PM79" s="184">
        <v>9784</v>
      </c>
      <c r="PN79" s="285" t="s">
        <v>286</v>
      </c>
      <c r="PO79" s="285" t="s">
        <v>286</v>
      </c>
      <c r="PP79" s="285" t="s">
        <v>286</v>
      </c>
      <c r="PQ79" s="285" t="s">
        <v>286</v>
      </c>
      <c r="PR79" s="285" t="s">
        <v>286</v>
      </c>
      <c r="PS79" s="285" t="s">
        <v>286</v>
      </c>
      <c r="PT79" s="285" t="s">
        <v>286</v>
      </c>
      <c r="PU79" s="285" t="s">
        <v>286</v>
      </c>
      <c r="PV79" s="285" t="s">
        <v>286</v>
      </c>
      <c r="PW79" s="285" t="s">
        <v>286</v>
      </c>
      <c r="PX79" s="184">
        <v>9409</v>
      </c>
      <c r="PY79" s="184">
        <v>8991</v>
      </c>
      <c r="PZ79" s="184">
        <v>9408</v>
      </c>
      <c r="QA79" s="184">
        <v>9386</v>
      </c>
      <c r="QB79" s="184">
        <v>9336</v>
      </c>
      <c r="QC79" s="184">
        <v>8577</v>
      </c>
      <c r="QD79" s="184">
        <v>9218</v>
      </c>
      <c r="QE79" s="184">
        <v>8991</v>
      </c>
      <c r="QF79" s="184">
        <v>9370</v>
      </c>
      <c r="QG79" s="179">
        <v>8970</v>
      </c>
      <c r="RT79" s="179"/>
    </row>
    <row r="80" spans="1:488" s="184" customFormat="1" ht="12.75" x14ac:dyDescent="0.2">
      <c r="A80" s="178" t="s">
        <v>85</v>
      </c>
      <c r="B80" s="179"/>
      <c r="C80" s="178" t="s">
        <v>471</v>
      </c>
      <c r="D80" s="178" t="s">
        <v>471</v>
      </c>
      <c r="E80" s="178" t="s">
        <v>471</v>
      </c>
      <c r="F80" s="178" t="s">
        <v>471</v>
      </c>
      <c r="G80" s="178" t="s">
        <v>471</v>
      </c>
      <c r="H80" s="178" t="s">
        <v>471</v>
      </c>
      <c r="I80" s="178" t="s">
        <v>471</v>
      </c>
      <c r="J80" s="178" t="s">
        <v>471</v>
      </c>
      <c r="K80" s="178" t="s">
        <v>471</v>
      </c>
      <c r="L80" s="178" t="s">
        <v>471</v>
      </c>
      <c r="M80" s="178" t="s">
        <v>471</v>
      </c>
      <c r="N80" s="178" t="s">
        <v>471</v>
      </c>
      <c r="O80" s="286" t="s">
        <v>471</v>
      </c>
      <c r="P80" s="286" t="s">
        <v>471</v>
      </c>
      <c r="Q80" s="286" t="s">
        <v>471</v>
      </c>
      <c r="R80" s="286" t="s">
        <v>471</v>
      </c>
      <c r="S80" s="286" t="s">
        <v>471</v>
      </c>
      <c r="T80" s="180">
        <v>770795</v>
      </c>
      <c r="U80" s="181">
        <v>777395</v>
      </c>
      <c r="V80" s="181">
        <v>784280</v>
      </c>
      <c r="W80" s="181">
        <v>790975</v>
      </c>
      <c r="X80" s="181">
        <v>796045</v>
      </c>
      <c r="Y80" s="181">
        <v>803155</v>
      </c>
      <c r="Z80" s="181">
        <v>808925</v>
      </c>
      <c r="AA80" s="181">
        <v>815110</v>
      </c>
      <c r="AB80" s="181">
        <v>821355</v>
      </c>
      <c r="AC80" s="182">
        <v>828400</v>
      </c>
      <c r="AD80" s="182">
        <f>SUM(AD49:AD60)</f>
        <v>836256</v>
      </c>
      <c r="AE80" s="180">
        <v>40740</v>
      </c>
      <c r="AF80" s="181">
        <v>41310</v>
      </c>
      <c r="AG80" s="181">
        <v>42595</v>
      </c>
      <c r="AH80" s="181">
        <v>43655</v>
      </c>
      <c r="AI80" s="181">
        <v>44435</v>
      </c>
      <c r="AJ80" s="181">
        <v>45665</v>
      </c>
      <c r="AK80" s="181">
        <v>46670</v>
      </c>
      <c r="AL80" s="181">
        <v>47675</v>
      </c>
      <c r="AM80" s="181">
        <v>47845</v>
      </c>
      <c r="AN80" s="182">
        <v>47981</v>
      </c>
      <c r="AO80" s="182">
        <f>SUM(AO49:AO60)</f>
        <v>47919</v>
      </c>
      <c r="AP80" s="183">
        <v>46486</v>
      </c>
      <c r="AQ80" s="184">
        <v>38843</v>
      </c>
      <c r="AR80" s="184">
        <v>2069</v>
      </c>
      <c r="AS80" s="184">
        <v>2203</v>
      </c>
      <c r="AT80" s="184">
        <v>2550</v>
      </c>
      <c r="AU80" s="184">
        <v>601</v>
      </c>
      <c r="AV80" s="184">
        <v>220</v>
      </c>
      <c r="AW80" s="178">
        <v>7643</v>
      </c>
      <c r="AX80" s="359" t="s">
        <v>471</v>
      </c>
      <c r="AY80" s="360" t="s">
        <v>471</v>
      </c>
      <c r="AZ80" s="360" t="s">
        <v>471</v>
      </c>
      <c r="BA80" s="360" t="s">
        <v>471</v>
      </c>
      <c r="BB80" s="360" t="s">
        <v>471</v>
      </c>
      <c r="BC80" s="360" t="s">
        <v>471</v>
      </c>
      <c r="BD80" s="361" t="s">
        <v>471</v>
      </c>
      <c r="BE80" s="186">
        <v>117072</v>
      </c>
      <c r="BF80" s="187">
        <v>113395</v>
      </c>
      <c r="BG80" s="187">
        <v>3677</v>
      </c>
      <c r="BH80" s="187">
        <v>3091</v>
      </c>
      <c r="BI80" s="187">
        <v>586</v>
      </c>
      <c r="BJ80" s="185">
        <v>0.84422160810120517</v>
      </c>
      <c r="BK80" s="185">
        <v>0.1557783918987948</v>
      </c>
      <c r="BL80" s="180">
        <v>89522</v>
      </c>
      <c r="BM80" s="188">
        <v>0.61460125283779399</v>
      </c>
      <c r="BN80" s="188">
        <v>0.16982069659614926</v>
      </c>
      <c r="BO80" s="189">
        <v>0.21557805056605681</v>
      </c>
      <c r="BP80" s="180">
        <v>233754</v>
      </c>
      <c r="BQ80" s="181">
        <v>14471</v>
      </c>
      <c r="BR80" s="181">
        <v>14675</v>
      </c>
      <c r="BS80" s="181">
        <v>7032</v>
      </c>
      <c r="BT80" s="181">
        <v>163825</v>
      </c>
      <c r="BU80" s="181">
        <v>92663</v>
      </c>
      <c r="BV80" s="286" t="s">
        <v>286</v>
      </c>
      <c r="BW80" s="180">
        <v>55058</v>
      </c>
      <c r="BX80" s="181">
        <v>53</v>
      </c>
      <c r="BY80" s="181">
        <v>12250</v>
      </c>
      <c r="BZ80" s="181">
        <v>18695</v>
      </c>
      <c r="CA80" s="181">
        <v>7042</v>
      </c>
      <c r="CB80" s="190">
        <v>93098</v>
      </c>
      <c r="CC80" s="181">
        <v>36414</v>
      </c>
      <c r="CD80" s="181">
        <v>30468</v>
      </c>
      <c r="CE80" s="181">
        <v>5856</v>
      </c>
      <c r="CF80" s="181">
        <v>5946</v>
      </c>
      <c r="CG80" s="276" t="s">
        <v>286</v>
      </c>
      <c r="CH80" s="277" t="s">
        <v>286</v>
      </c>
      <c r="CI80" s="181">
        <v>5395</v>
      </c>
      <c r="CJ80" s="181">
        <v>4895</v>
      </c>
      <c r="CK80" s="181">
        <v>4255</v>
      </c>
      <c r="CL80" s="181">
        <v>4135</v>
      </c>
      <c r="CM80" s="182">
        <v>3900</v>
      </c>
      <c r="CN80" s="182">
        <v>3555</v>
      </c>
      <c r="CO80" s="180">
        <v>18637</v>
      </c>
      <c r="CP80" s="181">
        <v>6279</v>
      </c>
      <c r="CQ80" s="276" t="s">
        <v>286</v>
      </c>
      <c r="CR80" s="190">
        <v>1695</v>
      </c>
      <c r="CS80" s="181">
        <v>8694</v>
      </c>
      <c r="CT80" s="181">
        <v>8819</v>
      </c>
      <c r="CU80" s="181">
        <v>8998</v>
      </c>
      <c r="CV80" s="181">
        <v>8886</v>
      </c>
      <c r="CW80" s="181">
        <v>8511</v>
      </c>
      <c r="CX80" s="530" t="s">
        <v>471</v>
      </c>
      <c r="CY80" s="714">
        <f>SUM(CY49:CY60)</f>
        <v>8158</v>
      </c>
      <c r="CZ80" s="181">
        <v>447</v>
      </c>
      <c r="DA80" s="181">
        <v>396</v>
      </c>
      <c r="DB80" s="181">
        <v>369</v>
      </c>
      <c r="DC80" s="181">
        <v>339</v>
      </c>
      <c r="DD80" s="181">
        <v>322</v>
      </c>
      <c r="DE80" s="530" t="s">
        <v>471</v>
      </c>
      <c r="DF80" s="286">
        <f>SUM(DF49:DF60)</f>
        <v>184</v>
      </c>
      <c r="DG80" s="183">
        <v>666</v>
      </c>
      <c r="DH80" s="183">
        <v>560</v>
      </c>
      <c r="DI80" s="285" t="s">
        <v>286</v>
      </c>
      <c r="DJ80" s="285" t="s">
        <v>286</v>
      </c>
      <c r="DK80" s="286" t="s">
        <v>286</v>
      </c>
      <c r="DL80" s="428">
        <f>SUM(DL49:DL60)</f>
        <v>0</v>
      </c>
      <c r="DM80" s="286" t="s">
        <v>286</v>
      </c>
      <c r="DN80" s="286" t="s">
        <v>286</v>
      </c>
      <c r="DO80" s="286" t="s">
        <v>286</v>
      </c>
      <c r="DP80" s="428">
        <f>SUM(DP49:DP60)</f>
        <v>545</v>
      </c>
      <c r="DQ80" s="286" t="s">
        <v>286</v>
      </c>
      <c r="DR80" s="286" t="s">
        <v>286</v>
      </c>
      <c r="DS80" s="286" t="s">
        <v>286</v>
      </c>
      <c r="DT80" s="183">
        <v>853</v>
      </c>
      <c r="DU80" s="286" t="s">
        <v>286</v>
      </c>
      <c r="DV80" s="372" t="s">
        <v>286</v>
      </c>
      <c r="DW80" s="373" t="s">
        <v>286</v>
      </c>
      <c r="DX80" s="423" t="s">
        <v>286</v>
      </c>
      <c r="DY80" s="423" t="s">
        <v>286</v>
      </c>
      <c r="DZ80" s="423" t="s">
        <v>286</v>
      </c>
      <c r="EA80" s="373" t="s">
        <v>286</v>
      </c>
      <c r="EB80" s="184">
        <v>12972</v>
      </c>
      <c r="EC80" s="286" t="s">
        <v>286</v>
      </c>
      <c r="ED80" s="183">
        <v>7205</v>
      </c>
      <c r="EE80" s="184">
        <v>7205</v>
      </c>
      <c r="EF80" s="184">
        <v>7270</v>
      </c>
      <c r="EG80" s="184">
        <v>6780</v>
      </c>
      <c r="EH80" s="178">
        <v>6200</v>
      </c>
      <c r="EI80" s="178">
        <v>5635</v>
      </c>
      <c r="EJ80" s="367">
        <v>6110</v>
      </c>
      <c r="EK80" s="276" t="s">
        <v>286</v>
      </c>
      <c r="EL80" s="276" t="s">
        <v>286</v>
      </c>
      <c r="EM80" s="276" t="s">
        <v>286</v>
      </c>
      <c r="EN80" s="285">
        <v>6910</v>
      </c>
      <c r="EO80" s="276" t="s">
        <v>286</v>
      </c>
      <c r="EP80" s="276" t="s">
        <v>286</v>
      </c>
      <c r="EQ80" s="276" t="s">
        <v>286</v>
      </c>
      <c r="ER80" s="285">
        <v>6945</v>
      </c>
      <c r="ES80" s="276" t="s">
        <v>286</v>
      </c>
      <c r="ET80" s="276" t="s">
        <v>286</v>
      </c>
      <c r="EU80" s="276" t="s">
        <v>286</v>
      </c>
      <c r="EV80" s="285">
        <v>7050</v>
      </c>
      <c r="EW80" s="276" t="s">
        <v>286</v>
      </c>
      <c r="EX80" s="276" t="s">
        <v>286</v>
      </c>
      <c r="EY80" s="276" t="s">
        <v>286</v>
      </c>
      <c r="EZ80" s="285">
        <v>6695</v>
      </c>
      <c r="FA80" s="278" t="s">
        <v>286</v>
      </c>
      <c r="FB80" s="278" t="s">
        <v>286</v>
      </c>
      <c r="FC80" s="278" t="s">
        <v>286</v>
      </c>
      <c r="FD80" s="376">
        <v>6530</v>
      </c>
      <c r="FE80" s="278" t="s">
        <v>286</v>
      </c>
      <c r="FF80" s="278" t="s">
        <v>286</v>
      </c>
      <c r="FG80" s="278" t="s">
        <v>286</v>
      </c>
      <c r="FH80" s="427">
        <f>SUM(FH49:FH60)</f>
        <v>0</v>
      </c>
      <c r="FI80" s="278" t="s">
        <v>286</v>
      </c>
      <c r="FJ80" s="278" t="s">
        <v>286</v>
      </c>
      <c r="FK80" s="278" t="s">
        <v>286</v>
      </c>
      <c r="FL80" s="377">
        <v>18455</v>
      </c>
      <c r="FM80" s="278" t="s">
        <v>286</v>
      </c>
      <c r="FN80" s="376">
        <v>19930</v>
      </c>
      <c r="FO80" s="278" t="s">
        <v>286</v>
      </c>
      <c r="FP80" s="376">
        <v>19295</v>
      </c>
      <c r="FQ80" s="278" t="s">
        <v>286</v>
      </c>
      <c r="FR80" s="376">
        <v>19065</v>
      </c>
      <c r="FS80" s="278" t="s">
        <v>286</v>
      </c>
      <c r="FT80" s="376">
        <v>17690</v>
      </c>
      <c r="FU80" s="278" t="s">
        <v>286</v>
      </c>
      <c r="FV80" s="376">
        <v>17240</v>
      </c>
      <c r="FW80" s="286" t="s">
        <v>286</v>
      </c>
      <c r="FX80" s="428">
        <f>SUM(FX49:FX60)</f>
        <v>0</v>
      </c>
      <c r="FY80" s="344" t="s">
        <v>286</v>
      </c>
      <c r="FZ80" s="184">
        <v>8655</v>
      </c>
      <c r="GA80" s="184">
        <v>345</v>
      </c>
      <c r="GB80" s="184">
        <v>8310</v>
      </c>
      <c r="GC80" s="276" t="s">
        <v>286</v>
      </c>
      <c r="GD80" s="184">
        <v>3498</v>
      </c>
      <c r="GE80" s="184">
        <v>4605</v>
      </c>
      <c r="GF80" s="276" t="s">
        <v>286</v>
      </c>
      <c r="GG80" s="276" t="s">
        <v>286</v>
      </c>
      <c r="GH80" s="276" t="s">
        <v>286</v>
      </c>
      <c r="GI80" s="276" t="s">
        <v>286</v>
      </c>
      <c r="GJ80" s="276" t="s">
        <v>286</v>
      </c>
      <c r="GK80" s="395" t="s">
        <v>286</v>
      </c>
      <c r="GL80" s="427">
        <v>7801</v>
      </c>
      <c r="GM80" s="427">
        <v>3156</v>
      </c>
      <c r="GN80" s="427">
        <v>1238</v>
      </c>
      <c r="GO80" s="427">
        <v>4394</v>
      </c>
      <c r="GP80" s="278" t="s">
        <v>286</v>
      </c>
      <c r="GQ80" s="278" t="s">
        <v>286</v>
      </c>
      <c r="GR80" s="278" t="s">
        <v>286</v>
      </c>
      <c r="GS80" s="278" t="s">
        <v>286</v>
      </c>
      <c r="GT80" s="278" t="s">
        <v>286</v>
      </c>
      <c r="GU80" s="277" t="s">
        <v>286</v>
      </c>
      <c r="GV80" s="427">
        <v>8763</v>
      </c>
      <c r="GW80" s="427">
        <v>1720</v>
      </c>
      <c r="GX80" s="427">
        <v>7043</v>
      </c>
      <c r="GY80" s="427" t="s">
        <v>286</v>
      </c>
      <c r="GZ80" s="427">
        <v>2898</v>
      </c>
      <c r="HA80" s="427">
        <v>1102</v>
      </c>
      <c r="HB80" s="427">
        <v>4000</v>
      </c>
      <c r="HC80" s="278" t="s">
        <v>286</v>
      </c>
      <c r="HD80" s="278" t="s">
        <v>286</v>
      </c>
      <c r="HE80" s="278" t="s">
        <v>286</v>
      </c>
      <c r="HF80" s="278" t="s">
        <v>286</v>
      </c>
      <c r="HG80" s="278" t="s">
        <v>286</v>
      </c>
      <c r="HH80" s="277" t="s">
        <v>286</v>
      </c>
      <c r="HI80" s="427">
        <v>8573</v>
      </c>
      <c r="HJ80" s="427">
        <v>707</v>
      </c>
      <c r="HK80" s="427">
        <v>7866</v>
      </c>
      <c r="HL80" s="427" t="s">
        <v>286</v>
      </c>
      <c r="HM80" s="427">
        <v>3184</v>
      </c>
      <c r="HN80" s="427">
        <v>1248</v>
      </c>
      <c r="HO80" s="427">
        <v>4432</v>
      </c>
      <c r="HP80" s="278" t="s">
        <v>286</v>
      </c>
      <c r="HQ80" s="278" t="s">
        <v>286</v>
      </c>
      <c r="HR80" s="278" t="s">
        <v>286</v>
      </c>
      <c r="HS80" s="278" t="s">
        <v>286</v>
      </c>
      <c r="HT80" s="278" t="s">
        <v>286</v>
      </c>
      <c r="HU80" s="277" t="s">
        <v>286</v>
      </c>
      <c r="HV80" s="285">
        <v>6842</v>
      </c>
      <c r="HW80" s="285">
        <v>534</v>
      </c>
      <c r="HX80" s="276" t="s">
        <v>286</v>
      </c>
      <c r="HY80" s="276" t="s">
        <v>286</v>
      </c>
      <c r="HZ80" s="276" t="s">
        <v>286</v>
      </c>
      <c r="IA80" s="403" t="s">
        <v>286</v>
      </c>
      <c r="IB80" s="285">
        <v>7515</v>
      </c>
      <c r="IC80" s="285">
        <v>599</v>
      </c>
      <c r="ID80" s="276" t="s">
        <v>286</v>
      </c>
      <c r="IE80" s="276" t="s">
        <v>286</v>
      </c>
      <c r="IF80" s="276" t="s">
        <v>286</v>
      </c>
      <c r="IG80" s="402" t="s">
        <v>286</v>
      </c>
      <c r="IH80" s="285">
        <v>6743</v>
      </c>
      <c r="II80" s="285">
        <v>525</v>
      </c>
      <c r="IJ80" s="285" t="s">
        <v>286</v>
      </c>
      <c r="IK80" s="285" t="s">
        <v>286</v>
      </c>
      <c r="IL80" s="285" t="s">
        <v>286</v>
      </c>
      <c r="IM80" s="402" t="s">
        <v>286</v>
      </c>
      <c r="IN80" s="285">
        <v>7841</v>
      </c>
      <c r="IO80" s="285">
        <v>666</v>
      </c>
      <c r="IP80" s="276" t="s">
        <v>286</v>
      </c>
      <c r="IQ80" s="276" t="s">
        <v>286</v>
      </c>
      <c r="IR80" s="276" t="s">
        <v>286</v>
      </c>
      <c r="IS80" s="402" t="s">
        <v>286</v>
      </c>
      <c r="IT80" s="184">
        <v>5479</v>
      </c>
      <c r="IU80" s="184">
        <v>462</v>
      </c>
      <c r="IV80" s="285" t="s">
        <v>286</v>
      </c>
      <c r="IW80" s="285" t="s">
        <v>286</v>
      </c>
      <c r="IX80" s="285" t="s">
        <v>286</v>
      </c>
      <c r="IY80" s="404" t="s">
        <v>286</v>
      </c>
      <c r="IZ80" s="286">
        <f>SUM(IZ49:IZ60)</f>
        <v>8065</v>
      </c>
      <c r="JA80" s="286">
        <f>SUM(JA49:JA60)</f>
        <v>584</v>
      </c>
      <c r="JB80" s="278" t="s">
        <v>286</v>
      </c>
      <c r="JC80" s="286" t="s">
        <v>286</v>
      </c>
      <c r="JD80" s="286" t="s">
        <v>286</v>
      </c>
      <c r="JE80" s="404" t="s">
        <v>286</v>
      </c>
      <c r="JF80" s="286">
        <f>SUM(JF49:JF60)</f>
        <v>8282</v>
      </c>
      <c r="JG80" s="286">
        <f>SUM(JG49:JG60)</f>
        <v>624</v>
      </c>
      <c r="JH80" s="286" t="s">
        <v>286</v>
      </c>
      <c r="JI80" s="286" t="s">
        <v>286</v>
      </c>
      <c r="JJ80" s="286" t="s">
        <v>286</v>
      </c>
      <c r="JK80" s="344" t="s">
        <v>286</v>
      </c>
      <c r="JL80" s="184">
        <v>6911</v>
      </c>
      <c r="JM80" s="184">
        <v>1099</v>
      </c>
      <c r="JN80" s="276" t="s">
        <v>286</v>
      </c>
      <c r="JO80" s="276" t="s">
        <v>286</v>
      </c>
      <c r="JP80" s="276" t="s">
        <v>286</v>
      </c>
      <c r="JQ80" s="285" t="s">
        <v>286</v>
      </c>
      <c r="JR80" s="184">
        <v>6888</v>
      </c>
      <c r="JS80" s="184">
        <v>1096</v>
      </c>
      <c r="JT80" s="276" t="s">
        <v>286</v>
      </c>
      <c r="JU80" s="276" t="s">
        <v>286</v>
      </c>
      <c r="JV80" s="276" t="s">
        <v>286</v>
      </c>
      <c r="JW80" s="285" t="s">
        <v>286</v>
      </c>
      <c r="JX80" s="184">
        <v>6812</v>
      </c>
      <c r="JY80" s="184">
        <v>1062</v>
      </c>
      <c r="JZ80" s="285" t="s">
        <v>286</v>
      </c>
      <c r="KA80" s="285" t="s">
        <v>286</v>
      </c>
      <c r="KB80" s="285" t="s">
        <v>286</v>
      </c>
      <c r="KC80" s="285" t="s">
        <v>286</v>
      </c>
      <c r="KD80" s="184">
        <v>6666</v>
      </c>
      <c r="KE80" s="184">
        <v>979</v>
      </c>
      <c r="KF80" s="285" t="s">
        <v>286</v>
      </c>
      <c r="KG80" s="285" t="s">
        <v>286</v>
      </c>
      <c r="KH80" s="285" t="s">
        <v>286</v>
      </c>
      <c r="KI80" s="285" t="s">
        <v>286</v>
      </c>
      <c r="KJ80" s="184">
        <v>7146</v>
      </c>
      <c r="KK80" s="184">
        <v>1146</v>
      </c>
      <c r="KL80" s="285" t="s">
        <v>286</v>
      </c>
      <c r="KM80" s="285" t="s">
        <v>286</v>
      </c>
      <c r="KN80" s="285" t="s">
        <v>286</v>
      </c>
      <c r="KO80" s="404" t="s">
        <v>286</v>
      </c>
      <c r="KP80" s="286">
        <v>7307</v>
      </c>
      <c r="KQ80" s="286">
        <v>1165</v>
      </c>
      <c r="KR80" s="286" t="s">
        <v>286</v>
      </c>
      <c r="KS80" s="286" t="s">
        <v>286</v>
      </c>
      <c r="KT80" s="286" t="s">
        <v>286</v>
      </c>
      <c r="KU80" s="286" t="s">
        <v>286</v>
      </c>
      <c r="KV80" s="604">
        <f>SUM(KV49:KV60)</f>
        <v>7142</v>
      </c>
      <c r="KW80" s="604">
        <f>SUM(KW49:KW60)</f>
        <v>1174</v>
      </c>
      <c r="KX80" s="286" t="s">
        <v>286</v>
      </c>
      <c r="KY80" s="286" t="s">
        <v>286</v>
      </c>
      <c r="KZ80" s="286" t="s">
        <v>286</v>
      </c>
      <c r="LA80" s="344" t="s">
        <v>286</v>
      </c>
      <c r="LB80" s="184">
        <v>9112</v>
      </c>
      <c r="LC80" s="184">
        <v>4808</v>
      </c>
      <c r="LD80" s="285" t="s">
        <v>286</v>
      </c>
      <c r="LE80" s="285" t="s">
        <v>286</v>
      </c>
      <c r="LF80" s="285" t="s">
        <v>286</v>
      </c>
      <c r="LG80" s="184">
        <v>9112</v>
      </c>
      <c r="LH80" s="285" t="s">
        <v>286</v>
      </c>
      <c r="LI80" s="285" t="s">
        <v>286</v>
      </c>
      <c r="LJ80" s="285" t="s">
        <v>286</v>
      </c>
      <c r="LK80" s="285" t="s">
        <v>286</v>
      </c>
      <c r="LL80" s="184">
        <v>9254</v>
      </c>
      <c r="LM80" s="184">
        <v>5465</v>
      </c>
      <c r="LN80" s="285" t="s">
        <v>286</v>
      </c>
      <c r="LO80" s="285" t="s">
        <v>286</v>
      </c>
      <c r="LP80" s="285" t="s">
        <v>286</v>
      </c>
      <c r="LQ80" s="184">
        <v>9254</v>
      </c>
      <c r="LR80" s="285" t="s">
        <v>286</v>
      </c>
      <c r="LS80" s="285" t="s">
        <v>286</v>
      </c>
      <c r="LT80" s="285" t="s">
        <v>286</v>
      </c>
      <c r="LU80" s="285" t="s">
        <v>286</v>
      </c>
      <c r="LV80" s="411">
        <v>9476</v>
      </c>
      <c r="LW80" s="443">
        <v>6051</v>
      </c>
      <c r="LX80" s="285" t="s">
        <v>286</v>
      </c>
      <c r="LY80" s="285" t="s">
        <v>286</v>
      </c>
      <c r="LZ80" s="285" t="s">
        <v>286</v>
      </c>
      <c r="MA80" s="285" t="s">
        <v>286</v>
      </c>
      <c r="MB80" s="285" t="s">
        <v>286</v>
      </c>
      <c r="MC80" s="285" t="s">
        <v>286</v>
      </c>
      <c r="MD80" s="286" t="s">
        <v>286</v>
      </c>
      <c r="ME80" s="428">
        <f>SUM(ME49:ME60)</f>
        <v>9705</v>
      </c>
      <c r="MF80" s="286">
        <f>SUM(MF49:MF60)</f>
        <v>6648</v>
      </c>
      <c r="MG80" s="286" t="s">
        <v>286</v>
      </c>
      <c r="MH80" s="286" t="s">
        <v>286</v>
      </c>
      <c r="MI80" s="286" t="s">
        <v>286</v>
      </c>
      <c r="MJ80" s="286" t="s">
        <v>286</v>
      </c>
      <c r="MK80" s="428" t="s">
        <v>286</v>
      </c>
      <c r="ML80" s="642" t="s">
        <v>286</v>
      </c>
      <c r="MM80" s="344" t="s">
        <v>286</v>
      </c>
      <c r="MN80" s="276" t="s">
        <v>286</v>
      </c>
      <c r="MO80" s="276" t="s">
        <v>286</v>
      </c>
      <c r="MP80" s="276" t="s">
        <v>286</v>
      </c>
      <c r="MQ80" s="276" t="s">
        <v>286</v>
      </c>
      <c r="MR80" s="276" t="s">
        <v>286</v>
      </c>
      <c r="MS80" s="276" t="s">
        <v>286</v>
      </c>
      <c r="MT80" s="276" t="s">
        <v>286</v>
      </c>
      <c r="MU80" s="276" t="s">
        <v>286</v>
      </c>
      <c r="MV80" s="276" t="s">
        <v>286</v>
      </c>
      <c r="MW80" s="276" t="s">
        <v>286</v>
      </c>
      <c r="MX80" s="276" t="s">
        <v>286</v>
      </c>
      <c r="MY80" s="276" t="s">
        <v>286</v>
      </c>
      <c r="MZ80" s="276" t="s">
        <v>286</v>
      </c>
      <c r="NA80" s="276" t="s">
        <v>286</v>
      </c>
      <c r="NB80" s="276" t="s">
        <v>286</v>
      </c>
      <c r="NC80" s="277" t="s">
        <v>286</v>
      </c>
      <c r="ND80" s="427"/>
      <c r="NE80" s="427"/>
      <c r="NF80" s="278"/>
      <c r="NG80" s="278"/>
      <c r="NH80" s="278"/>
      <c r="NI80" s="427"/>
      <c r="NJ80" s="427"/>
      <c r="NK80" s="278"/>
      <c r="NL80" s="278"/>
      <c r="NM80" s="278"/>
      <c r="NN80" s="427"/>
      <c r="NO80" s="427"/>
      <c r="NP80" s="278"/>
      <c r="NQ80" s="278"/>
      <c r="NR80" s="278"/>
      <c r="NS80" s="427"/>
      <c r="NT80" s="427"/>
      <c r="NU80" s="278"/>
      <c r="NV80" s="278"/>
      <c r="NW80" s="277"/>
      <c r="NX80" s="178">
        <v>2363</v>
      </c>
      <c r="NY80" s="178">
        <v>2265</v>
      </c>
      <c r="NZ80" s="178">
        <v>2269</v>
      </c>
      <c r="OA80" s="178">
        <v>2313</v>
      </c>
      <c r="OB80" s="178">
        <v>2279</v>
      </c>
      <c r="OC80" s="178">
        <v>2336</v>
      </c>
      <c r="OD80" s="178">
        <v>2213</v>
      </c>
      <c r="OE80" s="178">
        <v>2225</v>
      </c>
      <c r="OF80" s="178">
        <v>2201</v>
      </c>
      <c r="OG80" s="178">
        <v>2233</v>
      </c>
      <c r="OH80" s="178">
        <v>2264</v>
      </c>
      <c r="OI80" s="178">
        <v>2204</v>
      </c>
      <c r="OJ80" s="178">
        <v>2266</v>
      </c>
      <c r="OK80" s="178">
        <v>2498</v>
      </c>
      <c r="OL80" s="178">
        <v>2331</v>
      </c>
      <c r="OM80" s="178">
        <v>2283</v>
      </c>
      <c r="ON80" s="178">
        <v>2222</v>
      </c>
      <c r="OO80" s="178">
        <v>2288</v>
      </c>
      <c r="OP80" s="178">
        <v>2326</v>
      </c>
      <c r="OQ80" s="178">
        <v>2214</v>
      </c>
      <c r="OR80" s="178">
        <v>2351</v>
      </c>
      <c r="OS80" s="178">
        <v>2265</v>
      </c>
      <c r="OT80" s="179">
        <v>2347</v>
      </c>
      <c r="OU80" s="184">
        <v>8826</v>
      </c>
      <c r="OV80" s="285" t="s">
        <v>286</v>
      </c>
      <c r="OW80" s="285" t="s">
        <v>286</v>
      </c>
      <c r="OX80" s="285" t="s">
        <v>286</v>
      </c>
      <c r="OY80" s="184">
        <v>8393</v>
      </c>
      <c r="OZ80" s="184">
        <v>74</v>
      </c>
      <c r="PA80" s="184">
        <v>8384</v>
      </c>
      <c r="PB80" s="184">
        <v>9062</v>
      </c>
      <c r="PC80" s="285" t="s">
        <v>286</v>
      </c>
      <c r="PD80" s="285" t="s">
        <v>286</v>
      </c>
      <c r="PE80" s="285" t="s">
        <v>286</v>
      </c>
      <c r="PF80" s="285" t="s">
        <v>286</v>
      </c>
      <c r="PG80" s="285" t="s">
        <v>286</v>
      </c>
      <c r="PH80" s="184">
        <v>8778</v>
      </c>
      <c r="PI80" s="184">
        <v>8461</v>
      </c>
      <c r="PJ80" s="184">
        <v>8673</v>
      </c>
      <c r="PK80" s="184">
        <v>8497</v>
      </c>
      <c r="PL80" s="184">
        <v>8476</v>
      </c>
      <c r="PM80" s="184">
        <v>9784</v>
      </c>
      <c r="PN80" s="285" t="s">
        <v>286</v>
      </c>
      <c r="PO80" s="285" t="s">
        <v>286</v>
      </c>
      <c r="PP80" s="285" t="s">
        <v>286</v>
      </c>
      <c r="PQ80" s="285" t="s">
        <v>286</v>
      </c>
      <c r="PR80" s="285" t="s">
        <v>286</v>
      </c>
      <c r="PS80" s="285" t="s">
        <v>286</v>
      </c>
      <c r="PT80" s="285" t="s">
        <v>286</v>
      </c>
      <c r="PU80" s="285" t="s">
        <v>286</v>
      </c>
      <c r="PV80" s="285" t="s">
        <v>286</v>
      </c>
      <c r="PW80" s="285" t="s">
        <v>286</v>
      </c>
      <c r="PX80" s="184">
        <v>9409</v>
      </c>
      <c r="PY80" s="184">
        <v>8991</v>
      </c>
      <c r="PZ80" s="184">
        <v>9408</v>
      </c>
      <c r="QA80" s="184">
        <v>9386</v>
      </c>
      <c r="QB80" s="184">
        <v>9336</v>
      </c>
      <c r="QC80" s="184">
        <v>8577</v>
      </c>
      <c r="QD80" s="184">
        <v>9218</v>
      </c>
      <c r="QE80" s="184">
        <v>8991</v>
      </c>
      <c r="QF80" s="184">
        <v>9370</v>
      </c>
      <c r="QG80" s="179">
        <v>8970</v>
      </c>
      <c r="RT80" s="179"/>
    </row>
    <row r="81" spans="1:488" s="184" customFormat="1" ht="12.75" x14ac:dyDescent="0.2">
      <c r="A81" s="178" t="s">
        <v>86</v>
      </c>
      <c r="B81" s="179"/>
      <c r="C81" s="178" t="s">
        <v>471</v>
      </c>
      <c r="D81" s="178" t="s">
        <v>471</v>
      </c>
      <c r="E81" s="178" t="s">
        <v>471</v>
      </c>
      <c r="F81" s="178" t="s">
        <v>471</v>
      </c>
      <c r="G81" s="178" t="s">
        <v>471</v>
      </c>
      <c r="H81" s="178" t="s">
        <v>471</v>
      </c>
      <c r="I81" s="178" t="s">
        <v>471</v>
      </c>
      <c r="J81" s="178" t="s">
        <v>471</v>
      </c>
      <c r="K81" s="178" t="s">
        <v>471</v>
      </c>
      <c r="L81" s="178" t="s">
        <v>471</v>
      </c>
      <c r="M81" s="178" t="s">
        <v>471</v>
      </c>
      <c r="N81" s="178" t="s">
        <v>471</v>
      </c>
      <c r="O81" s="286" t="s">
        <v>471</v>
      </c>
      <c r="P81" s="286" t="s">
        <v>471</v>
      </c>
      <c r="Q81" s="286" t="s">
        <v>471</v>
      </c>
      <c r="R81" s="286" t="s">
        <v>471</v>
      </c>
      <c r="S81" s="286" t="s">
        <v>471</v>
      </c>
      <c r="T81" s="180">
        <v>770800</v>
      </c>
      <c r="U81" s="181">
        <v>777400</v>
      </c>
      <c r="V81" s="181">
        <v>784300</v>
      </c>
      <c r="W81" s="181">
        <v>791000</v>
      </c>
      <c r="X81" s="181">
        <v>796000</v>
      </c>
      <c r="Y81" s="181">
        <v>803200</v>
      </c>
      <c r="Z81" s="181">
        <v>808900</v>
      </c>
      <c r="AA81" s="181">
        <v>815200</v>
      </c>
      <c r="AB81" s="181">
        <v>821400</v>
      </c>
      <c r="AC81" s="182">
        <v>828400</v>
      </c>
      <c r="AD81" s="182">
        <f>SUM(AD61:AD67)</f>
        <v>836256</v>
      </c>
      <c r="AE81" s="180">
        <v>40800</v>
      </c>
      <c r="AF81" s="181">
        <v>41300</v>
      </c>
      <c r="AG81" s="181">
        <v>42700</v>
      </c>
      <c r="AH81" s="181">
        <v>43700</v>
      </c>
      <c r="AI81" s="181">
        <v>44400</v>
      </c>
      <c r="AJ81" s="181">
        <v>45500</v>
      </c>
      <c r="AK81" s="181">
        <v>46500</v>
      </c>
      <c r="AL81" s="181">
        <v>47600</v>
      </c>
      <c r="AM81" s="181">
        <v>48000</v>
      </c>
      <c r="AN81" s="182">
        <v>47981</v>
      </c>
      <c r="AO81" s="182">
        <f>SUM(AO61:AO67)</f>
        <v>47919</v>
      </c>
      <c r="AP81" s="183">
        <v>46486</v>
      </c>
      <c r="AQ81" s="184">
        <v>38843</v>
      </c>
      <c r="AR81" s="184">
        <v>2069</v>
      </c>
      <c r="AS81" s="184">
        <v>2203</v>
      </c>
      <c r="AT81" s="184">
        <v>2550</v>
      </c>
      <c r="AU81" s="184">
        <v>601</v>
      </c>
      <c r="AV81" s="184">
        <v>220</v>
      </c>
      <c r="AW81" s="178">
        <v>7643</v>
      </c>
      <c r="AX81" s="359" t="s">
        <v>471</v>
      </c>
      <c r="AY81" s="360" t="s">
        <v>471</v>
      </c>
      <c r="AZ81" s="360" t="s">
        <v>471</v>
      </c>
      <c r="BA81" s="360" t="s">
        <v>471</v>
      </c>
      <c r="BB81" s="360" t="s">
        <v>471</v>
      </c>
      <c r="BC81" s="360" t="s">
        <v>471</v>
      </c>
      <c r="BD81" s="361" t="s">
        <v>471</v>
      </c>
      <c r="BE81" s="186">
        <v>117072</v>
      </c>
      <c r="BF81" s="187">
        <v>113395</v>
      </c>
      <c r="BG81" s="187">
        <v>3677</v>
      </c>
      <c r="BH81" s="187">
        <v>3091</v>
      </c>
      <c r="BI81" s="187">
        <v>586</v>
      </c>
      <c r="BJ81" s="185">
        <v>0.84765263627834564</v>
      </c>
      <c r="BK81" s="185">
        <v>0.15234736372165422</v>
      </c>
      <c r="BL81" s="180">
        <v>89522</v>
      </c>
      <c r="BM81" s="188">
        <v>0.61831279435714492</v>
      </c>
      <c r="BN81" s="188">
        <v>0.17394355200860348</v>
      </c>
      <c r="BO81" s="189">
        <v>0.20774365363425154</v>
      </c>
      <c r="BP81" s="180">
        <v>233754</v>
      </c>
      <c r="BQ81" s="181">
        <v>14471</v>
      </c>
      <c r="BR81" s="181">
        <v>14675</v>
      </c>
      <c r="BS81" s="181">
        <v>7032</v>
      </c>
      <c r="BT81" s="181">
        <v>163825</v>
      </c>
      <c r="BU81" s="181">
        <v>92663</v>
      </c>
      <c r="BV81" s="286" t="s">
        <v>286</v>
      </c>
      <c r="BW81" s="180">
        <v>55058</v>
      </c>
      <c r="BX81" s="181">
        <v>53</v>
      </c>
      <c r="BY81" s="181">
        <v>12250</v>
      </c>
      <c r="BZ81" s="181">
        <v>18695</v>
      </c>
      <c r="CA81" s="181">
        <v>7042</v>
      </c>
      <c r="CB81" s="190">
        <v>93098</v>
      </c>
      <c r="CC81" s="181">
        <v>36414</v>
      </c>
      <c r="CD81" s="181">
        <v>30468</v>
      </c>
      <c r="CE81" s="181">
        <v>5856</v>
      </c>
      <c r="CF81" s="181">
        <v>5946</v>
      </c>
      <c r="CG81" s="276" t="s">
        <v>286</v>
      </c>
      <c r="CH81" s="277" t="s">
        <v>286</v>
      </c>
      <c r="CI81" s="181">
        <v>5395</v>
      </c>
      <c r="CJ81" s="181">
        <v>4895</v>
      </c>
      <c r="CK81" s="181">
        <v>4255</v>
      </c>
      <c r="CL81" s="181">
        <v>4135</v>
      </c>
      <c r="CM81" s="182">
        <v>3900</v>
      </c>
      <c r="CN81" s="182">
        <v>3555</v>
      </c>
      <c r="CO81" s="180">
        <v>18637</v>
      </c>
      <c r="CP81" s="181">
        <v>6279</v>
      </c>
      <c r="CQ81" s="276" t="s">
        <v>286</v>
      </c>
      <c r="CR81" s="190">
        <v>1695</v>
      </c>
      <c r="CS81" s="181">
        <v>8927</v>
      </c>
      <c r="CT81" s="181">
        <v>9024</v>
      </c>
      <c r="CU81" s="181">
        <v>9198</v>
      </c>
      <c r="CV81" s="181">
        <v>9207</v>
      </c>
      <c r="CW81" s="181">
        <v>8835</v>
      </c>
      <c r="CX81" s="531">
        <v>8719</v>
      </c>
      <c r="CY81" s="714">
        <f>SUM(CY61:CY67)</f>
        <v>8974</v>
      </c>
      <c r="CZ81" s="181">
        <v>456</v>
      </c>
      <c r="DA81" s="181">
        <v>399</v>
      </c>
      <c r="DB81" s="181">
        <v>367</v>
      </c>
      <c r="DC81" s="181">
        <v>345</v>
      </c>
      <c r="DD81" s="181">
        <v>331</v>
      </c>
      <c r="DE81" s="530" t="s">
        <v>471</v>
      </c>
      <c r="DF81" s="286">
        <f>SUM(DF61:DF67)</f>
        <v>241</v>
      </c>
      <c r="DG81" s="367" t="s">
        <v>471</v>
      </c>
      <c r="DH81" s="183">
        <v>560</v>
      </c>
      <c r="DI81" s="285" t="s">
        <v>286</v>
      </c>
      <c r="DJ81" s="285" t="s">
        <v>286</v>
      </c>
      <c r="DK81" s="286" t="s">
        <v>286</v>
      </c>
      <c r="DL81" s="428">
        <f>SUM(DL61:DL67)</f>
        <v>0</v>
      </c>
      <c r="DM81" s="286" t="s">
        <v>286</v>
      </c>
      <c r="DN81" s="286" t="s">
        <v>286</v>
      </c>
      <c r="DO81" s="286" t="s">
        <v>286</v>
      </c>
      <c r="DP81" s="428">
        <f>SUM(DP61:DP67)</f>
        <v>545</v>
      </c>
      <c r="DQ81" s="286" t="s">
        <v>286</v>
      </c>
      <c r="DR81" s="286" t="s">
        <v>286</v>
      </c>
      <c r="DS81" s="286" t="s">
        <v>286</v>
      </c>
      <c r="DT81" s="183">
        <v>853</v>
      </c>
      <c r="DU81" s="286" t="s">
        <v>286</v>
      </c>
      <c r="DV81" s="372" t="s">
        <v>286</v>
      </c>
      <c r="DW81" s="373" t="s">
        <v>286</v>
      </c>
      <c r="DX81" s="423" t="s">
        <v>286</v>
      </c>
      <c r="DY81" s="423" t="s">
        <v>286</v>
      </c>
      <c r="DZ81" s="423" t="s">
        <v>286</v>
      </c>
      <c r="EA81" s="373" t="s">
        <v>286</v>
      </c>
      <c r="EB81" s="184">
        <v>12972</v>
      </c>
      <c r="EC81" s="286" t="s">
        <v>286</v>
      </c>
      <c r="ED81" s="183">
        <v>7205</v>
      </c>
      <c r="EE81" s="184">
        <v>7205</v>
      </c>
      <c r="EF81" s="184">
        <v>7270</v>
      </c>
      <c r="EG81" s="184">
        <v>6780</v>
      </c>
      <c r="EH81" s="178">
        <v>6200</v>
      </c>
      <c r="EI81" s="178">
        <v>5635</v>
      </c>
      <c r="EJ81" s="367">
        <v>6110</v>
      </c>
      <c r="EK81" s="276" t="s">
        <v>286</v>
      </c>
      <c r="EL81" s="276" t="s">
        <v>286</v>
      </c>
      <c r="EM81" s="276" t="s">
        <v>286</v>
      </c>
      <c r="EN81" s="285">
        <v>6910</v>
      </c>
      <c r="EO81" s="276" t="s">
        <v>286</v>
      </c>
      <c r="EP81" s="276" t="s">
        <v>286</v>
      </c>
      <c r="EQ81" s="276" t="s">
        <v>286</v>
      </c>
      <c r="ER81" s="285">
        <v>6945</v>
      </c>
      <c r="ES81" s="276" t="s">
        <v>286</v>
      </c>
      <c r="ET81" s="276" t="s">
        <v>286</v>
      </c>
      <c r="EU81" s="276" t="s">
        <v>286</v>
      </c>
      <c r="EV81" s="285">
        <v>7050</v>
      </c>
      <c r="EW81" s="276" t="s">
        <v>286</v>
      </c>
      <c r="EX81" s="276" t="s">
        <v>286</v>
      </c>
      <c r="EY81" s="276" t="s">
        <v>286</v>
      </c>
      <c r="EZ81" s="285">
        <v>6695</v>
      </c>
      <c r="FA81" s="278" t="s">
        <v>286</v>
      </c>
      <c r="FB81" s="278" t="s">
        <v>286</v>
      </c>
      <c r="FC81" s="278" t="s">
        <v>286</v>
      </c>
      <c r="FD81" s="376">
        <v>6530</v>
      </c>
      <c r="FE81" s="278" t="s">
        <v>286</v>
      </c>
      <c r="FF81" s="278" t="s">
        <v>286</v>
      </c>
      <c r="FG81" s="278" t="s">
        <v>286</v>
      </c>
      <c r="FH81" s="427">
        <f>SUM(FH61:FH67)</f>
        <v>6770</v>
      </c>
      <c r="FI81" s="278" t="s">
        <v>286</v>
      </c>
      <c r="FJ81" s="278" t="s">
        <v>286</v>
      </c>
      <c r="FK81" s="278" t="s">
        <v>286</v>
      </c>
      <c r="FL81" s="377">
        <v>18455</v>
      </c>
      <c r="FM81" s="278" t="s">
        <v>286</v>
      </c>
      <c r="FN81" s="376">
        <v>19930</v>
      </c>
      <c r="FO81" s="278" t="s">
        <v>286</v>
      </c>
      <c r="FP81" s="376">
        <v>19295</v>
      </c>
      <c r="FQ81" s="278" t="s">
        <v>286</v>
      </c>
      <c r="FR81" s="376">
        <v>19065</v>
      </c>
      <c r="FS81" s="278" t="s">
        <v>286</v>
      </c>
      <c r="FT81" s="376">
        <v>17690</v>
      </c>
      <c r="FU81" s="278" t="s">
        <v>286</v>
      </c>
      <c r="FV81" s="376">
        <v>17240</v>
      </c>
      <c r="FW81" s="286" t="s">
        <v>286</v>
      </c>
      <c r="FX81" s="428">
        <f>SUM(FX61:FX67)</f>
        <v>18495</v>
      </c>
      <c r="FY81" s="344" t="s">
        <v>286</v>
      </c>
      <c r="FZ81" s="184">
        <v>8655</v>
      </c>
      <c r="GA81" s="184">
        <v>345</v>
      </c>
      <c r="GB81" s="184">
        <v>8293</v>
      </c>
      <c r="GC81" s="276" t="s">
        <v>286</v>
      </c>
      <c r="GD81" s="184">
        <v>3498</v>
      </c>
      <c r="GE81" s="184">
        <v>4605</v>
      </c>
      <c r="GF81" s="276" t="s">
        <v>286</v>
      </c>
      <c r="GG81" s="276" t="s">
        <v>286</v>
      </c>
      <c r="GH81" s="276" t="s">
        <v>286</v>
      </c>
      <c r="GI81" s="276" t="s">
        <v>286</v>
      </c>
      <c r="GJ81" s="276" t="s">
        <v>286</v>
      </c>
      <c r="GK81" s="395" t="s">
        <v>286</v>
      </c>
      <c r="GL81" s="427">
        <v>7801</v>
      </c>
      <c r="GM81" s="427">
        <v>3156</v>
      </c>
      <c r="GN81" s="427">
        <v>1238</v>
      </c>
      <c r="GO81" s="427">
        <v>4394</v>
      </c>
      <c r="GP81" s="278" t="s">
        <v>286</v>
      </c>
      <c r="GQ81" s="278" t="s">
        <v>286</v>
      </c>
      <c r="GR81" s="278" t="s">
        <v>286</v>
      </c>
      <c r="GS81" s="278" t="s">
        <v>286</v>
      </c>
      <c r="GT81" s="278" t="s">
        <v>286</v>
      </c>
      <c r="GU81" s="277" t="s">
        <v>286</v>
      </c>
      <c r="GV81" s="427">
        <v>8763</v>
      </c>
      <c r="GW81" s="427">
        <v>1720</v>
      </c>
      <c r="GX81" s="427">
        <v>7043</v>
      </c>
      <c r="GY81" s="427" t="s">
        <v>286</v>
      </c>
      <c r="GZ81" s="427">
        <v>2898</v>
      </c>
      <c r="HA81" s="427">
        <v>1102</v>
      </c>
      <c r="HB81" s="427">
        <v>4000</v>
      </c>
      <c r="HC81" s="278" t="s">
        <v>286</v>
      </c>
      <c r="HD81" s="278" t="s">
        <v>286</v>
      </c>
      <c r="HE81" s="278" t="s">
        <v>286</v>
      </c>
      <c r="HF81" s="278" t="s">
        <v>286</v>
      </c>
      <c r="HG81" s="278" t="s">
        <v>286</v>
      </c>
      <c r="HH81" s="277" t="s">
        <v>286</v>
      </c>
      <c r="HI81" s="427"/>
      <c r="HJ81" s="422"/>
      <c r="HK81" s="422"/>
      <c r="HL81" s="278" t="s">
        <v>286</v>
      </c>
      <c r="HM81" s="422"/>
      <c r="HN81" s="422"/>
      <c r="HO81" s="422"/>
      <c r="HP81" s="278" t="s">
        <v>286</v>
      </c>
      <c r="HQ81" s="278" t="s">
        <v>286</v>
      </c>
      <c r="HR81" s="278" t="s">
        <v>286</v>
      </c>
      <c r="HS81" s="278" t="s">
        <v>286</v>
      </c>
      <c r="HT81" s="278" t="s">
        <v>286</v>
      </c>
      <c r="HU81" s="277" t="s">
        <v>286</v>
      </c>
      <c r="HV81" s="285">
        <v>6935</v>
      </c>
      <c r="HW81" s="382">
        <v>539.27</v>
      </c>
      <c r="HX81" s="276" t="s">
        <v>286</v>
      </c>
      <c r="HY81" s="276" t="s">
        <v>286</v>
      </c>
      <c r="HZ81" s="276" t="s">
        <v>286</v>
      </c>
      <c r="IA81" s="403" t="s">
        <v>286</v>
      </c>
      <c r="IB81" s="285">
        <v>7601</v>
      </c>
      <c r="IC81" s="382">
        <v>620.03000000000009</v>
      </c>
      <c r="ID81" s="276" t="s">
        <v>286</v>
      </c>
      <c r="IE81" s="276" t="s">
        <v>286</v>
      </c>
      <c r="IF81" s="276" t="s">
        <v>286</v>
      </c>
      <c r="IG81" s="403" t="s">
        <v>286</v>
      </c>
      <c r="IH81" s="285">
        <v>6858</v>
      </c>
      <c r="II81" s="382">
        <v>539.65</v>
      </c>
      <c r="IJ81" s="276" t="s">
        <v>286</v>
      </c>
      <c r="IK81" s="276" t="s">
        <v>286</v>
      </c>
      <c r="IL81" s="276" t="s">
        <v>286</v>
      </c>
      <c r="IM81" s="403" t="s">
        <v>286</v>
      </c>
      <c r="IN81" s="285">
        <v>7939</v>
      </c>
      <c r="IO81" s="382">
        <v>678.39200000000005</v>
      </c>
      <c r="IP81" s="276" t="s">
        <v>286</v>
      </c>
      <c r="IQ81" s="276" t="s">
        <v>286</v>
      </c>
      <c r="IR81" s="276" t="s">
        <v>286</v>
      </c>
      <c r="IS81" s="403" t="s">
        <v>286</v>
      </c>
      <c r="IT81" s="184">
        <v>5584</v>
      </c>
      <c r="IU81" s="378">
        <v>474.99825699999997</v>
      </c>
      <c r="IV81" s="286" t="s">
        <v>286</v>
      </c>
      <c r="IW81" s="286" t="s">
        <v>286</v>
      </c>
      <c r="IX81" s="286" t="s">
        <v>286</v>
      </c>
      <c r="IY81" s="404" t="s">
        <v>286</v>
      </c>
      <c r="IZ81" s="286">
        <f>SUM(IZ61:IZ67)</f>
        <v>8184</v>
      </c>
      <c r="JA81" s="286">
        <f>SUM(JA61:JA67)</f>
        <v>593.99999999999966</v>
      </c>
      <c r="JB81" s="278" t="s">
        <v>286</v>
      </c>
      <c r="JC81" s="286" t="s">
        <v>286</v>
      </c>
      <c r="JD81" s="286" t="s">
        <v>286</v>
      </c>
      <c r="JE81" s="404" t="s">
        <v>286</v>
      </c>
      <c r="JF81" s="286">
        <f>SUM(JF61:JF67)</f>
        <v>8426</v>
      </c>
      <c r="JG81" s="286">
        <f>SUM(JG61:JG67)</f>
        <v>636.00000000000011</v>
      </c>
      <c r="JH81" s="286" t="s">
        <v>286</v>
      </c>
      <c r="JI81" s="286" t="s">
        <v>286</v>
      </c>
      <c r="JJ81" s="286" t="s">
        <v>286</v>
      </c>
      <c r="JK81" s="344" t="s">
        <v>286</v>
      </c>
      <c r="JL81" s="184">
        <v>7034</v>
      </c>
      <c r="JM81" s="378">
        <v>1106.2159999999999</v>
      </c>
      <c r="JN81" s="276" t="s">
        <v>286</v>
      </c>
      <c r="JO81" s="276" t="s">
        <v>286</v>
      </c>
      <c r="JP81" s="276" t="s">
        <v>286</v>
      </c>
      <c r="JQ81" s="383" t="s">
        <v>286</v>
      </c>
      <c r="JR81" s="178">
        <v>7004</v>
      </c>
      <c r="JS81" s="378">
        <v>1112.1129999999998</v>
      </c>
      <c r="JT81" s="276" t="s">
        <v>286</v>
      </c>
      <c r="JU81" s="276" t="s">
        <v>286</v>
      </c>
      <c r="JV81" s="276" t="s">
        <v>286</v>
      </c>
      <c r="JW81" s="383" t="s">
        <v>286</v>
      </c>
      <c r="JX81" s="178">
        <v>6928</v>
      </c>
      <c r="JY81" s="378">
        <v>1078.3809999999999</v>
      </c>
      <c r="JZ81" s="285" t="s">
        <v>286</v>
      </c>
      <c r="KA81" s="285" t="s">
        <v>286</v>
      </c>
      <c r="KB81" s="285" t="s">
        <v>286</v>
      </c>
      <c r="KC81" s="285" t="s">
        <v>286</v>
      </c>
      <c r="KD81" s="178">
        <v>6804</v>
      </c>
      <c r="KE81" s="378">
        <v>997.16</v>
      </c>
      <c r="KF81" s="285" t="s">
        <v>286</v>
      </c>
      <c r="KG81" s="285" t="s">
        <v>286</v>
      </c>
      <c r="KH81" s="285" t="s">
        <v>286</v>
      </c>
      <c r="KI81" s="285" t="s">
        <v>286</v>
      </c>
      <c r="KJ81" s="178">
        <v>7269</v>
      </c>
      <c r="KK81" s="378">
        <v>1162.9990749999999</v>
      </c>
      <c r="KL81" s="285" t="s">
        <v>286</v>
      </c>
      <c r="KM81" s="285" t="s">
        <v>286</v>
      </c>
      <c r="KN81" s="285" t="s">
        <v>286</v>
      </c>
      <c r="KO81" s="404" t="s">
        <v>286</v>
      </c>
      <c r="KP81" s="286">
        <v>7429</v>
      </c>
      <c r="KQ81" s="286">
        <v>2184</v>
      </c>
      <c r="KR81" s="286" t="s">
        <v>286</v>
      </c>
      <c r="KS81" s="286" t="s">
        <v>286</v>
      </c>
      <c r="KT81" s="286" t="s">
        <v>286</v>
      </c>
      <c r="KU81" s="286" t="s">
        <v>286</v>
      </c>
      <c r="KV81" s="604">
        <f>SUM(KV61:KV67)</f>
        <v>7571</v>
      </c>
      <c r="KW81" s="604">
        <f>SUM(KW61:KW67)</f>
        <v>1227.0000000000005</v>
      </c>
      <c r="KX81" s="286" t="s">
        <v>286</v>
      </c>
      <c r="KY81" s="286" t="s">
        <v>286</v>
      </c>
      <c r="KZ81" s="286" t="s">
        <v>286</v>
      </c>
      <c r="LA81" s="344" t="s">
        <v>286</v>
      </c>
      <c r="LB81" s="184">
        <v>9112</v>
      </c>
      <c r="LC81" s="184">
        <v>4808</v>
      </c>
      <c r="LD81" s="285" t="s">
        <v>286</v>
      </c>
      <c r="LE81" s="285" t="s">
        <v>286</v>
      </c>
      <c r="LF81" s="285" t="s">
        <v>286</v>
      </c>
      <c r="LG81" s="184">
        <v>9112</v>
      </c>
      <c r="LH81" s="285" t="s">
        <v>286</v>
      </c>
      <c r="LI81" s="285" t="s">
        <v>286</v>
      </c>
      <c r="LJ81" s="285" t="s">
        <v>286</v>
      </c>
      <c r="LK81" s="285" t="s">
        <v>286</v>
      </c>
      <c r="LL81" s="184">
        <v>9254</v>
      </c>
      <c r="LM81" s="184">
        <v>5465</v>
      </c>
      <c r="LN81" s="285" t="s">
        <v>286</v>
      </c>
      <c r="LO81" s="285" t="s">
        <v>286</v>
      </c>
      <c r="LP81" s="285" t="s">
        <v>286</v>
      </c>
      <c r="LQ81" s="184">
        <v>9254</v>
      </c>
      <c r="LR81" s="285" t="s">
        <v>286</v>
      </c>
      <c r="LS81" s="285" t="s">
        <v>286</v>
      </c>
      <c r="LT81" s="285" t="s">
        <v>286</v>
      </c>
      <c r="LU81" s="285" t="s">
        <v>286</v>
      </c>
      <c r="LV81" s="444">
        <v>9476</v>
      </c>
      <c r="LW81" s="444">
        <v>6039</v>
      </c>
      <c r="LX81" s="285" t="s">
        <v>286</v>
      </c>
      <c r="LY81" s="285" t="s">
        <v>286</v>
      </c>
      <c r="LZ81" s="285" t="s">
        <v>286</v>
      </c>
      <c r="MA81" s="285" t="s">
        <v>286</v>
      </c>
      <c r="MB81" s="285" t="s">
        <v>286</v>
      </c>
      <c r="MC81" s="285" t="s">
        <v>286</v>
      </c>
      <c r="MD81" s="286" t="s">
        <v>286</v>
      </c>
      <c r="ME81" s="428">
        <f>SUM(ME61:ME67)</f>
        <v>9540</v>
      </c>
      <c r="MF81" s="286">
        <f>SUM(MF61:MF67)</f>
        <v>6511</v>
      </c>
      <c r="MG81" s="286" t="s">
        <v>286</v>
      </c>
      <c r="MH81" s="286" t="s">
        <v>286</v>
      </c>
      <c r="MI81" s="286" t="s">
        <v>286</v>
      </c>
      <c r="MJ81" s="286" t="s">
        <v>286</v>
      </c>
      <c r="MK81" s="428" t="s">
        <v>286</v>
      </c>
      <c r="ML81" s="642" t="s">
        <v>286</v>
      </c>
      <c r="MM81" s="344" t="s">
        <v>286</v>
      </c>
      <c r="MN81" s="276" t="s">
        <v>286</v>
      </c>
      <c r="MO81" s="276" t="s">
        <v>286</v>
      </c>
      <c r="MP81" s="276" t="s">
        <v>286</v>
      </c>
      <c r="MQ81" s="276" t="s">
        <v>286</v>
      </c>
      <c r="MR81" s="276" t="s">
        <v>286</v>
      </c>
      <c r="MS81" s="276" t="s">
        <v>286</v>
      </c>
      <c r="MT81" s="276" t="s">
        <v>286</v>
      </c>
      <c r="MU81" s="276" t="s">
        <v>286</v>
      </c>
      <c r="MV81" s="276" t="s">
        <v>286</v>
      </c>
      <c r="MW81" s="276" t="s">
        <v>286</v>
      </c>
      <c r="MX81" s="276" t="s">
        <v>286</v>
      </c>
      <c r="MY81" s="276" t="s">
        <v>286</v>
      </c>
      <c r="MZ81" s="276" t="s">
        <v>286</v>
      </c>
      <c r="NA81" s="276" t="s">
        <v>286</v>
      </c>
      <c r="NB81" s="276" t="s">
        <v>286</v>
      </c>
      <c r="NC81" s="277" t="s">
        <v>286</v>
      </c>
      <c r="ND81" s="427"/>
      <c r="NE81" s="427"/>
      <c r="NF81" s="278"/>
      <c r="NG81" s="278"/>
      <c r="NH81" s="278"/>
      <c r="NI81" s="427"/>
      <c r="NJ81" s="427"/>
      <c r="NK81" s="278"/>
      <c r="NL81" s="278"/>
      <c r="NM81" s="278"/>
      <c r="NN81" s="427"/>
      <c r="NO81" s="427"/>
      <c r="NP81" s="278"/>
      <c r="NQ81" s="278"/>
      <c r="NR81" s="278"/>
      <c r="NS81" s="427"/>
      <c r="NT81" s="427"/>
      <c r="NU81" s="278"/>
      <c r="NV81" s="278"/>
      <c r="NW81" s="277"/>
      <c r="NX81" s="285" t="s">
        <v>286</v>
      </c>
      <c r="NY81" s="285" t="s">
        <v>286</v>
      </c>
      <c r="NZ81" s="285" t="s">
        <v>286</v>
      </c>
      <c r="OA81" s="285" t="s">
        <v>286</v>
      </c>
      <c r="OB81" s="285" t="s">
        <v>286</v>
      </c>
      <c r="OC81" s="285" t="s">
        <v>286</v>
      </c>
      <c r="OD81" s="285" t="s">
        <v>286</v>
      </c>
      <c r="OE81" s="285" t="s">
        <v>286</v>
      </c>
      <c r="OF81" s="285" t="s">
        <v>286</v>
      </c>
      <c r="OG81" s="285" t="s">
        <v>286</v>
      </c>
      <c r="OH81" s="285" t="s">
        <v>286</v>
      </c>
      <c r="OI81" s="285" t="s">
        <v>286</v>
      </c>
      <c r="OJ81" s="285" t="s">
        <v>286</v>
      </c>
      <c r="OK81" s="285" t="s">
        <v>286</v>
      </c>
      <c r="OL81" s="285" t="s">
        <v>286</v>
      </c>
      <c r="OM81" s="285" t="s">
        <v>286</v>
      </c>
      <c r="ON81" s="285" t="s">
        <v>286</v>
      </c>
      <c r="OO81" s="285" t="s">
        <v>286</v>
      </c>
      <c r="OP81" s="285" t="s">
        <v>286</v>
      </c>
      <c r="OQ81" s="285" t="s">
        <v>286</v>
      </c>
      <c r="OR81" s="285" t="s">
        <v>286</v>
      </c>
      <c r="OS81" s="285" t="s">
        <v>286</v>
      </c>
      <c r="OT81" s="344" t="s">
        <v>286</v>
      </c>
      <c r="OU81" s="184">
        <v>8826</v>
      </c>
      <c r="OV81" s="285" t="s">
        <v>286</v>
      </c>
      <c r="OW81" s="285" t="s">
        <v>286</v>
      </c>
      <c r="OX81" s="285" t="s">
        <v>286</v>
      </c>
      <c r="OY81" s="184">
        <v>8393</v>
      </c>
      <c r="OZ81" s="184">
        <v>74</v>
      </c>
      <c r="PA81" s="184">
        <v>8384</v>
      </c>
      <c r="PB81" s="184">
        <v>9062</v>
      </c>
      <c r="PC81" s="285" t="s">
        <v>286</v>
      </c>
      <c r="PD81" s="285" t="s">
        <v>286</v>
      </c>
      <c r="PE81" s="285" t="s">
        <v>286</v>
      </c>
      <c r="PF81" s="285" t="s">
        <v>286</v>
      </c>
      <c r="PG81" s="285" t="s">
        <v>286</v>
      </c>
      <c r="PH81" s="184">
        <v>8778</v>
      </c>
      <c r="PI81" s="184">
        <v>8461</v>
      </c>
      <c r="PJ81" s="184">
        <v>8673</v>
      </c>
      <c r="PK81" s="184">
        <v>8497</v>
      </c>
      <c r="PL81" s="184">
        <v>8476</v>
      </c>
      <c r="PM81" s="184">
        <v>9784</v>
      </c>
      <c r="PN81" s="285" t="s">
        <v>286</v>
      </c>
      <c r="PO81" s="285" t="s">
        <v>286</v>
      </c>
      <c r="PP81" s="285" t="s">
        <v>286</v>
      </c>
      <c r="PQ81" s="285" t="s">
        <v>286</v>
      </c>
      <c r="PR81" s="285" t="s">
        <v>286</v>
      </c>
      <c r="PS81" s="285" t="s">
        <v>286</v>
      </c>
      <c r="PT81" s="285" t="s">
        <v>286</v>
      </c>
      <c r="PU81" s="285" t="s">
        <v>286</v>
      </c>
      <c r="PV81" s="285" t="s">
        <v>286</v>
      </c>
      <c r="PW81" s="285" t="s">
        <v>286</v>
      </c>
      <c r="PX81" s="184">
        <v>9409</v>
      </c>
      <c r="PY81" s="184">
        <v>8991</v>
      </c>
      <c r="PZ81" s="184">
        <v>9408</v>
      </c>
      <c r="QA81" s="184">
        <v>9386</v>
      </c>
      <c r="QB81" s="184">
        <v>9336</v>
      </c>
      <c r="QC81" s="184">
        <v>8577</v>
      </c>
      <c r="QD81" s="184">
        <v>9218</v>
      </c>
      <c r="QE81" s="184">
        <v>8991</v>
      </c>
      <c r="QF81" s="184">
        <v>9370</v>
      </c>
      <c r="QG81" s="179">
        <v>8970</v>
      </c>
      <c r="RT81" s="179"/>
    </row>
    <row r="82" spans="1:488" s="178" customFormat="1" ht="12.75" x14ac:dyDescent="0.2">
      <c r="A82" s="178" t="s">
        <v>87</v>
      </c>
      <c r="C82" s="178" t="s">
        <v>471</v>
      </c>
      <c r="D82" s="178" t="s">
        <v>471</v>
      </c>
      <c r="E82" s="178" t="s">
        <v>471</v>
      </c>
      <c r="F82" s="178" t="s">
        <v>471</v>
      </c>
      <c r="G82" s="178" t="s">
        <v>471</v>
      </c>
      <c r="H82" s="178" t="s">
        <v>471</v>
      </c>
      <c r="I82" s="178" t="s">
        <v>471</v>
      </c>
      <c r="J82" s="178" t="s">
        <v>471</v>
      </c>
      <c r="K82" s="178" t="s">
        <v>471</v>
      </c>
      <c r="L82" s="178" t="s">
        <v>471</v>
      </c>
      <c r="M82" s="178" t="s">
        <v>471</v>
      </c>
      <c r="N82" s="178" t="s">
        <v>471</v>
      </c>
      <c r="O82" s="286" t="s">
        <v>471</v>
      </c>
      <c r="P82" s="286" t="s">
        <v>471</v>
      </c>
      <c r="Q82" s="286" t="s">
        <v>471</v>
      </c>
      <c r="R82" s="286" t="s">
        <v>471</v>
      </c>
      <c r="S82" s="286" t="s">
        <v>471</v>
      </c>
      <c r="T82" s="180">
        <v>770800</v>
      </c>
      <c r="U82" s="182">
        <v>777400</v>
      </c>
      <c r="V82" s="182">
        <v>784300</v>
      </c>
      <c r="W82" s="182">
        <v>791000</v>
      </c>
      <c r="X82" s="182">
        <v>796050</v>
      </c>
      <c r="Y82" s="182">
        <v>803200</v>
      </c>
      <c r="Z82" s="182">
        <v>808950</v>
      </c>
      <c r="AA82" s="182">
        <v>815150</v>
      </c>
      <c r="AB82" s="182">
        <v>821300</v>
      </c>
      <c r="AC82" s="182">
        <v>828400</v>
      </c>
      <c r="AD82" s="182">
        <f>SUM(AD68:AD70)</f>
        <v>836256</v>
      </c>
      <c r="AE82" s="180">
        <v>40750</v>
      </c>
      <c r="AF82" s="182">
        <v>41300</v>
      </c>
      <c r="AG82" s="182">
        <v>42600</v>
      </c>
      <c r="AH82" s="182">
        <v>43650</v>
      </c>
      <c r="AI82" s="182">
        <v>44450</v>
      </c>
      <c r="AJ82" s="182">
        <v>45700</v>
      </c>
      <c r="AK82" s="182">
        <v>46700</v>
      </c>
      <c r="AL82" s="182">
        <v>47650</v>
      </c>
      <c r="AM82" s="182">
        <v>47850</v>
      </c>
      <c r="AN82" s="182">
        <v>47981</v>
      </c>
      <c r="AO82" s="190">
        <f>SUM(AO68:AO70)</f>
        <v>47919</v>
      </c>
      <c r="AP82" s="178">
        <v>46486</v>
      </c>
      <c r="AQ82" s="178">
        <v>38843</v>
      </c>
      <c r="AR82" s="178">
        <v>2069</v>
      </c>
      <c r="AS82" s="178">
        <v>2203</v>
      </c>
      <c r="AT82" s="178">
        <v>2550</v>
      </c>
      <c r="AU82" s="178">
        <v>601</v>
      </c>
      <c r="AV82" s="178">
        <v>220</v>
      </c>
      <c r="AW82" s="178">
        <v>7643</v>
      </c>
      <c r="AX82" s="359" t="s">
        <v>471</v>
      </c>
      <c r="AY82" s="361" t="s">
        <v>471</v>
      </c>
      <c r="AZ82" s="361" t="s">
        <v>471</v>
      </c>
      <c r="BA82" s="361" t="s">
        <v>471</v>
      </c>
      <c r="BB82" s="361" t="s">
        <v>471</v>
      </c>
      <c r="BC82" s="361" t="s">
        <v>471</v>
      </c>
      <c r="BD82" s="361" t="s">
        <v>471</v>
      </c>
      <c r="BE82" s="186">
        <v>117072</v>
      </c>
      <c r="BF82" s="187">
        <v>113395</v>
      </c>
      <c r="BG82" s="187">
        <v>3677</v>
      </c>
      <c r="BH82" s="187">
        <v>3091</v>
      </c>
      <c r="BI82" s="187">
        <v>586</v>
      </c>
      <c r="BJ82" s="185">
        <v>0.84550671947357159</v>
      </c>
      <c r="BK82" s="185">
        <v>0.15449328052642841</v>
      </c>
      <c r="BL82" s="180">
        <v>89522</v>
      </c>
      <c r="BM82" s="189">
        <v>0.60514582526710348</v>
      </c>
      <c r="BN82" s="189">
        <v>0.19911301796181591</v>
      </c>
      <c r="BO82" s="189">
        <v>0.19574115677108059</v>
      </c>
      <c r="BP82" s="180">
        <v>233754</v>
      </c>
      <c r="BQ82" s="182">
        <v>14471</v>
      </c>
      <c r="BR82" s="182">
        <v>14675</v>
      </c>
      <c r="BS82" s="182">
        <v>7032</v>
      </c>
      <c r="BT82" s="182">
        <v>163825</v>
      </c>
      <c r="BU82" s="182">
        <v>92663</v>
      </c>
      <c r="BV82" s="286" t="s">
        <v>286</v>
      </c>
      <c r="BW82" s="180">
        <v>55058</v>
      </c>
      <c r="BX82" s="182">
        <v>53</v>
      </c>
      <c r="BY82" s="182">
        <v>12250</v>
      </c>
      <c r="BZ82" s="182">
        <v>18695</v>
      </c>
      <c r="CA82" s="182">
        <v>7042</v>
      </c>
      <c r="CB82" s="190">
        <v>93098</v>
      </c>
      <c r="CC82" s="182">
        <v>36414</v>
      </c>
      <c r="CD82" s="182">
        <v>30468</v>
      </c>
      <c r="CE82" s="182">
        <v>5856</v>
      </c>
      <c r="CF82" s="182">
        <v>5946</v>
      </c>
      <c r="CG82" s="278" t="s">
        <v>286</v>
      </c>
      <c r="CH82" s="277" t="s">
        <v>286</v>
      </c>
      <c r="CI82" s="182">
        <v>5395</v>
      </c>
      <c r="CJ82" s="182">
        <v>4895</v>
      </c>
      <c r="CK82" s="182">
        <v>4255</v>
      </c>
      <c r="CL82" s="182">
        <v>4135</v>
      </c>
      <c r="CM82" s="182">
        <v>3900</v>
      </c>
      <c r="CN82" s="182">
        <v>3555</v>
      </c>
      <c r="CO82" s="180">
        <v>18637</v>
      </c>
      <c r="CP82" s="182">
        <v>6279</v>
      </c>
      <c r="CQ82" s="276" t="s">
        <v>286</v>
      </c>
      <c r="CR82" s="190">
        <v>1695</v>
      </c>
      <c r="CS82" s="182">
        <v>8694</v>
      </c>
      <c r="CT82" s="182">
        <v>8819</v>
      </c>
      <c r="CU82" s="182">
        <v>8998</v>
      </c>
      <c r="CV82" s="182">
        <v>8886</v>
      </c>
      <c r="CW82" s="182">
        <v>8511</v>
      </c>
      <c r="CX82" s="530" t="s">
        <v>471</v>
      </c>
      <c r="CY82" s="714">
        <f>SUM(CY68:CY70)</f>
        <v>8158</v>
      </c>
      <c r="CZ82" s="182">
        <v>447</v>
      </c>
      <c r="DA82" s="182">
        <v>396</v>
      </c>
      <c r="DB82" s="182">
        <v>369</v>
      </c>
      <c r="DC82" s="182">
        <v>339</v>
      </c>
      <c r="DD82" s="182">
        <v>322</v>
      </c>
      <c r="DE82" s="530" t="s">
        <v>471</v>
      </c>
      <c r="DF82" s="286">
        <f>SUM(DF68:DF70)</f>
        <v>184</v>
      </c>
      <c r="DG82" s="367" t="s">
        <v>471</v>
      </c>
      <c r="DH82" s="183">
        <v>560</v>
      </c>
      <c r="DI82" s="286" t="s">
        <v>286</v>
      </c>
      <c r="DJ82" s="286" t="s">
        <v>286</v>
      </c>
      <c r="DK82" s="286" t="s">
        <v>286</v>
      </c>
      <c r="DL82" s="428">
        <f>SUM(DL68:DL70)</f>
        <v>0</v>
      </c>
      <c r="DM82" s="286" t="s">
        <v>286</v>
      </c>
      <c r="DN82" s="286" t="s">
        <v>286</v>
      </c>
      <c r="DO82" s="286" t="s">
        <v>286</v>
      </c>
      <c r="DP82" s="428">
        <f>SUM(DP68:DP70)</f>
        <v>545</v>
      </c>
      <c r="DQ82" s="286" t="s">
        <v>286</v>
      </c>
      <c r="DR82" s="286" t="s">
        <v>286</v>
      </c>
      <c r="DS82" s="286" t="s">
        <v>286</v>
      </c>
      <c r="DT82" s="183">
        <v>853</v>
      </c>
      <c r="DU82" s="286" t="s">
        <v>286</v>
      </c>
      <c r="DV82" s="372" t="s">
        <v>286</v>
      </c>
      <c r="DW82" s="373" t="s">
        <v>286</v>
      </c>
      <c r="DX82" s="423" t="s">
        <v>286</v>
      </c>
      <c r="DY82" s="423" t="s">
        <v>286</v>
      </c>
      <c r="DZ82" s="423" t="s">
        <v>286</v>
      </c>
      <c r="EA82" s="373" t="s">
        <v>286</v>
      </c>
      <c r="EB82" s="178">
        <v>12972</v>
      </c>
      <c r="EC82" s="286" t="s">
        <v>286</v>
      </c>
      <c r="ED82" s="183">
        <v>7205</v>
      </c>
      <c r="EE82" s="178">
        <v>7205</v>
      </c>
      <c r="EF82" s="178">
        <v>7270</v>
      </c>
      <c r="EG82" s="178">
        <v>6780</v>
      </c>
      <c r="EH82" s="178">
        <v>6200</v>
      </c>
      <c r="EI82" s="178">
        <v>5635</v>
      </c>
      <c r="EJ82" s="367">
        <v>6110</v>
      </c>
      <c r="EK82" s="276" t="s">
        <v>286</v>
      </c>
      <c r="EL82" s="276" t="s">
        <v>286</v>
      </c>
      <c r="EM82" s="276" t="s">
        <v>286</v>
      </c>
      <c r="EN82" s="286">
        <v>6910</v>
      </c>
      <c r="EO82" s="276" t="s">
        <v>286</v>
      </c>
      <c r="EP82" s="276" t="s">
        <v>286</v>
      </c>
      <c r="EQ82" s="276" t="s">
        <v>286</v>
      </c>
      <c r="ER82" s="286">
        <v>6945</v>
      </c>
      <c r="ES82" s="276" t="s">
        <v>286</v>
      </c>
      <c r="ET82" s="276" t="s">
        <v>286</v>
      </c>
      <c r="EU82" s="276" t="s">
        <v>286</v>
      </c>
      <c r="EV82" s="286">
        <v>7050</v>
      </c>
      <c r="EW82" s="276" t="s">
        <v>286</v>
      </c>
      <c r="EX82" s="276" t="s">
        <v>286</v>
      </c>
      <c r="EY82" s="276" t="s">
        <v>286</v>
      </c>
      <c r="EZ82" s="286">
        <v>6695</v>
      </c>
      <c r="FA82" s="278" t="s">
        <v>286</v>
      </c>
      <c r="FB82" s="278" t="s">
        <v>286</v>
      </c>
      <c r="FC82" s="278" t="s">
        <v>286</v>
      </c>
      <c r="FD82" s="376">
        <v>6530</v>
      </c>
      <c r="FE82" s="278" t="s">
        <v>286</v>
      </c>
      <c r="FF82" s="278" t="s">
        <v>286</v>
      </c>
      <c r="FG82" s="278" t="s">
        <v>286</v>
      </c>
      <c r="FH82" s="427">
        <f>SUM(FH68:FH70)</f>
        <v>0</v>
      </c>
      <c r="FI82" s="278" t="s">
        <v>286</v>
      </c>
      <c r="FJ82" s="278" t="s">
        <v>286</v>
      </c>
      <c r="FK82" s="278" t="s">
        <v>286</v>
      </c>
      <c r="FL82" s="377">
        <v>18455</v>
      </c>
      <c r="FM82" s="278" t="s">
        <v>286</v>
      </c>
      <c r="FN82" s="376">
        <v>19930</v>
      </c>
      <c r="FO82" s="278" t="s">
        <v>286</v>
      </c>
      <c r="FP82" s="376">
        <v>19295</v>
      </c>
      <c r="FQ82" s="278" t="s">
        <v>286</v>
      </c>
      <c r="FR82" s="376">
        <v>19065</v>
      </c>
      <c r="FS82" s="278" t="s">
        <v>286</v>
      </c>
      <c r="FT82" s="376">
        <v>17690</v>
      </c>
      <c r="FU82" s="278" t="s">
        <v>286</v>
      </c>
      <c r="FV82" s="376">
        <v>17240</v>
      </c>
      <c r="FW82" s="286" t="s">
        <v>286</v>
      </c>
      <c r="FX82" s="428">
        <f>SUM(FX68:FX70)</f>
        <v>0</v>
      </c>
      <c r="FY82" s="344" t="s">
        <v>286</v>
      </c>
      <c r="FZ82" s="286" t="s">
        <v>286</v>
      </c>
      <c r="GA82" s="286" t="s">
        <v>286</v>
      </c>
      <c r="GB82" s="286" t="s">
        <v>286</v>
      </c>
      <c r="GC82" s="286" t="s">
        <v>286</v>
      </c>
      <c r="GD82" s="286" t="s">
        <v>286</v>
      </c>
      <c r="GE82" s="286" t="s">
        <v>286</v>
      </c>
      <c r="GF82" s="286" t="s">
        <v>286</v>
      </c>
      <c r="GG82" s="286" t="s">
        <v>286</v>
      </c>
      <c r="GH82" s="286" t="s">
        <v>286</v>
      </c>
      <c r="GI82" s="286" t="s">
        <v>286</v>
      </c>
      <c r="GJ82" s="286" t="s">
        <v>286</v>
      </c>
      <c r="GK82" s="396" t="s">
        <v>286</v>
      </c>
      <c r="GL82" s="428">
        <v>7801</v>
      </c>
      <c r="GM82" s="428">
        <v>3156</v>
      </c>
      <c r="GN82" s="428">
        <v>1238</v>
      </c>
      <c r="GO82" s="428">
        <v>4394</v>
      </c>
      <c r="GP82" s="278" t="s">
        <v>286</v>
      </c>
      <c r="GQ82" s="278" t="s">
        <v>286</v>
      </c>
      <c r="GR82" s="286" t="s">
        <v>286</v>
      </c>
      <c r="GS82" s="286" t="s">
        <v>286</v>
      </c>
      <c r="GT82" s="286" t="s">
        <v>286</v>
      </c>
      <c r="GU82" s="344" t="s">
        <v>286</v>
      </c>
      <c r="GV82" s="428">
        <v>8763</v>
      </c>
      <c r="GW82" s="428">
        <v>1720</v>
      </c>
      <c r="GX82" s="428">
        <v>7043</v>
      </c>
      <c r="GY82" s="428" t="s">
        <v>286</v>
      </c>
      <c r="GZ82" s="428">
        <v>2898</v>
      </c>
      <c r="HA82" s="428">
        <v>1102</v>
      </c>
      <c r="HB82" s="428">
        <v>4000</v>
      </c>
      <c r="HC82" s="286" t="s">
        <v>286</v>
      </c>
      <c r="HD82" s="286" t="s">
        <v>286</v>
      </c>
      <c r="HE82" s="286" t="s">
        <v>286</v>
      </c>
      <c r="HF82" s="286" t="s">
        <v>286</v>
      </c>
      <c r="HG82" s="286" t="s">
        <v>286</v>
      </c>
      <c r="HH82" s="344" t="s">
        <v>286</v>
      </c>
      <c r="HI82" s="428"/>
      <c r="HJ82" s="423"/>
      <c r="HK82" s="423"/>
      <c r="HL82" s="286" t="s">
        <v>286</v>
      </c>
      <c r="HM82" s="423"/>
      <c r="HN82" s="423"/>
      <c r="HO82" s="423"/>
      <c r="HP82" s="286" t="s">
        <v>286</v>
      </c>
      <c r="HQ82" s="286" t="s">
        <v>286</v>
      </c>
      <c r="HR82" s="286" t="s">
        <v>286</v>
      </c>
      <c r="HS82" s="286" t="s">
        <v>286</v>
      </c>
      <c r="HT82" s="286" t="s">
        <v>286</v>
      </c>
      <c r="HU82" s="344" t="s">
        <v>286</v>
      </c>
      <c r="HV82" s="286" t="s">
        <v>286</v>
      </c>
      <c r="HW82" s="286" t="s">
        <v>286</v>
      </c>
      <c r="HX82" s="278" t="s">
        <v>286</v>
      </c>
      <c r="HY82" s="278" t="s">
        <v>286</v>
      </c>
      <c r="HZ82" s="278" t="s">
        <v>286</v>
      </c>
      <c r="IA82" s="409" t="s">
        <v>286</v>
      </c>
      <c r="IB82" s="286" t="s">
        <v>286</v>
      </c>
      <c r="IC82" s="286" t="s">
        <v>286</v>
      </c>
      <c r="ID82" s="278" t="s">
        <v>286</v>
      </c>
      <c r="IE82" s="278" t="s">
        <v>286</v>
      </c>
      <c r="IF82" s="278" t="s">
        <v>286</v>
      </c>
      <c r="IG82" s="404" t="s">
        <v>286</v>
      </c>
      <c r="IH82" s="286" t="s">
        <v>286</v>
      </c>
      <c r="II82" s="286" t="s">
        <v>286</v>
      </c>
      <c r="IJ82" s="278" t="s">
        <v>286</v>
      </c>
      <c r="IK82" s="278" t="s">
        <v>286</v>
      </c>
      <c r="IL82" s="278" t="s">
        <v>286</v>
      </c>
      <c r="IM82" s="404" t="s">
        <v>286</v>
      </c>
      <c r="IN82" s="286" t="s">
        <v>286</v>
      </c>
      <c r="IO82" s="286" t="s">
        <v>286</v>
      </c>
      <c r="IP82" s="278" t="s">
        <v>286</v>
      </c>
      <c r="IQ82" s="278" t="s">
        <v>286</v>
      </c>
      <c r="IR82" s="278" t="s">
        <v>286</v>
      </c>
      <c r="IS82" s="404" t="s">
        <v>286</v>
      </c>
      <c r="IT82" s="286" t="s">
        <v>286</v>
      </c>
      <c r="IU82" s="286" t="s">
        <v>286</v>
      </c>
      <c r="IV82" s="286" t="s">
        <v>286</v>
      </c>
      <c r="IW82" s="286" t="s">
        <v>286</v>
      </c>
      <c r="IX82" s="286" t="s">
        <v>286</v>
      </c>
      <c r="IY82" s="404" t="s">
        <v>286</v>
      </c>
      <c r="IZ82" s="286">
        <f>SUM(IZ68:IZ70)</f>
        <v>8065</v>
      </c>
      <c r="JA82" s="286">
        <f>SUM(JA68:JA70)</f>
        <v>584</v>
      </c>
      <c r="JB82" s="278" t="s">
        <v>286</v>
      </c>
      <c r="JC82" s="286" t="s">
        <v>286</v>
      </c>
      <c r="JD82" s="286" t="s">
        <v>286</v>
      </c>
      <c r="JE82" s="404" t="s">
        <v>286</v>
      </c>
      <c r="JF82" s="286">
        <f>SUM(JF68:JF70)</f>
        <v>8282</v>
      </c>
      <c r="JG82" s="286">
        <f>SUM(JG68:JG70)</f>
        <v>624</v>
      </c>
      <c r="JH82" s="286" t="s">
        <v>286</v>
      </c>
      <c r="JI82" s="286" t="s">
        <v>286</v>
      </c>
      <c r="JJ82" s="286" t="s">
        <v>286</v>
      </c>
      <c r="JK82" s="344" t="s">
        <v>286</v>
      </c>
      <c r="JL82" s="286" t="s">
        <v>286</v>
      </c>
      <c r="JM82" s="285" t="s">
        <v>286</v>
      </c>
      <c r="JN82" s="285" t="s">
        <v>286</v>
      </c>
      <c r="JO82" s="285" t="s">
        <v>286</v>
      </c>
      <c r="JP82" s="285" t="s">
        <v>286</v>
      </c>
      <c r="JQ82" s="285" t="s">
        <v>286</v>
      </c>
      <c r="JR82" s="285" t="s">
        <v>286</v>
      </c>
      <c r="JS82" s="285" t="s">
        <v>286</v>
      </c>
      <c r="JT82" s="285" t="s">
        <v>286</v>
      </c>
      <c r="JU82" s="285" t="s">
        <v>286</v>
      </c>
      <c r="JV82" s="285" t="s">
        <v>286</v>
      </c>
      <c r="JW82" s="285" t="s">
        <v>286</v>
      </c>
      <c r="JX82" s="285" t="s">
        <v>286</v>
      </c>
      <c r="JY82" s="285" t="s">
        <v>286</v>
      </c>
      <c r="JZ82" s="285" t="s">
        <v>286</v>
      </c>
      <c r="KA82" s="285" t="s">
        <v>286</v>
      </c>
      <c r="KB82" s="285" t="s">
        <v>286</v>
      </c>
      <c r="KC82" s="285" t="s">
        <v>286</v>
      </c>
      <c r="KD82" s="285" t="s">
        <v>286</v>
      </c>
      <c r="KE82" s="285" t="s">
        <v>286</v>
      </c>
      <c r="KF82" s="285" t="s">
        <v>286</v>
      </c>
      <c r="KG82" s="285" t="s">
        <v>286</v>
      </c>
      <c r="KH82" s="285" t="s">
        <v>286</v>
      </c>
      <c r="KI82" s="285" t="s">
        <v>286</v>
      </c>
      <c r="KJ82" s="285" t="s">
        <v>286</v>
      </c>
      <c r="KK82" s="285" t="s">
        <v>286</v>
      </c>
      <c r="KL82" s="285" t="s">
        <v>286</v>
      </c>
      <c r="KM82" s="285" t="s">
        <v>286</v>
      </c>
      <c r="KN82" s="285" t="s">
        <v>286</v>
      </c>
      <c r="KO82" s="404" t="s">
        <v>286</v>
      </c>
      <c r="KP82" s="286">
        <v>7307</v>
      </c>
      <c r="KQ82" s="286">
        <v>1165</v>
      </c>
      <c r="KR82" s="286" t="s">
        <v>286</v>
      </c>
      <c r="KS82" s="286" t="s">
        <v>286</v>
      </c>
      <c r="KT82" s="286" t="s">
        <v>286</v>
      </c>
      <c r="KU82" s="286" t="s">
        <v>286</v>
      </c>
      <c r="KV82" s="604">
        <f>SUM(KV68:KV70)</f>
        <v>7142</v>
      </c>
      <c r="KW82" s="604">
        <f>SUM(KW68:KW70)</f>
        <v>1174</v>
      </c>
      <c r="KX82" s="286" t="s">
        <v>286</v>
      </c>
      <c r="KY82" s="286" t="s">
        <v>286</v>
      </c>
      <c r="KZ82" s="286" t="s">
        <v>286</v>
      </c>
      <c r="LA82" s="344" t="s">
        <v>286</v>
      </c>
      <c r="LB82" s="178">
        <v>9112</v>
      </c>
      <c r="LC82" s="178">
        <v>4808</v>
      </c>
      <c r="LD82" s="286" t="s">
        <v>286</v>
      </c>
      <c r="LE82" s="286" t="s">
        <v>286</v>
      </c>
      <c r="LF82" s="286" t="s">
        <v>286</v>
      </c>
      <c r="LG82" s="178">
        <v>9112</v>
      </c>
      <c r="LH82" s="286" t="s">
        <v>286</v>
      </c>
      <c r="LI82" s="286" t="s">
        <v>286</v>
      </c>
      <c r="LJ82" s="286" t="s">
        <v>286</v>
      </c>
      <c r="LK82" s="286" t="s">
        <v>286</v>
      </c>
      <c r="LL82" s="178">
        <v>9254</v>
      </c>
      <c r="LM82" s="178">
        <v>5465</v>
      </c>
      <c r="LN82" s="286" t="s">
        <v>286</v>
      </c>
      <c r="LO82" s="286" t="s">
        <v>286</v>
      </c>
      <c r="LP82" s="286" t="s">
        <v>286</v>
      </c>
      <c r="LQ82" s="178">
        <v>9254</v>
      </c>
      <c r="LR82" s="286" t="s">
        <v>286</v>
      </c>
      <c r="LS82" s="286" t="s">
        <v>286</v>
      </c>
      <c r="LT82" s="286" t="s">
        <v>286</v>
      </c>
      <c r="LU82" s="286" t="s">
        <v>286</v>
      </c>
      <c r="LV82" s="443">
        <v>9476</v>
      </c>
      <c r="LW82" s="443">
        <v>6039</v>
      </c>
      <c r="LX82" s="286" t="s">
        <v>286</v>
      </c>
      <c r="LY82" s="286" t="s">
        <v>286</v>
      </c>
      <c r="LZ82" s="286" t="s">
        <v>286</v>
      </c>
      <c r="MA82" s="286" t="s">
        <v>286</v>
      </c>
      <c r="MB82" s="286" t="s">
        <v>286</v>
      </c>
      <c r="MC82" s="286" t="s">
        <v>286</v>
      </c>
      <c r="MD82" s="286" t="s">
        <v>286</v>
      </c>
      <c r="ME82" s="428">
        <f>SUM(ME68:ME70)</f>
        <v>9540</v>
      </c>
      <c r="MF82" s="286">
        <f>SUM(MF68:MF70)</f>
        <v>6525</v>
      </c>
      <c r="MG82" s="286" t="s">
        <v>286</v>
      </c>
      <c r="MH82" s="286" t="s">
        <v>286</v>
      </c>
      <c r="MI82" s="286" t="s">
        <v>286</v>
      </c>
      <c r="MJ82" s="286" t="s">
        <v>286</v>
      </c>
      <c r="MK82" s="428" t="s">
        <v>286</v>
      </c>
      <c r="ML82" s="642" t="s">
        <v>286</v>
      </c>
      <c r="MM82" s="344" t="s">
        <v>286</v>
      </c>
      <c r="MN82" s="278" t="s">
        <v>286</v>
      </c>
      <c r="MO82" s="278" t="s">
        <v>286</v>
      </c>
      <c r="MP82" s="278" t="s">
        <v>286</v>
      </c>
      <c r="MQ82" s="278" t="s">
        <v>286</v>
      </c>
      <c r="MR82" s="278" t="s">
        <v>286</v>
      </c>
      <c r="MS82" s="278" t="s">
        <v>286</v>
      </c>
      <c r="MT82" s="278" t="s">
        <v>286</v>
      </c>
      <c r="MU82" s="278" t="s">
        <v>286</v>
      </c>
      <c r="MV82" s="278" t="s">
        <v>286</v>
      </c>
      <c r="MW82" s="278" t="s">
        <v>286</v>
      </c>
      <c r="MX82" s="278" t="s">
        <v>286</v>
      </c>
      <c r="MY82" s="278" t="s">
        <v>286</v>
      </c>
      <c r="MZ82" s="278" t="s">
        <v>286</v>
      </c>
      <c r="NA82" s="278" t="s">
        <v>286</v>
      </c>
      <c r="NB82" s="278" t="s">
        <v>286</v>
      </c>
      <c r="NC82" s="277" t="s">
        <v>286</v>
      </c>
      <c r="ND82" s="427"/>
      <c r="NE82" s="427"/>
      <c r="NF82" s="278"/>
      <c r="NG82" s="278"/>
      <c r="NH82" s="278"/>
      <c r="NI82" s="427"/>
      <c r="NJ82" s="427"/>
      <c r="NK82" s="278"/>
      <c r="NL82" s="278"/>
      <c r="NM82" s="278"/>
      <c r="NN82" s="427"/>
      <c r="NO82" s="427"/>
      <c r="NP82" s="278"/>
      <c r="NQ82" s="278"/>
      <c r="NR82" s="278"/>
      <c r="NS82" s="427"/>
      <c r="NT82" s="427"/>
      <c r="NU82" s="278"/>
      <c r="NV82" s="278"/>
      <c r="NW82" s="277"/>
      <c r="NX82" s="286" t="s">
        <v>286</v>
      </c>
      <c r="NY82" s="286" t="s">
        <v>286</v>
      </c>
      <c r="NZ82" s="286" t="s">
        <v>286</v>
      </c>
      <c r="OA82" s="286" t="s">
        <v>286</v>
      </c>
      <c r="OB82" s="286" t="s">
        <v>286</v>
      </c>
      <c r="OC82" s="286" t="s">
        <v>286</v>
      </c>
      <c r="OD82" s="286" t="s">
        <v>286</v>
      </c>
      <c r="OE82" s="286" t="s">
        <v>286</v>
      </c>
      <c r="OF82" s="286" t="s">
        <v>286</v>
      </c>
      <c r="OG82" s="286" t="s">
        <v>286</v>
      </c>
      <c r="OH82" s="286" t="s">
        <v>286</v>
      </c>
      <c r="OI82" s="286" t="s">
        <v>286</v>
      </c>
      <c r="OJ82" s="286" t="s">
        <v>286</v>
      </c>
      <c r="OK82" s="286" t="s">
        <v>286</v>
      </c>
      <c r="OL82" s="286" t="s">
        <v>286</v>
      </c>
      <c r="OM82" s="286" t="s">
        <v>286</v>
      </c>
      <c r="ON82" s="286" t="s">
        <v>286</v>
      </c>
      <c r="OO82" s="286" t="s">
        <v>286</v>
      </c>
      <c r="OP82" s="286" t="s">
        <v>286</v>
      </c>
      <c r="OQ82" s="286" t="s">
        <v>286</v>
      </c>
      <c r="OR82" s="286" t="s">
        <v>286</v>
      </c>
      <c r="OS82" s="286" t="s">
        <v>286</v>
      </c>
      <c r="OT82" s="344" t="s">
        <v>286</v>
      </c>
      <c r="OU82" s="178">
        <v>8826</v>
      </c>
      <c r="OV82" s="286" t="s">
        <v>286</v>
      </c>
      <c r="OW82" s="286" t="s">
        <v>286</v>
      </c>
      <c r="OX82" s="286" t="s">
        <v>286</v>
      </c>
      <c r="OY82" s="178">
        <v>8393</v>
      </c>
      <c r="OZ82" s="178">
        <v>74</v>
      </c>
      <c r="PA82" s="178">
        <v>8384</v>
      </c>
      <c r="PB82" s="178">
        <v>9062</v>
      </c>
      <c r="PC82" s="286" t="s">
        <v>286</v>
      </c>
      <c r="PD82" s="286" t="s">
        <v>286</v>
      </c>
      <c r="PE82" s="286" t="s">
        <v>286</v>
      </c>
      <c r="PF82" s="286" t="s">
        <v>286</v>
      </c>
      <c r="PG82" s="286" t="s">
        <v>286</v>
      </c>
      <c r="PH82" s="178">
        <v>8778</v>
      </c>
      <c r="PI82" s="178">
        <v>8461</v>
      </c>
      <c r="PJ82" s="178">
        <v>8673</v>
      </c>
      <c r="PK82" s="178">
        <v>8497</v>
      </c>
      <c r="PL82" s="178">
        <v>8476</v>
      </c>
      <c r="PM82" s="178">
        <v>9784</v>
      </c>
      <c r="PN82" s="286" t="s">
        <v>286</v>
      </c>
      <c r="PO82" s="286" t="s">
        <v>286</v>
      </c>
      <c r="PP82" s="286" t="s">
        <v>286</v>
      </c>
      <c r="PQ82" s="286" t="s">
        <v>286</v>
      </c>
      <c r="PR82" s="286" t="s">
        <v>286</v>
      </c>
      <c r="PS82" s="286" t="s">
        <v>286</v>
      </c>
      <c r="PT82" s="286" t="s">
        <v>286</v>
      </c>
      <c r="PU82" s="286" t="s">
        <v>286</v>
      </c>
      <c r="PV82" s="286" t="s">
        <v>286</v>
      </c>
      <c r="PW82" s="286" t="s">
        <v>286</v>
      </c>
      <c r="PX82" s="178">
        <v>9409</v>
      </c>
      <c r="PY82" s="178">
        <v>8991</v>
      </c>
      <c r="PZ82" s="178">
        <v>9408</v>
      </c>
      <c r="QA82" s="178">
        <v>9386</v>
      </c>
      <c r="QB82" s="178">
        <v>9336</v>
      </c>
      <c r="QC82" s="178">
        <v>8577</v>
      </c>
      <c r="QD82" s="178">
        <v>9218</v>
      </c>
      <c r="QE82" s="178">
        <v>8991</v>
      </c>
      <c r="QF82" s="178">
        <v>9370</v>
      </c>
      <c r="QG82" s="179">
        <v>8970</v>
      </c>
      <c r="RT82" s="179"/>
    </row>
    <row r="83" spans="1:488" s="191" customFormat="1" ht="12.75" x14ac:dyDescent="0.2">
      <c r="A83" s="191" t="s">
        <v>399</v>
      </c>
      <c r="B83" s="192"/>
      <c r="C83" s="191" t="s">
        <v>471</v>
      </c>
      <c r="D83" s="191" t="s">
        <v>471</v>
      </c>
      <c r="E83" s="191" t="s">
        <v>471</v>
      </c>
      <c r="F83" s="191" t="s">
        <v>471</v>
      </c>
      <c r="G83" s="191" t="s">
        <v>471</v>
      </c>
      <c r="H83" s="191" t="s">
        <v>471</v>
      </c>
      <c r="I83" s="191" t="s">
        <v>471</v>
      </c>
      <c r="J83" s="191" t="s">
        <v>471</v>
      </c>
      <c r="K83" s="191" t="s">
        <v>471</v>
      </c>
      <c r="L83" s="191" t="s">
        <v>471</v>
      </c>
      <c r="M83" s="191" t="s">
        <v>471</v>
      </c>
      <c r="N83" s="191" t="s">
        <v>471</v>
      </c>
      <c r="O83" s="287" t="s">
        <v>471</v>
      </c>
      <c r="P83" s="287" t="s">
        <v>471</v>
      </c>
      <c r="Q83" s="287" t="s">
        <v>471</v>
      </c>
      <c r="R83" s="287" t="s">
        <v>471</v>
      </c>
      <c r="S83" s="287" t="s">
        <v>471</v>
      </c>
      <c r="T83" s="193">
        <v>770800</v>
      </c>
      <c r="U83" s="194">
        <v>777400</v>
      </c>
      <c r="V83" s="194">
        <v>784250</v>
      </c>
      <c r="W83" s="194">
        <v>791000</v>
      </c>
      <c r="X83" s="194">
        <v>796050</v>
      </c>
      <c r="Y83" s="194">
        <v>803150</v>
      </c>
      <c r="Z83" s="194">
        <v>808950</v>
      </c>
      <c r="AA83" s="194">
        <v>815100</v>
      </c>
      <c r="AB83" s="194">
        <v>821350</v>
      </c>
      <c r="AC83" s="194">
        <v>828400</v>
      </c>
      <c r="AD83" s="194">
        <f>SUM(AD71:AD75)</f>
        <v>836256</v>
      </c>
      <c r="AE83" s="195">
        <v>40750</v>
      </c>
      <c r="AF83" s="196">
        <v>41250</v>
      </c>
      <c r="AG83" s="196">
        <v>42650</v>
      </c>
      <c r="AH83" s="196">
        <v>43650</v>
      </c>
      <c r="AI83" s="196">
        <v>44500</v>
      </c>
      <c r="AJ83" s="196">
        <v>45650</v>
      </c>
      <c r="AK83" s="196">
        <v>46700</v>
      </c>
      <c r="AL83" s="196">
        <v>47650</v>
      </c>
      <c r="AM83" s="196">
        <v>47850</v>
      </c>
      <c r="AN83" s="196">
        <v>47981</v>
      </c>
      <c r="AO83" s="197">
        <f>SUM(AO71:AO75)</f>
        <v>47919</v>
      </c>
      <c r="AP83" s="191">
        <v>46486</v>
      </c>
      <c r="AQ83" s="191">
        <v>38843</v>
      </c>
      <c r="AR83" s="191">
        <v>2069</v>
      </c>
      <c r="AS83" s="191">
        <v>2203</v>
      </c>
      <c r="AT83" s="191">
        <v>2550</v>
      </c>
      <c r="AU83" s="191">
        <v>601</v>
      </c>
      <c r="AV83" s="191">
        <v>220</v>
      </c>
      <c r="AW83" s="191">
        <v>7643</v>
      </c>
      <c r="AX83" s="362" t="s">
        <v>471</v>
      </c>
      <c r="AY83" s="363" t="s">
        <v>471</v>
      </c>
      <c r="AZ83" s="363" t="s">
        <v>471</v>
      </c>
      <c r="BA83" s="363" t="s">
        <v>471</v>
      </c>
      <c r="BB83" s="363" t="s">
        <v>471</v>
      </c>
      <c r="BC83" s="363" t="s">
        <v>471</v>
      </c>
      <c r="BD83" s="363" t="s">
        <v>471</v>
      </c>
      <c r="BE83" s="362" t="s">
        <v>471</v>
      </c>
      <c r="BF83" s="363" t="s">
        <v>471</v>
      </c>
      <c r="BG83" s="363" t="s">
        <v>471</v>
      </c>
      <c r="BH83" s="363" t="s">
        <v>471</v>
      </c>
      <c r="BI83" s="363" t="s">
        <v>471</v>
      </c>
      <c r="BJ83" s="363" t="s">
        <v>471</v>
      </c>
      <c r="BK83" s="363" t="s">
        <v>471</v>
      </c>
      <c r="BL83" s="199">
        <v>89522</v>
      </c>
      <c r="BM83" s="200">
        <v>0.62379999999999991</v>
      </c>
      <c r="BN83" s="201">
        <v>0.1792</v>
      </c>
      <c r="BO83" s="201">
        <v>0.19700000000000001</v>
      </c>
      <c r="BP83" s="362" t="s">
        <v>471</v>
      </c>
      <c r="BQ83" s="363" t="s">
        <v>471</v>
      </c>
      <c r="BR83" s="363" t="s">
        <v>471</v>
      </c>
      <c r="BS83" s="363" t="s">
        <v>471</v>
      </c>
      <c r="BT83" s="363" t="s">
        <v>471</v>
      </c>
      <c r="BU83" s="363" t="s">
        <v>471</v>
      </c>
      <c r="BV83" s="363" t="s">
        <v>471</v>
      </c>
      <c r="BW83" s="364">
        <v>55058</v>
      </c>
      <c r="BX83" s="202">
        <v>53</v>
      </c>
      <c r="BY83" s="202">
        <v>12250</v>
      </c>
      <c r="BZ83" s="202">
        <v>18695</v>
      </c>
      <c r="CA83" s="202">
        <v>7042</v>
      </c>
      <c r="CB83" s="203">
        <v>93098</v>
      </c>
      <c r="CC83" s="202">
        <v>36414</v>
      </c>
      <c r="CD83" s="202">
        <v>30468</v>
      </c>
      <c r="CE83" s="202">
        <v>5856</v>
      </c>
      <c r="CF83" s="202">
        <v>5946</v>
      </c>
      <c r="CG83" s="279" t="s">
        <v>286</v>
      </c>
      <c r="CH83" s="280" t="s">
        <v>286</v>
      </c>
      <c r="CI83" s="196">
        <v>5395</v>
      </c>
      <c r="CJ83" s="196">
        <v>4895</v>
      </c>
      <c r="CK83" s="196">
        <v>4255</v>
      </c>
      <c r="CL83" s="196">
        <v>4135</v>
      </c>
      <c r="CM83" s="196">
        <v>3900</v>
      </c>
      <c r="CN83" s="196">
        <v>3555</v>
      </c>
      <c r="CO83" s="195">
        <v>18637</v>
      </c>
      <c r="CP83" s="196">
        <v>6279</v>
      </c>
      <c r="CQ83" s="279" t="s">
        <v>286</v>
      </c>
      <c r="CR83" s="197">
        <v>1695</v>
      </c>
      <c r="CS83" s="202" t="s">
        <v>471</v>
      </c>
      <c r="CT83" s="202" t="s">
        <v>471</v>
      </c>
      <c r="CU83" s="202" t="s">
        <v>471</v>
      </c>
      <c r="CV83" s="202" t="s">
        <v>471</v>
      </c>
      <c r="CW83" s="202" t="s">
        <v>471</v>
      </c>
      <c r="CX83" s="202" t="s">
        <v>471</v>
      </c>
      <c r="CY83" s="572">
        <f>SUM(CY71:CY75)</f>
        <v>8158</v>
      </c>
      <c r="CZ83" s="202" t="s">
        <v>471</v>
      </c>
      <c r="DA83" s="202" t="s">
        <v>471</v>
      </c>
      <c r="DB83" s="202" t="s">
        <v>471</v>
      </c>
      <c r="DC83" s="202" t="s">
        <v>471</v>
      </c>
      <c r="DD83" s="202" t="s">
        <v>471</v>
      </c>
      <c r="DE83" s="363" t="s">
        <v>471</v>
      </c>
      <c r="DF83" s="287">
        <f>SUM(DF71:DF75)</f>
        <v>184</v>
      </c>
      <c r="DG83" s="291" t="s">
        <v>471</v>
      </c>
      <c r="DH83" s="291" t="s">
        <v>286</v>
      </c>
      <c r="DI83" s="287" t="s">
        <v>286</v>
      </c>
      <c r="DJ83" s="287" t="s">
        <v>286</v>
      </c>
      <c r="DK83" s="287" t="s">
        <v>286</v>
      </c>
      <c r="DL83" s="287" t="s">
        <v>286</v>
      </c>
      <c r="DM83" s="287" t="s">
        <v>286</v>
      </c>
      <c r="DN83" s="287" t="s">
        <v>286</v>
      </c>
      <c r="DO83" s="287" t="s">
        <v>286</v>
      </c>
      <c r="DP83" s="430" t="s">
        <v>286</v>
      </c>
      <c r="DQ83" s="287" t="s">
        <v>286</v>
      </c>
      <c r="DR83" s="287" t="s">
        <v>286</v>
      </c>
      <c r="DS83" s="287" t="s">
        <v>286</v>
      </c>
      <c r="DT83" s="198">
        <v>853</v>
      </c>
      <c r="DU83" s="287" t="s">
        <v>286</v>
      </c>
      <c r="DV83" s="374" t="s">
        <v>286</v>
      </c>
      <c r="DW83" s="375" t="s">
        <v>286</v>
      </c>
      <c r="DX83" s="431" t="s">
        <v>286</v>
      </c>
      <c r="DY83" s="431" t="s">
        <v>286</v>
      </c>
      <c r="DZ83" s="431" t="s">
        <v>286</v>
      </c>
      <c r="EA83" s="375" t="s">
        <v>286</v>
      </c>
      <c r="EB83" s="191">
        <v>12972</v>
      </c>
      <c r="EC83" s="287" t="s">
        <v>286</v>
      </c>
      <c r="ED83" s="198">
        <v>7205</v>
      </c>
      <c r="EE83" s="191">
        <v>7205</v>
      </c>
      <c r="EF83" s="191">
        <v>7270</v>
      </c>
      <c r="EG83" s="191">
        <v>6780</v>
      </c>
      <c r="EH83" s="191">
        <v>6200</v>
      </c>
      <c r="EI83" s="191">
        <v>5635</v>
      </c>
      <c r="EJ83" s="291" t="s">
        <v>286</v>
      </c>
      <c r="EK83" s="279" t="s">
        <v>286</v>
      </c>
      <c r="EL83" s="279" t="s">
        <v>286</v>
      </c>
      <c r="EM83" s="279" t="s">
        <v>286</v>
      </c>
      <c r="EN83" s="287" t="s">
        <v>286</v>
      </c>
      <c r="EO83" s="279" t="s">
        <v>286</v>
      </c>
      <c r="EP83" s="279" t="s">
        <v>286</v>
      </c>
      <c r="EQ83" s="279" t="s">
        <v>286</v>
      </c>
      <c r="ER83" s="287" t="s">
        <v>286</v>
      </c>
      <c r="ES83" s="279" t="s">
        <v>286</v>
      </c>
      <c r="ET83" s="279" t="s">
        <v>286</v>
      </c>
      <c r="EU83" s="279" t="s">
        <v>286</v>
      </c>
      <c r="EV83" s="287" t="s">
        <v>286</v>
      </c>
      <c r="EW83" s="279" t="s">
        <v>286</v>
      </c>
      <c r="EX83" s="279" t="s">
        <v>286</v>
      </c>
      <c r="EY83" s="279" t="s">
        <v>286</v>
      </c>
      <c r="EZ83" s="287" t="s">
        <v>286</v>
      </c>
      <c r="FA83" s="279" t="s">
        <v>286</v>
      </c>
      <c r="FB83" s="279" t="s">
        <v>286</v>
      </c>
      <c r="FC83" s="279" t="s">
        <v>286</v>
      </c>
      <c r="FD83" s="194" t="s">
        <v>286</v>
      </c>
      <c r="FE83" s="279" t="s">
        <v>286</v>
      </c>
      <c r="FF83" s="194" t="s">
        <v>286</v>
      </c>
      <c r="FG83" s="279" t="s">
        <v>286</v>
      </c>
      <c r="FH83" s="453" t="s">
        <v>286</v>
      </c>
      <c r="FI83" s="279" t="s">
        <v>286</v>
      </c>
      <c r="FJ83" s="279" t="s">
        <v>286</v>
      </c>
      <c r="FK83" s="279" t="s">
        <v>286</v>
      </c>
      <c r="FL83" s="193" t="s">
        <v>286</v>
      </c>
      <c r="FM83" s="279" t="s">
        <v>286</v>
      </c>
      <c r="FN83" s="194" t="s">
        <v>286</v>
      </c>
      <c r="FO83" s="279" t="s">
        <v>286</v>
      </c>
      <c r="FP83" s="194" t="s">
        <v>286</v>
      </c>
      <c r="FQ83" s="279" t="s">
        <v>286</v>
      </c>
      <c r="FR83" s="194" t="s">
        <v>286</v>
      </c>
      <c r="FS83" s="279" t="s">
        <v>286</v>
      </c>
      <c r="FT83" s="194" t="s">
        <v>286</v>
      </c>
      <c r="FU83" s="194" t="s">
        <v>286</v>
      </c>
      <c r="FV83" s="194" t="s">
        <v>286</v>
      </c>
      <c r="FW83" s="279" t="s">
        <v>286</v>
      </c>
      <c r="FX83" s="453" t="s">
        <v>286</v>
      </c>
      <c r="FY83" s="379" t="s">
        <v>286</v>
      </c>
      <c r="FZ83" s="287" t="s">
        <v>286</v>
      </c>
      <c r="GA83" s="287" t="s">
        <v>286</v>
      </c>
      <c r="GB83" s="287" t="s">
        <v>286</v>
      </c>
      <c r="GC83" s="287" t="s">
        <v>286</v>
      </c>
      <c r="GD83" s="287" t="s">
        <v>286</v>
      </c>
      <c r="GE83" s="287" t="s">
        <v>286</v>
      </c>
      <c r="GF83" s="287" t="s">
        <v>286</v>
      </c>
      <c r="GG83" s="287" t="s">
        <v>286</v>
      </c>
      <c r="GH83" s="287" t="s">
        <v>286</v>
      </c>
      <c r="GI83" s="287" t="s">
        <v>286</v>
      </c>
      <c r="GJ83" s="287" t="s">
        <v>286</v>
      </c>
      <c r="GK83" s="429" t="s">
        <v>286</v>
      </c>
      <c r="GL83" s="287" t="s">
        <v>286</v>
      </c>
      <c r="GM83" s="287" t="s">
        <v>286</v>
      </c>
      <c r="GN83" s="287" t="s">
        <v>286</v>
      </c>
      <c r="GO83" s="287" t="s">
        <v>286</v>
      </c>
      <c r="GP83" s="287" t="s">
        <v>286</v>
      </c>
      <c r="GQ83" s="287" t="s">
        <v>286</v>
      </c>
      <c r="GR83" s="287" t="s">
        <v>286</v>
      </c>
      <c r="GS83" s="287" t="s">
        <v>286</v>
      </c>
      <c r="GT83" s="287" t="s">
        <v>286</v>
      </c>
      <c r="GU83" s="379" t="s">
        <v>286</v>
      </c>
      <c r="GV83" s="430">
        <v>8763</v>
      </c>
      <c r="GW83" s="430">
        <v>1720</v>
      </c>
      <c r="GX83" s="430">
        <v>7043</v>
      </c>
      <c r="GY83" s="430" t="s">
        <v>286</v>
      </c>
      <c r="GZ83" s="430">
        <v>2898</v>
      </c>
      <c r="HA83" s="430">
        <v>1102</v>
      </c>
      <c r="HB83" s="430">
        <v>4000</v>
      </c>
      <c r="HC83" s="287" t="s">
        <v>286</v>
      </c>
      <c r="HD83" s="287" t="s">
        <v>286</v>
      </c>
      <c r="HE83" s="287" t="s">
        <v>286</v>
      </c>
      <c r="HF83" s="287" t="s">
        <v>286</v>
      </c>
      <c r="HG83" s="287" t="s">
        <v>286</v>
      </c>
      <c r="HH83" s="379" t="s">
        <v>286</v>
      </c>
      <c r="HI83" s="430" t="s">
        <v>286</v>
      </c>
      <c r="HJ83" s="431" t="s">
        <v>286</v>
      </c>
      <c r="HK83" s="431" t="s">
        <v>286</v>
      </c>
      <c r="HL83" s="287" t="s">
        <v>286</v>
      </c>
      <c r="HM83" s="431" t="s">
        <v>286</v>
      </c>
      <c r="HN83" s="431" t="s">
        <v>286</v>
      </c>
      <c r="HO83" s="431" t="s">
        <v>286</v>
      </c>
      <c r="HP83" s="287" t="s">
        <v>286</v>
      </c>
      <c r="HQ83" s="287" t="s">
        <v>286</v>
      </c>
      <c r="HR83" s="287" t="s">
        <v>286</v>
      </c>
      <c r="HS83" s="287" t="s">
        <v>286</v>
      </c>
      <c r="HT83" s="287" t="s">
        <v>286</v>
      </c>
      <c r="HU83" s="379" t="s">
        <v>286</v>
      </c>
      <c r="HV83" s="287" t="s">
        <v>286</v>
      </c>
      <c r="HW83" s="287" t="s">
        <v>286</v>
      </c>
      <c r="HX83" s="279" t="s">
        <v>286</v>
      </c>
      <c r="HY83" s="279" t="s">
        <v>286</v>
      </c>
      <c r="HZ83" s="279" t="s">
        <v>286</v>
      </c>
      <c r="IA83" s="410" t="s">
        <v>286</v>
      </c>
      <c r="IB83" s="287" t="s">
        <v>286</v>
      </c>
      <c r="IC83" s="287" t="s">
        <v>286</v>
      </c>
      <c r="ID83" s="279" t="s">
        <v>286</v>
      </c>
      <c r="IE83" s="279" t="s">
        <v>286</v>
      </c>
      <c r="IF83" s="279" t="s">
        <v>286</v>
      </c>
      <c r="IG83" s="405" t="s">
        <v>286</v>
      </c>
      <c r="IH83" s="287" t="s">
        <v>286</v>
      </c>
      <c r="II83" s="287" t="s">
        <v>286</v>
      </c>
      <c r="IJ83" s="279" t="s">
        <v>286</v>
      </c>
      <c r="IK83" s="279" t="s">
        <v>286</v>
      </c>
      <c r="IL83" s="279" t="s">
        <v>286</v>
      </c>
      <c r="IM83" s="405" t="s">
        <v>286</v>
      </c>
      <c r="IN83" s="287" t="s">
        <v>286</v>
      </c>
      <c r="IO83" s="287" t="s">
        <v>286</v>
      </c>
      <c r="IP83" s="279" t="s">
        <v>286</v>
      </c>
      <c r="IQ83" s="279" t="s">
        <v>286</v>
      </c>
      <c r="IR83" s="279" t="s">
        <v>286</v>
      </c>
      <c r="IS83" s="405" t="s">
        <v>286</v>
      </c>
      <c r="IT83" s="287" t="s">
        <v>286</v>
      </c>
      <c r="IU83" s="287" t="s">
        <v>286</v>
      </c>
      <c r="IV83" s="287" t="s">
        <v>286</v>
      </c>
      <c r="IW83" s="287" t="s">
        <v>286</v>
      </c>
      <c r="IX83" s="287" t="s">
        <v>286</v>
      </c>
      <c r="IY83" s="405" t="s">
        <v>286</v>
      </c>
      <c r="IZ83" s="287">
        <f>SUM(IZ71:IZ75)</f>
        <v>8065</v>
      </c>
      <c r="JA83" s="287">
        <f>SUM(JA71:JA75)</f>
        <v>584</v>
      </c>
      <c r="JB83" s="279" t="s">
        <v>286</v>
      </c>
      <c r="JC83" s="287" t="s">
        <v>286</v>
      </c>
      <c r="JD83" s="287" t="s">
        <v>286</v>
      </c>
      <c r="JE83" s="405" t="s">
        <v>286</v>
      </c>
      <c r="JF83" s="287">
        <f>SUM(JF71:JF75)</f>
        <v>8282</v>
      </c>
      <c r="JG83" s="287">
        <f>SUM(JG71:JG75)</f>
        <v>624</v>
      </c>
      <c r="JH83" s="287" t="s">
        <v>286</v>
      </c>
      <c r="JI83" s="287" t="s">
        <v>286</v>
      </c>
      <c r="JJ83" s="287" t="s">
        <v>286</v>
      </c>
      <c r="JK83" s="379" t="s">
        <v>286</v>
      </c>
      <c r="JL83" s="287" t="s">
        <v>286</v>
      </c>
      <c r="JM83" s="287" t="s">
        <v>286</v>
      </c>
      <c r="JN83" s="287" t="s">
        <v>286</v>
      </c>
      <c r="JO83" s="287" t="s">
        <v>286</v>
      </c>
      <c r="JP83" s="287" t="s">
        <v>286</v>
      </c>
      <c r="JQ83" s="287" t="s">
        <v>286</v>
      </c>
      <c r="JR83" s="287" t="s">
        <v>286</v>
      </c>
      <c r="JS83" s="287" t="s">
        <v>286</v>
      </c>
      <c r="JT83" s="287" t="s">
        <v>286</v>
      </c>
      <c r="JU83" s="287" t="s">
        <v>286</v>
      </c>
      <c r="JV83" s="287" t="s">
        <v>286</v>
      </c>
      <c r="JW83" s="287" t="s">
        <v>286</v>
      </c>
      <c r="JX83" s="287" t="s">
        <v>286</v>
      </c>
      <c r="JY83" s="287" t="s">
        <v>286</v>
      </c>
      <c r="JZ83" s="287" t="s">
        <v>286</v>
      </c>
      <c r="KA83" s="287" t="s">
        <v>286</v>
      </c>
      <c r="KB83" s="287" t="s">
        <v>286</v>
      </c>
      <c r="KC83" s="287" t="s">
        <v>286</v>
      </c>
      <c r="KD83" s="287" t="s">
        <v>286</v>
      </c>
      <c r="KE83" s="287" t="s">
        <v>286</v>
      </c>
      <c r="KF83" s="287" t="s">
        <v>286</v>
      </c>
      <c r="KG83" s="287" t="s">
        <v>286</v>
      </c>
      <c r="KH83" s="287" t="s">
        <v>286</v>
      </c>
      <c r="KI83" s="287" t="s">
        <v>286</v>
      </c>
      <c r="KJ83" s="287" t="s">
        <v>286</v>
      </c>
      <c r="KK83" s="287" t="s">
        <v>286</v>
      </c>
      <c r="KL83" s="287" t="s">
        <v>286</v>
      </c>
      <c r="KM83" s="287" t="s">
        <v>286</v>
      </c>
      <c r="KN83" s="287" t="s">
        <v>286</v>
      </c>
      <c r="KO83" s="405" t="s">
        <v>286</v>
      </c>
      <c r="KP83" s="287">
        <v>7307</v>
      </c>
      <c r="KQ83" s="287">
        <v>1165</v>
      </c>
      <c r="KR83" s="287" t="s">
        <v>286</v>
      </c>
      <c r="KS83" s="287" t="s">
        <v>286</v>
      </c>
      <c r="KT83" s="287" t="s">
        <v>286</v>
      </c>
      <c r="KU83" s="287" t="s">
        <v>286</v>
      </c>
      <c r="KV83" s="605">
        <f>SUM(KV71:KV75)</f>
        <v>7142</v>
      </c>
      <c r="KW83" s="605">
        <f>SUM(KW71:KW75)</f>
        <v>1174</v>
      </c>
      <c r="KX83" s="287" t="s">
        <v>286</v>
      </c>
      <c r="KY83" s="287" t="s">
        <v>286</v>
      </c>
      <c r="KZ83" s="287" t="s">
        <v>286</v>
      </c>
      <c r="LA83" s="379" t="s">
        <v>286</v>
      </c>
      <c r="LB83" s="191">
        <v>9112</v>
      </c>
      <c r="LC83" s="191">
        <v>4808</v>
      </c>
      <c r="LD83" s="287" t="s">
        <v>286</v>
      </c>
      <c r="LE83" s="287" t="s">
        <v>286</v>
      </c>
      <c r="LF83" s="287" t="s">
        <v>286</v>
      </c>
      <c r="LG83" s="191">
        <v>9112</v>
      </c>
      <c r="LH83" s="287" t="s">
        <v>286</v>
      </c>
      <c r="LI83" s="287" t="s">
        <v>286</v>
      </c>
      <c r="LJ83" s="287" t="s">
        <v>286</v>
      </c>
      <c r="LK83" s="287" t="s">
        <v>286</v>
      </c>
      <c r="LL83" s="191">
        <v>9254</v>
      </c>
      <c r="LM83" s="191">
        <v>5465</v>
      </c>
      <c r="LN83" s="287" t="s">
        <v>286</v>
      </c>
      <c r="LO83" s="287" t="s">
        <v>286</v>
      </c>
      <c r="LP83" s="287" t="s">
        <v>286</v>
      </c>
      <c r="LQ83" s="191">
        <v>9254</v>
      </c>
      <c r="LR83" s="287" t="s">
        <v>286</v>
      </c>
      <c r="LS83" s="287" t="s">
        <v>286</v>
      </c>
      <c r="LT83" s="287" t="s">
        <v>286</v>
      </c>
      <c r="LU83" s="287" t="s">
        <v>286</v>
      </c>
      <c r="LV83" s="445">
        <v>9476</v>
      </c>
      <c r="LW83" s="445">
        <v>6039</v>
      </c>
      <c r="LX83" s="287" t="s">
        <v>286</v>
      </c>
      <c r="LY83" s="287" t="s">
        <v>286</v>
      </c>
      <c r="LZ83" s="287" t="s">
        <v>286</v>
      </c>
      <c r="MA83" s="287" t="s">
        <v>286</v>
      </c>
      <c r="MB83" s="287" t="s">
        <v>286</v>
      </c>
      <c r="MC83" s="287" t="s">
        <v>286</v>
      </c>
      <c r="MD83" s="287" t="s">
        <v>286</v>
      </c>
      <c r="ME83" s="430">
        <f>SUM(ME71:ME75)</f>
        <v>9540</v>
      </c>
      <c r="MF83" s="287">
        <f>SUM(MF71:MF75)</f>
        <v>6525</v>
      </c>
      <c r="MG83" s="287" t="s">
        <v>286</v>
      </c>
      <c r="MH83" s="287" t="s">
        <v>286</v>
      </c>
      <c r="MI83" s="287" t="s">
        <v>286</v>
      </c>
      <c r="MJ83" s="287" t="s">
        <v>286</v>
      </c>
      <c r="MK83" s="430" t="s">
        <v>286</v>
      </c>
      <c r="ML83" s="643" t="s">
        <v>286</v>
      </c>
      <c r="MM83" s="379" t="s">
        <v>286</v>
      </c>
      <c r="MN83" s="279" t="s">
        <v>286</v>
      </c>
      <c r="MO83" s="279" t="s">
        <v>286</v>
      </c>
      <c r="MP83" s="279" t="s">
        <v>286</v>
      </c>
      <c r="MQ83" s="279" t="s">
        <v>286</v>
      </c>
      <c r="MR83" s="279" t="s">
        <v>286</v>
      </c>
      <c r="MS83" s="279" t="s">
        <v>286</v>
      </c>
      <c r="MT83" s="279" t="s">
        <v>286</v>
      </c>
      <c r="MU83" s="279" t="s">
        <v>286</v>
      </c>
      <c r="MV83" s="279" t="s">
        <v>286</v>
      </c>
      <c r="MW83" s="279" t="s">
        <v>286</v>
      </c>
      <c r="MX83" s="279" t="s">
        <v>286</v>
      </c>
      <c r="MY83" s="279" t="s">
        <v>286</v>
      </c>
      <c r="MZ83" s="279" t="s">
        <v>286</v>
      </c>
      <c r="NA83" s="279" t="s">
        <v>286</v>
      </c>
      <c r="NB83" s="279" t="s">
        <v>286</v>
      </c>
      <c r="NC83" s="280" t="s">
        <v>286</v>
      </c>
      <c r="ND83" s="453"/>
      <c r="NE83" s="453"/>
      <c r="NF83" s="279"/>
      <c r="NG83" s="279"/>
      <c r="NH83" s="279"/>
      <c r="NI83" s="453"/>
      <c r="NJ83" s="453"/>
      <c r="NK83" s="279"/>
      <c r="NL83" s="279"/>
      <c r="NM83" s="279"/>
      <c r="NN83" s="453"/>
      <c r="NO83" s="453"/>
      <c r="NP83" s="279"/>
      <c r="NQ83" s="279"/>
      <c r="NR83" s="279"/>
      <c r="NS83" s="453"/>
      <c r="NT83" s="453"/>
      <c r="NU83" s="279"/>
      <c r="NV83" s="279"/>
      <c r="NW83" s="280"/>
      <c r="NX83" s="287" t="s">
        <v>286</v>
      </c>
      <c r="NY83" s="287" t="s">
        <v>286</v>
      </c>
      <c r="NZ83" s="287" t="s">
        <v>286</v>
      </c>
      <c r="OA83" s="287" t="s">
        <v>286</v>
      </c>
      <c r="OB83" s="287" t="s">
        <v>286</v>
      </c>
      <c r="OC83" s="287" t="s">
        <v>286</v>
      </c>
      <c r="OD83" s="287" t="s">
        <v>286</v>
      </c>
      <c r="OE83" s="287" t="s">
        <v>286</v>
      </c>
      <c r="OF83" s="287" t="s">
        <v>286</v>
      </c>
      <c r="OG83" s="287" t="s">
        <v>286</v>
      </c>
      <c r="OH83" s="287" t="s">
        <v>286</v>
      </c>
      <c r="OI83" s="287" t="s">
        <v>286</v>
      </c>
      <c r="OJ83" s="287" t="s">
        <v>286</v>
      </c>
      <c r="OK83" s="287" t="s">
        <v>286</v>
      </c>
      <c r="OL83" s="287" t="s">
        <v>286</v>
      </c>
      <c r="OM83" s="287" t="s">
        <v>286</v>
      </c>
      <c r="ON83" s="287" t="s">
        <v>286</v>
      </c>
      <c r="OO83" s="287" t="s">
        <v>286</v>
      </c>
      <c r="OP83" s="287" t="s">
        <v>286</v>
      </c>
      <c r="OQ83" s="287" t="s">
        <v>286</v>
      </c>
      <c r="OR83" s="287" t="s">
        <v>286</v>
      </c>
      <c r="OS83" s="287" t="s">
        <v>286</v>
      </c>
      <c r="OT83" s="379" t="s">
        <v>286</v>
      </c>
      <c r="OU83" s="287" t="s">
        <v>286</v>
      </c>
      <c r="OV83" s="287" t="s">
        <v>286</v>
      </c>
      <c r="OW83" s="287" t="s">
        <v>286</v>
      </c>
      <c r="OX83" s="287" t="s">
        <v>286</v>
      </c>
      <c r="OY83" s="287" t="s">
        <v>286</v>
      </c>
      <c r="OZ83" s="287" t="s">
        <v>286</v>
      </c>
      <c r="PA83" s="287" t="s">
        <v>286</v>
      </c>
      <c r="PB83" s="287" t="s">
        <v>286</v>
      </c>
      <c r="PC83" s="287" t="s">
        <v>286</v>
      </c>
      <c r="PD83" s="287" t="s">
        <v>286</v>
      </c>
      <c r="PE83" s="287" t="s">
        <v>286</v>
      </c>
      <c r="PF83" s="287" t="s">
        <v>286</v>
      </c>
      <c r="PG83" s="287" t="s">
        <v>286</v>
      </c>
      <c r="PH83" s="287" t="s">
        <v>286</v>
      </c>
      <c r="PI83" s="287" t="s">
        <v>286</v>
      </c>
      <c r="PJ83" s="287" t="s">
        <v>286</v>
      </c>
      <c r="PK83" s="287" t="s">
        <v>286</v>
      </c>
      <c r="PL83" s="287" t="s">
        <v>286</v>
      </c>
      <c r="PM83" s="287" t="s">
        <v>286</v>
      </c>
      <c r="PN83" s="287" t="s">
        <v>286</v>
      </c>
      <c r="PO83" s="287" t="s">
        <v>286</v>
      </c>
      <c r="PP83" s="287" t="s">
        <v>286</v>
      </c>
      <c r="PQ83" s="287" t="s">
        <v>286</v>
      </c>
      <c r="PR83" s="287" t="s">
        <v>286</v>
      </c>
      <c r="PS83" s="287" t="s">
        <v>286</v>
      </c>
      <c r="PT83" s="287" t="s">
        <v>286</v>
      </c>
      <c r="PU83" s="287" t="s">
        <v>286</v>
      </c>
      <c r="PV83" s="287" t="s">
        <v>286</v>
      </c>
      <c r="PW83" s="287" t="s">
        <v>286</v>
      </c>
      <c r="PX83" s="287" t="s">
        <v>286</v>
      </c>
      <c r="PY83" s="287" t="s">
        <v>286</v>
      </c>
      <c r="PZ83" s="287" t="s">
        <v>286</v>
      </c>
      <c r="QA83" s="287" t="s">
        <v>286</v>
      </c>
      <c r="QB83" s="287" t="s">
        <v>286</v>
      </c>
      <c r="QC83" s="287" t="s">
        <v>286</v>
      </c>
      <c r="QD83" s="287" t="s">
        <v>286</v>
      </c>
      <c r="QE83" s="287" t="s">
        <v>286</v>
      </c>
      <c r="QF83" s="287" t="s">
        <v>286</v>
      </c>
      <c r="QG83" s="379" t="s">
        <v>286</v>
      </c>
      <c r="RT83" s="192"/>
    </row>
    <row r="84" spans="1:488" s="282" customFormat="1" x14ac:dyDescent="0.25">
      <c r="A84" s="66"/>
      <c r="B84" s="8"/>
      <c r="C84" s="66"/>
      <c r="D84" s="66"/>
      <c r="E84" s="66"/>
      <c r="F84" s="66"/>
      <c r="G84" s="66"/>
      <c r="H84" s="66"/>
      <c r="I84" s="66"/>
      <c r="J84" s="66"/>
      <c r="K84" s="66"/>
      <c r="L84" s="66"/>
      <c r="M84" s="66"/>
      <c r="N84" s="66"/>
      <c r="O84" s="66"/>
      <c r="P84" s="66"/>
      <c r="Q84" s="66"/>
      <c r="R84" s="66"/>
      <c r="S84" s="66"/>
      <c r="T84" s="68"/>
      <c r="AC84" s="66"/>
      <c r="AD84" s="66"/>
      <c r="AE84" s="68"/>
      <c r="AN84" s="66"/>
      <c r="AO84" s="66"/>
      <c r="AP84" s="68"/>
      <c r="AW84" s="66"/>
      <c r="AX84" s="68"/>
      <c r="BD84" s="66"/>
      <c r="BE84" s="68"/>
      <c r="BF84" s="66"/>
      <c r="BG84" s="66"/>
      <c r="BH84" s="66"/>
      <c r="BI84" s="66"/>
      <c r="BJ84" s="66"/>
      <c r="BK84" s="66"/>
      <c r="BL84" s="68"/>
      <c r="BO84" s="66"/>
      <c r="BP84" s="68"/>
      <c r="BV84" s="66"/>
      <c r="BW84" s="68"/>
      <c r="CB84" s="8"/>
      <c r="CH84" s="8"/>
      <c r="CK84" s="299"/>
      <c r="CL84" s="299"/>
      <c r="CM84" s="66"/>
      <c r="CN84" s="66"/>
      <c r="CO84" s="68"/>
      <c r="CR84" s="8"/>
      <c r="CX84" s="66"/>
      <c r="CY84" s="532"/>
      <c r="DE84" s="66"/>
      <c r="DF84" s="66"/>
      <c r="DG84" s="68"/>
      <c r="DH84" s="68"/>
      <c r="DK84" s="66"/>
      <c r="DL84" s="66"/>
      <c r="DM84" s="66"/>
      <c r="DN84" s="66"/>
      <c r="DO84" s="66"/>
      <c r="DP84" s="573"/>
      <c r="DQ84" s="66"/>
      <c r="DR84" s="66"/>
      <c r="DS84" s="66"/>
      <c r="DT84" s="68"/>
      <c r="DU84" s="66"/>
      <c r="DV84" s="296"/>
      <c r="DW84" s="330"/>
      <c r="DX84" s="631"/>
      <c r="DY84" s="631"/>
      <c r="DZ84" s="631"/>
      <c r="EA84" s="330"/>
      <c r="EC84" s="66"/>
      <c r="ED84" s="68"/>
      <c r="EH84" s="66"/>
      <c r="EI84" s="66"/>
      <c r="EJ84" s="68"/>
      <c r="EK84" s="252"/>
      <c r="EL84" s="252"/>
      <c r="EM84" s="252"/>
      <c r="EO84" s="252"/>
      <c r="EP84" s="252"/>
      <c r="EQ84" s="252"/>
      <c r="ES84" s="252"/>
      <c r="ET84" s="252"/>
      <c r="EU84" s="252"/>
      <c r="EW84" s="252"/>
      <c r="EX84" s="252"/>
      <c r="EY84" s="252"/>
      <c r="FA84" s="250"/>
      <c r="FB84" s="250"/>
      <c r="FC84" s="250"/>
      <c r="FD84" s="250"/>
      <c r="FE84" s="250"/>
      <c r="FF84" s="250"/>
      <c r="FG84" s="250"/>
      <c r="FH84" s="424"/>
      <c r="FI84" s="250"/>
      <c r="FJ84" s="250"/>
      <c r="FK84" s="250"/>
      <c r="FL84" s="256"/>
      <c r="FM84" s="250"/>
      <c r="FN84" s="256"/>
      <c r="FO84" s="250"/>
      <c r="FP84" s="256"/>
      <c r="FQ84" s="250"/>
      <c r="FR84" s="256"/>
      <c r="FS84" s="250"/>
      <c r="FT84" s="256"/>
      <c r="FU84" s="256"/>
      <c r="FV84" s="256"/>
      <c r="FW84" s="250"/>
      <c r="FX84" s="424"/>
      <c r="FY84" s="251"/>
      <c r="GC84" s="252"/>
      <c r="GF84" s="252"/>
      <c r="GG84" s="252"/>
      <c r="GH84" s="252"/>
      <c r="GI84" s="252"/>
      <c r="GJ84" s="252"/>
      <c r="GK84" s="251"/>
      <c r="GL84" s="250"/>
      <c r="GM84" s="250"/>
      <c r="GN84" s="250"/>
      <c r="GO84" s="250"/>
      <c r="GP84" s="250"/>
      <c r="GQ84" s="250"/>
      <c r="GR84" s="250"/>
      <c r="GS84" s="250"/>
      <c r="GT84" s="250"/>
      <c r="GU84" s="251"/>
      <c r="GV84" s="250"/>
      <c r="GW84" s="250"/>
      <c r="GX84" s="250"/>
      <c r="GY84" s="250"/>
      <c r="GZ84" s="250"/>
      <c r="HA84" s="250"/>
      <c r="HB84" s="250"/>
      <c r="HC84" s="250"/>
      <c r="HD84" s="250"/>
      <c r="HE84" s="250"/>
      <c r="HF84" s="250"/>
      <c r="HG84" s="250"/>
      <c r="HH84" s="251"/>
      <c r="HI84" s="424"/>
      <c r="HJ84" s="255"/>
      <c r="HK84" s="255"/>
      <c r="HL84" s="250"/>
      <c r="HM84" s="255"/>
      <c r="HN84" s="255"/>
      <c r="HO84" s="255"/>
      <c r="HP84" s="250"/>
      <c r="HQ84" s="250"/>
      <c r="HR84" s="250"/>
      <c r="HS84" s="250"/>
      <c r="HT84" s="250"/>
      <c r="HU84" s="251"/>
      <c r="HX84" s="252"/>
      <c r="HY84" s="252"/>
      <c r="HZ84" s="252"/>
      <c r="IA84" s="281"/>
      <c r="ID84" s="252"/>
      <c r="IE84" s="252"/>
      <c r="IF84" s="252"/>
      <c r="IJ84" s="252"/>
      <c r="IK84" s="252"/>
      <c r="IL84" s="252"/>
      <c r="IP84" s="252"/>
      <c r="IQ84" s="252"/>
      <c r="IR84" s="252"/>
      <c r="IY84" s="66"/>
      <c r="IZ84" s="66"/>
      <c r="JA84" s="66"/>
      <c r="JB84" s="250"/>
      <c r="JC84" s="66"/>
      <c r="JD84" s="66"/>
      <c r="JE84" s="66"/>
      <c r="JF84" s="66"/>
      <c r="JG84" s="66"/>
      <c r="JH84" s="66"/>
      <c r="JI84" s="66"/>
      <c r="JJ84" s="66"/>
      <c r="JK84" s="8"/>
      <c r="JN84" s="252"/>
      <c r="JO84" s="252"/>
      <c r="JP84" s="252"/>
      <c r="JT84" s="252"/>
      <c r="JU84" s="252"/>
      <c r="JV84" s="252"/>
      <c r="JZ84" s="252"/>
      <c r="KA84" s="252"/>
      <c r="KB84" s="252"/>
      <c r="KF84" s="252"/>
      <c r="KG84" s="252"/>
      <c r="KH84" s="252"/>
      <c r="KO84" s="467" t="s">
        <v>775</v>
      </c>
      <c r="KP84" s="467"/>
      <c r="KQ84" s="467"/>
      <c r="KR84" s="467"/>
      <c r="KS84" s="467"/>
      <c r="KT84" s="467"/>
      <c r="KU84" s="467"/>
      <c r="KV84" s="467"/>
      <c r="KW84" s="467"/>
      <c r="KX84" s="467"/>
      <c r="KY84" s="467"/>
      <c r="KZ84" s="467"/>
      <c r="LA84" s="398"/>
      <c r="LB84" s="71">
        <v>200</v>
      </c>
      <c r="LC84" s="71">
        <v>109</v>
      </c>
      <c r="LD84" s="252"/>
      <c r="LE84" s="252"/>
      <c r="LF84" s="252"/>
      <c r="LH84" s="394"/>
      <c r="LI84" s="394"/>
      <c r="LJ84" s="394"/>
      <c r="LK84" s="394"/>
      <c r="LL84" s="394"/>
      <c r="LM84" s="394"/>
      <c r="LN84" s="394"/>
      <c r="LO84" s="394"/>
      <c r="LP84" s="394"/>
      <c r="LQ84" s="394"/>
      <c r="LR84" s="394"/>
      <c r="LT84" s="271"/>
      <c r="LU84" s="250"/>
      <c r="LV84" s="255"/>
      <c r="LW84" s="250"/>
      <c r="LX84" s="250"/>
      <c r="LY84" s="250"/>
      <c r="LZ84" s="250"/>
      <c r="MA84" s="250"/>
      <c r="MB84" s="250"/>
      <c r="MC84" s="250"/>
      <c r="MD84" s="250"/>
      <c r="ME84" s="250"/>
      <c r="MF84" s="250"/>
      <c r="MG84" s="424"/>
      <c r="MH84" s="250"/>
      <c r="MI84" s="676"/>
      <c r="MJ84" s="250"/>
      <c r="MK84" s="424"/>
      <c r="ML84" s="640"/>
      <c r="MM84" s="251"/>
      <c r="MN84" s="252"/>
      <c r="MO84" s="252"/>
      <c r="MP84" s="252"/>
      <c r="MQ84" s="252"/>
      <c r="MR84" s="252"/>
      <c r="MS84" s="252"/>
      <c r="MT84" s="252"/>
      <c r="MU84" s="252"/>
      <c r="MV84" s="252"/>
      <c r="MW84" s="252"/>
      <c r="MX84" s="252"/>
      <c r="MY84" s="252"/>
      <c r="MZ84" s="252"/>
      <c r="NA84" s="252"/>
      <c r="NB84" s="252"/>
      <c r="NC84" s="251"/>
      <c r="ND84" s="250"/>
      <c r="NE84" s="250"/>
      <c r="NF84" s="250"/>
      <c r="NG84" s="250"/>
      <c r="NH84" s="250"/>
      <c r="NI84" s="250"/>
      <c r="NJ84" s="250"/>
      <c r="NK84" s="250"/>
      <c r="NL84" s="250"/>
      <c r="NM84" s="250"/>
      <c r="NN84" s="250"/>
      <c r="NO84" s="250"/>
      <c r="NP84" s="250"/>
      <c r="NQ84" s="250"/>
      <c r="NR84" s="250"/>
      <c r="NS84" s="250"/>
      <c r="NT84" s="250"/>
      <c r="NU84" s="250"/>
      <c r="NV84" s="250"/>
      <c r="NW84" s="251"/>
      <c r="OT84" s="8"/>
      <c r="QG84" s="8"/>
      <c r="RT84" s="8"/>
    </row>
    <row r="85" spans="1:488" s="282" customFormat="1" x14ac:dyDescent="0.25">
      <c r="A85" s="66"/>
      <c r="B85" s="8"/>
      <c r="C85" s="66"/>
      <c r="D85" s="66"/>
      <c r="E85" s="66"/>
      <c r="F85" s="66"/>
      <c r="G85" s="66"/>
      <c r="H85" s="66"/>
      <c r="I85" s="66"/>
      <c r="J85" s="66"/>
      <c r="K85" s="66"/>
      <c r="L85" s="66"/>
      <c r="M85" s="66"/>
      <c r="N85" s="66"/>
      <c r="O85" s="66"/>
      <c r="P85" s="66"/>
      <c r="Q85" s="66"/>
      <c r="R85" s="66"/>
      <c r="S85" s="66"/>
      <c r="T85" s="68"/>
      <c r="AC85" s="66"/>
      <c r="AD85" s="66"/>
      <c r="AE85" s="68"/>
      <c r="AN85" s="66"/>
      <c r="AO85" s="66"/>
      <c r="AP85" s="68"/>
      <c r="AW85" s="66"/>
      <c r="AX85" s="68"/>
      <c r="BD85" s="66"/>
      <c r="BE85" s="68"/>
      <c r="BF85" s="66"/>
      <c r="BG85" s="66"/>
      <c r="BH85" s="66"/>
      <c r="BI85" s="66"/>
      <c r="BJ85" s="66"/>
      <c r="BK85" s="66"/>
      <c r="BL85" s="68"/>
      <c r="BO85" s="66"/>
      <c r="BP85" s="68"/>
      <c r="BV85" s="66"/>
      <c r="BW85" s="68"/>
      <c r="CB85" s="8"/>
      <c r="CH85" s="8"/>
      <c r="CK85" s="299"/>
      <c r="CL85" s="299"/>
      <c r="CM85" s="66"/>
      <c r="CN85" s="66"/>
      <c r="CO85" s="68"/>
      <c r="CR85" s="8"/>
      <c r="CX85" s="66"/>
      <c r="CY85" s="532"/>
      <c r="DE85" s="66"/>
      <c r="DF85" s="66"/>
      <c r="DG85" s="68"/>
      <c r="DH85" s="68"/>
      <c r="DK85" s="66"/>
      <c r="DL85" s="66"/>
      <c r="DM85" s="66"/>
      <c r="DN85" s="66"/>
      <c r="DO85" s="66"/>
      <c r="DP85" s="66"/>
      <c r="DQ85" s="66"/>
      <c r="DR85" s="66"/>
      <c r="DS85" s="66"/>
      <c r="DT85" s="68"/>
      <c r="DU85" s="66"/>
      <c r="DV85" s="296"/>
      <c r="DW85" s="330"/>
      <c r="DX85" s="631"/>
      <c r="DY85" s="631"/>
      <c r="DZ85" s="631"/>
      <c r="EA85" s="330"/>
      <c r="EC85" s="66"/>
      <c r="ED85" s="68"/>
      <c r="EH85" s="66"/>
      <c r="EI85" s="66"/>
      <c r="EJ85" s="68"/>
      <c r="EK85" s="252"/>
      <c r="EL85" s="252"/>
      <c r="EM85" s="252"/>
      <c r="EO85" s="252"/>
      <c r="EP85" s="252"/>
      <c r="EQ85" s="252"/>
      <c r="ES85" s="252"/>
      <c r="ET85" s="252"/>
      <c r="EU85" s="252"/>
      <c r="EW85" s="252"/>
      <c r="EX85" s="252"/>
      <c r="EY85" s="252"/>
      <c r="FA85" s="250"/>
      <c r="FB85" s="250"/>
      <c r="FC85" s="250"/>
      <c r="FD85" s="250"/>
      <c r="FE85" s="250"/>
      <c r="FF85" s="250"/>
      <c r="FG85" s="250"/>
      <c r="FH85" s="424"/>
      <c r="FI85" s="250"/>
      <c r="FJ85" s="250"/>
      <c r="FK85" s="250"/>
      <c r="FL85" s="256"/>
      <c r="FM85" s="250"/>
      <c r="FN85" s="256"/>
      <c r="FO85" s="250"/>
      <c r="FP85" s="256"/>
      <c r="FQ85" s="250"/>
      <c r="FR85" s="256"/>
      <c r="FS85" s="250"/>
      <c r="FT85" s="256"/>
      <c r="FU85" s="256"/>
      <c r="FV85" s="256"/>
      <c r="FW85" s="250"/>
      <c r="FX85" s="424"/>
      <c r="FY85" s="251"/>
      <c r="GC85" s="252"/>
      <c r="GF85" s="252"/>
      <c r="GG85" s="252"/>
      <c r="GH85" s="252"/>
      <c r="GI85" s="252"/>
      <c r="GJ85" s="252"/>
      <c r="GK85" s="251"/>
      <c r="GL85" s="250"/>
      <c r="GM85" s="250"/>
      <c r="GN85" s="250"/>
      <c r="GO85" s="250"/>
      <c r="GP85" s="250"/>
      <c r="GQ85" s="250"/>
      <c r="GR85" s="250"/>
      <c r="GS85" s="250"/>
      <c r="GT85" s="250"/>
      <c r="GU85" s="251"/>
      <c r="GV85" s="250"/>
      <c r="GW85" s="250"/>
      <c r="GX85" s="250"/>
      <c r="GY85" s="250"/>
      <c r="GZ85" s="250"/>
      <c r="HA85" s="250"/>
      <c r="HB85" s="250"/>
      <c r="HC85" s="250"/>
      <c r="HD85" s="250"/>
      <c r="HE85" s="250"/>
      <c r="HF85" s="250"/>
      <c r="HG85" s="250"/>
      <c r="HH85" s="251"/>
      <c r="HI85" s="424"/>
      <c r="HJ85" s="255"/>
      <c r="HK85" s="255"/>
      <c r="HL85" s="250"/>
      <c r="HM85" s="255"/>
      <c r="HN85" s="255"/>
      <c r="HO85" s="255"/>
      <c r="HP85" s="250"/>
      <c r="HQ85" s="250"/>
      <c r="HR85" s="250"/>
      <c r="HS85" s="250"/>
      <c r="HT85" s="250"/>
      <c r="HU85" s="251"/>
      <c r="HX85" s="252"/>
      <c r="HY85" s="252"/>
      <c r="HZ85" s="252"/>
      <c r="IA85" s="281"/>
      <c r="ID85" s="252"/>
      <c r="IE85" s="252"/>
      <c r="IF85" s="252"/>
      <c r="IJ85" s="252"/>
      <c r="IK85" s="252"/>
      <c r="IL85" s="252"/>
      <c r="IP85" s="252"/>
      <c r="IQ85" s="252"/>
      <c r="IR85" s="252"/>
      <c r="IY85" s="66"/>
      <c r="IZ85" s="66"/>
      <c r="JA85" s="66"/>
      <c r="JB85" s="250"/>
      <c r="JC85" s="462"/>
      <c r="JD85" s="462"/>
      <c r="JE85" s="66"/>
      <c r="JF85" s="66"/>
      <c r="JG85" s="66"/>
      <c r="JH85" s="66"/>
      <c r="JI85" s="66"/>
      <c r="JJ85" s="66"/>
      <c r="JK85" s="8"/>
      <c r="JN85" s="252"/>
      <c r="JO85" s="252"/>
      <c r="JP85" s="252"/>
      <c r="JT85" s="252"/>
      <c r="JU85" s="252"/>
      <c r="JV85" s="252"/>
      <c r="JZ85" s="252"/>
      <c r="KA85" s="252"/>
      <c r="KB85" s="252"/>
      <c r="KF85" s="252"/>
      <c r="KG85" s="252"/>
      <c r="KH85" s="252"/>
      <c r="KO85" s="467" t="s">
        <v>776</v>
      </c>
      <c r="KP85" s="467"/>
      <c r="KQ85" s="467"/>
      <c r="KR85" s="468"/>
      <c r="KS85" s="468"/>
      <c r="KT85" s="468"/>
      <c r="KU85" s="467"/>
      <c r="KV85" s="467"/>
      <c r="KW85" s="467"/>
      <c r="KX85" s="467"/>
      <c r="KY85" s="467"/>
      <c r="KZ85" s="467"/>
      <c r="LA85" s="398"/>
      <c r="LV85" s="255"/>
      <c r="LW85" s="250"/>
      <c r="LX85" s="250"/>
      <c r="LY85" s="250"/>
      <c r="LZ85" s="250"/>
      <c r="MA85" s="250"/>
      <c r="MB85" s="250"/>
      <c r="MC85" s="250"/>
      <c r="MD85" s="250"/>
      <c r="ME85" s="250"/>
      <c r="MF85" s="250"/>
      <c r="MG85" s="424"/>
      <c r="MH85" s="250"/>
      <c r="MI85" s="250"/>
      <c r="MJ85" s="250"/>
      <c r="MK85" s="424"/>
      <c r="ML85" s="640"/>
      <c r="MM85" s="251"/>
      <c r="MN85" s="252"/>
      <c r="MO85" s="252"/>
      <c r="MP85" s="252"/>
      <c r="MQ85" s="252"/>
      <c r="MR85" s="252"/>
      <c r="MS85" s="252"/>
      <c r="MT85" s="252"/>
      <c r="MU85" s="252"/>
      <c r="MV85" s="252"/>
      <c r="MW85" s="252"/>
      <c r="MX85" s="252"/>
      <c r="MY85" s="252"/>
      <c r="MZ85" s="252"/>
      <c r="NA85" s="252"/>
      <c r="NB85" s="252"/>
      <c r="NC85" s="251"/>
      <c r="ND85" s="250"/>
      <c r="NE85" s="250"/>
      <c r="NF85" s="250"/>
      <c r="NG85" s="250"/>
      <c r="NH85" s="250"/>
      <c r="NI85" s="250"/>
      <c r="NJ85" s="250"/>
      <c r="NK85" s="250"/>
      <c r="NL85" s="250"/>
      <c r="NM85" s="250"/>
      <c r="NN85" s="250"/>
      <c r="NO85" s="250"/>
      <c r="NP85" s="250"/>
      <c r="NQ85" s="250"/>
      <c r="NR85" s="250"/>
      <c r="NS85" s="250"/>
      <c r="NT85" s="250"/>
      <c r="NU85" s="250"/>
      <c r="NV85" s="250"/>
      <c r="NW85" s="251"/>
      <c r="OT85" s="8"/>
      <c r="QG85" s="8"/>
      <c r="RT85" s="8"/>
    </row>
    <row r="86" spans="1:488" s="282" customFormat="1" x14ac:dyDescent="0.25">
      <c r="A86" s="66"/>
      <c r="B86" s="8"/>
      <c r="C86" s="66"/>
      <c r="D86" s="66"/>
      <c r="E86" s="66"/>
      <c r="F86" s="66"/>
      <c r="G86" s="66"/>
      <c r="H86" s="66"/>
      <c r="I86" s="66"/>
      <c r="J86" s="66"/>
      <c r="K86" s="66"/>
      <c r="L86" s="66"/>
      <c r="M86" s="66"/>
      <c r="N86" s="66"/>
      <c r="O86" s="66"/>
      <c r="P86" s="66"/>
      <c r="Q86" s="66"/>
      <c r="R86" s="66"/>
      <c r="S86" s="66"/>
      <c r="T86" s="68"/>
      <c r="AC86" s="66"/>
      <c r="AD86" s="66"/>
      <c r="AE86" s="68"/>
      <c r="AN86" s="66"/>
      <c r="AO86" s="66"/>
      <c r="AP86" s="68"/>
      <c r="AW86" s="66"/>
      <c r="AX86" s="68"/>
      <c r="BD86" s="66"/>
      <c r="BE86" s="68"/>
      <c r="BF86" s="66"/>
      <c r="BG86" s="66"/>
      <c r="BH86" s="66"/>
      <c r="BI86" s="66"/>
      <c r="BJ86" s="66"/>
      <c r="BK86" s="66"/>
      <c r="BL86" s="68"/>
      <c r="BO86" s="66"/>
      <c r="BP86" s="68"/>
      <c r="BV86" s="66"/>
      <c r="BW86" s="68"/>
      <c r="CB86" s="8"/>
      <c r="CH86" s="8"/>
      <c r="CK86" s="299"/>
      <c r="CL86" s="299"/>
      <c r="CM86" s="66"/>
      <c r="CN86" s="66"/>
      <c r="CO86" s="68"/>
      <c r="CR86" s="8"/>
      <c r="CX86" s="66"/>
      <c r="CY86" s="532"/>
      <c r="DE86" s="66"/>
      <c r="DF86" s="66"/>
      <c r="DG86" s="68"/>
      <c r="DH86" s="68"/>
      <c r="DK86" s="66"/>
      <c r="DL86" s="66"/>
      <c r="DM86" s="66"/>
      <c r="DN86" s="66"/>
      <c r="DO86" s="66"/>
      <c r="DP86" s="66"/>
      <c r="DQ86" s="66"/>
      <c r="DR86" s="66"/>
      <c r="DS86" s="66"/>
      <c r="DT86" s="68"/>
      <c r="DU86" s="66"/>
      <c r="DV86" s="296"/>
      <c r="DW86" s="330"/>
      <c r="DX86" s="631"/>
      <c r="DY86" s="631"/>
      <c r="DZ86" s="631"/>
      <c r="EA86" s="330"/>
      <c r="EC86" s="66"/>
      <c r="ED86" s="68"/>
      <c r="EH86" s="66"/>
      <c r="EI86" s="66"/>
      <c r="EJ86" s="68"/>
      <c r="EK86" s="252"/>
      <c r="EL86" s="252"/>
      <c r="EM86" s="252"/>
      <c r="EO86" s="252"/>
      <c r="EP86" s="252"/>
      <c r="EQ86" s="252"/>
      <c r="ES86" s="252"/>
      <c r="ET86" s="252"/>
      <c r="EU86" s="252"/>
      <c r="EW86" s="252"/>
      <c r="EX86" s="252"/>
      <c r="EY86" s="252"/>
      <c r="FA86" s="250"/>
      <c r="FB86" s="250"/>
      <c r="FC86" s="250"/>
      <c r="FD86" s="250"/>
      <c r="FE86" s="250"/>
      <c r="FF86" s="250"/>
      <c r="FG86" s="250"/>
      <c r="FH86" s="424"/>
      <c r="FI86" s="250"/>
      <c r="FJ86" s="250"/>
      <c r="FK86" s="250"/>
      <c r="FL86" s="256"/>
      <c r="FM86" s="250"/>
      <c r="FN86" s="256"/>
      <c r="FO86" s="250"/>
      <c r="FP86" s="256"/>
      <c r="FQ86" s="250"/>
      <c r="FR86" s="256"/>
      <c r="FS86" s="250"/>
      <c r="FT86" s="256"/>
      <c r="FU86" s="256"/>
      <c r="FV86" s="256"/>
      <c r="FW86" s="250"/>
      <c r="FX86" s="424"/>
      <c r="FY86" s="251"/>
      <c r="GC86" s="252"/>
      <c r="GF86" s="252"/>
      <c r="GG86" s="252"/>
      <c r="GH86" s="252"/>
      <c r="GI86" s="252"/>
      <c r="GJ86" s="252"/>
      <c r="GK86" s="251"/>
      <c r="GL86" s="250"/>
      <c r="GM86" s="250"/>
      <c r="GN86" s="250"/>
      <c r="GO86" s="250"/>
      <c r="GP86" s="250"/>
      <c r="GQ86" s="250"/>
      <c r="GR86" s="250"/>
      <c r="GS86" s="250"/>
      <c r="GT86" s="250"/>
      <c r="GU86" s="251"/>
      <c r="GV86" s="250"/>
      <c r="GW86" s="250"/>
      <c r="GX86" s="250"/>
      <c r="GY86" s="250"/>
      <c r="GZ86" s="250"/>
      <c r="HA86" s="250"/>
      <c r="HB86" s="250"/>
      <c r="HC86" s="250"/>
      <c r="HD86" s="250"/>
      <c r="HE86" s="250"/>
      <c r="HF86" s="250"/>
      <c r="HG86" s="250"/>
      <c r="HH86" s="251"/>
      <c r="HI86" s="424"/>
      <c r="HJ86" s="255"/>
      <c r="HK86" s="255"/>
      <c r="HL86" s="250"/>
      <c r="HM86" s="255"/>
      <c r="HN86" s="255"/>
      <c r="HO86" s="255"/>
      <c r="HP86" s="250"/>
      <c r="HQ86" s="250"/>
      <c r="HR86" s="250"/>
      <c r="HS86" s="250"/>
      <c r="HT86" s="250"/>
      <c r="HU86" s="251"/>
      <c r="HX86" s="252"/>
      <c r="HY86" s="252"/>
      <c r="HZ86" s="252"/>
      <c r="IA86" s="281"/>
      <c r="ID86" s="252"/>
      <c r="IE86" s="252"/>
      <c r="IF86" s="252"/>
      <c r="IJ86" s="252"/>
      <c r="IK86" s="252"/>
      <c r="IL86" s="252"/>
      <c r="IP86" s="252"/>
      <c r="IQ86" s="252"/>
      <c r="IR86" s="252"/>
      <c r="IY86" s="66"/>
      <c r="IZ86" s="66"/>
      <c r="JA86" s="66"/>
      <c r="JB86" s="250"/>
      <c r="JC86" s="462"/>
      <c r="JD86" s="462"/>
      <c r="JE86" s="66"/>
      <c r="JF86" s="66"/>
      <c r="JG86" s="66"/>
      <c r="JH86" s="66"/>
      <c r="JI86" s="66"/>
      <c r="JJ86" s="66"/>
      <c r="JK86" s="8"/>
      <c r="JN86" s="252"/>
      <c r="JO86" s="252"/>
      <c r="JP86" s="252"/>
      <c r="JT86" s="252"/>
      <c r="JU86" s="252"/>
      <c r="JV86" s="252"/>
      <c r="JZ86" s="252"/>
      <c r="KA86" s="252"/>
      <c r="KB86" s="252"/>
      <c r="KF86" s="252"/>
      <c r="KG86" s="252"/>
      <c r="KH86" s="252"/>
      <c r="KO86" s="467"/>
      <c r="KR86" s="468"/>
      <c r="KS86" s="468"/>
      <c r="KT86" s="468"/>
      <c r="KU86" s="467"/>
      <c r="KV86" s="467"/>
      <c r="KW86" s="467"/>
      <c r="KX86" s="467"/>
      <c r="KY86" s="467"/>
      <c r="KZ86" s="467"/>
      <c r="LA86" s="398"/>
      <c r="LB86" s="71">
        <f>SUM(LB84:LB85)</f>
        <v>200</v>
      </c>
      <c r="LC86" s="71">
        <f>SUM(LC84:LC85)</f>
        <v>109</v>
      </c>
      <c r="LD86" s="252"/>
      <c r="LE86" s="252"/>
      <c r="LF86" s="252"/>
      <c r="LJ86" s="297"/>
      <c r="LK86" s="252"/>
      <c r="LL86" s="271"/>
      <c r="LN86" s="252"/>
      <c r="LP86" s="252"/>
      <c r="LT86" s="298"/>
      <c r="LU86" s="250"/>
      <c r="LV86" s="250"/>
      <c r="LW86" s="250"/>
      <c r="LX86" s="250"/>
      <c r="LY86" s="250"/>
      <c r="LZ86" s="250"/>
      <c r="MA86" s="250"/>
      <c r="MB86" s="250"/>
      <c r="MC86" s="250"/>
      <c r="MD86" s="250"/>
      <c r="ME86" s="250"/>
      <c r="MF86" s="250"/>
      <c r="MG86" s="424"/>
      <c r="MH86" s="676"/>
      <c r="MI86" s="250"/>
      <c r="MJ86" s="250"/>
      <c r="MK86" s="424"/>
      <c r="ML86" s="640"/>
      <c r="MM86" s="251"/>
      <c r="MN86" s="252"/>
      <c r="MO86" s="252"/>
      <c r="MP86" s="252"/>
      <c r="MQ86" s="252"/>
      <c r="MR86" s="252"/>
      <c r="MS86" s="252"/>
      <c r="MT86" s="252"/>
      <c r="MU86" s="252"/>
      <c r="MV86" s="252"/>
      <c r="MW86" s="252"/>
      <c r="MX86" s="252"/>
      <c r="MY86" s="252"/>
      <c r="MZ86" s="252"/>
      <c r="NA86" s="252"/>
      <c r="NB86" s="252"/>
      <c r="NC86" s="251"/>
      <c r="ND86" s="250"/>
      <c r="NE86" s="250"/>
      <c r="NF86" s="250"/>
      <c r="NG86" s="250"/>
      <c r="NH86" s="250"/>
      <c r="NI86" s="250"/>
      <c r="NJ86" s="250"/>
      <c r="NK86" s="250"/>
      <c r="NL86" s="250"/>
      <c r="NM86" s="250"/>
      <c r="NN86" s="250"/>
      <c r="NO86" s="250"/>
      <c r="NP86" s="250"/>
      <c r="NQ86" s="250"/>
      <c r="NR86" s="250"/>
      <c r="NS86" s="250"/>
      <c r="NT86" s="250"/>
      <c r="NU86" s="250"/>
      <c r="NV86" s="250"/>
      <c r="NW86" s="251"/>
      <c r="OT86" s="8"/>
      <c r="QG86" s="8"/>
      <c r="RT86" s="8"/>
    </row>
    <row r="87" spans="1:488" s="282" customFormat="1" x14ac:dyDescent="0.25">
      <c r="A87" s="66"/>
      <c r="B87" s="8"/>
      <c r="C87" s="66"/>
      <c r="D87" s="66"/>
      <c r="E87" s="66"/>
      <c r="F87" s="66"/>
      <c r="G87" s="66"/>
      <c r="H87" s="66"/>
      <c r="I87" s="66"/>
      <c r="J87" s="66"/>
      <c r="K87" s="66"/>
      <c r="L87" s="66"/>
      <c r="M87" s="66"/>
      <c r="N87" s="66"/>
      <c r="O87" s="66"/>
      <c r="P87" s="66"/>
      <c r="Q87" s="66"/>
      <c r="R87" s="66"/>
      <c r="S87" s="66"/>
      <c r="T87" s="68"/>
      <c r="AC87" s="66"/>
      <c r="AD87" s="66"/>
      <c r="AE87" s="68"/>
      <c r="AN87" s="66"/>
      <c r="AO87" s="66"/>
      <c r="AP87" s="68"/>
      <c r="AW87" s="66"/>
      <c r="AX87" s="68"/>
      <c r="BD87" s="66"/>
      <c r="BE87" s="68"/>
      <c r="BF87" s="66"/>
      <c r="BG87" s="66"/>
      <c r="BH87" s="66"/>
      <c r="BI87" s="66"/>
      <c r="BJ87" s="66"/>
      <c r="BK87" s="66"/>
      <c r="BL87" s="68"/>
      <c r="BO87" s="66"/>
      <c r="BP87" s="68"/>
      <c r="BV87" s="66"/>
      <c r="BW87" s="68"/>
      <c r="CB87" s="8"/>
      <c r="CH87" s="8"/>
      <c r="CK87" s="299"/>
      <c r="CL87" s="299"/>
      <c r="CM87" s="66"/>
      <c r="CN87" s="66"/>
      <c r="CO87" s="68"/>
      <c r="CR87" s="8"/>
      <c r="CX87" s="66"/>
      <c r="CY87" s="532"/>
      <c r="DE87" s="66"/>
      <c r="DF87" s="66"/>
      <c r="DG87" s="68"/>
      <c r="DH87" s="68"/>
      <c r="DK87" s="66"/>
      <c r="DL87" s="66"/>
      <c r="DM87" s="66"/>
      <c r="DN87" s="66"/>
      <c r="DO87" s="66"/>
      <c r="DP87" s="66"/>
      <c r="DQ87" s="66"/>
      <c r="DR87" s="66"/>
      <c r="DS87" s="66"/>
      <c r="DT87" s="68"/>
      <c r="DU87" s="66"/>
      <c r="DV87" s="296"/>
      <c r="DW87" s="330"/>
      <c r="DX87" s="631"/>
      <c r="DY87" s="631"/>
      <c r="DZ87" s="631"/>
      <c r="EA87" s="330"/>
      <c r="EC87" s="66"/>
      <c r="ED87" s="68"/>
      <c r="EH87" s="66"/>
      <c r="EI87" s="66"/>
      <c r="EJ87" s="68"/>
      <c r="EK87" s="252"/>
      <c r="EL87" s="252"/>
      <c r="EM87" s="252"/>
      <c r="EO87" s="252"/>
      <c r="EP87" s="252"/>
      <c r="EQ87" s="252"/>
      <c r="ES87" s="252"/>
      <c r="ET87" s="252"/>
      <c r="EU87" s="252"/>
      <c r="EW87" s="252"/>
      <c r="EX87" s="252"/>
      <c r="EY87" s="252"/>
      <c r="FA87" s="250"/>
      <c r="FB87" s="250"/>
      <c r="FC87" s="250"/>
      <c r="FD87" s="250"/>
      <c r="FE87" s="250"/>
      <c r="FF87" s="250"/>
      <c r="FG87" s="250"/>
      <c r="FH87" s="424"/>
      <c r="FI87" s="250"/>
      <c r="FJ87" s="250"/>
      <c r="FK87" s="250"/>
      <c r="FL87" s="256"/>
      <c r="FM87" s="250"/>
      <c r="FN87" s="256"/>
      <c r="FO87" s="250"/>
      <c r="FP87" s="256"/>
      <c r="FQ87" s="250"/>
      <c r="FR87" s="256"/>
      <c r="FS87" s="250"/>
      <c r="FT87" s="256"/>
      <c r="FU87" s="256"/>
      <c r="FV87" s="256"/>
      <c r="FW87" s="250"/>
      <c r="FX87" s="424"/>
      <c r="FY87" s="251"/>
      <c r="GC87" s="252"/>
      <c r="GF87" s="252"/>
      <c r="GG87" s="252"/>
      <c r="GH87" s="252"/>
      <c r="GI87" s="252"/>
      <c r="GJ87" s="252"/>
      <c r="GK87" s="251"/>
      <c r="GL87" s="250"/>
      <c r="GM87" s="250"/>
      <c r="GN87" s="250"/>
      <c r="GO87" s="250"/>
      <c r="GP87" s="250"/>
      <c r="GQ87" s="250"/>
      <c r="GR87" s="250"/>
      <c r="GS87" s="250"/>
      <c r="GT87" s="250"/>
      <c r="GU87" s="251"/>
      <c r="GV87" s="250"/>
      <c r="GW87" s="250"/>
      <c r="GX87" s="250"/>
      <c r="GY87" s="250"/>
      <c r="GZ87" s="250"/>
      <c r="HA87" s="250"/>
      <c r="HB87" s="250"/>
      <c r="HC87" s="250"/>
      <c r="HD87" s="250"/>
      <c r="HE87" s="250"/>
      <c r="HF87" s="250"/>
      <c r="HG87" s="250"/>
      <c r="HH87" s="251"/>
      <c r="HI87" s="424"/>
      <c r="HJ87" s="255"/>
      <c r="HK87" s="255"/>
      <c r="HL87" s="250"/>
      <c r="HM87" s="255"/>
      <c r="HN87" s="255"/>
      <c r="HO87" s="255"/>
      <c r="HP87" s="250"/>
      <c r="HQ87" s="250"/>
      <c r="HR87" s="250"/>
      <c r="HS87" s="250"/>
      <c r="HT87" s="250"/>
      <c r="HU87" s="251"/>
      <c r="HX87" s="252"/>
      <c r="HY87" s="252"/>
      <c r="HZ87" s="252"/>
      <c r="IA87" s="281"/>
      <c r="ID87" s="252"/>
      <c r="IE87" s="252"/>
      <c r="IF87" s="252"/>
      <c r="IJ87" s="252"/>
      <c r="IK87" s="252"/>
      <c r="IL87" s="252"/>
      <c r="IP87" s="252"/>
      <c r="IQ87" s="252"/>
      <c r="IR87" s="252"/>
      <c r="IY87" s="66"/>
      <c r="IZ87" s="66"/>
      <c r="JA87" s="66"/>
      <c r="JB87" s="252"/>
      <c r="JC87" s="462"/>
      <c r="JD87" s="462"/>
      <c r="JE87" s="66"/>
      <c r="JF87" s="66"/>
      <c r="JG87" s="66"/>
      <c r="JH87" s="66"/>
      <c r="JI87" s="66"/>
      <c r="JJ87" s="66"/>
      <c r="JK87" s="8"/>
      <c r="JN87" s="252"/>
      <c r="JO87" s="252"/>
      <c r="JP87" s="252"/>
      <c r="JT87" s="252"/>
      <c r="JU87" s="252"/>
      <c r="JV87" s="252"/>
      <c r="JZ87" s="252"/>
      <c r="KA87" s="252"/>
      <c r="KB87" s="252"/>
      <c r="KF87" s="252"/>
      <c r="KG87" s="252"/>
      <c r="KH87" s="252"/>
      <c r="KO87" s="66"/>
      <c r="KP87" s="66"/>
      <c r="KQ87" s="66"/>
      <c r="KR87" s="468"/>
      <c r="KS87" s="468"/>
      <c r="KT87" s="468"/>
      <c r="KU87" s="66"/>
      <c r="KV87" s="66"/>
      <c r="KW87" s="66"/>
      <c r="KX87" s="66"/>
      <c r="KY87" s="66"/>
      <c r="KZ87" s="66"/>
      <c r="LA87" s="8"/>
      <c r="LD87" s="252"/>
      <c r="LE87" s="252"/>
      <c r="LF87" s="252"/>
      <c r="LJ87" s="252"/>
      <c r="LK87" s="252"/>
      <c r="LN87" s="252"/>
      <c r="LO87" s="252"/>
      <c r="LP87" s="252"/>
      <c r="LT87" s="271"/>
      <c r="LU87" s="250"/>
      <c r="LV87" s="250"/>
      <c r="LW87" s="250"/>
      <c r="LX87" s="250"/>
      <c r="LY87" s="250"/>
      <c r="LZ87" s="250"/>
      <c r="MA87" s="250"/>
      <c r="MB87" s="250"/>
      <c r="MC87" s="250"/>
      <c r="MD87" s="250"/>
      <c r="ME87" s="250"/>
      <c r="MF87" s="250"/>
      <c r="MG87" s="250"/>
      <c r="MH87" s="250"/>
      <c r="MI87" s="250"/>
      <c r="MJ87" s="250"/>
      <c r="MK87" s="424"/>
      <c r="ML87" s="640"/>
      <c r="MM87" s="251"/>
      <c r="MN87" s="252"/>
      <c r="MO87" s="252"/>
      <c r="MP87" s="252"/>
      <c r="MQ87" s="252"/>
      <c r="MR87" s="252"/>
      <c r="MS87" s="252"/>
      <c r="MT87" s="252"/>
      <c r="MU87" s="252"/>
      <c r="MV87" s="252"/>
      <c r="MW87" s="252"/>
      <c r="MX87" s="252"/>
      <c r="MY87" s="252"/>
      <c r="MZ87" s="252"/>
      <c r="NA87" s="252"/>
      <c r="NB87" s="252"/>
      <c r="NC87" s="251"/>
      <c r="ND87" s="250"/>
      <c r="NE87" s="250"/>
      <c r="NF87" s="250"/>
      <c r="NG87" s="250"/>
      <c r="NH87" s="250"/>
      <c r="NI87" s="250"/>
      <c r="NJ87" s="250"/>
      <c r="NK87" s="250"/>
      <c r="NL87" s="250"/>
      <c r="NM87" s="250"/>
      <c r="NN87" s="250"/>
      <c r="NO87" s="250"/>
      <c r="NP87" s="250"/>
      <c r="NQ87" s="250"/>
      <c r="NR87" s="250"/>
      <c r="NS87" s="250"/>
      <c r="NT87" s="250"/>
      <c r="NU87" s="250"/>
      <c r="NV87" s="250"/>
      <c r="NW87" s="251"/>
      <c r="OT87" s="8"/>
      <c r="QG87" s="8"/>
      <c r="RT87" s="8"/>
    </row>
    <row r="88" spans="1:488" s="282" customFormat="1" x14ac:dyDescent="0.25">
      <c r="A88" s="66"/>
      <c r="B88" s="8"/>
      <c r="C88" s="66"/>
      <c r="D88" s="66"/>
      <c r="E88" s="66"/>
      <c r="F88" s="66"/>
      <c r="G88" s="66"/>
      <c r="H88" s="66"/>
      <c r="I88" s="66"/>
      <c r="J88" s="66"/>
      <c r="K88" s="66"/>
      <c r="L88" s="66"/>
      <c r="M88" s="66"/>
      <c r="N88" s="66"/>
      <c r="O88" s="66"/>
      <c r="P88" s="66"/>
      <c r="Q88" s="66"/>
      <c r="R88" s="66"/>
      <c r="S88" s="66"/>
      <c r="T88" s="68"/>
      <c r="AC88" s="66"/>
      <c r="AD88" s="66"/>
      <c r="AE88" s="68"/>
      <c r="AN88" s="66"/>
      <c r="AO88" s="66"/>
      <c r="AP88" s="68"/>
      <c r="AW88" s="66"/>
      <c r="AX88" s="68"/>
      <c r="BD88" s="66"/>
      <c r="BE88" s="68"/>
      <c r="BF88" s="66"/>
      <c r="BG88" s="66"/>
      <c r="BH88" s="66"/>
      <c r="BI88" s="66"/>
      <c r="BJ88" s="66"/>
      <c r="BK88" s="66"/>
      <c r="BL88" s="68"/>
      <c r="BO88" s="66"/>
      <c r="BP88" s="68"/>
      <c r="BV88" s="66"/>
      <c r="BW88" s="68"/>
      <c r="CB88" s="8"/>
      <c r="CH88" s="8"/>
      <c r="CK88" s="299"/>
      <c r="CL88" s="299"/>
      <c r="CM88" s="66"/>
      <c r="CN88" s="66"/>
      <c r="CO88" s="68"/>
      <c r="CR88" s="8"/>
      <c r="CX88" s="66"/>
      <c r="CY88" s="532"/>
      <c r="DE88" s="66"/>
      <c r="DF88" s="66"/>
      <c r="DG88" s="68"/>
      <c r="DH88" s="68"/>
      <c r="DK88" s="66"/>
      <c r="DL88" s="66"/>
      <c r="DM88" s="66"/>
      <c r="DN88" s="66"/>
      <c r="DO88" s="66"/>
      <c r="DP88" s="66"/>
      <c r="DQ88" s="66"/>
      <c r="DR88" s="66"/>
      <c r="DS88" s="66"/>
      <c r="DT88" s="68"/>
      <c r="DU88" s="66"/>
      <c r="DV88" s="296"/>
      <c r="DW88" s="330"/>
      <c r="DX88" s="631"/>
      <c r="DY88" s="631"/>
      <c r="DZ88" s="631"/>
      <c r="EA88" s="330"/>
      <c r="EC88" s="66"/>
      <c r="ED88" s="68"/>
      <c r="EH88" s="66"/>
      <c r="EI88" s="66"/>
      <c r="EJ88" s="68"/>
      <c r="EK88" s="252"/>
      <c r="EL88" s="252"/>
      <c r="EM88" s="252"/>
      <c r="EO88" s="252"/>
      <c r="EP88" s="252"/>
      <c r="EQ88" s="252"/>
      <c r="ES88" s="252"/>
      <c r="ET88" s="252"/>
      <c r="EU88" s="252"/>
      <c r="EW88" s="252"/>
      <c r="EX88" s="252"/>
      <c r="EY88" s="252"/>
      <c r="FA88" s="250"/>
      <c r="FB88" s="250"/>
      <c r="FC88" s="250"/>
      <c r="FD88" s="250"/>
      <c r="FE88" s="250"/>
      <c r="FF88" s="250"/>
      <c r="FG88" s="250"/>
      <c r="FH88" s="424"/>
      <c r="FI88" s="250"/>
      <c r="FJ88" s="250"/>
      <c r="FK88" s="250"/>
      <c r="FL88" s="256"/>
      <c r="FM88" s="250"/>
      <c r="FN88" s="256"/>
      <c r="FO88" s="250"/>
      <c r="FP88" s="256"/>
      <c r="FQ88" s="250"/>
      <c r="FR88" s="256"/>
      <c r="FS88" s="250"/>
      <c r="FT88" s="256"/>
      <c r="FU88" s="256"/>
      <c r="FV88" s="256"/>
      <c r="FW88" s="250"/>
      <c r="FX88" s="424"/>
      <c r="FY88" s="251"/>
      <c r="GC88" s="252"/>
      <c r="GF88" s="252"/>
      <c r="GG88" s="252"/>
      <c r="GH88" s="252"/>
      <c r="GI88" s="252"/>
      <c r="GJ88" s="252"/>
      <c r="GK88" s="251"/>
      <c r="GL88" s="250"/>
      <c r="GM88" s="250"/>
      <c r="GN88" s="250"/>
      <c r="GO88" s="250"/>
      <c r="GP88" s="250"/>
      <c r="GQ88" s="250"/>
      <c r="GR88" s="250"/>
      <c r="GS88" s="250"/>
      <c r="GT88" s="250"/>
      <c r="GU88" s="251"/>
      <c r="GV88" s="250"/>
      <c r="GW88" s="250"/>
      <c r="GX88" s="250"/>
      <c r="GY88" s="250"/>
      <c r="GZ88" s="250"/>
      <c r="HA88" s="250"/>
      <c r="HB88" s="250"/>
      <c r="HC88" s="250"/>
      <c r="HD88" s="250"/>
      <c r="HE88" s="250"/>
      <c r="HF88" s="250"/>
      <c r="HG88" s="250"/>
      <c r="HH88" s="251"/>
      <c r="HI88" s="424"/>
      <c r="HJ88" s="255"/>
      <c r="HK88" s="255"/>
      <c r="HL88" s="250"/>
      <c r="HM88" s="255"/>
      <c r="HN88" s="255"/>
      <c r="HO88" s="255"/>
      <c r="HP88" s="250"/>
      <c r="HQ88" s="250"/>
      <c r="HR88" s="250"/>
      <c r="HS88" s="250"/>
      <c r="HT88" s="250"/>
      <c r="HU88" s="251"/>
      <c r="HX88" s="252"/>
      <c r="HY88" s="252"/>
      <c r="HZ88" s="252"/>
      <c r="IA88" s="281"/>
      <c r="ID88" s="252"/>
      <c r="IE88" s="252"/>
      <c r="IF88" s="252"/>
      <c r="IJ88" s="252"/>
      <c r="IK88" s="252"/>
      <c r="IL88" s="252"/>
      <c r="IP88" s="252"/>
      <c r="IQ88" s="252"/>
      <c r="IR88" s="252"/>
      <c r="IY88" s="66"/>
      <c r="IZ88" s="66"/>
      <c r="JA88" s="66"/>
      <c r="JB88" s="250"/>
      <c r="JC88" s="462"/>
      <c r="JD88" s="462"/>
      <c r="JE88" s="66"/>
      <c r="JF88" s="66"/>
      <c r="JG88" s="66"/>
      <c r="JH88" s="66"/>
      <c r="JI88" s="66"/>
      <c r="JJ88" s="66"/>
      <c r="JK88" s="8"/>
      <c r="JN88" s="252"/>
      <c r="JO88" s="252"/>
      <c r="JP88" s="252"/>
      <c r="JT88" s="252"/>
      <c r="JU88" s="252"/>
      <c r="JV88" s="252"/>
      <c r="JZ88" s="252"/>
      <c r="KA88" s="252"/>
      <c r="KB88" s="252"/>
      <c r="KF88" s="252"/>
      <c r="KG88" s="252"/>
      <c r="KH88" s="252"/>
      <c r="KO88" s="66"/>
      <c r="KP88" s="66"/>
      <c r="KQ88" s="66"/>
      <c r="KR88" s="468"/>
      <c r="KS88" s="468"/>
      <c r="KT88" s="468"/>
      <c r="KU88" s="66"/>
      <c r="KV88" s="66"/>
      <c r="KW88" s="66"/>
      <c r="KX88" s="66"/>
      <c r="KY88" s="66"/>
      <c r="KZ88" s="66"/>
      <c r="LA88" s="8"/>
      <c r="LD88" s="252"/>
      <c r="LE88" s="252"/>
      <c r="LF88" s="252"/>
      <c r="LJ88" s="252"/>
      <c r="LK88" s="252"/>
      <c r="LN88" s="252"/>
      <c r="LO88" s="252"/>
      <c r="LP88" s="252"/>
      <c r="LT88" s="271"/>
      <c r="LU88" s="250"/>
      <c r="ME88" s="66"/>
      <c r="MF88" s="617"/>
      <c r="MG88" s="617"/>
      <c r="MH88" s="617"/>
      <c r="MI88" s="617"/>
      <c r="MJ88" s="617"/>
      <c r="MK88" s="646"/>
      <c r="ML88" s="644"/>
      <c r="MM88" s="8"/>
      <c r="MO88" s="252"/>
      <c r="MP88" s="252"/>
      <c r="MQ88" s="252"/>
      <c r="MR88" s="252"/>
      <c r="MS88" s="252"/>
      <c r="MT88" s="252"/>
      <c r="MU88" s="252"/>
      <c r="MV88" s="252"/>
      <c r="MW88" s="252"/>
      <c r="MX88" s="252"/>
      <c r="MY88" s="252"/>
      <c r="MZ88" s="252"/>
      <c r="NA88" s="252"/>
      <c r="NB88" s="252"/>
      <c r="NC88" s="251"/>
      <c r="ND88" s="250"/>
      <c r="NE88" s="250"/>
      <c r="NF88" s="250"/>
      <c r="NG88" s="250"/>
      <c r="NH88" s="250"/>
      <c r="NI88" s="250"/>
      <c r="NJ88" s="250"/>
      <c r="NK88" s="250"/>
      <c r="NL88" s="250"/>
      <c r="NM88" s="250"/>
      <c r="NN88" s="250"/>
      <c r="NO88" s="250"/>
      <c r="NP88" s="250"/>
      <c r="NQ88" s="250"/>
      <c r="NR88" s="250"/>
      <c r="NS88" s="250"/>
      <c r="NT88" s="250"/>
      <c r="NU88" s="250"/>
      <c r="NV88" s="250"/>
      <c r="NW88" s="251"/>
      <c r="OT88" s="8"/>
      <c r="QG88" s="8"/>
      <c r="RT88" s="8"/>
    </row>
    <row r="89" spans="1:488" s="282" customFormat="1" x14ac:dyDescent="0.25">
      <c r="A89" s="66"/>
      <c r="B89" s="8"/>
      <c r="C89" s="66"/>
      <c r="D89" s="66"/>
      <c r="E89" s="66"/>
      <c r="F89" s="66"/>
      <c r="G89" s="66"/>
      <c r="H89" s="66"/>
      <c r="I89" s="66"/>
      <c r="J89" s="66"/>
      <c r="K89" s="66"/>
      <c r="L89" s="66"/>
      <c r="M89" s="66"/>
      <c r="N89" s="66"/>
      <c r="O89" s="66"/>
      <c r="P89" s="66"/>
      <c r="Q89" s="66"/>
      <c r="R89" s="66"/>
      <c r="S89" s="66"/>
      <c r="T89" s="68"/>
      <c r="AC89" s="66"/>
      <c r="AD89" s="66"/>
      <c r="AE89" s="68"/>
      <c r="AN89" s="66"/>
      <c r="AO89" s="66"/>
      <c r="AP89" s="68"/>
      <c r="AW89" s="66"/>
      <c r="AX89" s="68"/>
      <c r="BD89" s="66"/>
      <c r="BE89" s="68"/>
      <c r="BF89" s="66"/>
      <c r="BG89" s="66"/>
      <c r="BH89" s="66"/>
      <c r="BI89" s="66"/>
      <c r="BJ89" s="66"/>
      <c r="BK89" s="66"/>
      <c r="BL89" s="68"/>
      <c r="BO89" s="66"/>
      <c r="BP89" s="68"/>
      <c r="BV89" s="66"/>
      <c r="BW89" s="68"/>
      <c r="CB89" s="8"/>
      <c r="CH89" s="8"/>
      <c r="CK89" s="299"/>
      <c r="CL89" s="299"/>
      <c r="CM89" s="66"/>
      <c r="CN89" s="66"/>
      <c r="CO89" s="68"/>
      <c r="CR89" s="8"/>
      <c r="CX89" s="66"/>
      <c r="CY89" s="532"/>
      <c r="DE89" s="66"/>
      <c r="DF89" s="66"/>
      <c r="DG89" s="68"/>
      <c r="DH89" s="68"/>
      <c r="DK89" s="66"/>
      <c r="DL89" s="66"/>
      <c r="DM89" s="66"/>
      <c r="DN89" s="66"/>
      <c r="DO89" s="66"/>
      <c r="DP89" s="66"/>
      <c r="DQ89" s="66"/>
      <c r="DR89" s="66"/>
      <c r="DS89" s="66"/>
      <c r="DT89" s="68"/>
      <c r="DU89" s="66"/>
      <c r="DV89" s="296"/>
      <c r="DW89" s="330"/>
      <c r="DX89" s="631"/>
      <c r="DY89" s="631"/>
      <c r="DZ89" s="631"/>
      <c r="EA89" s="330"/>
      <c r="EC89" s="66"/>
      <c r="ED89" s="68"/>
      <c r="EH89" s="66"/>
      <c r="EI89" s="66"/>
      <c r="EJ89" s="68"/>
      <c r="EK89" s="252"/>
      <c r="EL89" s="252"/>
      <c r="EM89" s="252"/>
      <c r="EO89" s="252"/>
      <c r="EP89" s="252"/>
      <c r="EQ89" s="252"/>
      <c r="ES89" s="252"/>
      <c r="ET89" s="252"/>
      <c r="EU89" s="252"/>
      <c r="EW89" s="252"/>
      <c r="EX89" s="252"/>
      <c r="EY89" s="252"/>
      <c r="FA89" s="250"/>
      <c r="FB89" s="250"/>
      <c r="FC89" s="250"/>
      <c r="FD89" s="250"/>
      <c r="FE89" s="250"/>
      <c r="FF89" s="250"/>
      <c r="FG89" s="250"/>
      <c r="FH89" s="424"/>
      <c r="FI89" s="250"/>
      <c r="FJ89" s="250"/>
      <c r="FK89" s="250"/>
      <c r="FL89" s="256"/>
      <c r="FM89" s="250"/>
      <c r="FN89" s="256"/>
      <c r="FO89" s="250"/>
      <c r="FP89" s="256"/>
      <c r="FQ89" s="250"/>
      <c r="FR89" s="256"/>
      <c r="FS89" s="250"/>
      <c r="FT89" s="256"/>
      <c r="FU89" s="256"/>
      <c r="FV89" s="256"/>
      <c r="FW89" s="250"/>
      <c r="FX89" s="424"/>
      <c r="FY89" s="251"/>
      <c r="GC89" s="252"/>
      <c r="GF89" s="252"/>
      <c r="GG89" s="252"/>
      <c r="GH89" s="252"/>
      <c r="GI89" s="252"/>
      <c r="GJ89" s="252"/>
      <c r="GK89" s="251"/>
      <c r="GL89" s="250"/>
      <c r="GM89" s="250"/>
      <c r="GN89" s="250"/>
      <c r="GO89" s="250"/>
      <c r="GP89" s="250"/>
      <c r="GQ89" s="250"/>
      <c r="GR89" s="250"/>
      <c r="GS89" s="250"/>
      <c r="GT89" s="250"/>
      <c r="GU89" s="251"/>
      <c r="GV89" s="250"/>
      <c r="GW89" s="250"/>
      <c r="GX89" s="250"/>
      <c r="GY89" s="250"/>
      <c r="GZ89" s="250"/>
      <c r="HA89" s="250"/>
      <c r="HB89" s="250"/>
      <c r="HC89" s="250"/>
      <c r="HD89" s="250"/>
      <c r="HE89" s="250"/>
      <c r="HF89" s="250"/>
      <c r="HG89" s="250"/>
      <c r="HH89" s="251"/>
      <c r="HI89" s="424"/>
      <c r="HJ89" s="255"/>
      <c r="HK89" s="255"/>
      <c r="HL89" s="250"/>
      <c r="HM89" s="255"/>
      <c r="HN89" s="255"/>
      <c r="HO89" s="255"/>
      <c r="HP89" s="250"/>
      <c r="HQ89" s="250"/>
      <c r="HR89" s="250"/>
      <c r="HS89" s="250"/>
      <c r="HT89" s="250"/>
      <c r="HU89" s="251"/>
      <c r="HX89" s="252"/>
      <c r="HY89" s="252"/>
      <c r="HZ89" s="252"/>
      <c r="IA89" s="281"/>
      <c r="ID89" s="252"/>
      <c r="IE89" s="252"/>
      <c r="IF89" s="252"/>
      <c r="IJ89" s="252"/>
      <c r="IK89" s="252"/>
      <c r="IL89" s="252"/>
      <c r="IP89" s="252"/>
      <c r="IQ89" s="252"/>
      <c r="IR89" s="252"/>
      <c r="IY89" s="66"/>
      <c r="IZ89" s="66"/>
      <c r="JA89" s="66"/>
      <c r="JB89" s="250"/>
      <c r="JC89" s="462"/>
      <c r="JD89" s="462"/>
      <c r="JE89" s="66"/>
      <c r="JF89" s="66"/>
      <c r="JG89" s="66"/>
      <c r="JH89" s="66"/>
      <c r="JI89" s="66"/>
      <c r="JJ89" s="66"/>
      <c r="JK89" s="8"/>
      <c r="JN89" s="252"/>
      <c r="JO89" s="252"/>
      <c r="JP89" s="252"/>
      <c r="JT89" s="252"/>
      <c r="JU89" s="252"/>
      <c r="JV89" s="252"/>
      <c r="JZ89" s="252"/>
      <c r="KA89" s="252"/>
      <c r="KB89" s="252"/>
      <c r="KF89" s="252"/>
      <c r="KG89" s="252"/>
      <c r="KH89" s="252"/>
      <c r="KO89" s="66"/>
      <c r="KP89" s="66"/>
      <c r="KQ89" s="66"/>
      <c r="KR89" s="468"/>
      <c r="KS89" s="468"/>
      <c r="KT89" s="468"/>
      <c r="KU89" s="66"/>
      <c r="KV89" s="66"/>
      <c r="KW89" s="66"/>
      <c r="KX89" s="66"/>
      <c r="KY89" s="66"/>
      <c r="KZ89" s="66"/>
      <c r="LA89" s="8"/>
      <c r="LD89" s="252"/>
      <c r="LE89" s="252"/>
      <c r="LF89" s="252"/>
      <c r="LK89" s="252"/>
      <c r="LN89" s="252"/>
      <c r="LO89" s="252"/>
      <c r="LP89" s="252"/>
      <c r="LT89" s="271"/>
      <c r="LU89" s="250"/>
      <c r="LV89" s="250"/>
      <c r="LX89" s="250"/>
      <c r="LY89" s="250"/>
      <c r="LZ89" s="250"/>
      <c r="MA89" s="250"/>
      <c r="MB89" s="250"/>
      <c r="MC89" s="250"/>
      <c r="MD89" s="250"/>
      <c r="ME89" s="250"/>
      <c r="MF89" s="250"/>
      <c r="MG89" s="250"/>
      <c r="MH89" s="250"/>
      <c r="MI89" s="250"/>
      <c r="MJ89" s="250"/>
      <c r="MK89" s="424"/>
      <c r="ML89" s="640"/>
      <c r="MM89" s="251"/>
      <c r="MN89" s="252"/>
      <c r="MO89" s="252"/>
      <c r="MP89" s="252"/>
      <c r="MQ89" s="252"/>
      <c r="MR89" s="252"/>
      <c r="MS89" s="252"/>
      <c r="MT89" s="252"/>
      <c r="MU89" s="252"/>
      <c r="MV89" s="252"/>
      <c r="MW89" s="252"/>
      <c r="MX89" s="252"/>
      <c r="MY89" s="252"/>
      <c r="MZ89" s="252"/>
      <c r="NA89" s="252"/>
      <c r="NB89" s="252"/>
      <c r="NC89" s="251"/>
      <c r="ND89" s="250"/>
      <c r="NE89" s="250"/>
      <c r="NF89" s="250"/>
      <c r="NG89" s="250"/>
      <c r="NH89" s="250"/>
      <c r="NI89" s="250"/>
      <c r="NJ89" s="250"/>
      <c r="NK89" s="250"/>
      <c r="NL89" s="250"/>
      <c r="NM89" s="250"/>
      <c r="NN89" s="250"/>
      <c r="NO89" s="250"/>
      <c r="NP89" s="250"/>
      <c r="NQ89" s="250"/>
      <c r="NR89" s="250"/>
      <c r="NS89" s="250"/>
      <c r="NT89" s="250"/>
      <c r="NU89" s="250"/>
      <c r="NV89" s="250"/>
      <c r="NW89" s="251"/>
      <c r="OT89" s="8"/>
      <c r="QG89" s="8"/>
      <c r="RT89" s="8"/>
    </row>
    <row r="90" spans="1:488" s="282" customFormat="1" x14ac:dyDescent="0.25">
      <c r="A90" s="66"/>
      <c r="B90" s="8"/>
      <c r="C90" s="66"/>
      <c r="D90" s="66"/>
      <c r="E90" s="66"/>
      <c r="F90" s="66"/>
      <c r="G90" s="66"/>
      <c r="H90" s="66"/>
      <c r="I90" s="66"/>
      <c r="J90" s="66"/>
      <c r="K90" s="66"/>
      <c r="L90" s="66"/>
      <c r="M90" s="66"/>
      <c r="N90" s="66"/>
      <c r="O90" s="66"/>
      <c r="P90" s="66"/>
      <c r="Q90" s="66"/>
      <c r="R90" s="66"/>
      <c r="S90" s="66"/>
      <c r="T90" s="68"/>
      <c r="AC90" s="66"/>
      <c r="AD90" s="66"/>
      <c r="AE90" s="68"/>
      <c r="AN90" s="66"/>
      <c r="AO90" s="66"/>
      <c r="AP90" s="68"/>
      <c r="AW90" s="66"/>
      <c r="AX90" s="68"/>
      <c r="BD90" s="66"/>
      <c r="BE90" s="68"/>
      <c r="BF90" s="66"/>
      <c r="BG90" s="66"/>
      <c r="BH90" s="66"/>
      <c r="BI90" s="66"/>
      <c r="BJ90" s="66"/>
      <c r="BK90" s="66"/>
      <c r="BL90" s="68"/>
      <c r="BO90" s="66"/>
      <c r="BP90" s="68"/>
      <c r="BV90" s="66"/>
      <c r="BW90" s="68"/>
      <c r="CB90" s="8"/>
      <c r="CH90" s="8"/>
      <c r="CK90" s="299"/>
      <c r="CL90" s="299"/>
      <c r="CM90" s="66"/>
      <c r="CN90" s="66"/>
      <c r="CO90" s="68"/>
      <c r="CR90" s="8"/>
      <c r="CX90" s="66"/>
      <c r="CY90" s="532"/>
      <c r="DE90" s="66"/>
      <c r="DF90" s="66"/>
      <c r="DG90" s="68"/>
      <c r="DH90" s="68"/>
      <c r="DK90" s="66"/>
      <c r="DL90" s="66"/>
      <c r="DM90" s="66"/>
      <c r="DN90" s="66"/>
      <c r="DO90" s="66"/>
      <c r="DP90" s="66"/>
      <c r="DQ90" s="66"/>
      <c r="DR90" s="66"/>
      <c r="DS90" s="66"/>
      <c r="DT90" s="68"/>
      <c r="DU90" s="66"/>
      <c r="DV90" s="296"/>
      <c r="DW90" s="330"/>
      <c r="DX90" s="631"/>
      <c r="DY90" s="631"/>
      <c r="DZ90" s="631"/>
      <c r="EA90" s="330"/>
      <c r="EC90" s="66"/>
      <c r="ED90" s="68"/>
      <c r="EH90" s="66"/>
      <c r="EI90" s="66"/>
      <c r="EJ90" s="68"/>
      <c r="EK90" s="252"/>
      <c r="EL90" s="252"/>
      <c r="EM90" s="252"/>
      <c r="EO90" s="252"/>
      <c r="EP90" s="252"/>
      <c r="EQ90" s="252"/>
      <c r="ES90" s="252"/>
      <c r="ET90" s="252"/>
      <c r="EU90" s="252"/>
      <c r="EW90" s="252"/>
      <c r="EX90" s="252"/>
      <c r="EY90" s="252"/>
      <c r="FA90" s="250"/>
      <c r="FB90" s="250"/>
      <c r="FC90" s="250"/>
      <c r="FD90" s="250"/>
      <c r="FE90" s="250"/>
      <c r="FF90" s="250"/>
      <c r="FG90" s="250"/>
      <c r="FH90" s="424"/>
      <c r="FI90" s="250"/>
      <c r="FJ90" s="250"/>
      <c r="FK90" s="250"/>
      <c r="FL90" s="256"/>
      <c r="FM90" s="250"/>
      <c r="FN90" s="256"/>
      <c r="FO90" s="250"/>
      <c r="FP90" s="256"/>
      <c r="FQ90" s="250"/>
      <c r="FR90" s="256"/>
      <c r="FS90" s="250"/>
      <c r="FT90" s="256"/>
      <c r="FU90" s="256"/>
      <c r="FV90" s="256"/>
      <c r="FW90" s="250"/>
      <c r="FX90" s="424"/>
      <c r="FY90" s="251"/>
      <c r="GC90" s="252"/>
      <c r="GF90" s="252"/>
      <c r="GG90" s="252"/>
      <c r="GH90" s="252"/>
      <c r="GI90" s="252"/>
      <c r="GJ90" s="252"/>
      <c r="GK90" s="251"/>
      <c r="GL90" s="250"/>
      <c r="GM90" s="250"/>
      <c r="GN90" s="250"/>
      <c r="GO90" s="250"/>
      <c r="GP90" s="250"/>
      <c r="GQ90" s="250"/>
      <c r="GR90" s="250"/>
      <c r="GS90" s="250"/>
      <c r="GT90" s="250"/>
      <c r="GU90" s="251"/>
      <c r="GV90" s="250"/>
      <c r="GW90" s="250"/>
      <c r="GX90" s="250"/>
      <c r="GY90" s="250"/>
      <c r="GZ90" s="250"/>
      <c r="HA90" s="250"/>
      <c r="HB90" s="250"/>
      <c r="HC90" s="250"/>
      <c r="HD90" s="250"/>
      <c r="HE90" s="250"/>
      <c r="HF90" s="250"/>
      <c r="HG90" s="250"/>
      <c r="HH90" s="251"/>
      <c r="HI90" s="424"/>
      <c r="HJ90" s="255"/>
      <c r="HK90" s="255"/>
      <c r="HL90" s="250"/>
      <c r="HM90" s="255"/>
      <c r="HN90" s="255"/>
      <c r="HO90" s="255"/>
      <c r="HP90" s="250"/>
      <c r="HQ90" s="250"/>
      <c r="HR90" s="250"/>
      <c r="HS90" s="250"/>
      <c r="HT90" s="250"/>
      <c r="HU90" s="251"/>
      <c r="HX90" s="252"/>
      <c r="HY90" s="252"/>
      <c r="HZ90" s="252"/>
      <c r="IA90" s="281"/>
      <c r="ID90" s="252"/>
      <c r="IE90" s="252"/>
      <c r="IF90" s="252"/>
      <c r="IJ90" s="252"/>
      <c r="IK90" s="252"/>
      <c r="IL90" s="252"/>
      <c r="IP90" s="252"/>
      <c r="IQ90" s="252"/>
      <c r="IR90" s="252"/>
      <c r="IY90" s="66"/>
      <c r="IZ90" s="66"/>
      <c r="JA90" s="66"/>
      <c r="JB90" s="250"/>
      <c r="JC90" s="462"/>
      <c r="JD90" s="462"/>
      <c r="JE90" s="66"/>
      <c r="JF90" s="66"/>
      <c r="JG90" s="66"/>
      <c r="JH90" s="66"/>
      <c r="JI90" s="66"/>
      <c r="JJ90" s="66"/>
      <c r="JK90" s="8"/>
      <c r="JN90" s="252"/>
      <c r="JO90" s="252"/>
      <c r="JP90" s="252"/>
      <c r="JT90" s="252"/>
      <c r="JU90" s="252"/>
      <c r="JV90" s="252"/>
      <c r="JZ90" s="252"/>
      <c r="KA90" s="252"/>
      <c r="KB90" s="252"/>
      <c r="KF90" s="252"/>
      <c r="KG90" s="252"/>
      <c r="KH90" s="252"/>
      <c r="KO90" s="66"/>
      <c r="KP90" s="66"/>
      <c r="KQ90" s="66"/>
      <c r="KR90" s="468"/>
      <c r="KS90" s="468"/>
      <c r="KT90" s="468"/>
      <c r="KU90" s="66"/>
      <c r="KV90" s="66"/>
      <c r="KW90" s="66"/>
      <c r="KX90" s="66"/>
      <c r="KY90" s="66"/>
      <c r="KZ90" s="66"/>
      <c r="LA90" s="8"/>
      <c r="LD90" s="252"/>
      <c r="LE90" s="252"/>
      <c r="LF90" s="252"/>
      <c r="LJ90" s="252"/>
      <c r="LK90" s="252"/>
      <c r="LN90" s="252"/>
      <c r="LO90" s="252"/>
      <c r="LP90" s="252"/>
      <c r="LT90" s="271"/>
      <c r="LU90" s="250"/>
      <c r="LV90" s="250"/>
      <c r="LX90" s="250"/>
      <c r="LY90" s="250"/>
      <c r="LZ90" s="250"/>
      <c r="MA90" s="250"/>
      <c r="MB90" s="250"/>
      <c r="MC90" s="250"/>
      <c r="MD90" s="250"/>
      <c r="ME90" s="250"/>
      <c r="MF90" s="250"/>
      <c r="MG90" s="250"/>
      <c r="MH90" s="250"/>
      <c r="MI90" s="250"/>
      <c r="MJ90" s="250"/>
      <c r="MK90" s="424"/>
      <c r="ML90" s="640"/>
      <c r="MM90" s="251"/>
      <c r="MN90" s="252"/>
      <c r="MO90" s="252"/>
      <c r="MP90" s="252"/>
      <c r="MQ90" s="252"/>
      <c r="MR90" s="252"/>
      <c r="MS90" s="252"/>
      <c r="MT90" s="252"/>
      <c r="MU90" s="252"/>
      <c r="MV90" s="252"/>
      <c r="MW90" s="252"/>
      <c r="MX90" s="252"/>
      <c r="MY90" s="252"/>
      <c r="MZ90" s="252"/>
      <c r="NA90" s="252"/>
      <c r="NB90" s="252"/>
      <c r="NC90" s="251"/>
      <c r="ND90" s="250"/>
      <c r="NE90" s="250"/>
      <c r="NF90" s="250"/>
      <c r="NG90" s="250"/>
      <c r="NH90" s="250"/>
      <c r="NI90" s="250"/>
      <c r="NJ90" s="250"/>
      <c r="NK90" s="250"/>
      <c r="NL90" s="250"/>
      <c r="NM90" s="250"/>
      <c r="NN90" s="250"/>
      <c r="NO90" s="250"/>
      <c r="NP90" s="250"/>
      <c r="NQ90" s="250"/>
      <c r="NR90" s="250"/>
      <c r="NS90" s="250"/>
      <c r="NT90" s="250"/>
      <c r="NU90" s="250"/>
      <c r="NV90" s="250"/>
      <c r="NW90" s="251"/>
      <c r="OT90" s="8"/>
      <c r="QG90" s="8"/>
      <c r="RT90" s="8"/>
    </row>
    <row r="91" spans="1:488" s="282" customFormat="1" x14ac:dyDescent="0.25">
      <c r="A91" s="66"/>
      <c r="B91" s="8"/>
      <c r="C91" s="66"/>
      <c r="D91" s="66"/>
      <c r="E91" s="66"/>
      <c r="F91" s="66"/>
      <c r="G91" s="66"/>
      <c r="H91" s="66"/>
      <c r="I91" s="66"/>
      <c r="J91" s="66"/>
      <c r="K91" s="66"/>
      <c r="L91" s="66"/>
      <c r="M91" s="66"/>
      <c r="N91" s="66"/>
      <c r="O91" s="66"/>
      <c r="P91" s="66"/>
      <c r="Q91" s="66"/>
      <c r="R91" s="66"/>
      <c r="S91" s="66"/>
      <c r="T91" s="68"/>
      <c r="AC91" s="66"/>
      <c r="AD91" s="66"/>
      <c r="AE91" s="68"/>
      <c r="AN91" s="66"/>
      <c r="AO91" s="66"/>
      <c r="AP91" s="68"/>
      <c r="AW91" s="66"/>
      <c r="AX91" s="68"/>
      <c r="BD91" s="66"/>
      <c r="BE91" s="68"/>
      <c r="BF91" s="66"/>
      <c r="BG91" s="66"/>
      <c r="BH91" s="66"/>
      <c r="BI91" s="66"/>
      <c r="BJ91" s="66"/>
      <c r="BK91" s="66"/>
      <c r="BL91" s="68"/>
      <c r="BO91" s="66"/>
      <c r="BP91" s="68"/>
      <c r="BV91" s="66"/>
      <c r="BW91" s="68"/>
      <c r="CB91" s="8"/>
      <c r="CH91" s="8"/>
      <c r="CK91" s="299"/>
      <c r="CL91" s="299"/>
      <c r="CM91" s="66"/>
      <c r="CN91" s="66"/>
      <c r="CO91" s="68"/>
      <c r="CR91" s="8"/>
      <c r="CX91" s="66"/>
      <c r="CY91" s="532"/>
      <c r="DE91" s="66"/>
      <c r="DF91" s="66"/>
      <c r="DG91" s="68"/>
      <c r="DH91" s="68"/>
      <c r="DK91" s="66"/>
      <c r="DL91" s="66"/>
      <c r="DM91" s="66"/>
      <c r="DN91" s="66"/>
      <c r="DO91" s="66"/>
      <c r="DP91" s="66"/>
      <c r="DQ91" s="66"/>
      <c r="DR91" s="66"/>
      <c r="DS91" s="66"/>
      <c r="DT91" s="68"/>
      <c r="DU91" s="66"/>
      <c r="DV91" s="296"/>
      <c r="DW91" s="330"/>
      <c r="DX91" s="631"/>
      <c r="DY91" s="631"/>
      <c r="DZ91" s="631"/>
      <c r="EA91" s="330"/>
      <c r="EC91" s="66"/>
      <c r="ED91" s="68"/>
      <c r="EH91" s="66"/>
      <c r="EI91" s="66"/>
      <c r="EJ91" s="68"/>
      <c r="EK91" s="252"/>
      <c r="EL91" s="252"/>
      <c r="EM91" s="252"/>
      <c r="EO91" s="252"/>
      <c r="EP91" s="252"/>
      <c r="EQ91" s="252"/>
      <c r="ES91" s="252"/>
      <c r="ET91" s="252"/>
      <c r="EU91" s="252"/>
      <c r="EW91" s="252"/>
      <c r="EX91" s="252"/>
      <c r="EY91" s="252"/>
      <c r="FA91" s="250"/>
      <c r="FB91" s="250"/>
      <c r="FC91" s="250"/>
      <c r="FD91" s="250"/>
      <c r="FE91" s="250"/>
      <c r="FF91" s="250"/>
      <c r="FG91" s="250"/>
      <c r="FH91" s="424"/>
      <c r="FI91" s="250"/>
      <c r="FJ91" s="250"/>
      <c r="FK91" s="250"/>
      <c r="FL91" s="256"/>
      <c r="FM91" s="250"/>
      <c r="FN91" s="256"/>
      <c r="FO91" s="250"/>
      <c r="FP91" s="256"/>
      <c r="FQ91" s="250"/>
      <c r="FR91" s="256"/>
      <c r="FS91" s="250"/>
      <c r="FT91" s="256"/>
      <c r="FU91" s="256"/>
      <c r="FV91" s="256"/>
      <c r="FW91" s="250"/>
      <c r="FX91" s="424"/>
      <c r="FY91" s="251"/>
      <c r="GC91" s="252"/>
      <c r="GF91" s="252"/>
      <c r="GG91" s="252"/>
      <c r="GH91" s="252"/>
      <c r="GI91" s="252"/>
      <c r="GJ91" s="252"/>
      <c r="GK91" s="251"/>
      <c r="GL91" s="250"/>
      <c r="GM91" s="250"/>
      <c r="GN91" s="250"/>
      <c r="GO91" s="250"/>
      <c r="GP91" s="250"/>
      <c r="GQ91" s="250"/>
      <c r="GR91" s="250"/>
      <c r="GS91" s="250"/>
      <c r="GT91" s="250"/>
      <c r="GU91" s="251"/>
      <c r="GV91" s="250"/>
      <c r="GW91" s="250"/>
      <c r="GX91" s="250"/>
      <c r="GY91" s="250"/>
      <c r="GZ91" s="250"/>
      <c r="HA91" s="250"/>
      <c r="HB91" s="250"/>
      <c r="HC91" s="250"/>
      <c r="HD91" s="250"/>
      <c r="HE91" s="250"/>
      <c r="HF91" s="250"/>
      <c r="HG91" s="250"/>
      <c r="HH91" s="251"/>
      <c r="HI91" s="424"/>
      <c r="HJ91" s="255"/>
      <c r="HK91" s="255"/>
      <c r="HL91" s="250"/>
      <c r="HM91" s="255"/>
      <c r="HN91" s="255"/>
      <c r="HO91" s="255"/>
      <c r="HP91" s="250"/>
      <c r="HQ91" s="250"/>
      <c r="HR91" s="250"/>
      <c r="HS91" s="250"/>
      <c r="HT91" s="250"/>
      <c r="HU91" s="251"/>
      <c r="HX91" s="252"/>
      <c r="HY91" s="252"/>
      <c r="HZ91" s="252"/>
      <c r="ID91" s="252"/>
      <c r="IE91" s="252"/>
      <c r="IF91" s="252"/>
      <c r="IJ91" s="252"/>
      <c r="IK91" s="252"/>
      <c r="IL91" s="252"/>
      <c r="IP91" s="252"/>
      <c r="IQ91" s="252"/>
      <c r="IR91" s="252"/>
      <c r="IY91" s="66"/>
      <c r="IZ91" s="66"/>
      <c r="JA91" s="66"/>
      <c r="JB91" s="250"/>
      <c r="JC91" s="462"/>
      <c r="JD91" s="462"/>
      <c r="JE91" s="66"/>
      <c r="JF91" s="66"/>
      <c r="JG91" s="66"/>
      <c r="JH91" s="66"/>
      <c r="JI91" s="66"/>
      <c r="JJ91" s="66"/>
      <c r="JK91" s="8"/>
      <c r="JN91" s="252"/>
      <c r="JO91" s="252"/>
      <c r="JP91" s="252"/>
      <c r="JT91" s="252"/>
      <c r="JU91" s="252"/>
      <c r="JV91" s="252"/>
      <c r="JZ91" s="252"/>
      <c r="KA91" s="252"/>
      <c r="KB91" s="252"/>
      <c r="KF91" s="252"/>
      <c r="KG91" s="252"/>
      <c r="KH91" s="252"/>
      <c r="KO91" s="66"/>
      <c r="KP91" s="66"/>
      <c r="KQ91" s="66"/>
      <c r="KR91" s="468"/>
      <c r="KS91" s="468"/>
      <c r="KT91" s="468"/>
      <c r="KU91" s="66"/>
      <c r="KV91" s="66"/>
      <c r="KW91" s="66"/>
      <c r="KX91" s="66"/>
      <c r="KY91" s="66"/>
      <c r="KZ91" s="66"/>
      <c r="LA91" s="8"/>
      <c r="LD91" s="252"/>
      <c r="LE91" s="252"/>
      <c r="LF91" s="252"/>
      <c r="LJ91" s="252"/>
      <c r="LK91" s="252"/>
      <c r="LN91" s="252"/>
      <c r="LO91" s="252"/>
      <c r="LP91" s="252"/>
      <c r="LT91" s="271"/>
      <c r="LU91" s="250"/>
      <c r="LV91" s="250"/>
      <c r="LX91" s="250"/>
      <c r="LY91" s="250"/>
      <c r="LZ91" s="250"/>
      <c r="MA91" s="250"/>
      <c r="MB91" s="250"/>
      <c r="MC91" s="250"/>
      <c r="MD91" s="250"/>
      <c r="ME91" s="250"/>
      <c r="MF91" s="250"/>
      <c r="MG91" s="250"/>
      <c r="MH91" s="250"/>
      <c r="MI91" s="250"/>
      <c r="MJ91" s="250"/>
      <c r="MK91" s="424"/>
      <c r="ML91" s="640"/>
      <c r="MM91" s="251"/>
      <c r="MN91" s="252"/>
      <c r="MO91" s="252"/>
      <c r="MP91" s="252"/>
      <c r="MQ91" s="252"/>
      <c r="MR91" s="252"/>
      <c r="MS91" s="252"/>
      <c r="MT91" s="252"/>
      <c r="MU91" s="252"/>
      <c r="MV91" s="252"/>
      <c r="MW91" s="252"/>
      <c r="MX91" s="252"/>
      <c r="MY91" s="252"/>
      <c r="MZ91" s="252"/>
      <c r="NA91" s="252"/>
      <c r="NB91" s="252"/>
      <c r="NC91" s="251"/>
      <c r="ND91" s="250"/>
      <c r="NE91" s="250"/>
      <c r="NF91" s="250"/>
      <c r="NG91" s="250"/>
      <c r="NH91" s="250"/>
      <c r="NI91" s="250"/>
      <c r="NJ91" s="250"/>
      <c r="NK91" s="250"/>
      <c r="NL91" s="250"/>
      <c r="NM91" s="250"/>
      <c r="NN91" s="250"/>
      <c r="NO91" s="250"/>
      <c r="NP91" s="250"/>
      <c r="NQ91" s="250"/>
      <c r="NR91" s="250"/>
      <c r="NS91" s="250"/>
      <c r="NT91" s="250"/>
      <c r="NU91" s="250"/>
      <c r="NV91" s="250"/>
      <c r="NW91" s="251"/>
      <c r="OT91" s="8"/>
      <c r="QG91" s="8"/>
      <c r="RT91" s="8"/>
    </row>
    <row r="92" spans="1:488" s="282" customFormat="1" x14ac:dyDescent="0.25">
      <c r="A92" s="66"/>
      <c r="B92" s="8"/>
      <c r="C92" s="66"/>
      <c r="D92" s="66"/>
      <c r="E92" s="66"/>
      <c r="F92" s="66"/>
      <c r="G92" s="66"/>
      <c r="H92" s="66"/>
      <c r="I92" s="66"/>
      <c r="J92" s="66"/>
      <c r="K92" s="66"/>
      <c r="L92" s="66"/>
      <c r="M92" s="66"/>
      <c r="N92" s="66"/>
      <c r="O92" s="66"/>
      <c r="P92" s="66"/>
      <c r="Q92" s="66"/>
      <c r="R92" s="66"/>
      <c r="S92" s="66"/>
      <c r="T92" s="68"/>
      <c r="AC92" s="66"/>
      <c r="AD92" s="66"/>
      <c r="AE92" s="68"/>
      <c r="AN92" s="66"/>
      <c r="AO92" s="66"/>
      <c r="AP92" s="68"/>
      <c r="AW92" s="66"/>
      <c r="AX92" s="68"/>
      <c r="BD92" s="66"/>
      <c r="BE92" s="68"/>
      <c r="BF92" s="66"/>
      <c r="BG92" s="66"/>
      <c r="BH92" s="66"/>
      <c r="BI92" s="66"/>
      <c r="BJ92" s="66"/>
      <c r="BK92" s="66"/>
      <c r="BL92" s="68"/>
      <c r="BO92" s="66"/>
      <c r="BP92" s="68"/>
      <c r="BV92" s="66"/>
      <c r="BW92" s="68"/>
      <c r="CB92" s="8"/>
      <c r="CH92" s="8"/>
      <c r="CK92" s="299"/>
      <c r="CL92" s="299"/>
      <c r="CM92" s="66"/>
      <c r="CN92" s="66"/>
      <c r="CO92" s="68"/>
      <c r="CR92" s="8"/>
      <c r="CX92" s="66"/>
      <c r="CY92" s="532"/>
      <c r="DE92" s="66"/>
      <c r="DF92" s="66"/>
      <c r="DG92" s="68"/>
      <c r="DH92" s="68"/>
      <c r="DK92" s="66"/>
      <c r="DL92" s="66"/>
      <c r="DM92" s="66"/>
      <c r="DN92" s="66"/>
      <c r="DO92" s="66"/>
      <c r="DP92" s="66"/>
      <c r="DQ92" s="66"/>
      <c r="DR92" s="66"/>
      <c r="DS92" s="66"/>
      <c r="DT92" s="68"/>
      <c r="DU92" s="66"/>
      <c r="DV92" s="296"/>
      <c r="DW92" s="330"/>
      <c r="DX92" s="631"/>
      <c r="DY92" s="631"/>
      <c r="DZ92" s="631"/>
      <c r="EA92" s="330"/>
      <c r="EC92" s="66"/>
      <c r="ED92" s="68"/>
      <c r="EH92" s="66"/>
      <c r="EI92" s="66"/>
      <c r="EJ92" s="68"/>
      <c r="EK92" s="252"/>
      <c r="EL92" s="252"/>
      <c r="EM92" s="252"/>
      <c r="EO92" s="252"/>
      <c r="EP92" s="252"/>
      <c r="EQ92" s="252"/>
      <c r="ES92" s="252"/>
      <c r="ET92" s="252"/>
      <c r="EU92" s="252"/>
      <c r="EW92" s="252"/>
      <c r="EX92" s="252"/>
      <c r="EY92" s="252"/>
      <c r="FA92" s="250"/>
      <c r="FB92" s="250"/>
      <c r="FC92" s="250"/>
      <c r="FD92" s="250"/>
      <c r="FE92" s="250"/>
      <c r="FF92" s="250"/>
      <c r="FG92" s="250"/>
      <c r="FH92" s="424"/>
      <c r="FI92" s="250"/>
      <c r="FJ92" s="250"/>
      <c r="FK92" s="250"/>
      <c r="FL92" s="256"/>
      <c r="FM92" s="250"/>
      <c r="FN92" s="256"/>
      <c r="FO92" s="250"/>
      <c r="FP92" s="256"/>
      <c r="FQ92" s="250"/>
      <c r="FR92" s="256"/>
      <c r="FS92" s="250"/>
      <c r="FT92" s="256"/>
      <c r="FU92" s="256"/>
      <c r="FV92" s="256"/>
      <c r="FW92" s="250"/>
      <c r="FX92" s="424"/>
      <c r="FY92" s="251"/>
      <c r="GC92" s="252"/>
      <c r="GF92" s="252"/>
      <c r="GG92" s="252"/>
      <c r="GH92" s="252"/>
      <c r="GI92" s="252"/>
      <c r="GJ92" s="252"/>
      <c r="GK92" s="251"/>
      <c r="GL92" s="250"/>
      <c r="GM92" s="250"/>
      <c r="GN92" s="250"/>
      <c r="GO92" s="250"/>
      <c r="GP92" s="250"/>
      <c r="GQ92" s="250"/>
      <c r="GR92" s="250"/>
      <c r="GS92" s="250"/>
      <c r="GT92" s="250"/>
      <c r="GU92" s="251"/>
      <c r="GV92" s="250"/>
      <c r="GW92" s="250"/>
      <c r="GX92" s="250"/>
      <c r="GY92" s="250"/>
      <c r="GZ92" s="250"/>
      <c r="HA92" s="250"/>
      <c r="HB92" s="250"/>
      <c r="HC92" s="250"/>
      <c r="HD92" s="250"/>
      <c r="HE92" s="250"/>
      <c r="HF92" s="250"/>
      <c r="HG92" s="250"/>
      <c r="HH92" s="251"/>
      <c r="HI92" s="424"/>
      <c r="HJ92" s="255"/>
      <c r="HK92" s="255"/>
      <c r="HL92" s="250"/>
      <c r="HM92" s="255"/>
      <c r="HN92" s="255"/>
      <c r="HO92" s="255"/>
      <c r="HP92" s="250"/>
      <c r="HQ92" s="250"/>
      <c r="HR92" s="250"/>
      <c r="HS92" s="250"/>
      <c r="HT92" s="250"/>
      <c r="HU92" s="251"/>
      <c r="HX92" s="252"/>
      <c r="HY92" s="252"/>
      <c r="HZ92" s="252"/>
      <c r="ID92" s="252"/>
      <c r="IE92" s="252"/>
      <c r="IF92" s="252"/>
      <c r="IJ92" s="252"/>
      <c r="IK92" s="252"/>
      <c r="IL92" s="252"/>
      <c r="IP92" s="252"/>
      <c r="IQ92" s="252"/>
      <c r="IR92" s="252"/>
      <c r="IY92" s="66"/>
      <c r="IZ92" s="66"/>
      <c r="JA92" s="66"/>
      <c r="JB92" s="250"/>
      <c r="JC92" s="66"/>
      <c r="JD92" s="66"/>
      <c r="JE92" s="66"/>
      <c r="JF92" s="66"/>
      <c r="JG92" s="66"/>
      <c r="JH92" s="66"/>
      <c r="JI92" s="66"/>
      <c r="JJ92" s="66"/>
      <c r="JK92" s="8"/>
      <c r="JN92" s="252"/>
      <c r="JO92" s="252"/>
      <c r="JP92" s="252"/>
      <c r="JT92" s="252"/>
      <c r="JU92" s="252"/>
      <c r="JV92" s="252"/>
      <c r="JZ92" s="252"/>
      <c r="KA92" s="252"/>
      <c r="KB92" s="252"/>
      <c r="KF92" s="252"/>
      <c r="KG92" s="252"/>
      <c r="KH92" s="252"/>
      <c r="KO92" s="66"/>
      <c r="KP92" s="66"/>
      <c r="KQ92" s="66"/>
      <c r="KR92" s="468"/>
      <c r="KS92" s="468"/>
      <c r="KT92" s="468"/>
      <c r="KU92" s="66"/>
      <c r="KV92" s="66"/>
      <c r="KW92" s="66"/>
      <c r="KX92" s="66"/>
      <c r="KY92" s="66"/>
      <c r="KZ92" s="66"/>
      <c r="LA92" s="8"/>
      <c r="LD92" s="252"/>
      <c r="LE92" s="252"/>
      <c r="LF92" s="252"/>
      <c r="LJ92" s="252"/>
      <c r="LK92" s="252"/>
      <c r="LN92" s="252"/>
      <c r="LO92" s="252"/>
      <c r="LP92" s="252"/>
      <c r="LT92" s="271"/>
      <c r="LU92" s="250"/>
      <c r="LV92" s="250"/>
      <c r="LW92" s="250"/>
      <c r="LX92" s="250"/>
      <c r="LY92" s="250"/>
      <c r="LZ92" s="250"/>
      <c r="MA92" s="250"/>
      <c r="MB92" s="250"/>
      <c r="MC92" s="250"/>
      <c r="MD92" s="250"/>
      <c r="ME92" s="250"/>
      <c r="MF92" s="250"/>
      <c r="MG92" s="250"/>
      <c r="MH92" s="250"/>
      <c r="MI92" s="250"/>
      <c r="MJ92" s="250"/>
      <c r="MK92" s="424"/>
      <c r="ML92" s="640"/>
      <c r="MM92" s="251"/>
      <c r="MN92" s="252"/>
      <c r="MO92" s="252"/>
      <c r="MP92" s="252"/>
      <c r="MQ92" s="252"/>
      <c r="MR92" s="252"/>
      <c r="MS92" s="252"/>
      <c r="MT92" s="252"/>
      <c r="MU92" s="252"/>
      <c r="MV92" s="252"/>
      <c r="MW92" s="252"/>
      <c r="MX92" s="252"/>
      <c r="MY92" s="252"/>
      <c r="MZ92" s="252"/>
      <c r="NA92" s="252"/>
      <c r="NB92" s="252"/>
      <c r="NC92" s="251"/>
      <c r="ND92" s="250"/>
      <c r="NE92" s="250"/>
      <c r="NF92" s="250"/>
      <c r="NG92" s="250"/>
      <c r="NH92" s="250"/>
      <c r="NI92" s="250"/>
      <c r="NJ92" s="250"/>
      <c r="NK92" s="250"/>
      <c r="NL92" s="250"/>
      <c r="NM92" s="250"/>
      <c r="NN92" s="250"/>
      <c r="NO92" s="250"/>
      <c r="NP92" s="250"/>
      <c r="NQ92" s="250"/>
      <c r="NR92" s="250"/>
      <c r="NS92" s="250"/>
      <c r="NT92" s="250"/>
      <c r="NU92" s="250"/>
      <c r="NV92" s="250"/>
      <c r="NW92" s="251"/>
      <c r="OT92" s="8"/>
      <c r="QG92" s="8"/>
      <c r="RT92" s="8"/>
    </row>
    <row r="93" spans="1:488" s="282" customFormat="1" x14ac:dyDescent="0.25">
      <c r="A93" s="66"/>
      <c r="B93" s="8"/>
      <c r="C93" s="66"/>
      <c r="D93" s="66"/>
      <c r="E93" s="66"/>
      <c r="F93" s="66"/>
      <c r="G93" s="66"/>
      <c r="H93" s="66"/>
      <c r="I93" s="66"/>
      <c r="J93" s="66"/>
      <c r="K93" s="66"/>
      <c r="L93" s="66"/>
      <c r="M93" s="66"/>
      <c r="N93" s="66"/>
      <c r="O93" s="66"/>
      <c r="P93" s="66"/>
      <c r="Q93" s="66"/>
      <c r="R93" s="66"/>
      <c r="S93" s="66"/>
      <c r="T93" s="68"/>
      <c r="AC93" s="66"/>
      <c r="AD93" s="66"/>
      <c r="AE93" s="68"/>
      <c r="AN93" s="66"/>
      <c r="AO93" s="66"/>
      <c r="AP93" s="68"/>
      <c r="AW93" s="66"/>
      <c r="AX93" s="68"/>
      <c r="BD93" s="66"/>
      <c r="BE93" s="68"/>
      <c r="BF93" s="66"/>
      <c r="BG93" s="66"/>
      <c r="BH93" s="66"/>
      <c r="BI93" s="66"/>
      <c r="BJ93" s="66"/>
      <c r="BK93" s="66"/>
      <c r="BL93" s="68"/>
      <c r="BO93" s="66"/>
      <c r="BP93" s="68"/>
      <c r="BV93" s="66"/>
      <c r="BW93" s="68"/>
      <c r="CB93" s="8"/>
      <c r="CH93" s="8"/>
      <c r="CK93" s="299"/>
      <c r="CL93" s="299"/>
      <c r="CM93" s="66"/>
      <c r="CN93" s="66"/>
      <c r="CO93" s="68"/>
      <c r="CR93" s="8"/>
      <c r="CX93" s="66"/>
      <c r="CY93" s="532"/>
      <c r="DE93" s="66"/>
      <c r="DF93" s="66"/>
      <c r="DG93" s="68"/>
      <c r="DH93" s="68"/>
      <c r="DK93" s="66"/>
      <c r="DL93" s="66"/>
      <c r="DM93" s="66"/>
      <c r="DN93" s="66"/>
      <c r="DO93" s="66"/>
      <c r="DP93" s="66"/>
      <c r="DQ93" s="66"/>
      <c r="DR93" s="66"/>
      <c r="DS93" s="66"/>
      <c r="DT93" s="68"/>
      <c r="DU93" s="66"/>
      <c r="DV93" s="296"/>
      <c r="DW93" s="330"/>
      <c r="DX93" s="631"/>
      <c r="DY93" s="631"/>
      <c r="DZ93" s="631"/>
      <c r="EA93" s="330"/>
      <c r="EC93" s="66"/>
      <c r="ED93" s="68"/>
      <c r="EH93" s="66"/>
      <c r="EI93" s="66"/>
      <c r="EJ93" s="68"/>
      <c r="EK93" s="252"/>
      <c r="EL93" s="252"/>
      <c r="EM93" s="252"/>
      <c r="EO93" s="252"/>
      <c r="EP93" s="252"/>
      <c r="EQ93" s="252"/>
      <c r="ES93" s="252"/>
      <c r="ET93" s="252"/>
      <c r="EU93" s="252"/>
      <c r="EW93" s="252"/>
      <c r="EX93" s="252"/>
      <c r="EY93" s="252"/>
      <c r="FA93" s="250"/>
      <c r="FB93" s="250"/>
      <c r="FC93" s="250"/>
      <c r="FD93" s="250"/>
      <c r="FE93" s="250"/>
      <c r="FF93" s="250"/>
      <c r="FG93" s="250"/>
      <c r="FH93" s="424"/>
      <c r="FI93" s="250"/>
      <c r="FJ93" s="250"/>
      <c r="FK93" s="250"/>
      <c r="FL93" s="256"/>
      <c r="FM93" s="250"/>
      <c r="FN93" s="256"/>
      <c r="FO93" s="250"/>
      <c r="FP93" s="256"/>
      <c r="FQ93" s="250"/>
      <c r="FR93" s="256"/>
      <c r="FS93" s="250"/>
      <c r="FT93" s="256"/>
      <c r="FU93" s="256"/>
      <c r="FV93" s="256"/>
      <c r="FW93" s="250"/>
      <c r="FX93" s="424"/>
      <c r="FY93" s="251"/>
      <c r="GC93" s="252"/>
      <c r="GF93" s="252"/>
      <c r="GG93" s="252"/>
      <c r="GH93" s="252"/>
      <c r="GI93" s="252"/>
      <c r="GJ93" s="252"/>
      <c r="GK93" s="251"/>
      <c r="GL93" s="250"/>
      <c r="GM93" s="250"/>
      <c r="GN93" s="250"/>
      <c r="GO93" s="250"/>
      <c r="GP93" s="250"/>
      <c r="GQ93" s="250"/>
      <c r="GR93" s="250"/>
      <c r="GS93" s="250"/>
      <c r="GT93" s="250"/>
      <c r="GU93" s="251"/>
      <c r="GV93" s="250"/>
      <c r="GW93" s="250"/>
      <c r="GX93" s="250"/>
      <c r="GY93" s="250"/>
      <c r="GZ93" s="250"/>
      <c r="HA93" s="250"/>
      <c r="HB93" s="250"/>
      <c r="HC93" s="250"/>
      <c r="HD93" s="250"/>
      <c r="HE93" s="250"/>
      <c r="HF93" s="250"/>
      <c r="HG93" s="250"/>
      <c r="HH93" s="251"/>
      <c r="HI93" s="424"/>
      <c r="HJ93" s="255"/>
      <c r="HK93" s="255"/>
      <c r="HL93" s="250"/>
      <c r="HM93" s="255"/>
      <c r="HN93" s="255"/>
      <c r="HO93" s="255"/>
      <c r="HP93" s="250"/>
      <c r="HQ93" s="250"/>
      <c r="HR93" s="250"/>
      <c r="HS93" s="250"/>
      <c r="HT93" s="250"/>
      <c r="HU93" s="251"/>
      <c r="HX93" s="252"/>
      <c r="HY93" s="252"/>
      <c r="HZ93" s="252"/>
      <c r="ID93" s="252"/>
      <c r="IE93" s="252"/>
      <c r="IF93" s="252"/>
      <c r="IJ93" s="252"/>
      <c r="IK93" s="252"/>
      <c r="IL93" s="252"/>
      <c r="IP93" s="252"/>
      <c r="IQ93" s="252"/>
      <c r="IR93" s="252"/>
      <c r="IY93" s="66"/>
      <c r="IZ93" s="66"/>
      <c r="JA93" s="66"/>
      <c r="JB93" s="250"/>
      <c r="JC93" s="66"/>
      <c r="JD93" s="66"/>
      <c r="JE93" s="66"/>
      <c r="JF93" s="66"/>
      <c r="JG93" s="66"/>
      <c r="JH93" s="66"/>
      <c r="JI93" s="66"/>
      <c r="JJ93" s="66"/>
      <c r="JK93" s="8"/>
      <c r="JN93" s="252"/>
      <c r="JO93" s="252"/>
      <c r="JP93" s="252"/>
      <c r="JT93" s="252"/>
      <c r="JU93" s="252"/>
      <c r="JV93" s="252"/>
      <c r="JZ93" s="252"/>
      <c r="KA93" s="252"/>
      <c r="KB93" s="252"/>
      <c r="KF93" s="252"/>
      <c r="KG93" s="252"/>
      <c r="KH93" s="252"/>
      <c r="KO93" s="66"/>
      <c r="KP93" s="66"/>
      <c r="KQ93" s="66"/>
      <c r="KR93" s="468"/>
      <c r="KS93" s="468"/>
      <c r="KT93" s="468"/>
      <c r="KU93" s="66"/>
      <c r="KV93" s="66"/>
      <c r="KW93" s="66"/>
      <c r="KX93" s="66"/>
      <c r="KY93" s="66"/>
      <c r="KZ93" s="66"/>
      <c r="LA93" s="8"/>
      <c r="LD93" s="252"/>
      <c r="LE93" s="252"/>
      <c r="LF93" s="252"/>
      <c r="LJ93" s="252"/>
      <c r="LK93" s="252"/>
      <c r="LN93" s="252"/>
      <c r="LO93" s="252"/>
      <c r="LP93" s="252"/>
      <c r="LT93" s="271"/>
      <c r="LU93" s="250"/>
      <c r="LV93" s="250"/>
      <c r="LW93" s="250"/>
      <c r="LX93" s="250"/>
      <c r="LY93" s="250"/>
      <c r="LZ93" s="250"/>
      <c r="MA93" s="250"/>
      <c r="MB93" s="250"/>
      <c r="MC93" s="250"/>
      <c r="MD93" s="250"/>
      <c r="ME93" s="250"/>
      <c r="MF93" s="250"/>
      <c r="MG93" s="250"/>
      <c r="MH93" s="250"/>
      <c r="MI93" s="250"/>
      <c r="MJ93" s="250"/>
      <c r="MK93" s="424"/>
      <c r="ML93" s="640"/>
      <c r="MM93" s="251"/>
      <c r="MN93" s="252"/>
      <c r="MO93" s="252"/>
      <c r="MP93" s="252"/>
      <c r="MQ93" s="252"/>
      <c r="MR93" s="252"/>
      <c r="MS93" s="252"/>
      <c r="MT93" s="252"/>
      <c r="MU93" s="252"/>
      <c r="MV93" s="252"/>
      <c r="MW93" s="252"/>
      <c r="MX93" s="252"/>
      <c r="MY93" s="252"/>
      <c r="MZ93" s="252"/>
      <c r="NA93" s="252"/>
      <c r="NB93" s="252"/>
      <c r="NC93" s="251"/>
      <c r="ND93" s="250"/>
      <c r="NE93" s="250"/>
      <c r="NF93" s="250"/>
      <c r="NG93" s="250"/>
      <c r="NH93" s="250"/>
      <c r="NI93" s="250"/>
      <c r="NJ93" s="250"/>
      <c r="NK93" s="250"/>
      <c r="NL93" s="250"/>
      <c r="NM93" s="250"/>
      <c r="NN93" s="250"/>
      <c r="NO93" s="250"/>
      <c r="NP93" s="250"/>
      <c r="NQ93" s="250"/>
      <c r="NR93" s="250"/>
      <c r="NS93" s="250"/>
      <c r="NT93" s="250"/>
      <c r="NU93" s="250"/>
      <c r="NV93" s="250"/>
      <c r="NW93" s="251"/>
      <c r="OT93" s="8"/>
      <c r="QG93" s="8"/>
      <c r="RT93" s="8"/>
    </row>
    <row r="94" spans="1:488" s="282" customFormat="1" x14ac:dyDescent="0.25">
      <c r="A94" s="66"/>
      <c r="B94" s="8"/>
      <c r="C94" s="66"/>
      <c r="D94" s="66"/>
      <c r="E94" s="66"/>
      <c r="F94" s="66"/>
      <c r="G94" s="66"/>
      <c r="H94" s="66"/>
      <c r="I94" s="66"/>
      <c r="J94" s="66"/>
      <c r="K94" s="66"/>
      <c r="L94" s="66"/>
      <c r="M94" s="66"/>
      <c r="N94" s="66"/>
      <c r="O94" s="66"/>
      <c r="P94" s="66"/>
      <c r="Q94" s="66"/>
      <c r="R94" s="66"/>
      <c r="S94" s="66"/>
      <c r="T94" s="68"/>
      <c r="AC94" s="66"/>
      <c r="AD94" s="66"/>
      <c r="AE94" s="68"/>
      <c r="AN94" s="66"/>
      <c r="AO94" s="66"/>
      <c r="AP94" s="68"/>
      <c r="AW94" s="66"/>
      <c r="AX94" s="68"/>
      <c r="BD94" s="66"/>
      <c r="BE94" s="68"/>
      <c r="BF94" s="66"/>
      <c r="BG94" s="66"/>
      <c r="BH94" s="66"/>
      <c r="BI94" s="66"/>
      <c r="BJ94" s="66"/>
      <c r="BK94" s="66"/>
      <c r="BL94" s="68"/>
      <c r="BO94" s="66"/>
      <c r="BP94" s="68"/>
      <c r="BV94" s="66"/>
      <c r="BW94" s="68"/>
      <c r="CB94" s="8"/>
      <c r="CH94" s="8"/>
      <c r="CK94" s="299"/>
      <c r="CL94" s="299"/>
      <c r="CM94" s="66"/>
      <c r="CN94" s="66"/>
      <c r="CO94" s="68"/>
      <c r="CR94" s="8"/>
      <c r="CX94" s="66"/>
      <c r="CY94" s="532"/>
      <c r="DE94" s="66"/>
      <c r="DF94" s="66"/>
      <c r="DG94" s="68"/>
      <c r="DH94" s="68"/>
      <c r="DK94" s="66"/>
      <c r="DL94" s="66"/>
      <c r="DM94" s="66"/>
      <c r="DN94" s="66"/>
      <c r="DO94" s="66"/>
      <c r="DP94" s="66"/>
      <c r="DQ94" s="66"/>
      <c r="DR94" s="66"/>
      <c r="DS94" s="66"/>
      <c r="DT94" s="68"/>
      <c r="DU94" s="66"/>
      <c r="DV94" s="296"/>
      <c r="DW94" s="330"/>
      <c r="DX94" s="631"/>
      <c r="DY94" s="631"/>
      <c r="DZ94" s="631"/>
      <c r="EA94" s="330"/>
      <c r="EC94" s="66"/>
      <c r="ED94" s="68"/>
      <c r="EH94" s="66"/>
      <c r="EI94" s="66"/>
      <c r="EJ94" s="68"/>
      <c r="EK94" s="252"/>
      <c r="EL94" s="252"/>
      <c r="EM94" s="252"/>
      <c r="EO94" s="252"/>
      <c r="EP94" s="252"/>
      <c r="EQ94" s="252"/>
      <c r="ES94" s="252"/>
      <c r="ET94" s="252"/>
      <c r="EU94" s="252"/>
      <c r="EW94" s="252"/>
      <c r="EX94" s="252"/>
      <c r="EY94" s="252"/>
      <c r="FA94" s="250"/>
      <c r="FB94" s="250"/>
      <c r="FC94" s="250"/>
      <c r="FD94" s="250"/>
      <c r="FE94" s="250"/>
      <c r="FF94" s="250"/>
      <c r="FG94" s="250"/>
      <c r="FH94" s="424"/>
      <c r="FI94" s="250"/>
      <c r="FJ94" s="250"/>
      <c r="FK94" s="250"/>
      <c r="FL94" s="256"/>
      <c r="FM94" s="250"/>
      <c r="FN94" s="256"/>
      <c r="FO94" s="250"/>
      <c r="FP94" s="256"/>
      <c r="FQ94" s="250"/>
      <c r="FR94" s="256"/>
      <c r="FS94" s="250"/>
      <c r="FT94" s="256"/>
      <c r="FU94" s="256"/>
      <c r="FV94" s="256"/>
      <c r="FW94" s="250"/>
      <c r="FX94" s="424"/>
      <c r="FY94" s="251"/>
      <c r="GC94" s="252"/>
      <c r="GF94" s="252"/>
      <c r="GG94" s="252"/>
      <c r="GH94" s="252"/>
      <c r="GI94" s="252"/>
      <c r="GJ94" s="252"/>
      <c r="GK94" s="251"/>
      <c r="GL94" s="250"/>
      <c r="GM94" s="250"/>
      <c r="GN94" s="250"/>
      <c r="GO94" s="250"/>
      <c r="GP94" s="250"/>
      <c r="GQ94" s="250"/>
      <c r="GR94" s="250"/>
      <c r="GS94" s="250"/>
      <c r="GT94" s="250"/>
      <c r="GU94" s="251"/>
      <c r="GV94" s="250"/>
      <c r="GW94" s="250"/>
      <c r="GX94" s="250"/>
      <c r="GY94" s="250"/>
      <c r="GZ94" s="250"/>
      <c r="HA94" s="250"/>
      <c r="HB94" s="250"/>
      <c r="HC94" s="250"/>
      <c r="HD94" s="250"/>
      <c r="HE94" s="250"/>
      <c r="HF94" s="250"/>
      <c r="HG94" s="250"/>
      <c r="HH94" s="251"/>
      <c r="HI94" s="424"/>
      <c r="HJ94" s="255"/>
      <c r="HK94" s="255"/>
      <c r="HL94" s="250"/>
      <c r="HM94" s="255"/>
      <c r="HN94" s="255"/>
      <c r="HO94" s="255"/>
      <c r="HP94" s="250"/>
      <c r="HQ94" s="250"/>
      <c r="HR94" s="250"/>
      <c r="HS94" s="250"/>
      <c r="HT94" s="250"/>
      <c r="HU94" s="251"/>
      <c r="HX94" s="252"/>
      <c r="HY94" s="252"/>
      <c r="HZ94" s="252"/>
      <c r="ID94" s="252"/>
      <c r="IE94" s="252"/>
      <c r="IF94" s="252"/>
      <c r="IJ94" s="252"/>
      <c r="IK94" s="252"/>
      <c r="IL94" s="252"/>
      <c r="IP94" s="252"/>
      <c r="IQ94" s="252"/>
      <c r="IR94" s="252"/>
      <c r="IY94" s="66"/>
      <c r="IZ94" s="66"/>
      <c r="JA94" s="66"/>
      <c r="JB94" s="250"/>
      <c r="JC94" s="66"/>
      <c r="JD94" s="66"/>
      <c r="JE94" s="66"/>
      <c r="JF94" s="66"/>
      <c r="JG94" s="66"/>
      <c r="JH94" s="66"/>
      <c r="JI94" s="66"/>
      <c r="JJ94" s="66"/>
      <c r="JK94" s="8"/>
      <c r="JN94" s="252"/>
      <c r="JO94" s="252"/>
      <c r="JP94" s="252"/>
      <c r="JT94" s="252"/>
      <c r="JU94" s="252"/>
      <c r="JV94" s="252"/>
      <c r="JZ94" s="252"/>
      <c r="KA94" s="252"/>
      <c r="KB94" s="252"/>
      <c r="KF94" s="252"/>
      <c r="KG94" s="252"/>
      <c r="KH94" s="252"/>
      <c r="KO94" s="66"/>
      <c r="KP94" s="66"/>
      <c r="KQ94" s="66"/>
      <c r="KR94" s="66"/>
      <c r="KS94" s="66"/>
      <c r="KT94" s="66"/>
      <c r="KU94" s="66"/>
      <c r="KV94" s="66"/>
      <c r="KW94" s="66"/>
      <c r="KX94" s="66"/>
      <c r="KY94" s="66"/>
      <c r="KZ94" s="66"/>
      <c r="LA94" s="8"/>
      <c r="LD94" s="252"/>
      <c r="LE94" s="252"/>
      <c r="LF94" s="252"/>
      <c r="LJ94" s="252"/>
      <c r="LK94" s="252"/>
      <c r="LN94" s="252"/>
      <c r="LO94" s="252"/>
      <c r="LP94" s="252"/>
      <c r="LT94" s="271"/>
      <c r="LU94" s="250"/>
      <c r="LV94" s="250"/>
      <c r="LW94" s="250"/>
      <c r="LX94" s="250"/>
      <c r="LY94" s="250"/>
      <c r="LZ94" s="250"/>
      <c r="MA94" s="250"/>
      <c r="MB94" s="250"/>
      <c r="MC94" s="250"/>
      <c r="MD94" s="250"/>
      <c r="ME94" s="250"/>
      <c r="MF94" s="250"/>
      <c r="MG94" s="250"/>
      <c r="MH94" s="250"/>
      <c r="MI94" s="250"/>
      <c r="MJ94" s="250"/>
      <c r="MK94" s="424"/>
      <c r="ML94" s="640"/>
      <c r="MM94" s="251"/>
      <c r="MN94" s="252"/>
      <c r="MO94" s="252"/>
      <c r="MP94" s="252"/>
      <c r="MQ94" s="252"/>
      <c r="MR94" s="252"/>
      <c r="MS94" s="252"/>
      <c r="MT94" s="252"/>
      <c r="MU94" s="252"/>
      <c r="MV94" s="252"/>
      <c r="MW94" s="252"/>
      <c r="MX94" s="252"/>
      <c r="MY94" s="252"/>
      <c r="MZ94" s="252"/>
      <c r="NA94" s="252"/>
      <c r="NB94" s="252"/>
      <c r="NC94" s="251"/>
      <c r="ND94" s="250"/>
      <c r="NE94" s="250"/>
      <c r="NF94" s="250"/>
      <c r="NG94" s="250"/>
      <c r="NH94" s="250"/>
      <c r="NI94" s="250"/>
      <c r="NJ94" s="250"/>
      <c r="NK94" s="250"/>
      <c r="NL94" s="250"/>
      <c r="NM94" s="250"/>
      <c r="NN94" s="250"/>
      <c r="NO94" s="250"/>
      <c r="NP94" s="250"/>
      <c r="NQ94" s="250"/>
      <c r="NR94" s="250"/>
      <c r="NS94" s="250"/>
      <c r="NT94" s="250"/>
      <c r="NU94" s="250"/>
      <c r="NV94" s="250"/>
      <c r="NW94" s="251"/>
      <c r="OT94" s="8"/>
      <c r="QG94" s="8"/>
      <c r="RT94" s="8"/>
    </row>
    <row r="95" spans="1:488" s="282" customFormat="1" x14ac:dyDescent="0.25">
      <c r="A95" s="66"/>
      <c r="B95" s="8"/>
      <c r="C95" s="66"/>
      <c r="D95" s="66"/>
      <c r="E95" s="66"/>
      <c r="F95" s="66"/>
      <c r="G95" s="66"/>
      <c r="H95" s="66"/>
      <c r="I95" s="66"/>
      <c r="J95" s="66"/>
      <c r="K95" s="66"/>
      <c r="L95" s="66"/>
      <c r="M95" s="66"/>
      <c r="N95" s="66"/>
      <c r="O95" s="66"/>
      <c r="P95" s="66"/>
      <c r="Q95" s="66"/>
      <c r="R95" s="66"/>
      <c r="S95" s="66"/>
      <c r="T95" s="68"/>
      <c r="AC95" s="66"/>
      <c r="AD95" s="66"/>
      <c r="AE95" s="68"/>
      <c r="AN95" s="66"/>
      <c r="AO95" s="66"/>
      <c r="AP95" s="68"/>
      <c r="AW95" s="66"/>
      <c r="AX95" s="68"/>
      <c r="BD95" s="66"/>
      <c r="BE95" s="68"/>
      <c r="BF95" s="66"/>
      <c r="BG95" s="66"/>
      <c r="BH95" s="66"/>
      <c r="BI95" s="66"/>
      <c r="BJ95" s="66"/>
      <c r="BK95" s="66"/>
      <c r="BL95" s="68"/>
      <c r="BO95" s="66"/>
      <c r="BP95" s="68"/>
      <c r="BV95" s="66"/>
      <c r="BW95" s="68"/>
      <c r="CB95" s="8"/>
      <c r="CH95" s="8"/>
      <c r="CK95" s="299"/>
      <c r="CL95" s="299"/>
      <c r="CM95" s="66"/>
      <c r="CN95" s="66"/>
      <c r="CO95" s="68"/>
      <c r="CR95" s="8"/>
      <c r="CX95" s="66"/>
      <c r="CY95" s="532"/>
      <c r="DE95" s="66"/>
      <c r="DF95" s="66"/>
      <c r="DG95" s="68"/>
      <c r="DH95" s="68"/>
      <c r="DK95" s="66"/>
      <c r="DL95" s="66"/>
      <c r="DM95" s="66"/>
      <c r="DN95" s="66"/>
      <c r="DO95" s="66"/>
      <c r="DP95" s="66"/>
      <c r="DQ95" s="66"/>
      <c r="DR95" s="66"/>
      <c r="DS95" s="66"/>
      <c r="DT95" s="68"/>
      <c r="DU95" s="66"/>
      <c r="DV95" s="296"/>
      <c r="DW95" s="330"/>
      <c r="DX95" s="631"/>
      <c r="DY95" s="631"/>
      <c r="DZ95" s="631"/>
      <c r="EA95" s="330"/>
      <c r="EC95" s="66"/>
      <c r="ED95" s="68"/>
      <c r="EH95" s="66"/>
      <c r="EI95" s="66"/>
      <c r="EJ95" s="68"/>
      <c r="EK95" s="252"/>
      <c r="EL95" s="252"/>
      <c r="EM95" s="252"/>
      <c r="EO95" s="252"/>
      <c r="EP95" s="252"/>
      <c r="EQ95" s="252"/>
      <c r="ES95" s="252"/>
      <c r="ET95" s="252"/>
      <c r="EU95" s="252"/>
      <c r="EW95" s="252"/>
      <c r="EX95" s="252"/>
      <c r="EY95" s="252"/>
      <c r="FA95" s="250"/>
      <c r="FB95" s="250"/>
      <c r="FC95" s="250"/>
      <c r="FD95" s="250"/>
      <c r="FE95" s="250"/>
      <c r="FF95" s="250"/>
      <c r="FG95" s="250"/>
      <c r="FH95" s="424"/>
      <c r="FI95" s="250"/>
      <c r="FJ95" s="250"/>
      <c r="FK95" s="250"/>
      <c r="FL95" s="256"/>
      <c r="FM95" s="250"/>
      <c r="FN95" s="256"/>
      <c r="FO95" s="250"/>
      <c r="FP95" s="256"/>
      <c r="FQ95" s="250"/>
      <c r="FR95" s="256"/>
      <c r="FS95" s="250"/>
      <c r="FT95" s="256"/>
      <c r="FU95" s="256"/>
      <c r="FV95" s="256"/>
      <c r="FW95" s="250"/>
      <c r="FX95" s="424"/>
      <c r="FY95" s="251"/>
      <c r="GC95" s="252"/>
      <c r="GF95" s="252"/>
      <c r="GG95" s="252"/>
      <c r="GH95" s="252"/>
      <c r="GI95" s="252"/>
      <c r="GJ95" s="252"/>
      <c r="GK95" s="251"/>
      <c r="GL95" s="250"/>
      <c r="GM95" s="250"/>
      <c r="GN95" s="250"/>
      <c r="GO95" s="250"/>
      <c r="GP95" s="250"/>
      <c r="GQ95" s="250"/>
      <c r="GR95" s="250"/>
      <c r="GS95" s="250"/>
      <c r="GT95" s="250"/>
      <c r="GU95" s="251"/>
      <c r="GV95" s="250"/>
      <c r="GW95" s="250"/>
      <c r="GX95" s="250"/>
      <c r="GY95" s="250"/>
      <c r="GZ95" s="250"/>
      <c r="HA95" s="250"/>
      <c r="HB95" s="250"/>
      <c r="HC95" s="250"/>
      <c r="HD95" s="250"/>
      <c r="HE95" s="250"/>
      <c r="HF95" s="250"/>
      <c r="HG95" s="250"/>
      <c r="HH95" s="251"/>
      <c r="HI95" s="424"/>
      <c r="HJ95" s="255"/>
      <c r="HK95" s="255"/>
      <c r="HL95" s="250"/>
      <c r="HM95" s="255"/>
      <c r="HN95" s="255"/>
      <c r="HO95" s="255"/>
      <c r="HP95" s="250"/>
      <c r="HQ95" s="250"/>
      <c r="HR95" s="250"/>
      <c r="HS95" s="250"/>
      <c r="HT95" s="250"/>
      <c r="HU95" s="251"/>
      <c r="HX95" s="252"/>
      <c r="HY95" s="252"/>
      <c r="HZ95" s="252"/>
      <c r="ID95" s="252"/>
      <c r="IE95" s="252"/>
      <c r="IF95" s="252"/>
      <c r="IJ95" s="252"/>
      <c r="IK95" s="252"/>
      <c r="IL95" s="252"/>
      <c r="IP95" s="252"/>
      <c r="IQ95" s="252"/>
      <c r="IR95" s="252"/>
      <c r="IY95" s="66"/>
      <c r="IZ95" s="66"/>
      <c r="JA95" s="66"/>
      <c r="JB95" s="250"/>
      <c r="JC95" s="66"/>
      <c r="JD95" s="66"/>
      <c r="JE95" s="66"/>
      <c r="JF95" s="66"/>
      <c r="JG95" s="66"/>
      <c r="JH95" s="66"/>
      <c r="JI95" s="66"/>
      <c r="JJ95" s="66"/>
      <c r="JK95" s="8"/>
      <c r="JN95" s="252"/>
      <c r="JO95" s="252"/>
      <c r="JP95" s="252"/>
      <c r="JT95" s="252"/>
      <c r="JU95" s="252"/>
      <c r="JV95" s="252"/>
      <c r="JZ95" s="252"/>
      <c r="KA95" s="252"/>
      <c r="KB95" s="252"/>
      <c r="KF95" s="252"/>
      <c r="KG95" s="252"/>
      <c r="KH95" s="252"/>
      <c r="KO95" s="66"/>
      <c r="KP95" s="66"/>
      <c r="KQ95" s="66"/>
      <c r="KR95" s="66"/>
      <c r="KS95" s="66"/>
      <c r="KT95" s="66"/>
      <c r="KU95" s="66"/>
      <c r="KV95" s="66"/>
      <c r="KW95" s="66"/>
      <c r="KX95" s="66"/>
      <c r="KY95" s="66"/>
      <c r="KZ95" s="66"/>
      <c r="LA95" s="8"/>
      <c r="LD95" s="252"/>
      <c r="LE95" s="252"/>
      <c r="LF95" s="252"/>
      <c r="LJ95" s="252"/>
      <c r="LK95" s="252"/>
      <c r="LN95" s="252"/>
      <c r="LO95" s="252"/>
      <c r="LP95" s="252"/>
      <c r="LT95" s="271"/>
      <c r="LU95" s="250"/>
      <c r="LV95" s="250"/>
      <c r="LW95" s="250"/>
      <c r="LX95" s="250"/>
      <c r="LY95" s="250"/>
      <c r="LZ95" s="250"/>
      <c r="MA95" s="250"/>
      <c r="MB95" s="250"/>
      <c r="MC95" s="250"/>
      <c r="MD95" s="250"/>
      <c r="ME95" s="250"/>
      <c r="MF95" s="250"/>
      <c r="MG95" s="250"/>
      <c r="MH95" s="250"/>
      <c r="MI95" s="250"/>
      <c r="MJ95" s="250"/>
      <c r="MK95" s="424"/>
      <c r="ML95" s="640"/>
      <c r="MM95" s="251"/>
      <c r="MN95" s="252"/>
      <c r="MO95" s="252"/>
      <c r="MP95" s="252"/>
      <c r="MQ95" s="252"/>
      <c r="MR95" s="252"/>
      <c r="MS95" s="252"/>
      <c r="MT95" s="252"/>
      <c r="MU95" s="252"/>
      <c r="MV95" s="252"/>
      <c r="MW95" s="252"/>
      <c r="MX95" s="252"/>
      <c r="MY95" s="252"/>
      <c r="MZ95" s="252"/>
      <c r="NA95" s="252"/>
      <c r="NB95" s="252"/>
      <c r="NC95" s="251"/>
      <c r="ND95" s="250"/>
      <c r="NE95" s="250"/>
      <c r="NF95" s="250"/>
      <c r="NG95" s="250"/>
      <c r="NH95" s="250"/>
      <c r="NI95" s="250"/>
      <c r="NJ95" s="250"/>
      <c r="NK95" s="250"/>
      <c r="NL95" s="250"/>
      <c r="NM95" s="250"/>
      <c r="NN95" s="250"/>
      <c r="NO95" s="250"/>
      <c r="NP95" s="250"/>
      <c r="NQ95" s="250"/>
      <c r="NR95" s="250"/>
      <c r="NS95" s="250"/>
      <c r="NT95" s="250"/>
      <c r="NU95" s="250"/>
      <c r="NV95" s="250"/>
      <c r="NW95" s="251"/>
      <c r="OT95" s="8"/>
      <c r="QG95" s="8"/>
      <c r="RT95" s="8"/>
    </row>
    <row r="96" spans="1:488" s="282" customFormat="1" x14ac:dyDescent="0.25">
      <c r="A96" s="66"/>
      <c r="B96" s="8"/>
      <c r="C96" s="66"/>
      <c r="D96" s="66"/>
      <c r="E96" s="66"/>
      <c r="F96" s="66"/>
      <c r="G96" s="66"/>
      <c r="H96" s="66"/>
      <c r="I96" s="66"/>
      <c r="J96" s="66"/>
      <c r="K96" s="66"/>
      <c r="L96" s="66"/>
      <c r="M96" s="66"/>
      <c r="N96" s="66"/>
      <c r="O96" s="66"/>
      <c r="P96" s="66"/>
      <c r="Q96" s="66"/>
      <c r="R96" s="66"/>
      <c r="S96" s="66"/>
      <c r="T96" s="68"/>
      <c r="AC96" s="66"/>
      <c r="AD96" s="66"/>
      <c r="AE96" s="68"/>
      <c r="AN96" s="66"/>
      <c r="AO96" s="66"/>
      <c r="AP96" s="68"/>
      <c r="AW96" s="66"/>
      <c r="AX96" s="68"/>
      <c r="BD96" s="66"/>
      <c r="BE96" s="68"/>
      <c r="BF96" s="66"/>
      <c r="BG96" s="66"/>
      <c r="BH96" s="66"/>
      <c r="BI96" s="66"/>
      <c r="BJ96" s="66"/>
      <c r="BK96" s="66"/>
      <c r="BL96" s="68"/>
      <c r="BO96" s="66"/>
      <c r="BP96" s="68"/>
      <c r="BV96" s="66"/>
      <c r="BW96" s="68"/>
      <c r="CB96" s="8"/>
      <c r="CH96" s="8"/>
      <c r="CK96" s="299"/>
      <c r="CL96" s="299"/>
      <c r="CM96" s="66"/>
      <c r="CN96" s="66"/>
      <c r="CO96" s="68"/>
      <c r="CR96" s="8"/>
      <c r="CX96" s="66"/>
      <c r="CY96" s="532"/>
      <c r="DE96" s="66"/>
      <c r="DF96" s="66"/>
      <c r="DG96" s="68"/>
      <c r="DH96" s="68"/>
      <c r="DK96" s="66"/>
      <c r="DL96" s="66"/>
      <c r="DM96" s="66"/>
      <c r="DN96" s="66"/>
      <c r="DO96" s="66"/>
      <c r="DP96" s="66"/>
      <c r="DQ96" s="66"/>
      <c r="DR96" s="66"/>
      <c r="DS96" s="66"/>
      <c r="DT96" s="68"/>
      <c r="DU96" s="66"/>
      <c r="DV96" s="296"/>
      <c r="DW96" s="330"/>
      <c r="DX96" s="631"/>
      <c r="DY96" s="631"/>
      <c r="DZ96" s="631"/>
      <c r="EA96" s="330"/>
      <c r="EC96" s="66"/>
      <c r="ED96" s="68"/>
      <c r="EH96" s="66"/>
      <c r="EI96" s="66"/>
      <c r="EJ96" s="68"/>
      <c r="EK96" s="252"/>
      <c r="EL96" s="252"/>
      <c r="EM96" s="252"/>
      <c r="EO96" s="252"/>
      <c r="EP96" s="252"/>
      <c r="EQ96" s="252"/>
      <c r="ES96" s="252"/>
      <c r="ET96" s="252"/>
      <c r="EU96" s="252"/>
      <c r="EW96" s="252"/>
      <c r="EX96" s="252"/>
      <c r="EY96" s="252"/>
      <c r="FA96" s="250"/>
      <c r="FB96" s="250"/>
      <c r="FC96" s="250"/>
      <c r="FD96" s="250"/>
      <c r="FE96" s="250"/>
      <c r="FF96" s="250"/>
      <c r="FG96" s="250"/>
      <c r="FH96" s="424"/>
      <c r="FI96" s="250"/>
      <c r="FJ96" s="250"/>
      <c r="FK96" s="250"/>
      <c r="FL96" s="256"/>
      <c r="FM96" s="250"/>
      <c r="FN96" s="256"/>
      <c r="FO96" s="250"/>
      <c r="FP96" s="256"/>
      <c r="FQ96" s="250"/>
      <c r="FR96" s="256"/>
      <c r="FS96" s="250"/>
      <c r="FT96" s="256"/>
      <c r="FU96" s="256"/>
      <c r="FV96" s="256"/>
      <c r="FW96" s="250"/>
      <c r="FX96" s="424"/>
      <c r="FY96" s="251"/>
      <c r="GC96" s="252"/>
      <c r="GF96" s="252"/>
      <c r="GG96" s="252"/>
      <c r="GH96" s="252"/>
      <c r="GI96" s="252"/>
      <c r="GJ96" s="252"/>
      <c r="GK96" s="251"/>
      <c r="GL96" s="250"/>
      <c r="GM96" s="250"/>
      <c r="GN96" s="250"/>
      <c r="GO96" s="250"/>
      <c r="GP96" s="250"/>
      <c r="GQ96" s="250"/>
      <c r="GR96" s="250"/>
      <c r="GS96" s="250"/>
      <c r="GT96" s="250"/>
      <c r="GU96" s="251"/>
      <c r="GV96" s="250"/>
      <c r="GW96" s="250"/>
      <c r="GX96" s="250"/>
      <c r="GY96" s="250"/>
      <c r="GZ96" s="250"/>
      <c r="HA96" s="250"/>
      <c r="HB96" s="250"/>
      <c r="HC96" s="250"/>
      <c r="HD96" s="250"/>
      <c r="HE96" s="250"/>
      <c r="HF96" s="250"/>
      <c r="HG96" s="250"/>
      <c r="HH96" s="251"/>
      <c r="HI96" s="424"/>
      <c r="HJ96" s="255"/>
      <c r="HK96" s="255"/>
      <c r="HL96" s="250"/>
      <c r="HM96" s="255"/>
      <c r="HN96" s="255"/>
      <c r="HO96" s="255"/>
      <c r="HP96" s="250"/>
      <c r="HQ96" s="250"/>
      <c r="HR96" s="250"/>
      <c r="HS96" s="250"/>
      <c r="HT96" s="250"/>
      <c r="HU96" s="251"/>
      <c r="HX96" s="252"/>
      <c r="HY96" s="252"/>
      <c r="HZ96" s="252"/>
      <c r="ID96" s="252"/>
      <c r="IE96" s="252"/>
      <c r="IF96" s="252"/>
      <c r="IJ96" s="252"/>
      <c r="IK96" s="252"/>
      <c r="IL96" s="252"/>
      <c r="IP96" s="252"/>
      <c r="IQ96" s="252"/>
      <c r="IR96" s="252"/>
      <c r="IY96" s="66"/>
      <c r="IZ96" s="66"/>
      <c r="JA96" s="66"/>
      <c r="JB96" s="250"/>
      <c r="JC96" s="66"/>
      <c r="JD96" s="66"/>
      <c r="JE96" s="66"/>
      <c r="JF96" s="66"/>
      <c r="JG96" s="66"/>
      <c r="JH96" s="66"/>
      <c r="JI96" s="66"/>
      <c r="JJ96" s="66"/>
      <c r="JK96" s="8"/>
      <c r="JN96" s="252"/>
      <c r="JO96" s="252"/>
      <c r="JP96" s="252"/>
      <c r="JT96" s="252"/>
      <c r="JU96" s="252"/>
      <c r="JV96" s="252"/>
      <c r="JZ96" s="252"/>
      <c r="KA96" s="252"/>
      <c r="KB96" s="252"/>
      <c r="KF96" s="252"/>
      <c r="KG96" s="252"/>
      <c r="KH96" s="252"/>
      <c r="KO96" s="66"/>
      <c r="KP96" s="66"/>
      <c r="KQ96" s="66"/>
      <c r="KR96" s="66"/>
      <c r="KS96" s="66"/>
      <c r="KT96" s="66"/>
      <c r="KU96" s="66"/>
      <c r="KV96" s="66"/>
      <c r="KW96" s="66"/>
      <c r="KX96" s="66"/>
      <c r="KY96" s="66"/>
      <c r="KZ96" s="66"/>
      <c r="LA96" s="8"/>
      <c r="LD96" s="252"/>
      <c r="LE96" s="252"/>
      <c r="LF96" s="252"/>
      <c r="LJ96" s="252"/>
      <c r="LK96" s="252"/>
      <c r="LN96" s="252"/>
      <c r="LO96" s="252"/>
      <c r="LP96" s="252"/>
      <c r="LT96" s="271"/>
      <c r="LU96" s="250"/>
      <c r="LV96" s="250"/>
      <c r="LW96" s="250"/>
      <c r="LX96" s="250"/>
      <c r="LY96" s="250"/>
      <c r="LZ96" s="250"/>
      <c r="MA96" s="250"/>
      <c r="MB96" s="250"/>
      <c r="MC96" s="250"/>
      <c r="MD96" s="250"/>
      <c r="ME96" s="250"/>
      <c r="MF96" s="250"/>
      <c r="MG96" s="250"/>
      <c r="MH96" s="250"/>
      <c r="MI96" s="250"/>
      <c r="MJ96" s="250"/>
      <c r="MK96" s="424"/>
      <c r="ML96" s="640"/>
      <c r="MM96" s="251"/>
      <c r="MN96" s="252"/>
      <c r="MO96" s="252"/>
      <c r="MP96" s="252"/>
      <c r="MQ96" s="252"/>
      <c r="MR96" s="252"/>
      <c r="MS96" s="252"/>
      <c r="MT96" s="252"/>
      <c r="MU96" s="252"/>
      <c r="MV96" s="252"/>
      <c r="MW96" s="252"/>
      <c r="MX96" s="252"/>
      <c r="MY96" s="252"/>
      <c r="MZ96" s="252"/>
      <c r="NA96" s="252"/>
      <c r="NB96" s="252"/>
      <c r="NC96" s="251"/>
      <c r="ND96" s="250"/>
      <c r="NE96" s="250"/>
      <c r="NF96" s="250"/>
      <c r="NG96" s="250"/>
      <c r="NH96" s="250"/>
      <c r="NI96" s="250"/>
      <c r="NJ96" s="250"/>
      <c r="NK96" s="250"/>
      <c r="NL96" s="250"/>
      <c r="NM96" s="250"/>
      <c r="NN96" s="250"/>
      <c r="NO96" s="250"/>
      <c r="NP96" s="250"/>
      <c r="NQ96" s="250"/>
      <c r="NR96" s="250"/>
      <c r="NS96" s="250"/>
      <c r="NT96" s="250"/>
      <c r="NU96" s="250"/>
      <c r="NV96" s="250"/>
      <c r="NW96" s="251"/>
      <c r="OT96" s="8"/>
      <c r="QG96" s="8"/>
      <c r="RT96" s="8"/>
    </row>
    <row r="97" spans="1:488" s="282" customFormat="1" x14ac:dyDescent="0.25">
      <c r="A97" s="66"/>
      <c r="B97" s="8"/>
      <c r="C97" s="66"/>
      <c r="D97" s="66"/>
      <c r="E97" s="66"/>
      <c r="F97" s="66"/>
      <c r="G97" s="66"/>
      <c r="H97" s="66"/>
      <c r="I97" s="66"/>
      <c r="J97" s="66"/>
      <c r="K97" s="66"/>
      <c r="L97" s="66"/>
      <c r="M97" s="66"/>
      <c r="N97" s="66"/>
      <c r="O97" s="66"/>
      <c r="P97" s="66"/>
      <c r="Q97" s="66"/>
      <c r="R97" s="66"/>
      <c r="S97" s="66"/>
      <c r="T97" s="68"/>
      <c r="AC97" s="66"/>
      <c r="AD97" s="66"/>
      <c r="AE97" s="68"/>
      <c r="AN97" s="66"/>
      <c r="AO97" s="66"/>
      <c r="AP97" s="68"/>
      <c r="AW97" s="66"/>
      <c r="AX97" s="68"/>
      <c r="BD97" s="66"/>
      <c r="BE97" s="68"/>
      <c r="BF97" s="66"/>
      <c r="BG97" s="66"/>
      <c r="BH97" s="66"/>
      <c r="BI97" s="66"/>
      <c r="BJ97" s="66"/>
      <c r="BK97" s="66"/>
      <c r="BL97" s="68"/>
      <c r="BO97" s="66"/>
      <c r="BP97" s="68"/>
      <c r="BV97" s="66"/>
      <c r="BW97" s="68"/>
      <c r="CB97" s="8"/>
      <c r="CH97" s="8"/>
      <c r="CK97" s="299"/>
      <c r="CL97" s="299"/>
      <c r="CM97" s="66"/>
      <c r="CN97" s="66"/>
      <c r="CO97" s="68"/>
      <c r="CR97" s="8"/>
      <c r="CX97" s="66"/>
      <c r="CY97" s="532"/>
      <c r="DE97" s="66"/>
      <c r="DF97" s="66"/>
      <c r="DG97" s="68"/>
      <c r="DH97" s="68"/>
      <c r="DK97" s="66"/>
      <c r="DL97" s="66"/>
      <c r="DM97" s="66"/>
      <c r="DN97" s="66"/>
      <c r="DO97" s="66"/>
      <c r="DP97" s="66"/>
      <c r="DQ97" s="66"/>
      <c r="DR97" s="66"/>
      <c r="DS97" s="66"/>
      <c r="DT97" s="68"/>
      <c r="DU97" s="66"/>
      <c r="DV97" s="296"/>
      <c r="DW97" s="330"/>
      <c r="DX97" s="631"/>
      <c r="DY97" s="631"/>
      <c r="DZ97" s="631"/>
      <c r="EA97" s="330"/>
      <c r="EC97" s="66"/>
      <c r="ED97" s="68"/>
      <c r="EH97" s="66"/>
      <c r="EI97" s="66"/>
      <c r="EJ97" s="68"/>
      <c r="EK97" s="252"/>
      <c r="EL97" s="252"/>
      <c r="EM97" s="252"/>
      <c r="EO97" s="252"/>
      <c r="EP97" s="252"/>
      <c r="EQ97" s="252"/>
      <c r="ES97" s="252"/>
      <c r="ET97" s="252"/>
      <c r="EU97" s="252"/>
      <c r="EW97" s="252"/>
      <c r="EX97" s="252"/>
      <c r="EY97" s="252"/>
      <c r="FA97" s="250"/>
      <c r="FB97" s="250"/>
      <c r="FC97" s="250"/>
      <c r="FD97" s="250"/>
      <c r="FE97" s="250"/>
      <c r="FF97" s="250"/>
      <c r="FG97" s="250"/>
      <c r="FH97" s="424"/>
      <c r="FI97" s="250"/>
      <c r="FJ97" s="250"/>
      <c r="FK97" s="250"/>
      <c r="FL97" s="256"/>
      <c r="FM97" s="250"/>
      <c r="FN97" s="256"/>
      <c r="FO97" s="250"/>
      <c r="FP97" s="256"/>
      <c r="FQ97" s="250"/>
      <c r="FR97" s="256"/>
      <c r="FS97" s="250"/>
      <c r="FT97" s="256"/>
      <c r="FU97" s="256"/>
      <c r="FV97" s="256"/>
      <c r="FW97" s="250"/>
      <c r="FX97" s="424"/>
      <c r="FY97" s="251"/>
      <c r="GC97" s="252"/>
      <c r="GF97" s="252"/>
      <c r="GG97" s="252"/>
      <c r="GH97" s="252"/>
      <c r="GI97" s="252"/>
      <c r="GJ97" s="252"/>
      <c r="GK97" s="251"/>
      <c r="GL97" s="250"/>
      <c r="GM97" s="250"/>
      <c r="GN97" s="250"/>
      <c r="GO97" s="250"/>
      <c r="GP97" s="250"/>
      <c r="GQ97" s="250"/>
      <c r="GR97" s="250"/>
      <c r="GS97" s="250"/>
      <c r="GT97" s="250"/>
      <c r="GU97" s="251"/>
      <c r="GV97" s="250"/>
      <c r="GW97" s="250"/>
      <c r="GX97" s="250"/>
      <c r="GY97" s="250"/>
      <c r="GZ97" s="250"/>
      <c r="HA97" s="250"/>
      <c r="HB97" s="250"/>
      <c r="HC97" s="250"/>
      <c r="HD97" s="250"/>
      <c r="HE97" s="250"/>
      <c r="HF97" s="250"/>
      <c r="HG97" s="250"/>
      <c r="HH97" s="251"/>
      <c r="HI97" s="424"/>
      <c r="HJ97" s="255"/>
      <c r="HK97" s="255"/>
      <c r="HL97" s="250"/>
      <c r="HM97" s="255"/>
      <c r="HN97" s="255"/>
      <c r="HO97" s="255"/>
      <c r="HP97" s="250"/>
      <c r="HQ97" s="250"/>
      <c r="HR97" s="250"/>
      <c r="HS97" s="250"/>
      <c r="HT97" s="250"/>
      <c r="HU97" s="251"/>
      <c r="HX97" s="252"/>
      <c r="HY97" s="252"/>
      <c r="HZ97" s="252"/>
      <c r="ID97" s="252"/>
      <c r="IE97" s="252"/>
      <c r="IF97" s="252"/>
      <c r="IJ97" s="252"/>
      <c r="IK97" s="252"/>
      <c r="IL97" s="252"/>
      <c r="IP97" s="252"/>
      <c r="IQ97" s="252"/>
      <c r="IR97" s="252"/>
      <c r="IY97" s="66"/>
      <c r="IZ97" s="66"/>
      <c r="JA97" s="66"/>
      <c r="JB97" s="250"/>
      <c r="JC97" s="66"/>
      <c r="JD97" s="66"/>
      <c r="JE97" s="66"/>
      <c r="JF97" s="66"/>
      <c r="JG97" s="66"/>
      <c r="JH97" s="66"/>
      <c r="JI97" s="66"/>
      <c r="JJ97" s="66"/>
      <c r="JK97" s="8"/>
      <c r="JN97" s="252"/>
      <c r="JO97" s="252"/>
      <c r="JP97" s="252"/>
      <c r="JT97" s="252"/>
      <c r="JU97" s="252"/>
      <c r="JV97" s="252"/>
      <c r="JZ97" s="252"/>
      <c r="KA97" s="252"/>
      <c r="KB97" s="252"/>
      <c r="KF97" s="252"/>
      <c r="KG97" s="252"/>
      <c r="KH97" s="252"/>
      <c r="KO97" s="66"/>
      <c r="KP97" s="66"/>
      <c r="KQ97" s="66"/>
      <c r="KR97" s="66"/>
      <c r="KS97" s="66"/>
      <c r="KT97" s="66"/>
      <c r="KU97" s="66"/>
      <c r="KV97" s="66"/>
      <c r="KW97" s="66"/>
      <c r="KX97" s="66"/>
      <c r="KY97" s="66"/>
      <c r="KZ97" s="66"/>
      <c r="LA97" s="8"/>
      <c r="LD97" s="252"/>
      <c r="LE97" s="252"/>
      <c r="LF97" s="252"/>
      <c r="LJ97" s="252"/>
      <c r="LK97" s="252"/>
      <c r="LN97" s="252"/>
      <c r="LO97" s="252"/>
      <c r="LP97" s="252"/>
      <c r="LT97" s="271"/>
      <c r="LU97" s="250"/>
      <c r="LV97" s="250"/>
      <c r="LW97" s="250"/>
      <c r="LX97" s="250"/>
      <c r="LY97" s="250"/>
      <c r="LZ97" s="250"/>
      <c r="MA97" s="250"/>
      <c r="MB97" s="250"/>
      <c r="MC97" s="250"/>
      <c r="MD97" s="250"/>
      <c r="ME97" s="250"/>
      <c r="MF97" s="250"/>
      <c r="MG97" s="250"/>
      <c r="MH97" s="250"/>
      <c r="MI97" s="250"/>
      <c r="MJ97" s="250"/>
      <c r="MK97" s="424"/>
      <c r="ML97" s="640"/>
      <c r="MM97" s="251"/>
      <c r="MN97" s="252"/>
      <c r="MO97" s="252"/>
      <c r="MP97" s="252"/>
      <c r="MQ97" s="252"/>
      <c r="MR97" s="252"/>
      <c r="MS97" s="252"/>
      <c r="MT97" s="252"/>
      <c r="MU97" s="252"/>
      <c r="MV97" s="252"/>
      <c r="MW97" s="252"/>
      <c r="MX97" s="252"/>
      <c r="MY97" s="252"/>
      <c r="MZ97" s="252"/>
      <c r="NA97" s="252"/>
      <c r="NB97" s="252"/>
      <c r="NC97" s="251"/>
      <c r="ND97" s="250"/>
      <c r="NE97" s="250"/>
      <c r="NF97" s="250"/>
      <c r="NG97" s="250"/>
      <c r="NH97" s="250"/>
      <c r="NI97" s="250"/>
      <c r="NJ97" s="250"/>
      <c r="NK97" s="250"/>
      <c r="NL97" s="250"/>
      <c r="NM97" s="250"/>
      <c r="NN97" s="250"/>
      <c r="NO97" s="250"/>
      <c r="NP97" s="250"/>
      <c r="NQ97" s="250"/>
      <c r="NR97" s="250"/>
      <c r="NS97" s="250"/>
      <c r="NT97" s="250"/>
      <c r="NU97" s="250"/>
      <c r="NV97" s="250"/>
      <c r="NW97" s="251"/>
      <c r="OT97" s="8"/>
      <c r="QG97" s="8"/>
      <c r="RT97" s="8"/>
    </row>
    <row r="98" spans="1:488" s="282" customFormat="1" x14ac:dyDescent="0.25">
      <c r="A98" s="66"/>
      <c r="B98" s="8"/>
      <c r="C98" s="66"/>
      <c r="D98" s="66"/>
      <c r="E98" s="66"/>
      <c r="F98" s="66"/>
      <c r="G98" s="66"/>
      <c r="H98" s="66"/>
      <c r="I98" s="66"/>
      <c r="J98" s="66"/>
      <c r="K98" s="66"/>
      <c r="L98" s="66"/>
      <c r="M98" s="66"/>
      <c r="N98" s="66"/>
      <c r="O98" s="66"/>
      <c r="P98" s="66"/>
      <c r="Q98" s="66"/>
      <c r="R98" s="66"/>
      <c r="S98" s="66"/>
      <c r="T98" s="68"/>
      <c r="AC98" s="66"/>
      <c r="AD98" s="66"/>
      <c r="AE98" s="68"/>
      <c r="AN98" s="66"/>
      <c r="AO98" s="66"/>
      <c r="AP98" s="68"/>
      <c r="AW98" s="66"/>
      <c r="AX98" s="68"/>
      <c r="BD98" s="66"/>
      <c r="BE98" s="68"/>
      <c r="BF98" s="66"/>
      <c r="BG98" s="66"/>
      <c r="BH98" s="66"/>
      <c r="BI98" s="66"/>
      <c r="BJ98" s="66"/>
      <c r="BK98" s="66"/>
      <c r="BL98" s="68"/>
      <c r="BO98" s="66"/>
      <c r="BP98" s="68"/>
      <c r="BV98" s="66"/>
      <c r="BW98" s="68"/>
      <c r="CB98" s="8"/>
      <c r="CH98" s="8"/>
      <c r="CK98" s="299"/>
      <c r="CL98" s="299"/>
      <c r="CM98" s="66"/>
      <c r="CN98" s="66"/>
      <c r="CO98" s="68"/>
      <c r="CR98" s="8"/>
      <c r="CX98" s="66"/>
      <c r="CY98" s="532"/>
      <c r="DE98" s="66"/>
      <c r="DF98" s="66"/>
      <c r="DG98" s="68"/>
      <c r="DH98" s="68"/>
      <c r="DK98" s="66"/>
      <c r="DL98" s="66"/>
      <c r="DM98" s="66"/>
      <c r="DN98" s="66"/>
      <c r="DO98" s="66"/>
      <c r="DP98" s="66"/>
      <c r="DQ98" s="66"/>
      <c r="DR98" s="66"/>
      <c r="DS98" s="66"/>
      <c r="DT98" s="68"/>
      <c r="DU98" s="66"/>
      <c r="DV98" s="296"/>
      <c r="DW98" s="330"/>
      <c r="DX98" s="631"/>
      <c r="DY98" s="631"/>
      <c r="DZ98" s="631"/>
      <c r="EA98" s="330"/>
      <c r="EC98" s="66"/>
      <c r="ED98" s="68"/>
      <c r="EH98" s="66"/>
      <c r="EI98" s="66"/>
      <c r="EJ98" s="68"/>
      <c r="EK98" s="252"/>
      <c r="EL98" s="252"/>
      <c r="EM98" s="252"/>
      <c r="EO98" s="252"/>
      <c r="EP98" s="252"/>
      <c r="EQ98" s="252"/>
      <c r="ES98" s="252"/>
      <c r="ET98" s="252"/>
      <c r="EU98" s="252"/>
      <c r="EW98" s="252"/>
      <c r="EX98" s="252"/>
      <c r="EY98" s="252"/>
      <c r="FA98" s="250"/>
      <c r="FB98" s="250"/>
      <c r="FC98" s="250"/>
      <c r="FD98" s="250"/>
      <c r="FE98" s="250"/>
      <c r="FF98" s="250"/>
      <c r="FG98" s="250"/>
      <c r="FH98" s="424"/>
      <c r="FI98" s="250"/>
      <c r="FJ98" s="250"/>
      <c r="FK98" s="250"/>
      <c r="FL98" s="256"/>
      <c r="FM98" s="250"/>
      <c r="FN98" s="256"/>
      <c r="FO98" s="250"/>
      <c r="FP98" s="256"/>
      <c r="FQ98" s="250"/>
      <c r="FR98" s="256"/>
      <c r="FS98" s="250"/>
      <c r="FT98" s="256"/>
      <c r="FU98" s="256"/>
      <c r="FV98" s="256"/>
      <c r="FW98" s="250"/>
      <c r="FX98" s="424"/>
      <c r="FY98" s="251"/>
      <c r="GC98" s="252"/>
      <c r="GF98" s="252"/>
      <c r="GG98" s="252"/>
      <c r="GH98" s="252"/>
      <c r="GI98" s="252"/>
      <c r="GJ98" s="252"/>
      <c r="GK98" s="251"/>
      <c r="GL98" s="250"/>
      <c r="GM98" s="250"/>
      <c r="GN98" s="250"/>
      <c r="GO98" s="250"/>
      <c r="GP98" s="250"/>
      <c r="GQ98" s="250"/>
      <c r="GR98" s="250"/>
      <c r="GS98" s="250"/>
      <c r="GT98" s="250"/>
      <c r="GU98" s="251"/>
      <c r="GV98" s="250"/>
      <c r="GW98" s="250"/>
      <c r="GX98" s="250"/>
      <c r="GY98" s="250"/>
      <c r="GZ98" s="250"/>
      <c r="HA98" s="250"/>
      <c r="HB98" s="250"/>
      <c r="HC98" s="250"/>
      <c r="HD98" s="250"/>
      <c r="HE98" s="250"/>
      <c r="HF98" s="250"/>
      <c r="HG98" s="250"/>
      <c r="HH98" s="251"/>
      <c r="HI98" s="424"/>
      <c r="HJ98" s="255"/>
      <c r="HK98" s="255"/>
      <c r="HL98" s="250"/>
      <c r="HM98" s="255"/>
      <c r="HN98" s="255"/>
      <c r="HO98" s="255"/>
      <c r="HP98" s="250"/>
      <c r="HQ98" s="250"/>
      <c r="HR98" s="250"/>
      <c r="HS98" s="250"/>
      <c r="HT98" s="250"/>
      <c r="HU98" s="251"/>
      <c r="HX98" s="252"/>
      <c r="HY98" s="252"/>
      <c r="HZ98" s="252"/>
      <c r="ID98" s="252"/>
      <c r="IE98" s="252"/>
      <c r="IF98" s="252"/>
      <c r="IJ98" s="252"/>
      <c r="IK98" s="252"/>
      <c r="IL98" s="252"/>
      <c r="IP98" s="252"/>
      <c r="IQ98" s="252"/>
      <c r="IR98" s="252"/>
      <c r="IY98" s="66"/>
      <c r="IZ98" s="66"/>
      <c r="JA98" s="66"/>
      <c r="JB98" s="250"/>
      <c r="JC98" s="66"/>
      <c r="JD98" s="66"/>
      <c r="JE98" s="66"/>
      <c r="JF98" s="66"/>
      <c r="JG98" s="66"/>
      <c r="JH98" s="66"/>
      <c r="JI98" s="66"/>
      <c r="JJ98" s="66"/>
      <c r="JK98" s="8"/>
      <c r="JN98" s="252"/>
      <c r="JO98" s="252"/>
      <c r="JP98" s="252"/>
      <c r="JT98" s="252"/>
      <c r="JU98" s="252"/>
      <c r="JV98" s="252"/>
      <c r="JZ98" s="252"/>
      <c r="KA98" s="252"/>
      <c r="KB98" s="252"/>
      <c r="KF98" s="252"/>
      <c r="KG98" s="252"/>
      <c r="KH98" s="252"/>
      <c r="KO98" s="66"/>
      <c r="KP98" s="66"/>
      <c r="KQ98" s="66"/>
      <c r="KR98" s="66"/>
      <c r="KS98" s="66"/>
      <c r="KT98" s="66"/>
      <c r="KU98" s="66"/>
      <c r="KV98" s="66"/>
      <c r="KW98" s="66"/>
      <c r="KX98" s="66"/>
      <c r="KY98" s="66"/>
      <c r="KZ98" s="66"/>
      <c r="LA98" s="8"/>
      <c r="LD98" s="252"/>
      <c r="LE98" s="252"/>
      <c r="LF98" s="252"/>
      <c r="LJ98" s="252"/>
      <c r="LK98" s="252"/>
      <c r="LN98" s="252"/>
      <c r="LO98" s="252"/>
      <c r="LP98" s="252"/>
      <c r="LT98" s="271"/>
      <c r="LU98" s="250"/>
      <c r="LV98" s="250"/>
      <c r="LW98" s="250"/>
      <c r="LX98" s="250"/>
      <c r="LY98" s="250"/>
      <c r="LZ98" s="250"/>
      <c r="MA98" s="250"/>
      <c r="MB98" s="250"/>
      <c r="MC98" s="250"/>
      <c r="MD98" s="250"/>
      <c r="ME98" s="250"/>
      <c r="MF98" s="250"/>
      <c r="MG98" s="250"/>
      <c r="MH98" s="250"/>
      <c r="MI98" s="250"/>
      <c r="MJ98" s="250"/>
      <c r="MK98" s="424"/>
      <c r="ML98" s="640"/>
      <c r="MM98" s="251"/>
      <c r="MN98" s="252"/>
      <c r="MO98" s="252"/>
      <c r="MP98" s="252"/>
      <c r="MQ98" s="252"/>
      <c r="MR98" s="252"/>
      <c r="MS98" s="252"/>
      <c r="MT98" s="252"/>
      <c r="MU98" s="252"/>
      <c r="MV98" s="252"/>
      <c r="MW98" s="252"/>
      <c r="MX98" s="252"/>
      <c r="MY98" s="252"/>
      <c r="MZ98" s="252"/>
      <c r="NA98" s="252"/>
      <c r="NB98" s="252"/>
      <c r="NC98" s="251"/>
      <c r="ND98" s="250"/>
      <c r="NE98" s="250"/>
      <c r="NF98" s="250"/>
      <c r="NG98" s="250"/>
      <c r="NH98" s="250"/>
      <c r="NI98" s="250"/>
      <c r="NJ98" s="250"/>
      <c r="NK98" s="250"/>
      <c r="NL98" s="250"/>
      <c r="NM98" s="250"/>
      <c r="NN98" s="250"/>
      <c r="NO98" s="250"/>
      <c r="NP98" s="250"/>
      <c r="NQ98" s="250"/>
      <c r="NR98" s="250"/>
      <c r="NS98" s="250"/>
      <c r="NT98" s="250"/>
      <c r="NU98" s="250"/>
      <c r="NV98" s="250"/>
      <c r="NW98" s="251"/>
      <c r="OT98" s="8"/>
      <c r="QG98" s="8"/>
      <c r="RT98" s="8"/>
    </row>
    <row r="99" spans="1:488" s="282" customFormat="1" x14ac:dyDescent="0.25">
      <c r="A99" s="66"/>
      <c r="B99" s="8"/>
      <c r="C99" s="66"/>
      <c r="D99" s="66"/>
      <c r="E99" s="66"/>
      <c r="F99" s="66"/>
      <c r="G99" s="66"/>
      <c r="H99" s="66"/>
      <c r="I99" s="66"/>
      <c r="J99" s="66"/>
      <c r="K99" s="66"/>
      <c r="L99" s="66"/>
      <c r="M99" s="66"/>
      <c r="N99" s="66"/>
      <c r="O99" s="66"/>
      <c r="P99" s="66"/>
      <c r="Q99" s="66"/>
      <c r="R99" s="66"/>
      <c r="S99" s="66"/>
      <c r="T99" s="68"/>
      <c r="AC99" s="66"/>
      <c r="AD99" s="66"/>
      <c r="AE99" s="68"/>
      <c r="AN99" s="66"/>
      <c r="AO99" s="66"/>
      <c r="AP99" s="68"/>
      <c r="AW99" s="66"/>
      <c r="AX99" s="68"/>
      <c r="BD99" s="66"/>
      <c r="BE99" s="68"/>
      <c r="BF99" s="66"/>
      <c r="BG99" s="66"/>
      <c r="BH99" s="66"/>
      <c r="BI99" s="66"/>
      <c r="BJ99" s="66"/>
      <c r="BK99" s="66"/>
      <c r="BL99" s="68"/>
      <c r="BO99" s="66"/>
      <c r="BP99" s="68"/>
      <c r="BV99" s="66"/>
      <c r="BW99" s="68"/>
      <c r="CB99" s="8"/>
      <c r="CH99" s="8"/>
      <c r="CK99" s="299"/>
      <c r="CL99" s="299"/>
      <c r="CM99" s="66"/>
      <c r="CN99" s="66"/>
      <c r="CO99" s="68"/>
      <c r="CR99" s="8"/>
      <c r="CX99" s="66"/>
      <c r="CY99" s="532"/>
      <c r="DE99" s="66"/>
      <c r="DF99" s="66"/>
      <c r="DG99" s="68"/>
      <c r="DH99" s="68"/>
      <c r="DK99" s="66"/>
      <c r="DL99" s="66"/>
      <c r="DM99" s="66"/>
      <c r="DN99" s="66"/>
      <c r="DO99" s="66"/>
      <c r="DP99" s="66"/>
      <c r="DQ99" s="66"/>
      <c r="DR99" s="66"/>
      <c r="DS99" s="66"/>
      <c r="DT99" s="68"/>
      <c r="DU99" s="66"/>
      <c r="DV99" s="296"/>
      <c r="DW99" s="330"/>
      <c r="DX99" s="631"/>
      <c r="DY99" s="631"/>
      <c r="DZ99" s="631"/>
      <c r="EA99" s="330"/>
      <c r="EC99" s="66"/>
      <c r="ED99" s="68"/>
      <c r="EH99" s="66"/>
      <c r="EI99" s="66"/>
      <c r="EJ99" s="68"/>
      <c r="EK99" s="252"/>
      <c r="EL99" s="252"/>
      <c r="EM99" s="252"/>
      <c r="EO99" s="252"/>
      <c r="EP99" s="252"/>
      <c r="EQ99" s="252"/>
      <c r="ES99" s="252"/>
      <c r="ET99" s="252"/>
      <c r="EU99" s="252"/>
      <c r="EW99" s="252"/>
      <c r="EX99" s="252"/>
      <c r="EY99" s="252"/>
      <c r="FA99" s="250"/>
      <c r="FB99" s="250"/>
      <c r="FC99" s="250"/>
      <c r="FD99" s="250"/>
      <c r="FE99" s="250"/>
      <c r="FF99" s="250"/>
      <c r="FG99" s="250"/>
      <c r="FH99" s="424"/>
      <c r="FI99" s="250"/>
      <c r="FJ99" s="250"/>
      <c r="FK99" s="250"/>
      <c r="FL99" s="256"/>
      <c r="FM99" s="250"/>
      <c r="FN99" s="256"/>
      <c r="FO99" s="250"/>
      <c r="FP99" s="256"/>
      <c r="FQ99" s="250"/>
      <c r="FR99" s="256"/>
      <c r="FS99" s="250"/>
      <c r="FT99" s="256"/>
      <c r="FU99" s="256"/>
      <c r="FV99" s="256"/>
      <c r="FW99" s="250"/>
      <c r="FX99" s="424"/>
      <c r="FY99" s="251"/>
      <c r="GC99" s="252"/>
      <c r="GF99" s="252"/>
      <c r="GG99" s="252"/>
      <c r="GH99" s="252"/>
      <c r="GI99" s="252"/>
      <c r="GJ99" s="252"/>
      <c r="GK99" s="251"/>
      <c r="GL99" s="250"/>
      <c r="GM99" s="250"/>
      <c r="GN99" s="250"/>
      <c r="GO99" s="250"/>
      <c r="GP99" s="250"/>
      <c r="GQ99" s="250"/>
      <c r="GR99" s="250"/>
      <c r="GS99" s="250"/>
      <c r="GT99" s="250"/>
      <c r="GU99" s="251"/>
      <c r="GV99" s="250"/>
      <c r="GW99" s="250"/>
      <c r="GX99" s="250"/>
      <c r="GY99" s="250"/>
      <c r="GZ99" s="250"/>
      <c r="HA99" s="250"/>
      <c r="HB99" s="250"/>
      <c r="HC99" s="250"/>
      <c r="HD99" s="250"/>
      <c r="HE99" s="250"/>
      <c r="HF99" s="250"/>
      <c r="HG99" s="250"/>
      <c r="HH99" s="251"/>
      <c r="HI99" s="424"/>
      <c r="HJ99" s="255"/>
      <c r="HK99" s="255"/>
      <c r="HL99" s="250"/>
      <c r="HM99" s="255"/>
      <c r="HN99" s="255"/>
      <c r="HO99" s="255"/>
      <c r="HP99" s="250"/>
      <c r="HQ99" s="250"/>
      <c r="HR99" s="250"/>
      <c r="HS99" s="250"/>
      <c r="HT99" s="250"/>
      <c r="HU99" s="251"/>
      <c r="HX99" s="252"/>
      <c r="HY99" s="252"/>
      <c r="HZ99" s="252"/>
      <c r="ID99" s="252"/>
      <c r="IE99" s="252"/>
      <c r="IF99" s="252"/>
      <c r="IJ99" s="252"/>
      <c r="IK99" s="252"/>
      <c r="IL99" s="252"/>
      <c r="IP99" s="252"/>
      <c r="IQ99" s="252"/>
      <c r="IR99" s="252"/>
      <c r="IY99" s="66"/>
      <c r="IZ99" s="66"/>
      <c r="JA99" s="66"/>
      <c r="JB99" s="250"/>
      <c r="JC99" s="66"/>
      <c r="JD99" s="66"/>
      <c r="JE99" s="66"/>
      <c r="JF99" s="66"/>
      <c r="JG99" s="66"/>
      <c r="JH99" s="66"/>
      <c r="JI99" s="66"/>
      <c r="JJ99" s="66"/>
      <c r="JK99" s="8"/>
      <c r="JN99" s="252"/>
      <c r="JO99" s="252"/>
      <c r="JP99" s="252"/>
      <c r="JT99" s="252"/>
      <c r="JU99" s="252"/>
      <c r="JV99" s="252"/>
      <c r="JZ99" s="252"/>
      <c r="KA99" s="252"/>
      <c r="KB99" s="252"/>
      <c r="KF99" s="252"/>
      <c r="KG99" s="252"/>
      <c r="KH99" s="252"/>
      <c r="KO99" s="66"/>
      <c r="KP99" s="66"/>
      <c r="KQ99" s="66"/>
      <c r="KR99" s="66"/>
      <c r="KS99" s="66"/>
      <c r="KT99" s="66"/>
      <c r="KU99" s="66"/>
      <c r="KV99" s="66"/>
      <c r="KW99" s="66"/>
      <c r="KX99" s="66"/>
      <c r="KY99" s="66"/>
      <c r="KZ99" s="66"/>
      <c r="LA99" s="8"/>
      <c r="LD99" s="252"/>
      <c r="LE99" s="252"/>
      <c r="LF99" s="252"/>
      <c r="LJ99" s="252"/>
      <c r="LK99" s="252"/>
      <c r="LN99" s="252"/>
      <c r="LO99" s="252"/>
      <c r="LP99" s="252"/>
      <c r="LT99" s="271"/>
      <c r="LU99" s="250"/>
      <c r="LV99" s="250"/>
      <c r="LW99" s="250"/>
      <c r="LX99" s="250"/>
      <c r="LY99" s="250"/>
      <c r="LZ99" s="250"/>
      <c r="MA99" s="250"/>
      <c r="MB99" s="250"/>
      <c r="MC99" s="250"/>
      <c r="MD99" s="250"/>
      <c r="ME99" s="250"/>
      <c r="MF99" s="250"/>
      <c r="MG99" s="250"/>
      <c r="MH99" s="250"/>
      <c r="MI99" s="250"/>
      <c r="MJ99" s="250"/>
      <c r="MK99" s="424"/>
      <c r="ML99" s="640"/>
      <c r="MM99" s="251"/>
      <c r="MN99" s="252"/>
      <c r="MO99" s="252"/>
      <c r="MP99" s="252"/>
      <c r="MQ99" s="252"/>
      <c r="MR99" s="252"/>
      <c r="MS99" s="252"/>
      <c r="MT99" s="252"/>
      <c r="MU99" s="252"/>
      <c r="MV99" s="252"/>
      <c r="MW99" s="252"/>
      <c r="MX99" s="252"/>
      <c r="MY99" s="252"/>
      <c r="MZ99" s="252"/>
      <c r="NA99" s="252"/>
      <c r="NB99" s="252"/>
      <c r="NC99" s="251"/>
      <c r="ND99" s="250"/>
      <c r="NE99" s="250"/>
      <c r="NF99" s="250"/>
      <c r="NG99" s="250"/>
      <c r="NH99" s="250"/>
      <c r="NI99" s="250"/>
      <c r="NJ99" s="250"/>
      <c r="NK99" s="250"/>
      <c r="NL99" s="250"/>
      <c r="NM99" s="250"/>
      <c r="NN99" s="250"/>
      <c r="NO99" s="250"/>
      <c r="NP99" s="250"/>
      <c r="NQ99" s="250"/>
      <c r="NR99" s="250"/>
      <c r="NS99" s="250"/>
      <c r="NT99" s="250"/>
      <c r="NU99" s="250"/>
      <c r="NV99" s="250"/>
      <c r="NW99" s="251"/>
      <c r="OT99" s="8"/>
      <c r="QG99" s="8"/>
      <c r="RT99" s="8"/>
    </row>
    <row r="100" spans="1:488" s="282" customFormat="1" x14ac:dyDescent="0.25">
      <c r="A100" s="66"/>
      <c r="B100" s="8"/>
      <c r="C100" s="66"/>
      <c r="D100" s="66"/>
      <c r="E100" s="66"/>
      <c r="F100" s="66"/>
      <c r="G100" s="66"/>
      <c r="H100" s="66"/>
      <c r="I100" s="66"/>
      <c r="J100" s="66"/>
      <c r="K100" s="66"/>
      <c r="L100" s="66"/>
      <c r="M100" s="66"/>
      <c r="N100" s="66"/>
      <c r="O100" s="66"/>
      <c r="P100" s="66"/>
      <c r="Q100" s="66"/>
      <c r="R100" s="66"/>
      <c r="S100" s="66"/>
      <c r="T100" s="68"/>
      <c r="AC100" s="66"/>
      <c r="AD100" s="66"/>
      <c r="AE100" s="68"/>
      <c r="AN100" s="66"/>
      <c r="AO100" s="66"/>
      <c r="AP100" s="68"/>
      <c r="AW100" s="66"/>
      <c r="AX100" s="68"/>
      <c r="BD100" s="66"/>
      <c r="BE100" s="68"/>
      <c r="BF100" s="66"/>
      <c r="BG100" s="66"/>
      <c r="BH100" s="66"/>
      <c r="BI100" s="66"/>
      <c r="BJ100" s="66"/>
      <c r="BK100" s="66"/>
      <c r="BL100" s="68"/>
      <c r="BO100" s="66"/>
      <c r="BP100" s="68"/>
      <c r="BV100" s="66"/>
      <c r="BW100" s="68"/>
      <c r="CB100" s="8"/>
      <c r="CH100" s="8"/>
      <c r="CK100" s="299"/>
      <c r="CL100" s="299"/>
      <c r="CM100" s="66"/>
      <c r="CN100" s="66"/>
      <c r="CO100" s="68"/>
      <c r="CR100" s="8"/>
      <c r="CX100" s="66"/>
      <c r="CY100" s="532"/>
      <c r="DE100" s="66"/>
      <c r="DF100" s="66"/>
      <c r="DG100" s="68"/>
      <c r="DH100" s="68"/>
      <c r="DK100" s="66"/>
      <c r="DL100" s="66"/>
      <c r="DM100" s="66"/>
      <c r="DN100" s="66"/>
      <c r="DO100" s="66"/>
      <c r="DP100" s="66"/>
      <c r="DQ100" s="66"/>
      <c r="DR100" s="66"/>
      <c r="DS100" s="66"/>
      <c r="DT100" s="68"/>
      <c r="DU100" s="66"/>
      <c r="DV100" s="296"/>
      <c r="DW100" s="330"/>
      <c r="DX100" s="631"/>
      <c r="DY100" s="631"/>
      <c r="DZ100" s="631"/>
      <c r="EA100" s="330"/>
      <c r="EC100" s="66"/>
      <c r="ED100" s="68"/>
      <c r="EH100" s="66"/>
      <c r="EI100" s="66"/>
      <c r="EJ100" s="68"/>
      <c r="EK100" s="252"/>
      <c r="EL100" s="252"/>
      <c r="EM100" s="252"/>
      <c r="EO100" s="252"/>
      <c r="EP100" s="252"/>
      <c r="EQ100" s="252"/>
      <c r="ES100" s="252"/>
      <c r="ET100" s="252"/>
      <c r="EU100" s="252"/>
      <c r="EW100" s="252"/>
      <c r="EX100" s="252"/>
      <c r="EY100" s="252"/>
      <c r="FA100" s="250"/>
      <c r="FB100" s="250"/>
      <c r="FC100" s="250"/>
      <c r="FD100" s="250"/>
      <c r="FE100" s="250"/>
      <c r="FF100" s="250"/>
      <c r="FG100" s="250"/>
      <c r="FH100" s="424"/>
      <c r="FI100" s="250"/>
      <c r="FJ100" s="250"/>
      <c r="FK100" s="250"/>
      <c r="FL100" s="256"/>
      <c r="FM100" s="250"/>
      <c r="FN100" s="256"/>
      <c r="FO100" s="250"/>
      <c r="FP100" s="256"/>
      <c r="FQ100" s="250"/>
      <c r="FR100" s="256"/>
      <c r="FS100" s="250"/>
      <c r="FT100" s="256"/>
      <c r="FU100" s="256"/>
      <c r="FV100" s="256"/>
      <c r="FW100" s="250"/>
      <c r="FX100" s="424"/>
      <c r="FY100" s="251"/>
      <c r="GC100" s="252"/>
      <c r="GF100" s="252"/>
      <c r="GG100" s="252"/>
      <c r="GH100" s="252"/>
      <c r="GI100" s="252"/>
      <c r="GJ100" s="252"/>
      <c r="GK100" s="251"/>
      <c r="GL100" s="250"/>
      <c r="GM100" s="250"/>
      <c r="GN100" s="250"/>
      <c r="GO100" s="250"/>
      <c r="GP100" s="250"/>
      <c r="GQ100" s="250"/>
      <c r="GR100" s="250"/>
      <c r="GS100" s="250"/>
      <c r="GT100" s="250"/>
      <c r="GU100" s="251"/>
      <c r="GV100" s="250"/>
      <c r="GW100" s="250"/>
      <c r="GX100" s="250"/>
      <c r="GY100" s="250"/>
      <c r="GZ100" s="250"/>
      <c r="HA100" s="250"/>
      <c r="HB100" s="250"/>
      <c r="HC100" s="250"/>
      <c r="HD100" s="250"/>
      <c r="HE100" s="250"/>
      <c r="HF100" s="250"/>
      <c r="HG100" s="250"/>
      <c r="HH100" s="251"/>
      <c r="HI100" s="424"/>
      <c r="HJ100" s="255"/>
      <c r="HK100" s="255"/>
      <c r="HL100" s="250"/>
      <c r="HM100" s="255"/>
      <c r="HN100" s="255"/>
      <c r="HO100" s="255"/>
      <c r="HP100" s="250"/>
      <c r="HQ100" s="250"/>
      <c r="HR100" s="250"/>
      <c r="HS100" s="250"/>
      <c r="HT100" s="250"/>
      <c r="HU100" s="251"/>
      <c r="HX100" s="252"/>
      <c r="HY100" s="252"/>
      <c r="HZ100" s="252"/>
      <c r="ID100" s="252"/>
      <c r="IE100" s="252"/>
      <c r="IF100" s="252"/>
      <c r="IJ100" s="252"/>
      <c r="IK100" s="252"/>
      <c r="IL100" s="252"/>
      <c r="IP100" s="252"/>
      <c r="IQ100" s="252"/>
      <c r="IR100" s="252"/>
      <c r="IY100" s="66"/>
      <c r="IZ100" s="66"/>
      <c r="JA100" s="66"/>
      <c r="JB100" s="250"/>
      <c r="JC100" s="66"/>
      <c r="JD100" s="66"/>
      <c r="JE100" s="66"/>
      <c r="JF100" s="66"/>
      <c r="JG100" s="66"/>
      <c r="JH100" s="66"/>
      <c r="JI100" s="66"/>
      <c r="JJ100" s="66"/>
      <c r="JK100" s="8"/>
      <c r="JN100" s="252"/>
      <c r="JO100" s="252"/>
      <c r="JP100" s="252"/>
      <c r="JT100" s="252"/>
      <c r="JU100" s="252"/>
      <c r="JV100" s="252"/>
      <c r="JZ100" s="252"/>
      <c r="KA100" s="252"/>
      <c r="KB100" s="252"/>
      <c r="KF100" s="252"/>
      <c r="KG100" s="252"/>
      <c r="KH100" s="252"/>
      <c r="KO100" s="66"/>
      <c r="KP100" s="66"/>
      <c r="KQ100" s="66"/>
      <c r="KR100" s="66"/>
      <c r="KS100" s="66"/>
      <c r="KT100" s="66"/>
      <c r="KU100" s="66"/>
      <c r="KV100" s="66"/>
      <c r="KW100" s="66"/>
      <c r="KX100" s="66"/>
      <c r="KY100" s="66"/>
      <c r="KZ100" s="66"/>
      <c r="LA100" s="8"/>
      <c r="LD100" s="252"/>
      <c r="LE100" s="252"/>
      <c r="LF100" s="252"/>
      <c r="LJ100" s="252"/>
      <c r="LK100" s="252"/>
      <c r="LN100" s="252"/>
      <c r="LO100" s="252"/>
      <c r="LP100" s="252"/>
      <c r="LT100" s="271"/>
      <c r="LU100" s="250"/>
      <c r="LV100" s="250"/>
      <c r="LW100" s="250"/>
      <c r="LX100" s="250"/>
      <c r="LY100" s="250"/>
      <c r="LZ100" s="250"/>
      <c r="MA100" s="250"/>
      <c r="MB100" s="250"/>
      <c r="MC100" s="250"/>
      <c r="MD100" s="250"/>
      <c r="ME100" s="250"/>
      <c r="MF100" s="250"/>
      <c r="MG100" s="250"/>
      <c r="MH100" s="250"/>
      <c r="MI100" s="250"/>
      <c r="MJ100" s="250"/>
      <c r="MK100" s="424"/>
      <c r="ML100" s="640"/>
      <c r="MM100" s="251"/>
      <c r="MN100" s="252"/>
      <c r="MO100" s="252"/>
      <c r="MP100" s="252"/>
      <c r="MQ100" s="252"/>
      <c r="MR100" s="252"/>
      <c r="MS100" s="252"/>
      <c r="MT100" s="252"/>
      <c r="MU100" s="252"/>
      <c r="MV100" s="252"/>
      <c r="MW100" s="252"/>
      <c r="MX100" s="252"/>
      <c r="MY100" s="252"/>
      <c r="MZ100" s="252"/>
      <c r="NA100" s="252"/>
      <c r="NB100" s="252"/>
      <c r="NC100" s="251"/>
      <c r="ND100" s="250"/>
      <c r="NE100" s="250"/>
      <c r="NF100" s="250"/>
      <c r="NG100" s="250"/>
      <c r="NH100" s="250"/>
      <c r="NI100" s="250"/>
      <c r="NJ100" s="250"/>
      <c r="NK100" s="250"/>
      <c r="NL100" s="250"/>
      <c r="NM100" s="250"/>
      <c r="NN100" s="250"/>
      <c r="NO100" s="250"/>
      <c r="NP100" s="250"/>
      <c r="NQ100" s="250"/>
      <c r="NR100" s="250"/>
      <c r="NS100" s="250"/>
      <c r="NT100" s="250"/>
      <c r="NU100" s="250"/>
      <c r="NV100" s="250"/>
      <c r="NW100" s="251"/>
      <c r="OT100" s="8"/>
      <c r="QG100" s="8"/>
      <c r="RT100" s="8"/>
    </row>
    <row r="101" spans="1:488" s="282" customFormat="1" x14ac:dyDescent="0.25">
      <c r="A101" s="66"/>
      <c r="B101" s="8"/>
      <c r="C101" s="66"/>
      <c r="D101" s="66"/>
      <c r="E101" s="66"/>
      <c r="F101" s="66"/>
      <c r="G101" s="66"/>
      <c r="H101" s="66"/>
      <c r="I101" s="66"/>
      <c r="J101" s="66"/>
      <c r="K101" s="66"/>
      <c r="L101" s="66"/>
      <c r="M101" s="66"/>
      <c r="N101" s="66"/>
      <c r="O101" s="66"/>
      <c r="P101" s="66"/>
      <c r="Q101" s="66"/>
      <c r="R101" s="66"/>
      <c r="S101" s="66"/>
      <c r="T101" s="68"/>
      <c r="AC101" s="66"/>
      <c r="AD101" s="66"/>
      <c r="AE101" s="68"/>
      <c r="AN101" s="66"/>
      <c r="AO101" s="66"/>
      <c r="AP101" s="68"/>
      <c r="AW101" s="66"/>
      <c r="AX101" s="68"/>
      <c r="BD101" s="66"/>
      <c r="BE101" s="68"/>
      <c r="BF101" s="66"/>
      <c r="BG101" s="66"/>
      <c r="BH101" s="66"/>
      <c r="BI101" s="66"/>
      <c r="BJ101" s="66"/>
      <c r="BK101" s="66"/>
      <c r="BL101" s="68"/>
      <c r="BO101" s="66"/>
      <c r="BP101" s="68"/>
      <c r="BV101" s="66"/>
      <c r="BW101" s="68"/>
      <c r="CB101" s="8"/>
      <c r="CH101" s="8"/>
      <c r="CK101" s="299"/>
      <c r="CL101" s="299"/>
      <c r="CM101" s="66"/>
      <c r="CN101" s="66"/>
      <c r="CO101" s="68"/>
      <c r="CR101" s="8"/>
      <c r="CX101" s="66"/>
      <c r="CY101" s="532"/>
      <c r="DE101" s="66"/>
      <c r="DF101" s="66"/>
      <c r="DG101" s="68"/>
      <c r="DH101" s="68"/>
      <c r="DK101" s="66"/>
      <c r="DL101" s="66"/>
      <c r="DM101" s="66"/>
      <c r="DN101" s="66"/>
      <c r="DO101" s="66"/>
      <c r="DP101" s="66"/>
      <c r="DQ101" s="66"/>
      <c r="DR101" s="66"/>
      <c r="DS101" s="66"/>
      <c r="DT101" s="68"/>
      <c r="DU101" s="66"/>
      <c r="DV101" s="296"/>
      <c r="DW101" s="330"/>
      <c r="DX101" s="631"/>
      <c r="DY101" s="631"/>
      <c r="DZ101" s="631"/>
      <c r="EA101" s="330"/>
      <c r="EC101" s="66"/>
      <c r="ED101" s="68"/>
      <c r="EH101" s="66"/>
      <c r="EI101" s="66"/>
      <c r="EJ101" s="68"/>
      <c r="EK101" s="252"/>
      <c r="EL101" s="252"/>
      <c r="EM101" s="252"/>
      <c r="EO101" s="252"/>
      <c r="EP101" s="252"/>
      <c r="EQ101" s="252"/>
      <c r="ES101" s="252"/>
      <c r="ET101" s="252"/>
      <c r="EU101" s="252"/>
      <c r="EW101" s="252"/>
      <c r="EX101" s="252"/>
      <c r="EY101" s="252"/>
      <c r="FA101" s="250"/>
      <c r="FB101" s="250"/>
      <c r="FC101" s="250"/>
      <c r="FD101" s="250"/>
      <c r="FE101" s="250"/>
      <c r="FF101" s="250"/>
      <c r="FG101" s="250"/>
      <c r="FH101" s="424"/>
      <c r="FI101" s="250"/>
      <c r="FJ101" s="250"/>
      <c r="FK101" s="250"/>
      <c r="FL101" s="256"/>
      <c r="FM101" s="250"/>
      <c r="FN101" s="256"/>
      <c r="FO101" s="250"/>
      <c r="FP101" s="256"/>
      <c r="FQ101" s="250"/>
      <c r="FR101" s="256"/>
      <c r="FS101" s="250"/>
      <c r="FT101" s="256"/>
      <c r="FU101" s="256"/>
      <c r="FV101" s="256"/>
      <c r="FW101" s="250"/>
      <c r="FX101" s="424"/>
      <c r="FY101" s="251"/>
      <c r="GC101" s="252"/>
      <c r="GF101" s="252"/>
      <c r="GG101" s="252"/>
      <c r="GH101" s="252"/>
      <c r="GI101" s="252"/>
      <c r="GJ101" s="252"/>
      <c r="GK101" s="251"/>
      <c r="GL101" s="250"/>
      <c r="GM101" s="250"/>
      <c r="GN101" s="250"/>
      <c r="GO101" s="250"/>
      <c r="GP101" s="250"/>
      <c r="GQ101" s="250"/>
      <c r="GR101" s="250"/>
      <c r="GS101" s="250"/>
      <c r="GT101" s="250"/>
      <c r="GU101" s="251"/>
      <c r="GV101" s="250"/>
      <c r="GW101" s="250"/>
      <c r="GX101" s="250"/>
      <c r="GY101" s="250"/>
      <c r="GZ101" s="250"/>
      <c r="HA101" s="250"/>
      <c r="HB101" s="250"/>
      <c r="HC101" s="250"/>
      <c r="HD101" s="250"/>
      <c r="HE101" s="250"/>
      <c r="HF101" s="250"/>
      <c r="HG101" s="250"/>
      <c r="HH101" s="251"/>
      <c r="HI101" s="424"/>
      <c r="HJ101" s="255"/>
      <c r="HK101" s="255"/>
      <c r="HL101" s="250"/>
      <c r="HM101" s="255"/>
      <c r="HN101" s="255"/>
      <c r="HO101" s="255"/>
      <c r="HP101" s="250"/>
      <c r="HQ101" s="250"/>
      <c r="HR101" s="250"/>
      <c r="HS101" s="250"/>
      <c r="HT101" s="250"/>
      <c r="HU101" s="251"/>
      <c r="HX101" s="252"/>
      <c r="HY101" s="252"/>
      <c r="HZ101" s="252"/>
      <c r="ID101" s="252"/>
      <c r="IE101" s="252"/>
      <c r="IF101" s="252"/>
      <c r="IJ101" s="252"/>
      <c r="IK101" s="252"/>
      <c r="IL101" s="252"/>
      <c r="IP101" s="252"/>
      <c r="IQ101" s="252"/>
      <c r="IR101" s="252"/>
      <c r="IY101" s="66"/>
      <c r="IZ101" s="66"/>
      <c r="JA101" s="66"/>
      <c r="JB101" s="250"/>
      <c r="JC101" s="66"/>
      <c r="JD101" s="66"/>
      <c r="JE101" s="66"/>
      <c r="JF101" s="66"/>
      <c r="JG101" s="66"/>
      <c r="JH101" s="66"/>
      <c r="JI101" s="66"/>
      <c r="JJ101" s="66"/>
      <c r="JK101" s="8"/>
      <c r="JN101" s="252"/>
      <c r="JO101" s="252"/>
      <c r="JP101" s="252"/>
      <c r="JT101" s="252"/>
      <c r="JU101" s="252"/>
      <c r="JV101" s="252"/>
      <c r="JZ101" s="252"/>
      <c r="KA101" s="252"/>
      <c r="KB101" s="252"/>
      <c r="KF101" s="252"/>
      <c r="KG101" s="252"/>
      <c r="KH101" s="252"/>
      <c r="KO101" s="66"/>
      <c r="KP101" s="66"/>
      <c r="KQ101" s="66"/>
      <c r="KR101" s="66"/>
      <c r="KS101" s="66"/>
      <c r="KT101" s="66"/>
      <c r="KU101" s="66"/>
      <c r="KV101" s="66"/>
      <c r="KW101" s="66"/>
      <c r="KX101" s="66"/>
      <c r="KY101" s="66"/>
      <c r="KZ101" s="66"/>
      <c r="LA101" s="8"/>
      <c r="LD101" s="252"/>
      <c r="LE101" s="252"/>
      <c r="LF101" s="252"/>
      <c r="LJ101" s="252"/>
      <c r="LK101" s="252"/>
      <c r="LN101" s="252"/>
      <c r="LO101" s="252"/>
      <c r="LP101" s="252"/>
      <c r="LT101" s="271"/>
      <c r="LU101" s="250"/>
      <c r="LV101" s="250"/>
      <c r="LW101" s="250"/>
      <c r="LX101" s="250"/>
      <c r="LY101" s="250"/>
      <c r="LZ101" s="250"/>
      <c r="MA101" s="250"/>
      <c r="MB101" s="250"/>
      <c r="MC101" s="250"/>
      <c r="MD101" s="250"/>
      <c r="ME101" s="250"/>
      <c r="MF101" s="250"/>
      <c r="MG101" s="250"/>
      <c r="MH101" s="250"/>
      <c r="MI101" s="250"/>
      <c r="MJ101" s="250"/>
      <c r="MK101" s="424"/>
      <c r="ML101" s="640"/>
      <c r="MM101" s="251"/>
      <c r="MN101" s="252"/>
      <c r="MO101" s="252"/>
      <c r="MP101" s="252"/>
      <c r="MQ101" s="252"/>
      <c r="MR101" s="252"/>
      <c r="MS101" s="252"/>
      <c r="MT101" s="252"/>
      <c r="MU101" s="252"/>
      <c r="MV101" s="252"/>
      <c r="MW101" s="252"/>
      <c r="MX101" s="252"/>
      <c r="MY101" s="252"/>
      <c r="MZ101" s="252"/>
      <c r="NA101" s="252"/>
      <c r="NB101" s="252"/>
      <c r="NC101" s="251"/>
      <c r="ND101" s="250"/>
      <c r="NE101" s="250"/>
      <c r="NF101" s="250"/>
      <c r="NG101" s="250"/>
      <c r="NH101" s="250"/>
      <c r="NI101" s="250"/>
      <c r="NJ101" s="250"/>
      <c r="NK101" s="250"/>
      <c r="NL101" s="250"/>
      <c r="NM101" s="250"/>
      <c r="NN101" s="250"/>
      <c r="NO101" s="250"/>
      <c r="NP101" s="250"/>
      <c r="NQ101" s="250"/>
      <c r="NR101" s="250"/>
      <c r="NS101" s="250"/>
      <c r="NT101" s="250"/>
      <c r="NU101" s="250"/>
      <c r="NV101" s="250"/>
      <c r="NW101" s="251"/>
      <c r="OT101" s="8"/>
      <c r="QG101" s="8"/>
      <c r="RT101" s="8"/>
    </row>
    <row r="102" spans="1:488" s="282" customFormat="1" x14ac:dyDescent="0.25">
      <c r="A102" s="66"/>
      <c r="B102" s="8"/>
      <c r="C102" s="66"/>
      <c r="D102" s="66"/>
      <c r="E102" s="66"/>
      <c r="F102" s="66"/>
      <c r="G102" s="66"/>
      <c r="H102" s="66"/>
      <c r="I102" s="66"/>
      <c r="J102" s="66"/>
      <c r="K102" s="66"/>
      <c r="L102" s="66"/>
      <c r="M102" s="66"/>
      <c r="N102" s="66"/>
      <c r="O102" s="66"/>
      <c r="P102" s="66"/>
      <c r="Q102" s="66"/>
      <c r="R102" s="66"/>
      <c r="S102" s="66"/>
      <c r="T102" s="68"/>
      <c r="AC102" s="66"/>
      <c r="AD102" s="66"/>
      <c r="AE102" s="68"/>
      <c r="AN102" s="66"/>
      <c r="AO102" s="66"/>
      <c r="AP102" s="68"/>
      <c r="AW102" s="66"/>
      <c r="AX102" s="68"/>
      <c r="BD102" s="66"/>
      <c r="BE102" s="68"/>
      <c r="BF102" s="66"/>
      <c r="BG102" s="66"/>
      <c r="BH102" s="66"/>
      <c r="BI102" s="66"/>
      <c r="BJ102" s="66"/>
      <c r="BK102" s="66"/>
      <c r="BL102" s="68"/>
      <c r="BO102" s="66"/>
      <c r="BP102" s="68"/>
      <c r="BV102" s="66"/>
      <c r="BW102" s="68"/>
      <c r="CB102" s="8"/>
      <c r="CH102" s="8"/>
      <c r="CK102" s="299"/>
      <c r="CL102" s="299"/>
      <c r="CM102" s="66"/>
      <c r="CN102" s="66"/>
      <c r="CO102" s="68"/>
      <c r="CR102" s="8"/>
      <c r="CX102" s="66"/>
      <c r="CY102" s="532"/>
      <c r="DE102" s="66"/>
      <c r="DF102" s="66"/>
      <c r="DG102" s="68"/>
      <c r="DH102" s="68"/>
      <c r="DK102" s="66"/>
      <c r="DL102" s="66"/>
      <c r="DM102" s="66"/>
      <c r="DN102" s="66"/>
      <c r="DO102" s="66"/>
      <c r="DP102" s="66"/>
      <c r="DQ102" s="66"/>
      <c r="DR102" s="66"/>
      <c r="DS102" s="66"/>
      <c r="DT102" s="68"/>
      <c r="DU102" s="66"/>
      <c r="DV102" s="296"/>
      <c r="DW102" s="330"/>
      <c r="DX102" s="631"/>
      <c r="DY102" s="631"/>
      <c r="DZ102" s="631"/>
      <c r="EA102" s="330"/>
      <c r="EC102" s="66"/>
      <c r="ED102" s="68"/>
      <c r="EH102" s="66"/>
      <c r="EI102" s="66"/>
      <c r="EJ102" s="68"/>
      <c r="EK102" s="252"/>
      <c r="EL102" s="252"/>
      <c r="EM102" s="252"/>
      <c r="EO102" s="252"/>
      <c r="EP102" s="252"/>
      <c r="EQ102" s="252"/>
      <c r="ES102" s="252"/>
      <c r="ET102" s="252"/>
      <c r="EU102" s="252"/>
      <c r="EW102" s="252"/>
      <c r="EX102" s="252"/>
      <c r="EY102" s="252"/>
      <c r="FA102" s="250"/>
      <c r="FB102" s="250"/>
      <c r="FC102" s="250"/>
      <c r="FD102" s="250"/>
      <c r="FE102" s="250"/>
      <c r="FF102" s="250"/>
      <c r="FG102" s="250"/>
      <c r="FH102" s="424"/>
      <c r="FI102" s="250"/>
      <c r="FJ102" s="250"/>
      <c r="FK102" s="250"/>
      <c r="FL102" s="256"/>
      <c r="FM102" s="250"/>
      <c r="FN102" s="256"/>
      <c r="FO102" s="250"/>
      <c r="FP102" s="256"/>
      <c r="FQ102" s="250"/>
      <c r="FR102" s="256"/>
      <c r="FS102" s="250"/>
      <c r="FT102" s="256"/>
      <c r="FU102" s="256"/>
      <c r="FV102" s="256"/>
      <c r="FW102" s="250"/>
      <c r="FX102" s="424"/>
      <c r="FY102" s="251"/>
      <c r="GC102" s="252"/>
      <c r="GF102" s="252"/>
      <c r="GG102" s="252"/>
      <c r="GH102" s="252"/>
      <c r="GI102" s="252"/>
      <c r="GJ102" s="252"/>
      <c r="GK102" s="251"/>
      <c r="GL102" s="250"/>
      <c r="GM102" s="250"/>
      <c r="GN102" s="250"/>
      <c r="GO102" s="250"/>
      <c r="GP102" s="250"/>
      <c r="GQ102" s="250"/>
      <c r="GR102" s="250"/>
      <c r="GS102" s="250"/>
      <c r="GT102" s="250"/>
      <c r="GU102" s="251"/>
      <c r="GV102" s="250"/>
      <c r="GW102" s="250"/>
      <c r="GX102" s="250"/>
      <c r="GY102" s="250"/>
      <c r="GZ102" s="250"/>
      <c r="HA102" s="250"/>
      <c r="HB102" s="250"/>
      <c r="HC102" s="250"/>
      <c r="HD102" s="250"/>
      <c r="HE102" s="250"/>
      <c r="HF102" s="250"/>
      <c r="HG102" s="250"/>
      <c r="HH102" s="251"/>
      <c r="HI102" s="424"/>
      <c r="HJ102" s="255"/>
      <c r="HK102" s="255"/>
      <c r="HL102" s="250"/>
      <c r="HM102" s="255"/>
      <c r="HN102" s="255"/>
      <c r="HO102" s="255"/>
      <c r="HP102" s="250"/>
      <c r="HQ102" s="250"/>
      <c r="HR102" s="250"/>
      <c r="HS102" s="250"/>
      <c r="HT102" s="250"/>
      <c r="HU102" s="251"/>
      <c r="HX102" s="252"/>
      <c r="HY102" s="252"/>
      <c r="HZ102" s="252"/>
      <c r="ID102" s="252"/>
      <c r="IE102" s="252"/>
      <c r="IF102" s="252"/>
      <c r="IJ102" s="252"/>
      <c r="IK102" s="252"/>
      <c r="IL102" s="252"/>
      <c r="IP102" s="252"/>
      <c r="IQ102" s="252"/>
      <c r="IR102" s="252"/>
      <c r="IY102" s="66"/>
      <c r="IZ102" s="66"/>
      <c r="JA102" s="66"/>
      <c r="JB102" s="250"/>
      <c r="JC102" s="66"/>
      <c r="JD102" s="66"/>
      <c r="JE102" s="66"/>
      <c r="JF102" s="66"/>
      <c r="JG102" s="66"/>
      <c r="JH102" s="66"/>
      <c r="JI102" s="66"/>
      <c r="JJ102" s="66"/>
      <c r="JK102" s="8"/>
      <c r="JN102" s="252"/>
      <c r="JO102" s="252"/>
      <c r="JP102" s="252"/>
      <c r="JT102" s="252"/>
      <c r="JU102" s="252"/>
      <c r="JV102" s="252"/>
      <c r="JZ102" s="252"/>
      <c r="KA102" s="252"/>
      <c r="KB102" s="252"/>
      <c r="KF102" s="252"/>
      <c r="KG102" s="252"/>
      <c r="KH102" s="252"/>
      <c r="KO102" s="66"/>
      <c r="KP102" s="66"/>
      <c r="KQ102" s="66"/>
      <c r="KR102" s="66"/>
      <c r="KS102" s="66"/>
      <c r="KT102" s="66"/>
      <c r="KU102" s="66"/>
      <c r="KV102" s="66"/>
      <c r="KW102" s="66"/>
      <c r="KX102" s="66"/>
      <c r="KY102" s="66"/>
      <c r="KZ102" s="66"/>
      <c r="LA102" s="8"/>
      <c r="LD102" s="252"/>
      <c r="LE102" s="252"/>
      <c r="LF102" s="252"/>
      <c r="LJ102" s="252"/>
      <c r="LK102" s="252"/>
      <c r="LN102" s="252"/>
      <c r="LO102" s="252"/>
      <c r="LP102" s="252"/>
      <c r="LT102" s="271"/>
      <c r="LU102" s="250"/>
      <c r="LV102" s="250"/>
      <c r="LW102" s="250"/>
      <c r="LX102" s="250"/>
      <c r="LY102" s="250"/>
      <c r="LZ102" s="250"/>
      <c r="MA102" s="250"/>
      <c r="MB102" s="250"/>
      <c r="MC102" s="250"/>
      <c r="MD102" s="250"/>
      <c r="ME102" s="250"/>
      <c r="MF102" s="250"/>
      <c r="MG102" s="250"/>
      <c r="MH102" s="250"/>
      <c r="MI102" s="250"/>
      <c r="MJ102" s="250"/>
      <c r="MK102" s="424"/>
      <c r="ML102" s="640"/>
      <c r="MM102" s="251"/>
      <c r="MN102" s="252"/>
      <c r="MO102" s="252"/>
      <c r="MP102" s="252"/>
      <c r="MQ102" s="252"/>
      <c r="MR102" s="252"/>
      <c r="MS102" s="252"/>
      <c r="MT102" s="252"/>
      <c r="MU102" s="252"/>
      <c r="MV102" s="252"/>
      <c r="MW102" s="252"/>
      <c r="MX102" s="252"/>
      <c r="MY102" s="252"/>
      <c r="MZ102" s="252"/>
      <c r="NA102" s="252"/>
      <c r="NB102" s="252"/>
      <c r="NC102" s="251"/>
      <c r="ND102" s="250"/>
      <c r="NE102" s="250"/>
      <c r="NF102" s="250"/>
      <c r="NG102" s="250"/>
      <c r="NH102" s="250"/>
      <c r="NI102" s="250"/>
      <c r="NJ102" s="250"/>
      <c r="NK102" s="250"/>
      <c r="NL102" s="250"/>
      <c r="NM102" s="250"/>
      <c r="NN102" s="250"/>
      <c r="NO102" s="250"/>
      <c r="NP102" s="250"/>
      <c r="NQ102" s="250"/>
      <c r="NR102" s="250"/>
      <c r="NS102" s="250"/>
      <c r="NT102" s="250"/>
      <c r="NU102" s="250"/>
      <c r="NV102" s="250"/>
      <c r="NW102" s="251"/>
      <c r="OT102" s="8"/>
      <c r="QG102" s="8"/>
      <c r="RT102" s="8"/>
    </row>
    <row r="103" spans="1:488" s="282" customFormat="1" x14ac:dyDescent="0.25">
      <c r="A103" s="66"/>
      <c r="B103" s="8"/>
      <c r="C103" s="66"/>
      <c r="D103" s="66"/>
      <c r="E103" s="66"/>
      <c r="F103" s="66"/>
      <c r="G103" s="66"/>
      <c r="H103" s="66"/>
      <c r="I103" s="66"/>
      <c r="J103" s="66"/>
      <c r="K103" s="66"/>
      <c r="L103" s="66"/>
      <c r="M103" s="66"/>
      <c r="N103" s="66"/>
      <c r="O103" s="66"/>
      <c r="P103" s="66"/>
      <c r="Q103" s="66"/>
      <c r="R103" s="66"/>
      <c r="S103" s="66"/>
      <c r="T103" s="68"/>
      <c r="AC103" s="66"/>
      <c r="AD103" s="66"/>
      <c r="AE103" s="68"/>
      <c r="AN103" s="66"/>
      <c r="AO103" s="66"/>
      <c r="AP103" s="68"/>
      <c r="AW103" s="66"/>
      <c r="AX103" s="68"/>
      <c r="BD103" s="66"/>
      <c r="BE103" s="68"/>
      <c r="BF103" s="66"/>
      <c r="BG103" s="66"/>
      <c r="BH103" s="66"/>
      <c r="BI103" s="66"/>
      <c r="BJ103" s="66"/>
      <c r="BK103" s="66"/>
      <c r="BL103" s="68"/>
      <c r="BO103" s="66"/>
      <c r="BP103" s="68"/>
      <c r="BV103" s="66"/>
      <c r="BW103" s="68"/>
      <c r="CB103" s="8"/>
      <c r="CH103" s="8"/>
      <c r="CK103" s="299"/>
      <c r="CL103" s="299"/>
      <c r="CM103" s="66"/>
      <c r="CN103" s="66"/>
      <c r="CO103" s="68"/>
      <c r="CR103" s="8"/>
      <c r="CX103" s="66"/>
      <c r="CY103" s="532"/>
      <c r="DE103" s="66"/>
      <c r="DF103" s="66"/>
      <c r="DG103" s="68"/>
      <c r="DH103" s="68"/>
      <c r="DK103" s="66"/>
      <c r="DL103" s="66"/>
      <c r="DM103" s="66"/>
      <c r="DN103" s="66"/>
      <c r="DO103" s="66"/>
      <c r="DP103" s="66"/>
      <c r="DQ103" s="66"/>
      <c r="DR103" s="66"/>
      <c r="DS103" s="66"/>
      <c r="DT103" s="68"/>
      <c r="DU103" s="66"/>
      <c r="DV103" s="296"/>
      <c r="DW103" s="330"/>
      <c r="DX103" s="631"/>
      <c r="DY103" s="631"/>
      <c r="DZ103" s="631"/>
      <c r="EA103" s="330"/>
      <c r="EC103" s="66"/>
      <c r="ED103" s="68"/>
      <c r="EH103" s="66"/>
      <c r="EI103" s="66"/>
      <c r="EJ103" s="68"/>
      <c r="EK103" s="252"/>
      <c r="EL103" s="252"/>
      <c r="EM103" s="252"/>
      <c r="EO103" s="252"/>
      <c r="EP103" s="252"/>
      <c r="EQ103" s="252"/>
      <c r="ES103" s="252"/>
      <c r="ET103" s="252"/>
      <c r="EU103" s="252"/>
      <c r="EW103" s="252"/>
      <c r="EX103" s="252"/>
      <c r="EY103" s="252"/>
      <c r="FA103" s="250"/>
      <c r="FB103" s="250"/>
      <c r="FC103" s="250"/>
      <c r="FD103" s="250"/>
      <c r="FE103" s="250"/>
      <c r="FF103" s="250"/>
      <c r="FG103" s="250"/>
      <c r="FH103" s="424"/>
      <c r="FI103" s="250"/>
      <c r="FJ103" s="250"/>
      <c r="FK103" s="250"/>
      <c r="FL103" s="256"/>
      <c r="FM103" s="250"/>
      <c r="FN103" s="256"/>
      <c r="FO103" s="250"/>
      <c r="FP103" s="256"/>
      <c r="FQ103" s="250"/>
      <c r="FR103" s="256"/>
      <c r="FS103" s="250"/>
      <c r="FT103" s="256"/>
      <c r="FU103" s="256"/>
      <c r="FV103" s="256"/>
      <c r="FW103" s="250"/>
      <c r="FX103" s="424"/>
      <c r="FY103" s="251"/>
      <c r="GC103" s="252"/>
      <c r="GF103" s="252"/>
      <c r="GG103" s="252"/>
      <c r="GH103" s="252"/>
      <c r="GI103" s="252"/>
      <c r="GJ103" s="252"/>
      <c r="GK103" s="251"/>
      <c r="GL103" s="250"/>
      <c r="GM103" s="250"/>
      <c r="GN103" s="250"/>
      <c r="GO103" s="250"/>
      <c r="GP103" s="250"/>
      <c r="GQ103" s="250"/>
      <c r="GR103" s="250"/>
      <c r="GS103" s="250"/>
      <c r="GT103" s="250"/>
      <c r="GU103" s="251"/>
      <c r="GV103" s="250"/>
      <c r="GW103" s="250"/>
      <c r="GX103" s="250"/>
      <c r="GY103" s="250"/>
      <c r="GZ103" s="250"/>
      <c r="HA103" s="250"/>
      <c r="HB103" s="250"/>
      <c r="HC103" s="250"/>
      <c r="HD103" s="250"/>
      <c r="HE103" s="250"/>
      <c r="HF103" s="250"/>
      <c r="HG103" s="250"/>
      <c r="HH103" s="251"/>
      <c r="HI103" s="424"/>
      <c r="HJ103" s="255"/>
      <c r="HK103" s="255"/>
      <c r="HL103" s="250"/>
      <c r="HM103" s="255"/>
      <c r="HN103" s="255"/>
      <c r="HO103" s="255"/>
      <c r="HP103" s="250"/>
      <c r="HQ103" s="250"/>
      <c r="HR103" s="250"/>
      <c r="HS103" s="250"/>
      <c r="HT103" s="250"/>
      <c r="HU103" s="251"/>
      <c r="HX103" s="252"/>
      <c r="HY103" s="252"/>
      <c r="HZ103" s="252"/>
      <c r="ID103" s="252"/>
      <c r="IE103" s="252"/>
      <c r="IF103" s="252"/>
      <c r="IJ103" s="252"/>
      <c r="IK103" s="252"/>
      <c r="IL103" s="252"/>
      <c r="IP103" s="252"/>
      <c r="IQ103" s="252"/>
      <c r="IR103" s="252"/>
      <c r="IY103" s="66"/>
      <c r="IZ103" s="66"/>
      <c r="JA103" s="66"/>
      <c r="JB103" s="250"/>
      <c r="JC103" s="66"/>
      <c r="JD103" s="66"/>
      <c r="JE103" s="66"/>
      <c r="JF103" s="66"/>
      <c r="JG103" s="66"/>
      <c r="JH103" s="66"/>
      <c r="JI103" s="66"/>
      <c r="JJ103" s="66"/>
      <c r="JK103" s="8"/>
      <c r="JN103" s="252"/>
      <c r="JO103" s="252"/>
      <c r="JP103" s="252"/>
      <c r="JT103" s="252"/>
      <c r="JU103" s="252"/>
      <c r="JV103" s="252"/>
      <c r="JZ103" s="252"/>
      <c r="KA103" s="252"/>
      <c r="KB103" s="252"/>
      <c r="KF103" s="252"/>
      <c r="KG103" s="252"/>
      <c r="KH103" s="252"/>
      <c r="KO103" s="66"/>
      <c r="KP103" s="66"/>
      <c r="KQ103" s="66"/>
      <c r="KR103" s="66"/>
      <c r="KS103" s="66"/>
      <c r="KT103" s="66"/>
      <c r="KU103" s="66"/>
      <c r="KV103" s="66"/>
      <c r="KW103" s="66"/>
      <c r="KX103" s="66"/>
      <c r="KY103" s="66"/>
      <c r="KZ103" s="66"/>
      <c r="LA103" s="8"/>
      <c r="LD103" s="252"/>
      <c r="LE103" s="252"/>
      <c r="LF103" s="252"/>
      <c r="LJ103" s="252"/>
      <c r="LK103" s="252"/>
      <c r="LN103" s="252"/>
      <c r="LO103" s="252"/>
      <c r="LP103" s="252"/>
      <c r="LT103" s="271"/>
      <c r="LU103" s="250"/>
      <c r="LV103" s="250"/>
      <c r="LW103" s="250"/>
      <c r="LX103" s="250"/>
      <c r="LY103" s="250"/>
      <c r="LZ103" s="250"/>
      <c r="MA103" s="250"/>
      <c r="MB103" s="250"/>
      <c r="MC103" s="250"/>
      <c r="MD103" s="250"/>
      <c r="ME103" s="250"/>
      <c r="MF103" s="250"/>
      <c r="MG103" s="250"/>
      <c r="MH103" s="250"/>
      <c r="MI103" s="250"/>
      <c r="MJ103" s="250"/>
      <c r="MK103" s="424"/>
      <c r="ML103" s="640"/>
      <c r="MM103" s="251"/>
      <c r="MN103" s="252"/>
      <c r="MO103" s="252"/>
      <c r="MP103" s="252"/>
      <c r="MQ103" s="252"/>
      <c r="MR103" s="252"/>
      <c r="MS103" s="252"/>
      <c r="MT103" s="252"/>
      <c r="MU103" s="252"/>
      <c r="MV103" s="252"/>
      <c r="MW103" s="252"/>
      <c r="MX103" s="252"/>
      <c r="MY103" s="252"/>
      <c r="MZ103" s="252"/>
      <c r="NA103" s="252"/>
      <c r="NB103" s="252"/>
      <c r="NC103" s="251"/>
      <c r="ND103" s="250"/>
      <c r="NE103" s="250"/>
      <c r="NF103" s="250"/>
      <c r="NG103" s="250"/>
      <c r="NH103" s="250"/>
      <c r="NI103" s="250"/>
      <c r="NJ103" s="250"/>
      <c r="NK103" s="250"/>
      <c r="NL103" s="250"/>
      <c r="NM103" s="250"/>
      <c r="NN103" s="250"/>
      <c r="NO103" s="250"/>
      <c r="NP103" s="250"/>
      <c r="NQ103" s="250"/>
      <c r="NR103" s="250"/>
      <c r="NS103" s="250"/>
      <c r="NT103" s="250"/>
      <c r="NU103" s="250"/>
      <c r="NV103" s="250"/>
      <c r="NW103" s="251"/>
      <c r="OT103" s="8"/>
      <c r="QG103" s="8"/>
      <c r="RT103" s="8"/>
    </row>
    <row r="104" spans="1:488" s="282" customFormat="1" x14ac:dyDescent="0.25">
      <c r="A104" s="66"/>
      <c r="B104" s="8"/>
      <c r="C104" s="66"/>
      <c r="D104" s="66"/>
      <c r="E104" s="66"/>
      <c r="F104" s="66"/>
      <c r="G104" s="66"/>
      <c r="H104" s="66"/>
      <c r="I104" s="66"/>
      <c r="J104" s="66"/>
      <c r="K104" s="66"/>
      <c r="L104" s="66"/>
      <c r="M104" s="66"/>
      <c r="N104" s="66"/>
      <c r="O104" s="66"/>
      <c r="P104" s="66"/>
      <c r="Q104" s="66"/>
      <c r="R104" s="66"/>
      <c r="S104" s="66"/>
      <c r="T104" s="68"/>
      <c r="AC104" s="66"/>
      <c r="AD104" s="66"/>
      <c r="AE104" s="68"/>
      <c r="AN104" s="66"/>
      <c r="AO104" s="66"/>
      <c r="AP104" s="68"/>
      <c r="AW104" s="66"/>
      <c r="AX104" s="68"/>
      <c r="BD104" s="66"/>
      <c r="BE104" s="68"/>
      <c r="BF104" s="66"/>
      <c r="BG104" s="66"/>
      <c r="BH104" s="66"/>
      <c r="BI104" s="66"/>
      <c r="BJ104" s="66"/>
      <c r="BK104" s="66"/>
      <c r="BL104" s="68"/>
      <c r="BO104" s="66"/>
      <c r="BP104" s="68"/>
      <c r="BV104" s="66"/>
      <c r="BW104" s="68"/>
      <c r="CB104" s="8"/>
      <c r="CH104" s="8"/>
      <c r="CK104" s="299"/>
      <c r="CL104" s="299"/>
      <c r="CM104" s="66"/>
      <c r="CN104" s="66"/>
      <c r="CO104" s="68"/>
      <c r="CR104" s="8"/>
      <c r="CX104" s="66"/>
      <c r="CY104" s="532"/>
      <c r="DE104" s="66"/>
      <c r="DF104" s="66"/>
      <c r="DG104" s="68"/>
      <c r="DH104" s="68"/>
      <c r="DK104" s="66"/>
      <c r="DL104" s="66"/>
      <c r="DM104" s="66"/>
      <c r="DN104" s="66"/>
      <c r="DO104" s="66"/>
      <c r="DP104" s="66"/>
      <c r="DQ104" s="66"/>
      <c r="DR104" s="66"/>
      <c r="DS104" s="66"/>
      <c r="DT104" s="68"/>
      <c r="DU104" s="66"/>
      <c r="DV104" s="296"/>
      <c r="DW104" s="330"/>
      <c r="DX104" s="631"/>
      <c r="DY104" s="631"/>
      <c r="DZ104" s="631"/>
      <c r="EA104" s="330"/>
      <c r="EC104" s="66"/>
      <c r="ED104" s="68"/>
      <c r="EH104" s="66"/>
      <c r="EI104" s="66"/>
      <c r="EJ104" s="68"/>
      <c r="EK104" s="252"/>
      <c r="EL104" s="252"/>
      <c r="EM104" s="252"/>
      <c r="EO104" s="252"/>
      <c r="EP104" s="252"/>
      <c r="EQ104" s="252"/>
      <c r="ES104" s="252"/>
      <c r="ET104" s="252"/>
      <c r="EU104" s="252"/>
      <c r="EW104" s="252"/>
      <c r="EX104" s="252"/>
      <c r="EY104" s="252"/>
      <c r="FA104" s="250"/>
      <c r="FB104" s="250"/>
      <c r="FC104" s="250"/>
      <c r="FD104" s="250"/>
      <c r="FE104" s="250"/>
      <c r="FF104" s="250"/>
      <c r="FG104" s="250"/>
      <c r="FH104" s="424"/>
      <c r="FI104" s="250"/>
      <c r="FJ104" s="250"/>
      <c r="FK104" s="250"/>
      <c r="FL104" s="256"/>
      <c r="FM104" s="250"/>
      <c r="FN104" s="256"/>
      <c r="FO104" s="250"/>
      <c r="FP104" s="256"/>
      <c r="FQ104" s="250"/>
      <c r="FR104" s="256"/>
      <c r="FS104" s="250"/>
      <c r="FT104" s="256"/>
      <c r="FU104" s="256"/>
      <c r="FV104" s="256"/>
      <c r="FW104" s="250"/>
      <c r="FX104" s="424"/>
      <c r="FY104" s="251"/>
      <c r="GC104" s="252"/>
      <c r="GF104" s="252"/>
      <c r="GG104" s="252"/>
      <c r="GH104" s="252"/>
      <c r="GI104" s="252"/>
      <c r="GJ104" s="252"/>
      <c r="GK104" s="251"/>
      <c r="GL104" s="250"/>
      <c r="GM104" s="250"/>
      <c r="GN104" s="250"/>
      <c r="GO104" s="250"/>
      <c r="GP104" s="250"/>
      <c r="GQ104" s="250"/>
      <c r="GR104" s="250"/>
      <c r="GS104" s="250"/>
      <c r="GT104" s="250"/>
      <c r="GU104" s="251"/>
      <c r="GV104" s="250"/>
      <c r="GW104" s="250"/>
      <c r="GX104" s="250"/>
      <c r="GY104" s="250"/>
      <c r="GZ104" s="250"/>
      <c r="HA104" s="250"/>
      <c r="HB104" s="250"/>
      <c r="HC104" s="250"/>
      <c r="HD104" s="250"/>
      <c r="HE104" s="250"/>
      <c r="HF104" s="250"/>
      <c r="HG104" s="250"/>
      <c r="HH104" s="251"/>
      <c r="HI104" s="424"/>
      <c r="HJ104" s="255"/>
      <c r="HK104" s="255"/>
      <c r="HL104" s="250"/>
      <c r="HM104" s="255"/>
      <c r="HN104" s="255"/>
      <c r="HO104" s="255"/>
      <c r="HP104" s="250"/>
      <c r="HQ104" s="250"/>
      <c r="HR104" s="250"/>
      <c r="HS104" s="250"/>
      <c r="HT104" s="250"/>
      <c r="HU104" s="251"/>
      <c r="HX104" s="252"/>
      <c r="HY104" s="252"/>
      <c r="HZ104" s="252"/>
      <c r="ID104" s="252"/>
      <c r="IE104" s="252"/>
      <c r="IF104" s="252"/>
      <c r="IJ104" s="252"/>
      <c r="IK104" s="252"/>
      <c r="IL104" s="252"/>
      <c r="IP104" s="252"/>
      <c r="IQ104" s="252"/>
      <c r="IR104" s="252"/>
      <c r="IY104" s="66"/>
      <c r="IZ104" s="66"/>
      <c r="JA104" s="66"/>
      <c r="JB104" s="250"/>
      <c r="JC104" s="66"/>
      <c r="JD104" s="66"/>
      <c r="JE104" s="66"/>
      <c r="JF104" s="66"/>
      <c r="JG104" s="66"/>
      <c r="JH104" s="66"/>
      <c r="JI104" s="66"/>
      <c r="JJ104" s="66"/>
      <c r="JK104" s="8"/>
      <c r="JN104" s="252"/>
      <c r="JO104" s="252"/>
      <c r="JP104" s="252"/>
      <c r="JT104" s="252"/>
      <c r="JU104" s="252"/>
      <c r="JV104" s="252"/>
      <c r="JZ104" s="252"/>
      <c r="KA104" s="252"/>
      <c r="KB104" s="252"/>
      <c r="KF104" s="252"/>
      <c r="KG104" s="252"/>
      <c r="KH104" s="252"/>
      <c r="KO104" s="66"/>
      <c r="KP104" s="66"/>
      <c r="KQ104" s="66"/>
      <c r="KR104" s="66"/>
      <c r="KS104" s="66"/>
      <c r="KT104" s="66"/>
      <c r="KU104" s="66"/>
      <c r="KV104" s="66"/>
      <c r="KW104" s="66"/>
      <c r="KX104" s="66"/>
      <c r="KY104" s="66"/>
      <c r="KZ104" s="66"/>
      <c r="LA104" s="8"/>
      <c r="LD104" s="252"/>
      <c r="LE104" s="252"/>
      <c r="LF104" s="252"/>
      <c r="LJ104" s="252"/>
      <c r="LK104" s="252"/>
      <c r="LN104" s="252"/>
      <c r="LO104" s="252"/>
      <c r="LP104" s="252"/>
      <c r="LT104" s="271"/>
      <c r="LU104" s="250"/>
      <c r="LV104" s="250"/>
      <c r="LW104" s="250"/>
      <c r="LX104" s="250"/>
      <c r="LY104" s="250"/>
      <c r="LZ104" s="250"/>
      <c r="MA104" s="250"/>
      <c r="MB104" s="250"/>
      <c r="MC104" s="250"/>
      <c r="MD104" s="250"/>
      <c r="ME104" s="250"/>
      <c r="MF104" s="250"/>
      <c r="MG104" s="250"/>
      <c r="MH104" s="250"/>
      <c r="MI104" s="250"/>
      <c r="MJ104" s="250"/>
      <c r="MK104" s="424"/>
      <c r="ML104" s="640"/>
      <c r="MM104" s="251"/>
      <c r="MN104" s="252"/>
      <c r="MO104" s="252"/>
      <c r="MP104" s="252"/>
      <c r="MQ104" s="252"/>
      <c r="MR104" s="252"/>
      <c r="MS104" s="252"/>
      <c r="MT104" s="252"/>
      <c r="MU104" s="252"/>
      <c r="MV104" s="252"/>
      <c r="MW104" s="252"/>
      <c r="MX104" s="252"/>
      <c r="MY104" s="252"/>
      <c r="MZ104" s="252"/>
      <c r="NA104" s="252"/>
      <c r="NB104" s="252"/>
      <c r="NC104" s="251"/>
      <c r="ND104" s="250"/>
      <c r="NE104" s="250"/>
      <c r="NF104" s="250"/>
      <c r="NG104" s="250"/>
      <c r="NH104" s="250"/>
      <c r="NI104" s="250"/>
      <c r="NJ104" s="250"/>
      <c r="NK104" s="250"/>
      <c r="NL104" s="250"/>
      <c r="NM104" s="250"/>
      <c r="NN104" s="250"/>
      <c r="NO104" s="250"/>
      <c r="NP104" s="250"/>
      <c r="NQ104" s="250"/>
      <c r="NR104" s="250"/>
      <c r="NS104" s="250"/>
      <c r="NT104" s="250"/>
      <c r="NU104" s="250"/>
      <c r="NV104" s="250"/>
      <c r="NW104" s="251"/>
      <c r="OT104" s="8"/>
      <c r="QG104" s="8"/>
      <c r="RT104" s="8"/>
    </row>
    <row r="105" spans="1:488" s="282" customFormat="1" x14ac:dyDescent="0.25">
      <c r="A105" s="66"/>
      <c r="B105" s="8"/>
      <c r="C105" s="66"/>
      <c r="D105" s="66"/>
      <c r="E105" s="66"/>
      <c r="F105" s="66"/>
      <c r="G105" s="66"/>
      <c r="H105" s="66"/>
      <c r="I105" s="66"/>
      <c r="J105" s="66"/>
      <c r="K105" s="66"/>
      <c r="L105" s="66"/>
      <c r="M105" s="66"/>
      <c r="N105" s="66"/>
      <c r="O105" s="66"/>
      <c r="P105" s="66"/>
      <c r="Q105" s="66"/>
      <c r="R105" s="66"/>
      <c r="S105" s="66"/>
      <c r="T105" s="68"/>
      <c r="AC105" s="66"/>
      <c r="AD105" s="66"/>
      <c r="AE105" s="68"/>
      <c r="AN105" s="66"/>
      <c r="AO105" s="66"/>
      <c r="AP105" s="68"/>
      <c r="AW105" s="66"/>
      <c r="AX105" s="68"/>
      <c r="BD105" s="66"/>
      <c r="BE105" s="68"/>
      <c r="BF105" s="66"/>
      <c r="BG105" s="66"/>
      <c r="BH105" s="66"/>
      <c r="BI105" s="66"/>
      <c r="BJ105" s="66"/>
      <c r="BK105" s="66"/>
      <c r="BL105" s="68"/>
      <c r="BO105" s="66"/>
      <c r="BP105" s="68"/>
      <c r="BV105" s="66"/>
      <c r="BW105" s="68"/>
      <c r="CB105" s="8"/>
      <c r="CH105" s="8"/>
      <c r="CK105" s="299"/>
      <c r="CL105" s="299"/>
      <c r="CM105" s="66"/>
      <c r="CN105" s="66"/>
      <c r="CO105" s="68"/>
      <c r="CR105" s="8"/>
      <c r="CX105" s="66"/>
      <c r="CY105" s="532"/>
      <c r="DE105" s="66"/>
      <c r="DF105" s="66"/>
      <c r="DG105" s="68"/>
      <c r="DH105" s="68"/>
      <c r="DK105" s="66"/>
      <c r="DL105" s="66"/>
      <c r="DM105" s="66"/>
      <c r="DN105" s="66"/>
      <c r="DO105" s="66"/>
      <c r="DP105" s="66"/>
      <c r="DQ105" s="66"/>
      <c r="DR105" s="66"/>
      <c r="DS105" s="66"/>
      <c r="DT105" s="68"/>
      <c r="DU105" s="66"/>
      <c r="DV105" s="296"/>
      <c r="DW105" s="330"/>
      <c r="DX105" s="631"/>
      <c r="DY105" s="631"/>
      <c r="DZ105" s="631"/>
      <c r="EA105" s="330"/>
      <c r="EC105" s="66"/>
      <c r="ED105" s="68"/>
      <c r="EH105" s="66"/>
      <c r="EI105" s="66"/>
      <c r="EJ105" s="68"/>
      <c r="EK105" s="252"/>
      <c r="EL105" s="252"/>
      <c r="EM105" s="252"/>
      <c r="EO105" s="252"/>
      <c r="EP105" s="252"/>
      <c r="EQ105" s="252"/>
      <c r="ES105" s="252"/>
      <c r="ET105" s="252"/>
      <c r="EU105" s="252"/>
      <c r="EW105" s="252"/>
      <c r="EX105" s="252"/>
      <c r="EY105" s="252"/>
      <c r="FA105" s="250"/>
      <c r="FB105" s="250"/>
      <c r="FC105" s="250"/>
      <c r="FD105" s="250"/>
      <c r="FE105" s="250"/>
      <c r="FF105" s="250"/>
      <c r="FG105" s="250"/>
      <c r="FH105" s="424"/>
      <c r="FI105" s="250"/>
      <c r="FJ105" s="250"/>
      <c r="FK105" s="250"/>
      <c r="FL105" s="256"/>
      <c r="FM105" s="250"/>
      <c r="FN105" s="256"/>
      <c r="FO105" s="250"/>
      <c r="FP105" s="256"/>
      <c r="FQ105" s="250"/>
      <c r="FR105" s="256"/>
      <c r="FS105" s="250"/>
      <c r="FT105" s="256"/>
      <c r="FU105" s="256"/>
      <c r="FV105" s="256"/>
      <c r="FW105" s="250"/>
      <c r="FX105" s="424"/>
      <c r="FY105" s="251"/>
      <c r="GC105" s="252"/>
      <c r="GF105" s="252"/>
      <c r="GG105" s="252"/>
      <c r="GH105" s="252"/>
      <c r="GI105" s="252"/>
      <c r="GJ105" s="252"/>
      <c r="GK105" s="251"/>
      <c r="GL105" s="250"/>
      <c r="GM105" s="250"/>
      <c r="GN105" s="250"/>
      <c r="GO105" s="250"/>
      <c r="GP105" s="250"/>
      <c r="GQ105" s="250"/>
      <c r="GR105" s="250"/>
      <c r="GS105" s="250"/>
      <c r="GT105" s="250"/>
      <c r="GU105" s="251"/>
      <c r="GV105" s="250"/>
      <c r="GW105" s="250"/>
      <c r="GX105" s="250"/>
      <c r="GY105" s="250"/>
      <c r="GZ105" s="250"/>
      <c r="HA105" s="250"/>
      <c r="HB105" s="250"/>
      <c r="HC105" s="250"/>
      <c r="HD105" s="250"/>
      <c r="HE105" s="250"/>
      <c r="HF105" s="250"/>
      <c r="HG105" s="250"/>
      <c r="HH105" s="251"/>
      <c r="HI105" s="424"/>
      <c r="HJ105" s="255"/>
      <c r="HK105" s="255"/>
      <c r="HL105" s="250"/>
      <c r="HM105" s="255"/>
      <c r="HN105" s="255"/>
      <c r="HO105" s="255"/>
      <c r="HP105" s="250"/>
      <c r="HQ105" s="250"/>
      <c r="HR105" s="250"/>
      <c r="HS105" s="250"/>
      <c r="HT105" s="250"/>
      <c r="HU105" s="251"/>
      <c r="HX105" s="252"/>
      <c r="HY105" s="252"/>
      <c r="HZ105" s="252"/>
      <c r="ID105" s="252"/>
      <c r="IE105" s="252"/>
      <c r="IF105" s="252"/>
      <c r="IJ105" s="252"/>
      <c r="IK105" s="252"/>
      <c r="IL105" s="252"/>
      <c r="IP105" s="252"/>
      <c r="IQ105" s="252"/>
      <c r="IR105" s="252"/>
      <c r="IY105" s="66"/>
      <c r="IZ105" s="66"/>
      <c r="JA105" s="66"/>
      <c r="JB105" s="250"/>
      <c r="JC105" s="66"/>
      <c r="JD105" s="66"/>
      <c r="JE105" s="66"/>
      <c r="JF105" s="66"/>
      <c r="JG105" s="66"/>
      <c r="JH105" s="66"/>
      <c r="JI105" s="66"/>
      <c r="JJ105" s="66"/>
      <c r="JK105" s="8"/>
      <c r="JN105" s="252"/>
      <c r="JO105" s="252"/>
      <c r="JP105" s="252"/>
      <c r="JT105" s="252"/>
      <c r="JU105" s="252"/>
      <c r="JV105" s="252"/>
      <c r="JZ105" s="252"/>
      <c r="KA105" s="252"/>
      <c r="KB105" s="252"/>
      <c r="KF105" s="252"/>
      <c r="KG105" s="252"/>
      <c r="KH105" s="252"/>
      <c r="KO105" s="66"/>
      <c r="KP105" s="66"/>
      <c r="KQ105" s="66"/>
      <c r="KR105" s="66"/>
      <c r="KS105" s="66"/>
      <c r="KT105" s="66"/>
      <c r="KU105" s="66"/>
      <c r="KV105" s="66"/>
      <c r="KW105" s="66"/>
      <c r="KX105" s="66"/>
      <c r="KY105" s="66"/>
      <c r="KZ105" s="66"/>
      <c r="LA105" s="8"/>
      <c r="LD105" s="252"/>
      <c r="LE105" s="252"/>
      <c r="LF105" s="252"/>
      <c r="LJ105" s="252"/>
      <c r="LK105" s="252"/>
      <c r="LN105" s="252"/>
      <c r="LO105" s="252"/>
      <c r="LP105" s="252"/>
      <c r="LT105" s="271"/>
      <c r="LU105" s="250"/>
      <c r="LV105" s="250"/>
      <c r="LW105" s="250"/>
      <c r="LX105" s="250"/>
      <c r="LY105" s="250"/>
      <c r="LZ105" s="250"/>
      <c r="MA105" s="250"/>
      <c r="MB105" s="250"/>
      <c r="MC105" s="250"/>
      <c r="MD105" s="250"/>
      <c r="ME105" s="250"/>
      <c r="MF105" s="250"/>
      <c r="MG105" s="250"/>
      <c r="MH105" s="250"/>
      <c r="MI105" s="250"/>
      <c r="MJ105" s="250"/>
      <c r="MK105" s="424"/>
      <c r="ML105" s="640"/>
      <c r="MM105" s="251"/>
      <c r="MN105" s="252"/>
      <c r="MO105" s="252"/>
      <c r="MP105" s="252"/>
      <c r="MQ105" s="252"/>
      <c r="MR105" s="252"/>
      <c r="MS105" s="252"/>
      <c r="MT105" s="252"/>
      <c r="MU105" s="252"/>
      <c r="MV105" s="252"/>
      <c r="MW105" s="252"/>
      <c r="MX105" s="252"/>
      <c r="MY105" s="252"/>
      <c r="MZ105" s="252"/>
      <c r="NA105" s="252"/>
      <c r="NB105" s="252"/>
      <c r="NC105" s="251"/>
      <c r="ND105" s="250"/>
      <c r="NE105" s="250"/>
      <c r="NF105" s="250"/>
      <c r="NG105" s="250"/>
      <c r="NH105" s="250"/>
      <c r="NI105" s="250"/>
      <c r="NJ105" s="250"/>
      <c r="NK105" s="250"/>
      <c r="NL105" s="250"/>
      <c r="NM105" s="250"/>
      <c r="NN105" s="250"/>
      <c r="NO105" s="250"/>
      <c r="NP105" s="250"/>
      <c r="NQ105" s="250"/>
      <c r="NR105" s="250"/>
      <c r="NS105" s="250"/>
      <c r="NT105" s="250"/>
      <c r="NU105" s="250"/>
      <c r="NV105" s="250"/>
      <c r="NW105" s="251"/>
      <c r="OT105" s="8"/>
      <c r="QG105" s="8"/>
      <c r="RT105" s="8"/>
    </row>
    <row r="106" spans="1:488" s="282" customFormat="1" x14ac:dyDescent="0.25">
      <c r="A106" s="66"/>
      <c r="B106" s="8"/>
      <c r="C106" s="66"/>
      <c r="D106" s="66"/>
      <c r="E106" s="66"/>
      <c r="F106" s="66"/>
      <c r="G106" s="66"/>
      <c r="H106" s="66"/>
      <c r="I106" s="66"/>
      <c r="J106" s="66"/>
      <c r="K106" s="66"/>
      <c r="L106" s="66"/>
      <c r="M106" s="66"/>
      <c r="N106" s="66"/>
      <c r="O106" s="66"/>
      <c r="P106" s="66"/>
      <c r="Q106" s="66"/>
      <c r="R106" s="66"/>
      <c r="S106" s="66"/>
      <c r="T106" s="68"/>
      <c r="AC106" s="66"/>
      <c r="AD106" s="66"/>
      <c r="AE106" s="68"/>
      <c r="AN106" s="66"/>
      <c r="AO106" s="66"/>
      <c r="AP106" s="68"/>
      <c r="AW106" s="66"/>
      <c r="AX106" s="68"/>
      <c r="BD106" s="66"/>
      <c r="BE106" s="68"/>
      <c r="BF106" s="66"/>
      <c r="BG106" s="66"/>
      <c r="BH106" s="66"/>
      <c r="BI106" s="66"/>
      <c r="BJ106" s="66"/>
      <c r="BK106" s="66"/>
      <c r="BL106" s="68"/>
      <c r="BO106" s="66"/>
      <c r="BP106" s="68"/>
      <c r="BV106" s="66"/>
      <c r="BW106" s="68"/>
      <c r="CB106" s="8"/>
      <c r="CH106" s="8"/>
      <c r="CK106" s="299"/>
      <c r="CL106" s="299"/>
      <c r="CM106" s="66"/>
      <c r="CN106" s="66"/>
      <c r="CO106" s="68"/>
      <c r="CR106" s="8"/>
      <c r="CX106" s="66"/>
      <c r="CY106" s="532"/>
      <c r="DE106" s="66"/>
      <c r="DF106" s="66"/>
      <c r="DG106" s="68"/>
      <c r="DH106" s="68"/>
      <c r="DK106" s="66"/>
      <c r="DL106" s="66"/>
      <c r="DM106" s="66"/>
      <c r="DN106" s="66"/>
      <c r="DO106" s="66"/>
      <c r="DP106" s="66"/>
      <c r="DQ106" s="66"/>
      <c r="DR106" s="66"/>
      <c r="DS106" s="66"/>
      <c r="DT106" s="68"/>
      <c r="DU106" s="66"/>
      <c r="DV106" s="296"/>
      <c r="DW106" s="330"/>
      <c r="DX106" s="631"/>
      <c r="DY106" s="631"/>
      <c r="DZ106" s="631"/>
      <c r="EA106" s="330"/>
      <c r="EC106" s="66"/>
      <c r="ED106" s="68"/>
      <c r="EH106" s="66"/>
      <c r="EI106" s="66"/>
      <c r="EJ106" s="68"/>
      <c r="EK106" s="252"/>
      <c r="EL106" s="252"/>
      <c r="EM106" s="252"/>
      <c r="EO106" s="252"/>
      <c r="EP106" s="252"/>
      <c r="EQ106" s="252"/>
      <c r="ES106" s="252"/>
      <c r="ET106" s="252"/>
      <c r="EU106" s="252"/>
      <c r="EW106" s="252"/>
      <c r="EX106" s="252"/>
      <c r="EY106" s="252"/>
      <c r="FA106" s="250"/>
      <c r="FB106" s="250"/>
      <c r="FC106" s="250"/>
      <c r="FD106" s="250"/>
      <c r="FE106" s="250"/>
      <c r="FF106" s="250"/>
      <c r="FG106" s="250"/>
      <c r="FH106" s="424"/>
      <c r="FI106" s="250"/>
      <c r="FJ106" s="250"/>
      <c r="FK106" s="250"/>
      <c r="FL106" s="256"/>
      <c r="FM106" s="250"/>
      <c r="FN106" s="256"/>
      <c r="FO106" s="250"/>
      <c r="FP106" s="256"/>
      <c r="FQ106" s="250"/>
      <c r="FR106" s="256"/>
      <c r="FS106" s="250"/>
      <c r="FT106" s="256"/>
      <c r="FU106" s="256"/>
      <c r="FV106" s="256"/>
      <c r="FW106" s="250"/>
      <c r="FX106" s="424"/>
      <c r="FY106" s="251"/>
      <c r="GC106" s="252"/>
      <c r="GF106" s="252"/>
      <c r="GG106" s="252"/>
      <c r="GH106" s="252"/>
      <c r="GI106" s="252"/>
      <c r="GJ106" s="252"/>
      <c r="GK106" s="251"/>
      <c r="GL106" s="250"/>
      <c r="GM106" s="250"/>
      <c r="GN106" s="250"/>
      <c r="GO106" s="250"/>
      <c r="GP106" s="250"/>
      <c r="GQ106" s="250"/>
      <c r="GR106" s="250"/>
      <c r="GS106" s="250"/>
      <c r="GT106" s="250"/>
      <c r="GU106" s="251"/>
      <c r="GV106" s="250"/>
      <c r="GW106" s="250"/>
      <c r="GX106" s="250"/>
      <c r="GY106" s="250"/>
      <c r="GZ106" s="250"/>
      <c r="HA106" s="250"/>
      <c r="HB106" s="250"/>
      <c r="HC106" s="250"/>
      <c r="HD106" s="250"/>
      <c r="HE106" s="250"/>
      <c r="HF106" s="250"/>
      <c r="HG106" s="250"/>
      <c r="HH106" s="251"/>
      <c r="HI106" s="424"/>
      <c r="HJ106" s="255"/>
      <c r="HK106" s="255"/>
      <c r="HL106" s="250"/>
      <c r="HM106" s="255"/>
      <c r="HN106" s="255"/>
      <c r="HO106" s="255"/>
      <c r="HP106" s="250"/>
      <c r="HQ106" s="250"/>
      <c r="HR106" s="250"/>
      <c r="HS106" s="250"/>
      <c r="HT106" s="250"/>
      <c r="HU106" s="251"/>
      <c r="HX106" s="252"/>
      <c r="HY106" s="252"/>
      <c r="HZ106" s="252"/>
      <c r="ID106" s="252"/>
      <c r="IE106" s="252"/>
      <c r="IF106" s="252"/>
      <c r="IJ106" s="252"/>
      <c r="IK106" s="252"/>
      <c r="IL106" s="252"/>
      <c r="IP106" s="252"/>
      <c r="IQ106" s="252"/>
      <c r="IR106" s="252"/>
      <c r="IY106" s="66"/>
      <c r="IZ106" s="66"/>
      <c r="JA106" s="66"/>
      <c r="JB106" s="250"/>
      <c r="JC106" s="66"/>
      <c r="JD106" s="66"/>
      <c r="JE106" s="66"/>
      <c r="JF106" s="66"/>
      <c r="JG106" s="66"/>
      <c r="JH106" s="66"/>
      <c r="JI106" s="66"/>
      <c r="JJ106" s="66"/>
      <c r="JK106" s="8"/>
      <c r="JN106" s="252"/>
      <c r="JO106" s="252"/>
      <c r="JP106" s="252"/>
      <c r="JT106" s="252"/>
      <c r="JU106" s="252"/>
      <c r="JV106" s="252"/>
      <c r="JZ106" s="252"/>
      <c r="KA106" s="252"/>
      <c r="KB106" s="252"/>
      <c r="KF106" s="252"/>
      <c r="KG106" s="252"/>
      <c r="KH106" s="252"/>
      <c r="KO106" s="66"/>
      <c r="KP106" s="66"/>
      <c r="KQ106" s="66"/>
      <c r="KR106" s="66"/>
      <c r="KS106" s="66"/>
      <c r="KT106" s="66"/>
      <c r="KU106" s="66"/>
      <c r="KV106" s="66"/>
      <c r="KW106" s="66"/>
      <c r="KX106" s="66"/>
      <c r="KY106" s="66"/>
      <c r="KZ106" s="66"/>
      <c r="LA106" s="8"/>
      <c r="LD106" s="252"/>
      <c r="LE106" s="252"/>
      <c r="LF106" s="252"/>
      <c r="LJ106" s="252"/>
      <c r="LK106" s="252"/>
      <c r="LN106" s="252"/>
      <c r="LO106" s="252"/>
      <c r="LP106" s="252"/>
      <c r="LT106" s="271"/>
      <c r="LU106" s="250"/>
      <c r="LV106" s="250"/>
      <c r="LW106" s="250"/>
      <c r="LX106" s="250"/>
      <c r="LY106" s="250"/>
      <c r="LZ106" s="250"/>
      <c r="MA106" s="250"/>
      <c r="MB106" s="250"/>
      <c r="MC106" s="250"/>
      <c r="MD106" s="250"/>
      <c r="ME106" s="250"/>
      <c r="MF106" s="250"/>
      <c r="MG106" s="250"/>
      <c r="MH106" s="250"/>
      <c r="MI106" s="250"/>
      <c r="MJ106" s="250"/>
      <c r="MK106" s="424"/>
      <c r="ML106" s="640"/>
      <c r="MM106" s="251"/>
      <c r="MN106" s="252"/>
      <c r="MO106" s="252"/>
      <c r="MP106" s="252"/>
      <c r="MQ106" s="252"/>
      <c r="MR106" s="252"/>
      <c r="MS106" s="252"/>
      <c r="MT106" s="252"/>
      <c r="MU106" s="252"/>
      <c r="MV106" s="252"/>
      <c r="MW106" s="252"/>
      <c r="MX106" s="252"/>
      <c r="MY106" s="252"/>
      <c r="MZ106" s="252"/>
      <c r="NA106" s="252"/>
      <c r="NB106" s="252"/>
      <c r="NC106" s="251"/>
      <c r="ND106" s="250"/>
      <c r="NE106" s="250"/>
      <c r="NF106" s="250"/>
      <c r="NG106" s="250"/>
      <c r="NH106" s="250"/>
      <c r="NI106" s="250"/>
      <c r="NJ106" s="250"/>
      <c r="NK106" s="250"/>
      <c r="NL106" s="250"/>
      <c r="NM106" s="250"/>
      <c r="NN106" s="250"/>
      <c r="NO106" s="250"/>
      <c r="NP106" s="250"/>
      <c r="NQ106" s="250"/>
      <c r="NR106" s="250"/>
      <c r="NS106" s="250"/>
      <c r="NT106" s="250"/>
      <c r="NU106" s="250"/>
      <c r="NV106" s="250"/>
      <c r="NW106" s="251"/>
      <c r="OT106" s="8"/>
      <c r="QG106" s="8"/>
      <c r="RT106" s="8"/>
    </row>
    <row r="107" spans="1:488" s="282" customFormat="1" x14ac:dyDescent="0.25">
      <c r="A107" s="66"/>
      <c r="B107" s="8"/>
      <c r="C107" s="66"/>
      <c r="D107" s="66"/>
      <c r="E107" s="66"/>
      <c r="F107" s="66"/>
      <c r="G107" s="66"/>
      <c r="H107" s="66"/>
      <c r="I107" s="66"/>
      <c r="J107" s="66"/>
      <c r="K107" s="66"/>
      <c r="L107" s="66"/>
      <c r="M107" s="66"/>
      <c r="N107" s="66"/>
      <c r="O107" s="66"/>
      <c r="P107" s="66"/>
      <c r="Q107" s="66"/>
      <c r="R107" s="66"/>
      <c r="S107" s="66"/>
      <c r="T107" s="68"/>
      <c r="AC107" s="66"/>
      <c r="AD107" s="66"/>
      <c r="AE107" s="68"/>
      <c r="AN107" s="66"/>
      <c r="AO107" s="66"/>
      <c r="AP107" s="68"/>
      <c r="AW107" s="66"/>
      <c r="AX107" s="68"/>
      <c r="BD107" s="66"/>
      <c r="BE107" s="68"/>
      <c r="BF107" s="66"/>
      <c r="BG107" s="66"/>
      <c r="BH107" s="66"/>
      <c r="BI107" s="66"/>
      <c r="BJ107" s="66"/>
      <c r="BK107" s="66"/>
      <c r="BL107" s="68"/>
      <c r="BO107" s="66"/>
      <c r="BP107" s="68"/>
      <c r="BV107" s="66"/>
      <c r="BW107" s="68"/>
      <c r="CB107" s="8"/>
      <c r="CH107" s="8"/>
      <c r="CK107" s="299"/>
      <c r="CL107" s="299"/>
      <c r="CM107" s="66"/>
      <c r="CN107" s="66"/>
      <c r="CO107" s="68"/>
      <c r="CR107" s="8"/>
      <c r="CX107" s="66"/>
      <c r="CY107" s="532"/>
      <c r="DE107" s="66"/>
      <c r="DF107" s="66"/>
      <c r="DG107" s="68"/>
      <c r="DH107" s="68"/>
      <c r="DK107" s="66"/>
      <c r="DL107" s="66"/>
      <c r="DM107" s="66"/>
      <c r="DN107" s="66"/>
      <c r="DO107" s="66"/>
      <c r="DP107" s="66"/>
      <c r="DQ107" s="66"/>
      <c r="DR107" s="66"/>
      <c r="DS107" s="66"/>
      <c r="DT107" s="68"/>
      <c r="DU107" s="66"/>
      <c r="DV107" s="296"/>
      <c r="DW107" s="330"/>
      <c r="DX107" s="631"/>
      <c r="DY107" s="631"/>
      <c r="DZ107" s="631"/>
      <c r="EA107" s="330"/>
      <c r="EC107" s="66"/>
      <c r="ED107" s="68"/>
      <c r="EH107" s="66"/>
      <c r="EI107" s="66"/>
      <c r="EJ107" s="68"/>
      <c r="EK107" s="252"/>
      <c r="EL107" s="252"/>
      <c r="EM107" s="252"/>
      <c r="EO107" s="252"/>
      <c r="EP107" s="252"/>
      <c r="EQ107" s="252"/>
      <c r="ES107" s="252"/>
      <c r="ET107" s="252"/>
      <c r="EU107" s="252"/>
      <c r="EW107" s="252"/>
      <c r="EX107" s="252"/>
      <c r="EY107" s="252"/>
      <c r="FA107" s="250"/>
      <c r="FB107" s="250"/>
      <c r="FC107" s="250"/>
      <c r="FD107" s="250"/>
      <c r="FE107" s="250"/>
      <c r="FF107" s="250"/>
      <c r="FG107" s="250"/>
      <c r="FH107" s="424"/>
      <c r="FI107" s="250"/>
      <c r="FJ107" s="250"/>
      <c r="FK107" s="250"/>
      <c r="FL107" s="256"/>
      <c r="FM107" s="250"/>
      <c r="FN107" s="256"/>
      <c r="FO107" s="250"/>
      <c r="FP107" s="256"/>
      <c r="FQ107" s="250"/>
      <c r="FR107" s="256"/>
      <c r="FS107" s="250"/>
      <c r="FT107" s="256"/>
      <c r="FU107" s="256"/>
      <c r="FV107" s="256"/>
      <c r="FW107" s="250"/>
      <c r="FX107" s="424"/>
      <c r="FY107" s="251"/>
      <c r="GC107" s="252"/>
      <c r="GF107" s="252"/>
      <c r="GG107" s="252"/>
      <c r="GH107" s="252"/>
      <c r="GI107" s="252"/>
      <c r="GJ107" s="252"/>
      <c r="GK107" s="251"/>
      <c r="GL107" s="250"/>
      <c r="GM107" s="250"/>
      <c r="GN107" s="250"/>
      <c r="GO107" s="250"/>
      <c r="GP107" s="250"/>
      <c r="GQ107" s="250"/>
      <c r="GR107" s="250"/>
      <c r="GS107" s="250"/>
      <c r="GT107" s="250"/>
      <c r="GU107" s="251"/>
      <c r="GV107" s="250"/>
      <c r="GW107" s="250"/>
      <c r="GX107" s="250"/>
      <c r="GY107" s="250"/>
      <c r="GZ107" s="250"/>
      <c r="HA107" s="250"/>
      <c r="HB107" s="250"/>
      <c r="HC107" s="250"/>
      <c r="HD107" s="250"/>
      <c r="HE107" s="250"/>
      <c r="HF107" s="250"/>
      <c r="HG107" s="250"/>
      <c r="HH107" s="251"/>
      <c r="HI107" s="424"/>
      <c r="HJ107" s="255"/>
      <c r="HK107" s="255"/>
      <c r="HL107" s="250"/>
      <c r="HM107" s="255"/>
      <c r="HN107" s="255"/>
      <c r="HO107" s="255"/>
      <c r="HP107" s="250"/>
      <c r="HQ107" s="250"/>
      <c r="HR107" s="250"/>
      <c r="HS107" s="250"/>
      <c r="HT107" s="250"/>
      <c r="HU107" s="251"/>
      <c r="HX107" s="252"/>
      <c r="HY107" s="252"/>
      <c r="HZ107" s="252"/>
      <c r="ID107" s="252"/>
      <c r="IE107" s="252"/>
      <c r="IF107" s="252"/>
      <c r="IJ107" s="252"/>
      <c r="IK107" s="252"/>
      <c r="IL107" s="252"/>
      <c r="IP107" s="252"/>
      <c r="IQ107" s="252"/>
      <c r="IR107" s="252"/>
      <c r="IY107" s="66"/>
      <c r="IZ107" s="66"/>
      <c r="JA107" s="66"/>
      <c r="JB107" s="250"/>
      <c r="JC107" s="66"/>
      <c r="JD107" s="66"/>
      <c r="JE107" s="66"/>
      <c r="JF107" s="66"/>
      <c r="JG107" s="66"/>
      <c r="JH107" s="66"/>
      <c r="JI107" s="66"/>
      <c r="JJ107" s="66"/>
      <c r="JK107" s="8"/>
      <c r="JN107" s="252"/>
      <c r="JO107" s="252"/>
      <c r="JP107" s="252"/>
      <c r="JT107" s="252"/>
      <c r="JU107" s="252"/>
      <c r="JV107" s="252"/>
      <c r="JZ107" s="252"/>
      <c r="KA107" s="252"/>
      <c r="KB107" s="252"/>
      <c r="KF107" s="252"/>
      <c r="KG107" s="252"/>
      <c r="KH107" s="252"/>
      <c r="KO107" s="66"/>
      <c r="KP107" s="66"/>
      <c r="KQ107" s="66"/>
      <c r="KR107" s="66"/>
      <c r="KS107" s="66"/>
      <c r="KT107" s="66"/>
      <c r="KU107" s="66"/>
      <c r="KV107" s="66"/>
      <c r="KW107" s="66"/>
      <c r="KX107" s="66"/>
      <c r="KY107" s="66"/>
      <c r="KZ107" s="66"/>
      <c r="LA107" s="8"/>
      <c r="LD107" s="252"/>
      <c r="LE107" s="252"/>
      <c r="LF107" s="252"/>
      <c r="LJ107" s="252"/>
      <c r="LK107" s="252"/>
      <c r="LN107" s="252"/>
      <c r="LO107" s="252"/>
      <c r="LP107" s="252"/>
      <c r="LT107" s="271"/>
      <c r="LU107" s="250"/>
      <c r="LV107" s="250"/>
      <c r="LW107" s="250"/>
      <c r="LX107" s="250"/>
      <c r="LY107" s="250"/>
      <c r="LZ107" s="250"/>
      <c r="MA107" s="250"/>
      <c r="MB107" s="250"/>
      <c r="MC107" s="250"/>
      <c r="MD107" s="250"/>
      <c r="ME107" s="250"/>
      <c r="MF107" s="250"/>
      <c r="MG107" s="250"/>
      <c r="MH107" s="250"/>
      <c r="MI107" s="250"/>
      <c r="MJ107" s="250"/>
      <c r="MK107" s="424"/>
      <c r="ML107" s="640"/>
      <c r="MM107" s="251"/>
      <c r="MN107" s="252"/>
      <c r="MO107" s="252"/>
      <c r="MP107" s="252"/>
      <c r="MQ107" s="252"/>
      <c r="MR107" s="252"/>
      <c r="MS107" s="252"/>
      <c r="MT107" s="252"/>
      <c r="MU107" s="252"/>
      <c r="MV107" s="252"/>
      <c r="MW107" s="252"/>
      <c r="MX107" s="252"/>
      <c r="MY107" s="252"/>
      <c r="MZ107" s="252"/>
      <c r="NA107" s="252"/>
      <c r="NB107" s="252"/>
      <c r="NC107" s="251"/>
      <c r="ND107" s="250"/>
      <c r="NE107" s="250"/>
      <c r="NF107" s="250"/>
      <c r="NG107" s="250"/>
      <c r="NH107" s="250"/>
      <c r="NI107" s="250"/>
      <c r="NJ107" s="250"/>
      <c r="NK107" s="250"/>
      <c r="NL107" s="250"/>
      <c r="NM107" s="250"/>
      <c r="NN107" s="250"/>
      <c r="NO107" s="250"/>
      <c r="NP107" s="250"/>
      <c r="NQ107" s="250"/>
      <c r="NR107" s="250"/>
      <c r="NS107" s="250"/>
      <c r="NT107" s="250"/>
      <c r="NU107" s="250"/>
      <c r="NV107" s="250"/>
      <c r="NW107" s="251"/>
      <c r="OT107" s="8"/>
      <c r="QG107" s="8"/>
      <c r="RT107" s="8"/>
    </row>
    <row r="108" spans="1:488" s="282" customFormat="1" x14ac:dyDescent="0.25">
      <c r="A108" s="66"/>
      <c r="B108" s="8"/>
      <c r="C108" s="66"/>
      <c r="D108" s="66"/>
      <c r="E108" s="66"/>
      <c r="F108" s="66"/>
      <c r="G108" s="66"/>
      <c r="H108" s="66"/>
      <c r="I108" s="66"/>
      <c r="J108" s="66"/>
      <c r="K108" s="66"/>
      <c r="L108" s="66"/>
      <c r="M108" s="66"/>
      <c r="N108" s="66"/>
      <c r="O108" s="66"/>
      <c r="P108" s="66"/>
      <c r="Q108" s="66"/>
      <c r="R108" s="66"/>
      <c r="S108" s="66"/>
      <c r="T108" s="68"/>
      <c r="AC108" s="66"/>
      <c r="AD108" s="66"/>
      <c r="AE108" s="68"/>
      <c r="AN108" s="66"/>
      <c r="AO108" s="66"/>
      <c r="AP108" s="68"/>
      <c r="AW108" s="66"/>
      <c r="AX108" s="68"/>
      <c r="BD108" s="66"/>
      <c r="BE108" s="68"/>
      <c r="BF108" s="66"/>
      <c r="BG108" s="66"/>
      <c r="BH108" s="66"/>
      <c r="BI108" s="66"/>
      <c r="BJ108" s="66"/>
      <c r="BK108" s="66"/>
      <c r="BL108" s="68"/>
      <c r="BO108" s="66"/>
      <c r="BP108" s="68"/>
      <c r="BV108" s="66"/>
      <c r="BW108" s="68"/>
      <c r="CB108" s="8"/>
      <c r="CH108" s="8"/>
      <c r="CK108" s="299"/>
      <c r="CL108" s="299"/>
      <c r="CM108" s="66"/>
      <c r="CN108" s="66"/>
      <c r="CO108" s="68"/>
      <c r="CR108" s="8"/>
      <c r="CX108" s="66"/>
      <c r="CY108" s="532"/>
      <c r="DE108" s="66"/>
      <c r="DF108" s="66"/>
      <c r="DG108" s="68"/>
      <c r="DH108" s="68"/>
      <c r="DK108" s="66"/>
      <c r="DL108" s="66"/>
      <c r="DM108" s="66"/>
      <c r="DN108" s="66"/>
      <c r="DO108" s="66"/>
      <c r="DP108" s="66"/>
      <c r="DQ108" s="66"/>
      <c r="DR108" s="66"/>
      <c r="DS108" s="66"/>
      <c r="DT108" s="68"/>
      <c r="DU108" s="66"/>
      <c r="DV108" s="296"/>
      <c r="DW108" s="330"/>
      <c r="DX108" s="631"/>
      <c r="DY108" s="631"/>
      <c r="DZ108" s="631"/>
      <c r="EA108" s="330"/>
      <c r="EC108" s="66"/>
      <c r="ED108" s="68"/>
      <c r="EH108" s="66"/>
      <c r="EI108" s="66"/>
      <c r="EJ108" s="68"/>
      <c r="EK108" s="252"/>
      <c r="EL108" s="252"/>
      <c r="EM108" s="252"/>
      <c r="EO108" s="252"/>
      <c r="EP108" s="252"/>
      <c r="EQ108" s="252"/>
      <c r="ES108" s="252"/>
      <c r="ET108" s="252"/>
      <c r="EU108" s="252"/>
      <c r="EW108" s="252"/>
      <c r="EX108" s="252"/>
      <c r="EY108" s="252"/>
      <c r="FA108" s="250"/>
      <c r="FB108" s="250"/>
      <c r="FC108" s="250"/>
      <c r="FD108" s="250"/>
      <c r="FE108" s="250"/>
      <c r="FF108" s="250"/>
      <c r="FG108" s="250"/>
      <c r="FH108" s="424"/>
      <c r="FI108" s="250"/>
      <c r="FJ108" s="250"/>
      <c r="FK108" s="250"/>
      <c r="FL108" s="256"/>
      <c r="FM108" s="250"/>
      <c r="FN108" s="256"/>
      <c r="FO108" s="250"/>
      <c r="FP108" s="256"/>
      <c r="FQ108" s="250"/>
      <c r="FR108" s="256"/>
      <c r="FS108" s="250"/>
      <c r="FT108" s="256"/>
      <c r="FU108" s="256"/>
      <c r="FV108" s="256"/>
      <c r="FW108" s="250"/>
      <c r="FX108" s="424"/>
      <c r="FY108" s="251"/>
      <c r="GC108" s="252"/>
      <c r="GF108" s="252"/>
      <c r="GG108" s="252"/>
      <c r="GH108" s="252"/>
      <c r="GI108" s="252"/>
      <c r="GJ108" s="252"/>
      <c r="GK108" s="251"/>
      <c r="GL108" s="250"/>
      <c r="GM108" s="250"/>
      <c r="GN108" s="250"/>
      <c r="GO108" s="250"/>
      <c r="GP108" s="250"/>
      <c r="GQ108" s="250"/>
      <c r="GR108" s="250"/>
      <c r="GS108" s="250"/>
      <c r="GT108" s="250"/>
      <c r="GU108" s="251"/>
      <c r="GV108" s="250"/>
      <c r="GW108" s="250"/>
      <c r="GX108" s="250"/>
      <c r="GY108" s="250"/>
      <c r="GZ108" s="250"/>
      <c r="HA108" s="250"/>
      <c r="HB108" s="250"/>
      <c r="HC108" s="250"/>
      <c r="HD108" s="250"/>
      <c r="HE108" s="250"/>
      <c r="HF108" s="250"/>
      <c r="HG108" s="250"/>
      <c r="HH108" s="251"/>
      <c r="HI108" s="424"/>
      <c r="HJ108" s="255"/>
      <c r="HK108" s="255"/>
      <c r="HL108" s="250"/>
      <c r="HM108" s="255"/>
      <c r="HN108" s="255"/>
      <c r="HO108" s="255"/>
      <c r="HP108" s="250"/>
      <c r="HQ108" s="250"/>
      <c r="HR108" s="250"/>
      <c r="HS108" s="250"/>
      <c r="HT108" s="250"/>
      <c r="HU108" s="251"/>
      <c r="HX108" s="252"/>
      <c r="HY108" s="252"/>
      <c r="HZ108" s="252"/>
      <c r="ID108" s="252"/>
      <c r="IE108" s="252"/>
      <c r="IF108" s="252"/>
      <c r="IJ108" s="252"/>
      <c r="IK108" s="252"/>
      <c r="IL108" s="252"/>
      <c r="IP108" s="252"/>
      <c r="IQ108" s="252"/>
      <c r="IR108" s="252"/>
      <c r="IY108" s="66"/>
      <c r="IZ108" s="66"/>
      <c r="JA108" s="66"/>
      <c r="JB108" s="250"/>
      <c r="JC108" s="66"/>
      <c r="JD108" s="66"/>
      <c r="JE108" s="66"/>
      <c r="JF108" s="66"/>
      <c r="JG108" s="66"/>
      <c r="JH108" s="66"/>
      <c r="JI108" s="66"/>
      <c r="JJ108" s="66"/>
      <c r="JK108" s="8"/>
      <c r="JN108" s="252"/>
      <c r="JO108" s="252"/>
      <c r="JP108" s="252"/>
      <c r="JT108" s="252"/>
      <c r="JU108" s="252"/>
      <c r="JV108" s="252"/>
      <c r="JZ108" s="252"/>
      <c r="KA108" s="252"/>
      <c r="KB108" s="252"/>
      <c r="KF108" s="252"/>
      <c r="KG108" s="252"/>
      <c r="KH108" s="252"/>
      <c r="KO108" s="66"/>
      <c r="KP108" s="66"/>
      <c r="KQ108" s="66"/>
      <c r="KR108" s="66"/>
      <c r="KS108" s="66"/>
      <c r="KT108" s="66"/>
      <c r="KU108" s="66"/>
      <c r="KV108" s="66"/>
      <c r="KW108" s="66"/>
      <c r="KX108" s="66"/>
      <c r="KY108" s="66"/>
      <c r="KZ108" s="66"/>
      <c r="LA108" s="8"/>
      <c r="LD108" s="252"/>
      <c r="LE108" s="252"/>
      <c r="LF108" s="252"/>
      <c r="LJ108" s="252"/>
      <c r="LK108" s="252"/>
      <c r="LN108" s="252"/>
      <c r="LO108" s="252"/>
      <c r="LP108" s="252"/>
      <c r="LT108" s="271"/>
      <c r="LU108" s="250"/>
      <c r="LV108" s="250"/>
      <c r="LW108" s="250"/>
      <c r="LX108" s="250"/>
      <c r="LY108" s="250"/>
      <c r="LZ108" s="250"/>
      <c r="MA108" s="250"/>
      <c r="MB108" s="250"/>
      <c r="MC108" s="250"/>
      <c r="MD108" s="250"/>
      <c r="ME108" s="250"/>
      <c r="MF108" s="250"/>
      <c r="MG108" s="250"/>
      <c r="MH108" s="250"/>
      <c r="MI108" s="250"/>
      <c r="MJ108" s="250"/>
      <c r="MK108" s="424"/>
      <c r="ML108" s="640"/>
      <c r="MM108" s="251"/>
      <c r="MN108" s="252"/>
      <c r="MO108" s="252"/>
      <c r="MP108" s="252"/>
      <c r="MQ108" s="252"/>
      <c r="MR108" s="252"/>
      <c r="MS108" s="252"/>
      <c r="MT108" s="252"/>
      <c r="MU108" s="252"/>
      <c r="MV108" s="252"/>
      <c r="MW108" s="252"/>
      <c r="MX108" s="252"/>
      <c r="MY108" s="252"/>
      <c r="MZ108" s="252"/>
      <c r="NA108" s="252"/>
      <c r="NB108" s="252"/>
      <c r="NC108" s="251"/>
      <c r="ND108" s="250"/>
      <c r="NE108" s="250"/>
      <c r="NF108" s="250"/>
      <c r="NG108" s="250"/>
      <c r="NH108" s="250"/>
      <c r="NI108" s="250"/>
      <c r="NJ108" s="250"/>
      <c r="NK108" s="250"/>
      <c r="NL108" s="250"/>
      <c r="NM108" s="250"/>
      <c r="NN108" s="250"/>
      <c r="NO108" s="250"/>
      <c r="NP108" s="250"/>
      <c r="NQ108" s="250"/>
      <c r="NR108" s="250"/>
      <c r="NS108" s="250"/>
      <c r="NT108" s="250"/>
      <c r="NU108" s="250"/>
      <c r="NV108" s="250"/>
      <c r="NW108" s="251"/>
      <c r="OT108" s="8"/>
      <c r="QG108" s="8"/>
      <c r="RT108" s="8"/>
    </row>
    <row r="109" spans="1:488" s="282" customFormat="1" x14ac:dyDescent="0.25">
      <c r="A109" s="66"/>
      <c r="B109" s="8"/>
      <c r="C109" s="66"/>
      <c r="D109" s="66"/>
      <c r="E109" s="66"/>
      <c r="F109" s="66"/>
      <c r="G109" s="66"/>
      <c r="H109" s="66"/>
      <c r="I109" s="66"/>
      <c r="J109" s="66"/>
      <c r="K109" s="66"/>
      <c r="L109" s="66"/>
      <c r="M109" s="66"/>
      <c r="N109" s="66"/>
      <c r="O109" s="66"/>
      <c r="P109" s="66"/>
      <c r="Q109" s="66"/>
      <c r="R109" s="66"/>
      <c r="S109" s="66"/>
      <c r="T109" s="68"/>
      <c r="AC109" s="66"/>
      <c r="AD109" s="66"/>
      <c r="AE109" s="68"/>
      <c r="AN109" s="66"/>
      <c r="AO109" s="66"/>
      <c r="AP109" s="68"/>
      <c r="AW109" s="66"/>
      <c r="AX109" s="68"/>
      <c r="BD109" s="66"/>
      <c r="BE109" s="68"/>
      <c r="BF109" s="66"/>
      <c r="BG109" s="66"/>
      <c r="BH109" s="66"/>
      <c r="BI109" s="66"/>
      <c r="BJ109" s="66"/>
      <c r="BK109" s="66"/>
      <c r="BL109" s="68"/>
      <c r="BO109" s="66"/>
      <c r="BP109" s="68"/>
      <c r="BV109" s="66"/>
      <c r="BW109" s="68"/>
      <c r="CB109" s="8"/>
      <c r="CH109" s="8"/>
      <c r="CK109" s="299"/>
      <c r="CL109" s="299"/>
      <c r="CM109" s="66"/>
      <c r="CN109" s="66"/>
      <c r="CO109" s="68"/>
      <c r="CR109" s="8"/>
      <c r="CX109" s="66"/>
      <c r="CY109" s="532"/>
      <c r="DE109" s="66"/>
      <c r="DF109" s="66"/>
      <c r="DG109" s="68"/>
      <c r="DH109" s="68"/>
      <c r="DK109" s="66"/>
      <c r="DL109" s="66"/>
      <c r="DM109" s="66"/>
      <c r="DN109" s="66"/>
      <c r="DO109" s="66"/>
      <c r="DP109" s="66"/>
      <c r="DQ109" s="66"/>
      <c r="DR109" s="66"/>
      <c r="DS109" s="66"/>
      <c r="DT109" s="68"/>
      <c r="DU109" s="66"/>
      <c r="DV109" s="296"/>
      <c r="DW109" s="330"/>
      <c r="DX109" s="631"/>
      <c r="DY109" s="631"/>
      <c r="DZ109" s="631"/>
      <c r="EA109" s="330"/>
      <c r="EC109" s="66"/>
      <c r="ED109" s="68"/>
      <c r="EH109" s="66"/>
      <c r="EI109" s="66"/>
      <c r="EJ109" s="68"/>
      <c r="EK109" s="252"/>
      <c r="EL109" s="252"/>
      <c r="EM109" s="252"/>
      <c r="EO109" s="252"/>
      <c r="EP109" s="252"/>
      <c r="EQ109" s="252"/>
      <c r="ES109" s="252"/>
      <c r="ET109" s="252"/>
      <c r="EU109" s="252"/>
      <c r="EW109" s="252"/>
      <c r="EX109" s="252"/>
      <c r="EY109" s="252"/>
      <c r="FA109" s="250"/>
      <c r="FB109" s="250"/>
      <c r="FC109" s="250"/>
      <c r="FD109" s="250"/>
      <c r="FE109" s="250"/>
      <c r="FF109" s="250"/>
      <c r="FG109" s="250"/>
      <c r="FH109" s="424"/>
      <c r="FI109" s="250"/>
      <c r="FJ109" s="250"/>
      <c r="FK109" s="250"/>
      <c r="FL109" s="256"/>
      <c r="FM109" s="250"/>
      <c r="FN109" s="256"/>
      <c r="FO109" s="250"/>
      <c r="FP109" s="256"/>
      <c r="FQ109" s="250"/>
      <c r="FR109" s="256"/>
      <c r="FS109" s="250"/>
      <c r="FT109" s="256"/>
      <c r="FU109" s="256"/>
      <c r="FV109" s="256"/>
      <c r="FW109" s="250"/>
      <c r="FX109" s="424"/>
      <c r="FY109" s="251"/>
      <c r="GC109" s="252"/>
      <c r="GF109" s="252"/>
      <c r="GG109" s="252"/>
      <c r="GH109" s="252"/>
      <c r="GI109" s="252"/>
      <c r="GJ109" s="252"/>
      <c r="GK109" s="251"/>
      <c r="GL109" s="250"/>
      <c r="GM109" s="250"/>
      <c r="GN109" s="250"/>
      <c r="GO109" s="250"/>
      <c r="GP109" s="250"/>
      <c r="GQ109" s="250"/>
      <c r="GR109" s="250"/>
      <c r="GS109" s="250"/>
      <c r="GT109" s="250"/>
      <c r="GU109" s="251"/>
      <c r="GV109" s="250"/>
      <c r="GW109" s="250"/>
      <c r="GX109" s="250"/>
      <c r="GY109" s="250"/>
      <c r="GZ109" s="250"/>
      <c r="HA109" s="250"/>
      <c r="HB109" s="250"/>
      <c r="HC109" s="250"/>
      <c r="HD109" s="250"/>
      <c r="HE109" s="250"/>
      <c r="HF109" s="250"/>
      <c r="HG109" s="250"/>
      <c r="HH109" s="251"/>
      <c r="HI109" s="424"/>
      <c r="HJ109" s="255"/>
      <c r="HK109" s="255"/>
      <c r="HL109" s="250"/>
      <c r="HM109" s="255"/>
      <c r="HN109" s="255"/>
      <c r="HO109" s="255"/>
      <c r="HP109" s="250"/>
      <c r="HQ109" s="250"/>
      <c r="HR109" s="250"/>
      <c r="HS109" s="250"/>
      <c r="HT109" s="250"/>
      <c r="HU109" s="251"/>
      <c r="HX109" s="252"/>
      <c r="HY109" s="252"/>
      <c r="HZ109" s="252"/>
      <c r="ID109" s="252"/>
      <c r="IE109" s="252"/>
      <c r="IF109" s="252"/>
      <c r="IJ109" s="252"/>
      <c r="IK109" s="252"/>
      <c r="IL109" s="252"/>
      <c r="IP109" s="252"/>
      <c r="IQ109" s="252"/>
      <c r="IR109" s="252"/>
      <c r="IY109" s="66"/>
      <c r="IZ109" s="66"/>
      <c r="JA109" s="66"/>
      <c r="JB109" s="250"/>
      <c r="JC109" s="66"/>
      <c r="JD109" s="66"/>
      <c r="JE109" s="66"/>
      <c r="JF109" s="66"/>
      <c r="JG109" s="66"/>
      <c r="JH109" s="66"/>
      <c r="JI109" s="66"/>
      <c r="JJ109" s="66"/>
      <c r="JK109" s="8"/>
      <c r="JN109" s="252"/>
      <c r="JO109" s="252"/>
      <c r="JP109" s="252"/>
      <c r="JT109" s="252"/>
      <c r="JU109" s="252"/>
      <c r="JV109" s="252"/>
      <c r="JZ109" s="252"/>
      <c r="KA109" s="252"/>
      <c r="KB109" s="252"/>
      <c r="KF109" s="252"/>
      <c r="KG109" s="252"/>
      <c r="KH109" s="252"/>
      <c r="KO109" s="66"/>
      <c r="KP109" s="66"/>
      <c r="KQ109" s="66"/>
      <c r="KR109" s="66"/>
      <c r="KS109" s="66"/>
      <c r="KT109" s="66"/>
      <c r="KU109" s="66"/>
      <c r="KV109" s="66"/>
      <c r="KW109" s="66"/>
      <c r="KX109" s="66"/>
      <c r="KY109" s="66"/>
      <c r="KZ109" s="66"/>
      <c r="LA109" s="8"/>
      <c r="LD109" s="252"/>
      <c r="LE109" s="252"/>
      <c r="LF109" s="252"/>
      <c r="LJ109" s="252"/>
      <c r="LK109" s="252"/>
      <c r="LN109" s="252"/>
      <c r="LO109" s="252"/>
      <c r="LP109" s="252"/>
      <c r="LT109" s="271"/>
      <c r="LU109" s="250"/>
      <c r="LV109" s="250"/>
      <c r="LW109" s="250"/>
      <c r="LX109" s="250"/>
      <c r="LY109" s="250"/>
      <c r="LZ109" s="250"/>
      <c r="MA109" s="250"/>
      <c r="MB109" s="250"/>
      <c r="MC109" s="250"/>
      <c r="MD109" s="250"/>
      <c r="ME109" s="250"/>
      <c r="MF109" s="250"/>
      <c r="MG109" s="250"/>
      <c r="MH109" s="250"/>
      <c r="MI109" s="250"/>
      <c r="MJ109" s="250"/>
      <c r="MK109" s="424"/>
      <c r="ML109" s="640"/>
      <c r="MM109" s="251"/>
      <c r="MN109" s="252"/>
      <c r="MO109" s="252"/>
      <c r="MP109" s="252"/>
      <c r="MQ109" s="252"/>
      <c r="MR109" s="252"/>
      <c r="MS109" s="252"/>
      <c r="MT109" s="252"/>
      <c r="MU109" s="252"/>
      <c r="MV109" s="252"/>
      <c r="MW109" s="252"/>
      <c r="MX109" s="252"/>
      <c r="MY109" s="252"/>
      <c r="MZ109" s="252"/>
      <c r="NA109" s="252"/>
      <c r="NB109" s="252"/>
      <c r="NC109" s="251"/>
      <c r="ND109" s="250"/>
      <c r="NE109" s="250"/>
      <c r="NF109" s="250"/>
      <c r="NG109" s="250"/>
      <c r="NH109" s="250"/>
      <c r="NI109" s="250"/>
      <c r="NJ109" s="250"/>
      <c r="NK109" s="250"/>
      <c r="NL109" s="250"/>
      <c r="NM109" s="250"/>
      <c r="NN109" s="250"/>
      <c r="NO109" s="250"/>
      <c r="NP109" s="250"/>
      <c r="NQ109" s="250"/>
      <c r="NR109" s="250"/>
      <c r="NS109" s="250"/>
      <c r="NT109" s="250"/>
      <c r="NU109" s="250"/>
      <c r="NV109" s="250"/>
      <c r="NW109" s="251"/>
      <c r="OT109" s="8"/>
      <c r="QG109" s="8"/>
      <c r="RT109" s="8"/>
    </row>
    <row r="110" spans="1:488" s="282" customFormat="1" x14ac:dyDescent="0.25">
      <c r="A110" s="66"/>
      <c r="B110" s="8"/>
      <c r="C110" s="66"/>
      <c r="D110" s="66"/>
      <c r="E110" s="66"/>
      <c r="F110" s="66"/>
      <c r="G110" s="66"/>
      <c r="H110" s="66"/>
      <c r="I110" s="66"/>
      <c r="J110" s="66"/>
      <c r="K110" s="66"/>
      <c r="L110" s="66"/>
      <c r="M110" s="66"/>
      <c r="N110" s="66"/>
      <c r="O110" s="66"/>
      <c r="P110" s="66"/>
      <c r="Q110" s="66"/>
      <c r="R110" s="66"/>
      <c r="S110" s="66"/>
      <c r="T110" s="68"/>
      <c r="AC110" s="66"/>
      <c r="AD110" s="66"/>
      <c r="AE110" s="68"/>
      <c r="AN110" s="66"/>
      <c r="AO110" s="66"/>
      <c r="AP110" s="68"/>
      <c r="AW110" s="66"/>
      <c r="AX110" s="68"/>
      <c r="BD110" s="66"/>
      <c r="BE110" s="68"/>
      <c r="BF110" s="66"/>
      <c r="BG110" s="66"/>
      <c r="BH110" s="66"/>
      <c r="BI110" s="66"/>
      <c r="BJ110" s="66"/>
      <c r="BK110" s="66"/>
      <c r="BL110" s="68"/>
      <c r="BO110" s="66"/>
      <c r="BP110" s="68"/>
      <c r="BV110" s="66"/>
      <c r="BW110" s="68"/>
      <c r="CB110" s="8"/>
      <c r="CH110" s="8"/>
      <c r="CK110" s="299"/>
      <c r="CL110" s="299"/>
      <c r="CM110" s="66"/>
      <c r="CN110" s="66"/>
      <c r="CO110" s="68"/>
      <c r="CR110" s="8"/>
      <c r="CX110" s="66"/>
      <c r="CY110" s="532"/>
      <c r="DE110" s="66"/>
      <c r="DF110" s="66"/>
      <c r="DG110" s="68"/>
      <c r="DH110" s="68"/>
      <c r="DK110" s="66"/>
      <c r="DL110" s="66"/>
      <c r="DM110" s="66"/>
      <c r="DN110" s="66"/>
      <c r="DO110" s="66"/>
      <c r="DP110" s="66"/>
      <c r="DQ110" s="66"/>
      <c r="DR110" s="66"/>
      <c r="DS110" s="66"/>
      <c r="DT110" s="68"/>
      <c r="DU110" s="66"/>
      <c r="DV110" s="296"/>
      <c r="DW110" s="330"/>
      <c r="DX110" s="631"/>
      <c r="DY110" s="631"/>
      <c r="DZ110" s="631"/>
      <c r="EA110" s="330"/>
      <c r="EC110" s="66"/>
      <c r="ED110" s="68"/>
      <c r="EH110" s="66"/>
      <c r="EI110" s="66"/>
      <c r="EJ110" s="68"/>
      <c r="EK110" s="252"/>
      <c r="EL110" s="252"/>
      <c r="EM110" s="252"/>
      <c r="EO110" s="252"/>
      <c r="EP110" s="252"/>
      <c r="EQ110" s="252"/>
      <c r="ES110" s="252"/>
      <c r="ET110" s="252"/>
      <c r="EU110" s="252"/>
      <c r="EW110" s="252"/>
      <c r="EX110" s="252"/>
      <c r="EY110" s="252"/>
      <c r="FA110" s="250"/>
      <c r="FB110" s="250"/>
      <c r="FC110" s="250"/>
      <c r="FD110" s="250"/>
      <c r="FE110" s="250"/>
      <c r="FF110" s="250"/>
      <c r="FG110" s="250"/>
      <c r="FH110" s="424"/>
      <c r="FI110" s="250"/>
      <c r="FJ110" s="250"/>
      <c r="FK110" s="250"/>
      <c r="FL110" s="256"/>
      <c r="FM110" s="250"/>
      <c r="FN110" s="256"/>
      <c r="FO110" s="250"/>
      <c r="FP110" s="256"/>
      <c r="FQ110" s="250"/>
      <c r="FR110" s="256"/>
      <c r="FS110" s="250"/>
      <c r="FT110" s="256"/>
      <c r="FU110" s="256"/>
      <c r="FV110" s="256"/>
      <c r="FW110" s="250"/>
      <c r="FX110" s="424"/>
      <c r="FY110" s="251"/>
      <c r="GC110" s="252"/>
      <c r="GF110" s="252"/>
      <c r="GG110" s="252"/>
      <c r="GH110" s="252"/>
      <c r="GI110" s="252"/>
      <c r="GJ110" s="252"/>
      <c r="GK110" s="251"/>
      <c r="GL110" s="250"/>
      <c r="GM110" s="250"/>
      <c r="GN110" s="250"/>
      <c r="GO110" s="250"/>
      <c r="GP110" s="250"/>
      <c r="GQ110" s="250"/>
      <c r="GR110" s="250"/>
      <c r="GS110" s="250"/>
      <c r="GT110" s="250"/>
      <c r="GU110" s="251"/>
      <c r="GV110" s="250"/>
      <c r="GW110" s="250"/>
      <c r="GX110" s="250"/>
      <c r="GY110" s="250"/>
      <c r="GZ110" s="250"/>
      <c r="HA110" s="250"/>
      <c r="HB110" s="250"/>
      <c r="HC110" s="250"/>
      <c r="HD110" s="250"/>
      <c r="HE110" s="250"/>
      <c r="HF110" s="250"/>
      <c r="HG110" s="250"/>
      <c r="HH110" s="251"/>
      <c r="HI110" s="424"/>
      <c r="HJ110" s="255"/>
      <c r="HK110" s="255"/>
      <c r="HL110" s="250"/>
      <c r="HM110" s="255"/>
      <c r="HN110" s="255"/>
      <c r="HO110" s="255"/>
      <c r="HP110" s="250"/>
      <c r="HQ110" s="250"/>
      <c r="HR110" s="250"/>
      <c r="HS110" s="250"/>
      <c r="HT110" s="250"/>
      <c r="HU110" s="251"/>
      <c r="HX110" s="252"/>
      <c r="HY110" s="252"/>
      <c r="HZ110" s="252"/>
      <c r="ID110" s="252"/>
      <c r="IE110" s="252"/>
      <c r="IF110" s="252"/>
      <c r="IJ110" s="252"/>
      <c r="IK110" s="252"/>
      <c r="IL110" s="252"/>
      <c r="IP110" s="252"/>
      <c r="IQ110" s="252"/>
      <c r="IR110" s="252"/>
      <c r="IY110" s="66"/>
      <c r="IZ110" s="66"/>
      <c r="JA110" s="66"/>
      <c r="JB110" s="250"/>
      <c r="JC110" s="66"/>
      <c r="JD110" s="66"/>
      <c r="JE110" s="66"/>
      <c r="JF110" s="66"/>
      <c r="JG110" s="66"/>
      <c r="JH110" s="66"/>
      <c r="JI110" s="66"/>
      <c r="JJ110" s="66"/>
      <c r="JK110" s="8"/>
      <c r="JN110" s="252"/>
      <c r="JO110" s="252"/>
      <c r="JP110" s="252"/>
      <c r="JT110" s="252"/>
      <c r="JU110" s="252"/>
      <c r="JV110" s="252"/>
      <c r="JZ110" s="252"/>
      <c r="KA110" s="252"/>
      <c r="KB110" s="252"/>
      <c r="KF110" s="252"/>
      <c r="KG110" s="252"/>
      <c r="KH110" s="252"/>
      <c r="KO110" s="66"/>
      <c r="KP110" s="66"/>
      <c r="KQ110" s="66"/>
      <c r="KR110" s="66"/>
      <c r="KS110" s="66"/>
      <c r="KT110" s="66"/>
      <c r="KU110" s="66"/>
      <c r="KV110" s="66"/>
      <c r="KW110" s="66"/>
      <c r="KX110" s="66"/>
      <c r="KY110" s="66"/>
      <c r="KZ110" s="66"/>
      <c r="LA110" s="8"/>
      <c r="LD110" s="252"/>
      <c r="LE110" s="252"/>
      <c r="LF110" s="252"/>
      <c r="LJ110" s="252"/>
      <c r="LK110" s="252"/>
      <c r="LN110" s="252"/>
      <c r="LO110" s="252"/>
      <c r="LP110" s="252"/>
      <c r="LT110" s="271"/>
      <c r="LU110" s="250"/>
      <c r="LV110" s="250"/>
      <c r="LW110" s="250"/>
      <c r="LX110" s="250"/>
      <c r="LY110" s="250"/>
      <c r="LZ110" s="250"/>
      <c r="MA110" s="250"/>
      <c r="MB110" s="250"/>
      <c r="MC110" s="250"/>
      <c r="MD110" s="250"/>
      <c r="ME110" s="250"/>
      <c r="MF110" s="250"/>
      <c r="MG110" s="250"/>
      <c r="MH110" s="250"/>
      <c r="MI110" s="250"/>
      <c r="MJ110" s="250"/>
      <c r="MK110" s="424"/>
      <c r="ML110" s="640"/>
      <c r="MM110" s="251"/>
      <c r="MN110" s="252"/>
      <c r="MO110" s="252"/>
      <c r="MP110" s="252"/>
      <c r="MQ110" s="252"/>
      <c r="MR110" s="252"/>
      <c r="MS110" s="252"/>
      <c r="MT110" s="252"/>
      <c r="MU110" s="252"/>
      <c r="MV110" s="252"/>
      <c r="MW110" s="252"/>
      <c r="MX110" s="252"/>
      <c r="MY110" s="252"/>
      <c r="MZ110" s="252"/>
      <c r="NA110" s="252"/>
      <c r="NB110" s="252"/>
      <c r="NC110" s="251"/>
      <c r="ND110" s="250"/>
      <c r="NE110" s="250"/>
      <c r="NF110" s="250"/>
      <c r="NG110" s="250"/>
      <c r="NH110" s="250"/>
      <c r="NI110" s="250"/>
      <c r="NJ110" s="250"/>
      <c r="NK110" s="250"/>
      <c r="NL110" s="250"/>
      <c r="NM110" s="250"/>
      <c r="NN110" s="250"/>
      <c r="NO110" s="250"/>
      <c r="NP110" s="250"/>
      <c r="NQ110" s="250"/>
      <c r="NR110" s="250"/>
      <c r="NS110" s="250"/>
      <c r="NT110" s="250"/>
      <c r="NU110" s="250"/>
      <c r="NV110" s="250"/>
      <c r="NW110" s="251"/>
      <c r="OT110" s="8"/>
      <c r="QG110" s="8"/>
      <c r="RT110" s="8"/>
    </row>
    <row r="111" spans="1:488" s="282" customFormat="1" x14ac:dyDescent="0.25">
      <c r="A111" s="66"/>
      <c r="B111" s="8"/>
      <c r="C111" s="66"/>
      <c r="D111" s="66"/>
      <c r="E111" s="66"/>
      <c r="F111" s="66"/>
      <c r="G111" s="66"/>
      <c r="H111" s="66"/>
      <c r="I111" s="66"/>
      <c r="J111" s="66"/>
      <c r="K111" s="66"/>
      <c r="L111" s="66"/>
      <c r="M111" s="66"/>
      <c r="N111" s="66"/>
      <c r="O111" s="66"/>
      <c r="P111" s="66"/>
      <c r="Q111" s="66"/>
      <c r="R111" s="66"/>
      <c r="S111" s="66"/>
      <c r="T111" s="68"/>
      <c r="AC111" s="66"/>
      <c r="AD111" s="66"/>
      <c r="AE111" s="68"/>
      <c r="AN111" s="66"/>
      <c r="AO111" s="66"/>
      <c r="AP111" s="68"/>
      <c r="AW111" s="66"/>
      <c r="AX111" s="68"/>
      <c r="BD111" s="66"/>
      <c r="BE111" s="68"/>
      <c r="BF111" s="66"/>
      <c r="BG111" s="66"/>
      <c r="BH111" s="66"/>
      <c r="BI111" s="66"/>
      <c r="BJ111" s="66"/>
      <c r="BK111" s="66"/>
      <c r="BL111" s="68"/>
      <c r="BO111" s="66"/>
      <c r="BP111" s="68"/>
      <c r="BV111" s="66"/>
      <c r="BW111" s="68"/>
      <c r="CB111" s="8"/>
      <c r="CH111" s="8"/>
      <c r="CK111" s="299"/>
      <c r="CL111" s="299"/>
      <c r="CM111" s="66"/>
      <c r="CN111" s="66"/>
      <c r="CO111" s="68"/>
      <c r="CR111" s="8"/>
      <c r="CX111" s="66"/>
      <c r="CY111" s="532"/>
      <c r="DE111" s="66"/>
      <c r="DF111" s="66"/>
      <c r="DG111" s="68"/>
      <c r="DH111" s="68"/>
      <c r="DK111" s="66"/>
      <c r="DL111" s="66"/>
      <c r="DM111" s="66"/>
      <c r="DN111" s="66"/>
      <c r="DO111" s="66"/>
      <c r="DP111" s="66"/>
      <c r="DQ111" s="66"/>
      <c r="DR111" s="66"/>
      <c r="DS111" s="66"/>
      <c r="DT111" s="68"/>
      <c r="DU111" s="66"/>
      <c r="DV111" s="296"/>
      <c r="DW111" s="330"/>
      <c r="DX111" s="631"/>
      <c r="DY111" s="631"/>
      <c r="DZ111" s="631"/>
      <c r="EA111" s="330"/>
      <c r="EC111" s="66"/>
      <c r="ED111" s="68"/>
      <c r="EH111" s="66"/>
      <c r="EI111" s="66"/>
      <c r="EJ111" s="68"/>
      <c r="EK111" s="252"/>
      <c r="EL111" s="252"/>
      <c r="EM111" s="252"/>
      <c r="EO111" s="252"/>
      <c r="EP111" s="252"/>
      <c r="EQ111" s="252"/>
      <c r="ES111" s="252"/>
      <c r="ET111" s="252"/>
      <c r="EU111" s="252"/>
      <c r="EW111" s="252"/>
      <c r="EX111" s="252"/>
      <c r="EY111" s="252"/>
      <c r="FA111" s="250"/>
      <c r="FB111" s="250"/>
      <c r="FC111" s="250"/>
      <c r="FD111" s="250"/>
      <c r="FE111" s="250"/>
      <c r="FF111" s="250"/>
      <c r="FG111" s="250"/>
      <c r="FH111" s="424"/>
      <c r="FI111" s="250"/>
      <c r="FJ111" s="250"/>
      <c r="FK111" s="250"/>
      <c r="FL111" s="256"/>
      <c r="FM111" s="250"/>
      <c r="FN111" s="256"/>
      <c r="FO111" s="250"/>
      <c r="FP111" s="256"/>
      <c r="FQ111" s="250"/>
      <c r="FR111" s="256"/>
      <c r="FS111" s="250"/>
      <c r="FT111" s="256"/>
      <c r="FU111" s="256"/>
      <c r="FV111" s="256"/>
      <c r="FW111" s="250"/>
      <c r="FX111" s="424"/>
      <c r="FY111" s="251"/>
      <c r="GC111" s="252"/>
      <c r="GF111" s="252"/>
      <c r="GG111" s="252"/>
      <c r="GH111" s="252"/>
      <c r="GI111" s="252"/>
      <c r="GJ111" s="252"/>
      <c r="GK111" s="251"/>
      <c r="GL111" s="250"/>
      <c r="GM111" s="250"/>
      <c r="GN111" s="250"/>
      <c r="GO111" s="250"/>
      <c r="GP111" s="250"/>
      <c r="GQ111" s="250"/>
      <c r="GR111" s="250"/>
      <c r="GS111" s="250"/>
      <c r="GT111" s="250"/>
      <c r="GU111" s="251"/>
      <c r="GV111" s="250"/>
      <c r="GW111" s="250"/>
      <c r="GX111" s="250"/>
      <c r="GY111" s="250"/>
      <c r="GZ111" s="250"/>
      <c r="HA111" s="250"/>
      <c r="HB111" s="250"/>
      <c r="HC111" s="250"/>
      <c r="HD111" s="250"/>
      <c r="HE111" s="250"/>
      <c r="HF111" s="250"/>
      <c r="HG111" s="250"/>
      <c r="HH111" s="251"/>
      <c r="HI111" s="424"/>
      <c r="HJ111" s="255"/>
      <c r="HK111" s="255"/>
      <c r="HL111" s="250"/>
      <c r="HM111" s="255"/>
      <c r="HN111" s="255"/>
      <c r="HO111" s="255"/>
      <c r="HP111" s="250"/>
      <c r="HQ111" s="250"/>
      <c r="HR111" s="250"/>
      <c r="HS111" s="250"/>
      <c r="HT111" s="250"/>
      <c r="HU111" s="251"/>
      <c r="HX111" s="252"/>
      <c r="HY111" s="252"/>
      <c r="HZ111" s="252"/>
      <c r="ID111" s="252"/>
      <c r="IE111" s="252"/>
      <c r="IF111" s="252"/>
      <c r="IJ111" s="252"/>
      <c r="IK111" s="252"/>
      <c r="IL111" s="252"/>
      <c r="IP111" s="252"/>
      <c r="IQ111" s="252"/>
      <c r="IR111" s="252"/>
      <c r="IY111" s="66"/>
      <c r="IZ111" s="66"/>
      <c r="JA111" s="66"/>
      <c r="JB111" s="250"/>
      <c r="JC111" s="66"/>
      <c r="JD111" s="66"/>
      <c r="JE111" s="66"/>
      <c r="JF111" s="66"/>
      <c r="JG111" s="66"/>
      <c r="JH111" s="66"/>
      <c r="JI111" s="66"/>
      <c r="JJ111" s="66"/>
      <c r="JK111" s="8"/>
      <c r="JN111" s="252"/>
      <c r="JO111" s="252"/>
      <c r="JP111" s="252"/>
      <c r="JT111" s="252"/>
      <c r="JU111" s="252"/>
      <c r="JV111" s="252"/>
      <c r="JZ111" s="252"/>
      <c r="KA111" s="252"/>
      <c r="KB111" s="252"/>
      <c r="KF111" s="252"/>
      <c r="KG111" s="252"/>
      <c r="KH111" s="252"/>
      <c r="KO111" s="66"/>
      <c r="KP111" s="66"/>
      <c r="KQ111" s="66"/>
      <c r="KR111" s="66"/>
      <c r="KS111" s="66"/>
      <c r="KT111" s="66"/>
      <c r="KU111" s="66"/>
      <c r="KV111" s="66"/>
      <c r="KW111" s="66"/>
      <c r="KX111" s="66"/>
      <c r="KY111" s="66"/>
      <c r="KZ111" s="66"/>
      <c r="LA111" s="8"/>
      <c r="LD111" s="252"/>
      <c r="LE111" s="252"/>
      <c r="LF111" s="252"/>
      <c r="LJ111" s="252"/>
      <c r="LK111" s="252"/>
      <c r="LN111" s="252"/>
      <c r="LO111" s="252"/>
      <c r="LP111" s="252"/>
      <c r="LT111" s="271"/>
      <c r="LU111" s="250"/>
      <c r="LV111" s="250"/>
      <c r="LW111" s="250"/>
      <c r="LX111" s="250"/>
      <c r="LY111" s="250"/>
      <c r="LZ111" s="250"/>
      <c r="MA111" s="250"/>
      <c r="MB111" s="250"/>
      <c r="MC111" s="250"/>
      <c r="MD111" s="250"/>
      <c r="ME111" s="250"/>
      <c r="MF111" s="250"/>
      <c r="MG111" s="250"/>
      <c r="MH111" s="250"/>
      <c r="MI111" s="250"/>
      <c r="MJ111" s="250"/>
      <c r="MK111" s="424"/>
      <c r="ML111" s="640"/>
      <c r="MM111" s="251"/>
      <c r="MN111" s="252"/>
      <c r="MO111" s="252"/>
      <c r="MP111" s="252"/>
      <c r="MQ111" s="252"/>
      <c r="MR111" s="252"/>
      <c r="MS111" s="252"/>
      <c r="MT111" s="252"/>
      <c r="MU111" s="252"/>
      <c r="MV111" s="252"/>
      <c r="MW111" s="252"/>
      <c r="MX111" s="252"/>
      <c r="MY111" s="252"/>
      <c r="MZ111" s="252"/>
      <c r="NA111" s="252"/>
      <c r="NB111" s="252"/>
      <c r="NC111" s="251"/>
      <c r="ND111" s="250"/>
      <c r="NE111" s="250"/>
      <c r="NF111" s="250"/>
      <c r="NG111" s="250"/>
      <c r="NH111" s="250"/>
      <c r="NI111" s="250"/>
      <c r="NJ111" s="250"/>
      <c r="NK111" s="250"/>
      <c r="NL111" s="250"/>
      <c r="NM111" s="250"/>
      <c r="NN111" s="250"/>
      <c r="NO111" s="250"/>
      <c r="NP111" s="250"/>
      <c r="NQ111" s="250"/>
      <c r="NR111" s="250"/>
      <c r="NS111" s="250"/>
      <c r="NT111" s="250"/>
      <c r="NU111" s="250"/>
      <c r="NV111" s="250"/>
      <c r="NW111" s="251"/>
      <c r="OT111" s="8"/>
      <c r="QG111" s="8"/>
      <c r="RT111" s="8"/>
    </row>
    <row r="112" spans="1:488" s="282" customFormat="1" x14ac:dyDescent="0.25">
      <c r="A112" s="66"/>
      <c r="B112" s="8"/>
      <c r="C112" s="66"/>
      <c r="D112" s="66"/>
      <c r="E112" s="66"/>
      <c r="F112" s="66"/>
      <c r="G112" s="66"/>
      <c r="H112" s="66"/>
      <c r="I112" s="66"/>
      <c r="J112" s="66"/>
      <c r="K112" s="66"/>
      <c r="L112" s="66"/>
      <c r="M112" s="66"/>
      <c r="N112" s="66"/>
      <c r="O112" s="66"/>
      <c r="P112" s="66"/>
      <c r="Q112" s="66"/>
      <c r="R112" s="66"/>
      <c r="S112" s="66"/>
      <c r="T112" s="68"/>
      <c r="AC112" s="66"/>
      <c r="AD112" s="66"/>
      <c r="AE112" s="68"/>
      <c r="AN112" s="66"/>
      <c r="AO112" s="66"/>
      <c r="AP112" s="68"/>
      <c r="AW112" s="66"/>
      <c r="AX112" s="68"/>
      <c r="BD112" s="66"/>
      <c r="BE112" s="68"/>
      <c r="BF112" s="66"/>
      <c r="BG112" s="66"/>
      <c r="BH112" s="66"/>
      <c r="BI112" s="66"/>
      <c r="BJ112" s="66"/>
      <c r="BK112" s="66"/>
      <c r="BL112" s="68"/>
      <c r="BO112" s="66"/>
      <c r="BP112" s="68"/>
      <c r="BV112" s="66"/>
      <c r="BW112" s="68"/>
      <c r="CB112" s="8"/>
      <c r="CH112" s="8"/>
      <c r="CK112" s="299"/>
      <c r="CL112" s="299"/>
      <c r="CM112" s="66"/>
      <c r="CN112" s="66"/>
      <c r="CO112" s="68"/>
      <c r="CR112" s="8"/>
      <c r="CX112" s="66"/>
      <c r="CY112" s="532"/>
      <c r="DE112" s="66"/>
      <c r="DF112" s="66"/>
      <c r="DG112" s="68"/>
      <c r="DH112" s="68"/>
      <c r="DK112" s="66"/>
      <c r="DL112" s="66"/>
      <c r="DM112" s="66"/>
      <c r="DN112" s="66"/>
      <c r="DO112" s="66"/>
      <c r="DP112" s="66"/>
      <c r="DQ112" s="66"/>
      <c r="DR112" s="66"/>
      <c r="DS112" s="66"/>
      <c r="DT112" s="68"/>
      <c r="DU112" s="66"/>
      <c r="DV112" s="296"/>
      <c r="DW112" s="330"/>
      <c r="DX112" s="631"/>
      <c r="DY112" s="631"/>
      <c r="DZ112" s="631"/>
      <c r="EA112" s="330"/>
      <c r="EC112" s="66"/>
      <c r="ED112" s="68"/>
      <c r="EH112" s="66"/>
      <c r="EI112" s="66"/>
      <c r="EJ112" s="68"/>
      <c r="EK112" s="252"/>
      <c r="EL112" s="252"/>
      <c r="EM112" s="252"/>
      <c r="EO112" s="252"/>
      <c r="EP112" s="252"/>
      <c r="EQ112" s="252"/>
      <c r="ES112" s="252"/>
      <c r="ET112" s="252"/>
      <c r="EU112" s="252"/>
      <c r="EW112" s="252"/>
      <c r="EX112" s="252"/>
      <c r="EY112" s="252"/>
      <c r="FA112" s="250"/>
      <c r="FB112" s="250"/>
      <c r="FC112" s="250"/>
      <c r="FD112" s="250"/>
      <c r="FE112" s="250"/>
      <c r="FF112" s="250"/>
      <c r="FG112" s="250"/>
      <c r="FH112" s="424"/>
      <c r="FI112" s="250"/>
      <c r="FJ112" s="250"/>
      <c r="FK112" s="250"/>
      <c r="FL112" s="256"/>
      <c r="FM112" s="250"/>
      <c r="FN112" s="256"/>
      <c r="FO112" s="250"/>
      <c r="FP112" s="256"/>
      <c r="FQ112" s="250"/>
      <c r="FR112" s="256"/>
      <c r="FS112" s="250"/>
      <c r="FT112" s="256"/>
      <c r="FU112" s="256"/>
      <c r="FV112" s="256"/>
      <c r="FW112" s="250"/>
      <c r="FX112" s="424"/>
      <c r="FY112" s="251"/>
      <c r="GC112" s="252"/>
      <c r="GF112" s="252"/>
      <c r="GG112" s="252"/>
      <c r="GH112" s="252"/>
      <c r="GI112" s="252"/>
      <c r="GJ112" s="252"/>
      <c r="GK112" s="251"/>
      <c r="GL112" s="250"/>
      <c r="GM112" s="250"/>
      <c r="GN112" s="250"/>
      <c r="GO112" s="250"/>
      <c r="GP112" s="250"/>
      <c r="GQ112" s="250"/>
      <c r="GR112" s="250"/>
      <c r="GS112" s="250"/>
      <c r="GT112" s="250"/>
      <c r="GU112" s="251"/>
      <c r="GV112" s="250"/>
      <c r="GW112" s="250"/>
      <c r="GX112" s="250"/>
      <c r="GY112" s="250"/>
      <c r="GZ112" s="250"/>
      <c r="HA112" s="250"/>
      <c r="HB112" s="250"/>
      <c r="HC112" s="250"/>
      <c r="HD112" s="250"/>
      <c r="HE112" s="250"/>
      <c r="HF112" s="250"/>
      <c r="HG112" s="250"/>
      <c r="HH112" s="251"/>
      <c r="HI112" s="424"/>
      <c r="HJ112" s="255"/>
      <c r="HK112" s="255"/>
      <c r="HL112" s="250"/>
      <c r="HM112" s="255"/>
      <c r="HN112" s="255"/>
      <c r="HO112" s="255"/>
      <c r="HP112" s="250"/>
      <c r="HQ112" s="250"/>
      <c r="HR112" s="250"/>
      <c r="HS112" s="250"/>
      <c r="HT112" s="250"/>
      <c r="HU112" s="251"/>
      <c r="HX112" s="252"/>
      <c r="HY112" s="252"/>
      <c r="HZ112" s="252"/>
      <c r="ID112" s="252"/>
      <c r="IE112" s="252"/>
      <c r="IF112" s="252"/>
      <c r="IJ112" s="252"/>
      <c r="IK112" s="252"/>
      <c r="IL112" s="252"/>
      <c r="IP112" s="252"/>
      <c r="IQ112" s="252"/>
      <c r="IR112" s="252"/>
      <c r="IY112" s="66"/>
      <c r="IZ112" s="66"/>
      <c r="JA112" s="66"/>
      <c r="JB112" s="250"/>
      <c r="JC112" s="66"/>
      <c r="JD112" s="66"/>
      <c r="JE112" s="66"/>
      <c r="JF112" s="66"/>
      <c r="JG112" s="66"/>
      <c r="JH112" s="66"/>
      <c r="JI112" s="66"/>
      <c r="JJ112" s="66"/>
      <c r="JK112" s="8"/>
      <c r="JN112" s="252"/>
      <c r="JO112" s="252"/>
      <c r="JP112" s="252"/>
      <c r="JT112" s="252"/>
      <c r="JU112" s="252"/>
      <c r="JV112" s="252"/>
      <c r="JZ112" s="252"/>
      <c r="KA112" s="252"/>
      <c r="KB112" s="252"/>
      <c r="KF112" s="252"/>
      <c r="KG112" s="252"/>
      <c r="KH112" s="252"/>
      <c r="KO112" s="66"/>
      <c r="KP112" s="66"/>
      <c r="KQ112" s="66"/>
      <c r="KR112" s="66"/>
      <c r="KS112" s="66"/>
      <c r="KT112" s="66"/>
      <c r="KU112" s="66"/>
      <c r="KV112" s="66"/>
      <c r="KW112" s="66"/>
      <c r="KX112" s="66"/>
      <c r="KY112" s="66"/>
      <c r="KZ112" s="66"/>
      <c r="LA112" s="8"/>
      <c r="LD112" s="252"/>
      <c r="LE112" s="252"/>
      <c r="LF112" s="252"/>
      <c r="LJ112" s="252"/>
      <c r="LK112" s="252"/>
      <c r="LN112" s="252"/>
      <c r="LO112" s="252"/>
      <c r="LP112" s="252"/>
      <c r="LT112" s="271"/>
      <c r="LU112" s="250"/>
      <c r="LV112" s="250"/>
      <c r="LW112" s="250"/>
      <c r="LX112" s="250"/>
      <c r="LY112" s="250"/>
      <c r="LZ112" s="250"/>
      <c r="MA112" s="250"/>
      <c r="MB112" s="250"/>
      <c r="MC112" s="250"/>
      <c r="MD112" s="250"/>
      <c r="ME112" s="250"/>
      <c r="MF112" s="250"/>
      <c r="MG112" s="250"/>
      <c r="MH112" s="250"/>
      <c r="MI112" s="250"/>
      <c r="MJ112" s="250"/>
      <c r="MK112" s="424"/>
      <c r="ML112" s="640"/>
      <c r="MM112" s="251"/>
      <c r="MN112" s="252"/>
      <c r="MO112" s="252"/>
      <c r="MP112" s="252"/>
      <c r="MQ112" s="252"/>
      <c r="MR112" s="252"/>
      <c r="MS112" s="252"/>
      <c r="MT112" s="252"/>
      <c r="MU112" s="252"/>
      <c r="MV112" s="252"/>
      <c r="MW112" s="252"/>
      <c r="MX112" s="252"/>
      <c r="MY112" s="252"/>
      <c r="MZ112" s="252"/>
      <c r="NA112" s="252"/>
      <c r="NB112" s="252"/>
      <c r="NC112" s="251"/>
      <c r="ND112" s="250"/>
      <c r="NE112" s="250"/>
      <c r="NF112" s="250"/>
      <c r="NG112" s="250"/>
      <c r="NH112" s="250"/>
      <c r="NI112" s="250"/>
      <c r="NJ112" s="250"/>
      <c r="NK112" s="250"/>
      <c r="NL112" s="250"/>
      <c r="NM112" s="250"/>
      <c r="NN112" s="250"/>
      <c r="NO112" s="250"/>
      <c r="NP112" s="250"/>
      <c r="NQ112" s="250"/>
      <c r="NR112" s="250"/>
      <c r="NS112" s="250"/>
      <c r="NT112" s="250"/>
      <c r="NU112" s="250"/>
      <c r="NV112" s="250"/>
      <c r="NW112" s="251"/>
      <c r="OT112" s="8"/>
      <c r="QG112" s="8"/>
      <c r="RT112" s="8"/>
    </row>
    <row r="113" spans="1:488" s="282" customFormat="1" x14ac:dyDescent="0.25">
      <c r="A113" s="66"/>
      <c r="B113" s="8"/>
      <c r="C113" s="66"/>
      <c r="D113" s="66"/>
      <c r="E113" s="66"/>
      <c r="F113" s="66"/>
      <c r="G113" s="66"/>
      <c r="H113" s="66"/>
      <c r="I113" s="66"/>
      <c r="J113" s="66"/>
      <c r="K113" s="66"/>
      <c r="L113" s="66"/>
      <c r="M113" s="66"/>
      <c r="N113" s="66"/>
      <c r="O113" s="66"/>
      <c r="P113" s="66"/>
      <c r="Q113" s="66"/>
      <c r="R113" s="66"/>
      <c r="S113" s="66"/>
      <c r="T113" s="68"/>
      <c r="AC113" s="66"/>
      <c r="AD113" s="66"/>
      <c r="AE113" s="68"/>
      <c r="AN113" s="66"/>
      <c r="AO113" s="66"/>
      <c r="AP113" s="68"/>
      <c r="AW113" s="66"/>
      <c r="AX113" s="68"/>
      <c r="BD113" s="66"/>
      <c r="BE113" s="68"/>
      <c r="BF113" s="66"/>
      <c r="BG113" s="66"/>
      <c r="BH113" s="66"/>
      <c r="BI113" s="66"/>
      <c r="BJ113" s="66"/>
      <c r="BK113" s="66"/>
      <c r="BL113" s="68"/>
      <c r="BO113" s="66"/>
      <c r="BP113" s="68"/>
      <c r="BV113" s="66"/>
      <c r="BW113" s="68"/>
      <c r="CB113" s="8"/>
      <c r="CH113" s="8"/>
      <c r="CK113" s="299"/>
      <c r="CL113" s="299"/>
      <c r="CM113" s="66"/>
      <c r="CN113" s="66"/>
      <c r="CO113" s="68"/>
      <c r="CR113" s="8"/>
      <c r="CX113" s="66"/>
      <c r="CY113" s="532"/>
      <c r="DE113" s="66"/>
      <c r="DF113" s="66"/>
      <c r="DG113" s="68"/>
      <c r="DH113" s="68"/>
      <c r="DK113" s="66"/>
      <c r="DL113" s="66"/>
      <c r="DM113" s="66"/>
      <c r="DN113" s="66"/>
      <c r="DO113" s="66"/>
      <c r="DP113" s="66"/>
      <c r="DQ113" s="66"/>
      <c r="DR113" s="66"/>
      <c r="DS113" s="66"/>
      <c r="DT113" s="68"/>
      <c r="DU113" s="66"/>
      <c r="DV113" s="296"/>
      <c r="DW113" s="330"/>
      <c r="DX113" s="631"/>
      <c r="DY113" s="631"/>
      <c r="DZ113" s="631"/>
      <c r="EA113" s="330"/>
      <c r="EC113" s="66"/>
      <c r="ED113" s="68"/>
      <c r="EH113" s="66"/>
      <c r="EI113" s="66"/>
      <c r="EJ113" s="68"/>
      <c r="EK113" s="252"/>
      <c r="EL113" s="252"/>
      <c r="EM113" s="252"/>
      <c r="EO113" s="252"/>
      <c r="EP113" s="252"/>
      <c r="EQ113" s="252"/>
      <c r="ES113" s="252"/>
      <c r="ET113" s="252"/>
      <c r="EU113" s="252"/>
      <c r="EW113" s="252"/>
      <c r="EX113" s="252"/>
      <c r="EY113" s="252"/>
      <c r="FA113" s="250"/>
      <c r="FB113" s="250"/>
      <c r="FC113" s="250"/>
      <c r="FD113" s="250"/>
      <c r="FE113" s="250"/>
      <c r="FF113" s="250"/>
      <c r="FG113" s="250"/>
      <c r="FH113" s="424"/>
      <c r="FI113" s="250"/>
      <c r="FJ113" s="250"/>
      <c r="FK113" s="250"/>
      <c r="FL113" s="256"/>
      <c r="FM113" s="250"/>
      <c r="FN113" s="256"/>
      <c r="FO113" s="250"/>
      <c r="FP113" s="256"/>
      <c r="FQ113" s="250"/>
      <c r="FR113" s="256"/>
      <c r="FS113" s="250"/>
      <c r="FT113" s="256"/>
      <c r="FU113" s="256"/>
      <c r="FV113" s="256"/>
      <c r="FW113" s="250"/>
      <c r="FX113" s="424"/>
      <c r="FY113" s="251"/>
      <c r="GC113" s="252"/>
      <c r="GF113" s="252"/>
      <c r="GG113" s="252"/>
      <c r="GH113" s="252"/>
      <c r="GI113" s="252"/>
      <c r="GJ113" s="252"/>
      <c r="GK113" s="251"/>
      <c r="GL113" s="250"/>
      <c r="GM113" s="250"/>
      <c r="GN113" s="250"/>
      <c r="GO113" s="250"/>
      <c r="GP113" s="250"/>
      <c r="GQ113" s="250"/>
      <c r="GR113" s="250"/>
      <c r="GS113" s="250"/>
      <c r="GT113" s="250"/>
      <c r="GU113" s="251"/>
      <c r="GV113" s="250"/>
      <c r="GW113" s="250"/>
      <c r="GX113" s="250"/>
      <c r="GY113" s="250"/>
      <c r="GZ113" s="250"/>
      <c r="HA113" s="250"/>
      <c r="HB113" s="250"/>
      <c r="HC113" s="250"/>
      <c r="HD113" s="250"/>
      <c r="HE113" s="250"/>
      <c r="HF113" s="250"/>
      <c r="HG113" s="250"/>
      <c r="HH113" s="251"/>
      <c r="HI113" s="424"/>
      <c r="HJ113" s="255"/>
      <c r="HK113" s="255"/>
      <c r="HL113" s="250"/>
      <c r="HM113" s="255"/>
      <c r="HN113" s="255"/>
      <c r="HO113" s="255"/>
      <c r="HP113" s="250"/>
      <c r="HQ113" s="250"/>
      <c r="HR113" s="250"/>
      <c r="HS113" s="250"/>
      <c r="HT113" s="250"/>
      <c r="HU113" s="251"/>
      <c r="HX113" s="252"/>
      <c r="HY113" s="252"/>
      <c r="HZ113" s="252"/>
      <c r="ID113" s="252"/>
      <c r="IE113" s="252"/>
      <c r="IF113" s="252"/>
      <c r="IJ113" s="252"/>
      <c r="IK113" s="252"/>
      <c r="IL113" s="252"/>
      <c r="IP113" s="252"/>
      <c r="IQ113" s="252"/>
      <c r="IR113" s="252"/>
      <c r="IY113" s="66"/>
      <c r="IZ113" s="66"/>
      <c r="JA113" s="66"/>
      <c r="JB113" s="250"/>
      <c r="JC113" s="66"/>
      <c r="JD113" s="66"/>
      <c r="JE113" s="66"/>
      <c r="JF113" s="66"/>
      <c r="JG113" s="66"/>
      <c r="JH113" s="66"/>
      <c r="JI113" s="66"/>
      <c r="JJ113" s="66"/>
      <c r="JK113" s="8"/>
      <c r="JN113" s="252"/>
      <c r="JO113" s="252"/>
      <c r="JP113" s="252"/>
      <c r="JT113" s="252"/>
      <c r="JU113" s="252"/>
      <c r="JV113" s="252"/>
      <c r="JZ113" s="252"/>
      <c r="KA113" s="252"/>
      <c r="KB113" s="252"/>
      <c r="KF113" s="252"/>
      <c r="KG113" s="252"/>
      <c r="KH113" s="252"/>
      <c r="KO113" s="66"/>
      <c r="KP113" s="66"/>
      <c r="KQ113" s="66"/>
      <c r="KR113" s="66"/>
      <c r="KS113" s="66"/>
      <c r="KT113" s="66"/>
      <c r="KU113" s="66"/>
      <c r="KV113" s="66"/>
      <c r="KW113" s="66"/>
      <c r="KX113" s="66"/>
      <c r="KY113" s="66"/>
      <c r="KZ113" s="66"/>
      <c r="LA113" s="8"/>
      <c r="LD113" s="252"/>
      <c r="LE113" s="252"/>
      <c r="LF113" s="252"/>
      <c r="LJ113" s="252"/>
      <c r="LK113" s="252"/>
      <c r="LN113" s="252"/>
      <c r="LO113" s="252"/>
      <c r="LP113" s="252"/>
      <c r="LT113" s="271"/>
      <c r="LU113" s="250"/>
      <c r="LV113" s="250"/>
      <c r="LW113" s="250"/>
      <c r="LX113" s="250"/>
      <c r="LY113" s="250"/>
      <c r="LZ113" s="250"/>
      <c r="MA113" s="250"/>
      <c r="MB113" s="250"/>
      <c r="MC113" s="250"/>
      <c r="MD113" s="250"/>
      <c r="ME113" s="250"/>
      <c r="MF113" s="250"/>
      <c r="MG113" s="250"/>
      <c r="MH113" s="250"/>
      <c r="MI113" s="250"/>
      <c r="MJ113" s="250"/>
      <c r="MK113" s="424"/>
      <c r="ML113" s="640"/>
      <c r="MM113" s="251"/>
      <c r="MN113" s="252"/>
      <c r="MO113" s="252"/>
      <c r="MP113" s="252"/>
      <c r="MQ113" s="252"/>
      <c r="MR113" s="252"/>
      <c r="MS113" s="252"/>
      <c r="MT113" s="252"/>
      <c r="MU113" s="252"/>
      <c r="MV113" s="252"/>
      <c r="MW113" s="252"/>
      <c r="MX113" s="252"/>
      <c r="MY113" s="252"/>
      <c r="MZ113" s="252"/>
      <c r="NA113" s="252"/>
      <c r="NB113" s="252"/>
      <c r="NC113" s="251"/>
      <c r="ND113" s="250"/>
      <c r="NE113" s="250"/>
      <c r="NF113" s="250"/>
      <c r="NG113" s="250"/>
      <c r="NH113" s="250"/>
      <c r="NI113" s="250"/>
      <c r="NJ113" s="250"/>
      <c r="NK113" s="250"/>
      <c r="NL113" s="250"/>
      <c r="NM113" s="250"/>
      <c r="NN113" s="250"/>
      <c r="NO113" s="250"/>
      <c r="NP113" s="250"/>
      <c r="NQ113" s="250"/>
      <c r="NR113" s="250"/>
      <c r="NS113" s="250"/>
      <c r="NT113" s="250"/>
      <c r="NU113" s="250"/>
      <c r="NV113" s="250"/>
      <c r="NW113" s="251"/>
      <c r="OT113" s="8"/>
      <c r="QG113" s="8"/>
      <c r="RT113" s="8"/>
    </row>
    <row r="114" spans="1:488" s="282" customFormat="1" x14ac:dyDescent="0.25">
      <c r="A114" s="66"/>
      <c r="B114" s="8"/>
      <c r="C114" s="66"/>
      <c r="D114" s="66"/>
      <c r="E114" s="66"/>
      <c r="F114" s="66"/>
      <c r="G114" s="66"/>
      <c r="H114" s="66"/>
      <c r="I114" s="66"/>
      <c r="J114" s="66"/>
      <c r="K114" s="66"/>
      <c r="L114" s="66"/>
      <c r="M114" s="66"/>
      <c r="N114" s="66"/>
      <c r="O114" s="66"/>
      <c r="P114" s="66"/>
      <c r="Q114" s="66"/>
      <c r="R114" s="66"/>
      <c r="S114" s="66"/>
      <c r="T114" s="68"/>
      <c r="AC114" s="66"/>
      <c r="AD114" s="66"/>
      <c r="AE114" s="68"/>
      <c r="AN114" s="66"/>
      <c r="AO114" s="66"/>
      <c r="AP114" s="68"/>
      <c r="AW114" s="66"/>
      <c r="AX114" s="68"/>
      <c r="BD114" s="66"/>
      <c r="BE114" s="68"/>
      <c r="BF114" s="66"/>
      <c r="BG114" s="66"/>
      <c r="BH114" s="66"/>
      <c r="BI114" s="66"/>
      <c r="BJ114" s="66"/>
      <c r="BK114" s="66"/>
      <c r="BL114" s="68"/>
      <c r="BO114" s="66"/>
      <c r="BP114" s="68"/>
      <c r="BV114" s="66"/>
      <c r="BW114" s="68"/>
      <c r="CB114" s="8"/>
      <c r="CH114" s="8"/>
      <c r="CK114" s="299"/>
      <c r="CL114" s="299"/>
      <c r="CM114" s="66"/>
      <c r="CN114" s="66"/>
      <c r="CO114" s="68"/>
      <c r="CR114" s="8"/>
      <c r="CX114" s="66"/>
      <c r="CY114" s="532"/>
      <c r="DE114" s="66"/>
      <c r="DF114" s="66"/>
      <c r="DG114" s="68"/>
      <c r="DH114" s="68"/>
      <c r="DK114" s="66"/>
      <c r="DL114" s="66"/>
      <c r="DM114" s="66"/>
      <c r="DN114" s="66"/>
      <c r="DO114" s="66"/>
      <c r="DP114" s="66"/>
      <c r="DQ114" s="66"/>
      <c r="DR114" s="66"/>
      <c r="DS114" s="66"/>
      <c r="DT114" s="68"/>
      <c r="DU114" s="66"/>
      <c r="DV114" s="296"/>
      <c r="DW114" s="330"/>
      <c r="DX114" s="631"/>
      <c r="DY114" s="631"/>
      <c r="DZ114" s="631"/>
      <c r="EA114" s="330"/>
      <c r="EC114" s="66"/>
      <c r="ED114" s="68"/>
      <c r="EH114" s="66"/>
      <c r="EI114" s="66"/>
      <c r="EJ114" s="68"/>
      <c r="EK114" s="252"/>
      <c r="EL114" s="252"/>
      <c r="EM114" s="252"/>
      <c r="EO114" s="252"/>
      <c r="EP114" s="252"/>
      <c r="EQ114" s="252"/>
      <c r="ES114" s="252"/>
      <c r="ET114" s="252"/>
      <c r="EU114" s="252"/>
      <c r="EW114" s="252"/>
      <c r="EX114" s="252"/>
      <c r="EY114" s="252"/>
      <c r="FA114" s="250"/>
      <c r="FB114" s="250"/>
      <c r="FC114" s="250"/>
      <c r="FD114" s="250"/>
      <c r="FE114" s="250"/>
      <c r="FF114" s="250"/>
      <c r="FG114" s="250"/>
      <c r="FH114" s="424"/>
      <c r="FI114" s="250"/>
      <c r="FJ114" s="250"/>
      <c r="FK114" s="250"/>
      <c r="FL114" s="256"/>
      <c r="FM114" s="250"/>
      <c r="FN114" s="256"/>
      <c r="FO114" s="250"/>
      <c r="FP114" s="256"/>
      <c r="FQ114" s="250"/>
      <c r="FR114" s="256"/>
      <c r="FS114" s="250"/>
      <c r="FT114" s="256"/>
      <c r="FU114" s="256"/>
      <c r="FV114" s="256"/>
      <c r="FW114" s="250"/>
      <c r="FX114" s="424"/>
      <c r="FY114" s="251"/>
      <c r="GC114" s="252"/>
      <c r="GF114" s="252"/>
      <c r="GG114" s="252"/>
      <c r="GH114" s="252"/>
      <c r="GI114" s="252"/>
      <c r="GJ114" s="252"/>
      <c r="GK114" s="251"/>
      <c r="GL114" s="250"/>
      <c r="GM114" s="250"/>
      <c r="GN114" s="250"/>
      <c r="GO114" s="250"/>
      <c r="GP114" s="250"/>
      <c r="GQ114" s="250"/>
      <c r="GR114" s="250"/>
      <c r="GS114" s="250"/>
      <c r="GT114" s="250"/>
      <c r="GU114" s="251"/>
      <c r="GV114" s="250"/>
      <c r="GW114" s="250"/>
      <c r="GX114" s="250"/>
      <c r="GY114" s="250"/>
      <c r="GZ114" s="250"/>
      <c r="HA114" s="250"/>
      <c r="HB114" s="250"/>
      <c r="HC114" s="250"/>
      <c r="HD114" s="250"/>
      <c r="HE114" s="250"/>
      <c r="HF114" s="250"/>
      <c r="HG114" s="250"/>
      <c r="HH114" s="251"/>
      <c r="HI114" s="424"/>
      <c r="HJ114" s="255"/>
      <c r="HK114" s="255"/>
      <c r="HL114" s="250"/>
      <c r="HM114" s="255"/>
      <c r="HN114" s="255"/>
      <c r="HO114" s="255"/>
      <c r="HP114" s="250"/>
      <c r="HQ114" s="250"/>
      <c r="HR114" s="250"/>
      <c r="HS114" s="250"/>
      <c r="HT114" s="250"/>
      <c r="HU114" s="251"/>
      <c r="HX114" s="252"/>
      <c r="HY114" s="252"/>
      <c r="HZ114" s="252"/>
      <c r="ID114" s="252"/>
      <c r="IE114" s="252"/>
      <c r="IF114" s="252"/>
      <c r="IJ114" s="252"/>
      <c r="IK114" s="252"/>
      <c r="IL114" s="252"/>
      <c r="IP114" s="252"/>
      <c r="IQ114" s="252"/>
      <c r="IR114" s="252"/>
      <c r="IY114" s="66"/>
      <c r="IZ114" s="66"/>
      <c r="JA114" s="66"/>
      <c r="JB114" s="250"/>
      <c r="JC114" s="66"/>
      <c r="JD114" s="66"/>
      <c r="JE114" s="66"/>
      <c r="JF114" s="66"/>
      <c r="JG114" s="66"/>
      <c r="JH114" s="66"/>
      <c r="JI114" s="66"/>
      <c r="JJ114" s="66"/>
      <c r="JK114" s="8"/>
      <c r="JN114" s="252"/>
      <c r="JO114" s="252"/>
      <c r="JP114" s="252"/>
      <c r="JT114" s="252"/>
      <c r="JU114" s="252"/>
      <c r="JV114" s="252"/>
      <c r="JZ114" s="252"/>
      <c r="KA114" s="252"/>
      <c r="KB114" s="252"/>
      <c r="KF114" s="252"/>
      <c r="KG114" s="252"/>
      <c r="KH114" s="252"/>
      <c r="KO114" s="66"/>
      <c r="KP114" s="66"/>
      <c r="KQ114" s="66"/>
      <c r="KR114" s="66"/>
      <c r="KS114" s="66"/>
      <c r="KT114" s="66"/>
      <c r="KU114" s="66"/>
      <c r="KV114" s="66"/>
      <c r="KW114" s="66"/>
      <c r="KX114" s="66"/>
      <c r="KY114" s="66"/>
      <c r="KZ114" s="66"/>
      <c r="LA114" s="8"/>
      <c r="LD114" s="252"/>
      <c r="LE114" s="252"/>
      <c r="LF114" s="252"/>
      <c r="LJ114" s="252"/>
      <c r="LK114" s="252"/>
      <c r="LN114" s="252"/>
      <c r="LO114" s="252"/>
      <c r="LP114" s="252"/>
      <c r="LT114" s="271"/>
      <c r="LU114" s="250"/>
      <c r="LV114" s="250"/>
      <c r="LW114" s="250"/>
      <c r="LX114" s="250"/>
      <c r="LY114" s="250"/>
      <c r="LZ114" s="250"/>
      <c r="MA114" s="250"/>
      <c r="MB114" s="250"/>
      <c r="MC114" s="250"/>
      <c r="MD114" s="250"/>
      <c r="ME114" s="250"/>
      <c r="MF114" s="250"/>
      <c r="MG114" s="250"/>
      <c r="MH114" s="250"/>
      <c r="MI114" s="250"/>
      <c r="MJ114" s="250"/>
      <c r="MK114" s="424"/>
      <c r="ML114" s="640"/>
      <c r="MM114" s="251"/>
      <c r="MN114" s="252"/>
      <c r="MO114" s="252"/>
      <c r="MP114" s="252"/>
      <c r="MQ114" s="252"/>
      <c r="MR114" s="252"/>
      <c r="MS114" s="252"/>
      <c r="MT114" s="252"/>
      <c r="MU114" s="252"/>
      <c r="MV114" s="252"/>
      <c r="MW114" s="252"/>
      <c r="MX114" s="252"/>
      <c r="MY114" s="252"/>
      <c r="MZ114" s="252"/>
      <c r="NA114" s="252"/>
      <c r="NB114" s="252"/>
      <c r="NC114" s="251"/>
      <c r="ND114" s="250"/>
      <c r="NE114" s="250"/>
      <c r="NF114" s="250"/>
      <c r="NG114" s="250"/>
      <c r="NH114" s="250"/>
      <c r="NI114" s="250"/>
      <c r="NJ114" s="250"/>
      <c r="NK114" s="250"/>
      <c r="NL114" s="250"/>
      <c r="NM114" s="250"/>
      <c r="NN114" s="250"/>
      <c r="NO114" s="250"/>
      <c r="NP114" s="250"/>
      <c r="NQ114" s="250"/>
      <c r="NR114" s="250"/>
      <c r="NS114" s="250"/>
      <c r="NT114" s="250"/>
      <c r="NU114" s="250"/>
      <c r="NV114" s="250"/>
      <c r="NW114" s="251"/>
      <c r="OT114" s="8"/>
      <c r="QG114" s="8"/>
      <c r="RT114" s="8"/>
    </row>
    <row r="115" spans="1:488" s="282" customFormat="1" x14ac:dyDescent="0.25">
      <c r="A115" s="66"/>
      <c r="B115" s="8"/>
      <c r="C115" s="66"/>
      <c r="D115" s="66"/>
      <c r="E115" s="66"/>
      <c r="F115" s="66"/>
      <c r="G115" s="66"/>
      <c r="H115" s="66"/>
      <c r="I115" s="66"/>
      <c r="J115" s="66"/>
      <c r="K115" s="66"/>
      <c r="L115" s="66"/>
      <c r="M115" s="66"/>
      <c r="N115" s="66"/>
      <c r="O115" s="66"/>
      <c r="P115" s="66"/>
      <c r="Q115" s="66"/>
      <c r="R115" s="66"/>
      <c r="S115" s="66"/>
      <c r="T115" s="68"/>
      <c r="AC115" s="66"/>
      <c r="AD115" s="66"/>
      <c r="AE115" s="68"/>
      <c r="AN115" s="66"/>
      <c r="AO115" s="66"/>
      <c r="AP115" s="68"/>
      <c r="AW115" s="66"/>
      <c r="AX115" s="68"/>
      <c r="BD115" s="66"/>
      <c r="BE115" s="68"/>
      <c r="BF115" s="66"/>
      <c r="BG115" s="66"/>
      <c r="BH115" s="66"/>
      <c r="BI115" s="66"/>
      <c r="BJ115" s="66"/>
      <c r="BK115" s="66"/>
      <c r="BL115" s="68"/>
      <c r="BO115" s="66"/>
      <c r="BP115" s="68"/>
      <c r="BV115" s="66"/>
      <c r="BW115" s="68"/>
      <c r="CB115" s="8"/>
      <c r="CH115" s="8"/>
      <c r="CK115" s="299"/>
      <c r="CL115" s="299"/>
      <c r="CM115" s="66"/>
      <c r="CN115" s="66"/>
      <c r="CO115" s="68"/>
      <c r="CR115" s="8"/>
      <c r="CX115" s="66"/>
      <c r="CY115" s="532"/>
      <c r="DE115" s="66"/>
      <c r="DF115" s="66"/>
      <c r="DG115" s="68"/>
      <c r="DH115" s="68"/>
      <c r="DK115" s="66"/>
      <c r="DL115" s="66"/>
      <c r="DM115" s="66"/>
      <c r="DN115" s="66"/>
      <c r="DO115" s="66"/>
      <c r="DP115" s="66"/>
      <c r="DQ115" s="66"/>
      <c r="DR115" s="66"/>
      <c r="DS115" s="66"/>
      <c r="DT115" s="68"/>
      <c r="DU115" s="66"/>
      <c r="DV115" s="296"/>
      <c r="DW115" s="330"/>
      <c r="DX115" s="631"/>
      <c r="DY115" s="631"/>
      <c r="DZ115" s="631"/>
      <c r="EA115" s="330"/>
      <c r="EC115" s="66"/>
      <c r="ED115" s="68"/>
      <c r="EH115" s="66"/>
      <c r="EI115" s="66"/>
      <c r="EJ115" s="68"/>
      <c r="EK115" s="252"/>
      <c r="EL115" s="252"/>
      <c r="EM115" s="252"/>
      <c r="EO115" s="252"/>
      <c r="EP115" s="252"/>
      <c r="EQ115" s="252"/>
      <c r="ES115" s="252"/>
      <c r="ET115" s="252"/>
      <c r="EU115" s="252"/>
      <c r="EW115" s="252"/>
      <c r="EX115" s="252"/>
      <c r="EY115" s="252"/>
      <c r="FA115" s="250"/>
      <c r="FB115" s="250"/>
      <c r="FC115" s="250"/>
      <c r="FD115" s="250"/>
      <c r="FE115" s="250"/>
      <c r="FF115" s="250"/>
      <c r="FG115" s="250"/>
      <c r="FH115" s="424"/>
      <c r="FI115" s="250"/>
      <c r="FJ115" s="250"/>
      <c r="FK115" s="250"/>
      <c r="FL115" s="256"/>
      <c r="FM115" s="250"/>
      <c r="FN115" s="256"/>
      <c r="FO115" s="250"/>
      <c r="FP115" s="256"/>
      <c r="FQ115" s="250"/>
      <c r="FR115" s="256"/>
      <c r="FS115" s="250"/>
      <c r="FT115" s="256"/>
      <c r="FU115" s="256"/>
      <c r="FV115" s="256"/>
      <c r="FW115" s="250"/>
      <c r="FX115" s="424"/>
      <c r="FY115" s="251"/>
      <c r="GC115" s="252"/>
      <c r="GF115" s="252"/>
      <c r="GG115" s="252"/>
      <c r="GH115" s="252"/>
      <c r="GI115" s="252"/>
      <c r="GJ115" s="252"/>
      <c r="GK115" s="251"/>
      <c r="GL115" s="250"/>
      <c r="GM115" s="250"/>
      <c r="GN115" s="250"/>
      <c r="GO115" s="250"/>
      <c r="GP115" s="250"/>
      <c r="GQ115" s="250"/>
      <c r="GR115" s="250"/>
      <c r="GS115" s="250"/>
      <c r="GT115" s="250"/>
      <c r="GU115" s="251"/>
      <c r="GV115" s="250"/>
      <c r="GW115" s="250"/>
      <c r="GX115" s="250"/>
      <c r="GY115" s="250"/>
      <c r="GZ115" s="250"/>
      <c r="HA115" s="250"/>
      <c r="HB115" s="250"/>
      <c r="HC115" s="250"/>
      <c r="HD115" s="250"/>
      <c r="HE115" s="250"/>
      <c r="HF115" s="250"/>
      <c r="HG115" s="250"/>
      <c r="HH115" s="251"/>
      <c r="HI115" s="424"/>
      <c r="HJ115" s="255"/>
      <c r="HK115" s="255"/>
      <c r="HL115" s="250"/>
      <c r="HM115" s="255"/>
      <c r="HN115" s="255"/>
      <c r="HO115" s="255"/>
      <c r="HP115" s="250"/>
      <c r="HQ115" s="250"/>
      <c r="HR115" s="250"/>
      <c r="HS115" s="250"/>
      <c r="HT115" s="250"/>
      <c r="HU115" s="251"/>
      <c r="HX115" s="252"/>
      <c r="HY115" s="252"/>
      <c r="HZ115" s="252"/>
      <c r="ID115" s="252"/>
      <c r="IE115" s="252"/>
      <c r="IF115" s="252"/>
      <c r="IJ115" s="252"/>
      <c r="IK115" s="252"/>
      <c r="IL115" s="252"/>
      <c r="IP115" s="252"/>
      <c r="IQ115" s="252"/>
      <c r="IR115" s="252"/>
      <c r="IY115" s="66"/>
      <c r="IZ115" s="66"/>
      <c r="JA115" s="66"/>
      <c r="JB115" s="250"/>
      <c r="JC115" s="66"/>
      <c r="JD115" s="66"/>
      <c r="JE115" s="66"/>
      <c r="JF115" s="66"/>
      <c r="JG115" s="66"/>
      <c r="JH115" s="66"/>
      <c r="JI115" s="66"/>
      <c r="JJ115" s="66"/>
      <c r="JK115" s="8"/>
      <c r="JN115" s="252"/>
      <c r="JO115" s="252"/>
      <c r="JP115" s="252"/>
      <c r="JT115" s="252"/>
      <c r="JU115" s="252"/>
      <c r="JV115" s="252"/>
      <c r="JZ115" s="252"/>
      <c r="KA115" s="252"/>
      <c r="KB115" s="252"/>
      <c r="KF115" s="252"/>
      <c r="KG115" s="252"/>
      <c r="KH115" s="252"/>
      <c r="KO115" s="66"/>
      <c r="KP115" s="66"/>
      <c r="KQ115" s="66"/>
      <c r="KR115" s="66"/>
      <c r="KS115" s="66"/>
      <c r="KT115" s="66"/>
      <c r="KU115" s="66"/>
      <c r="KV115" s="66"/>
      <c r="KW115" s="66"/>
      <c r="KX115" s="66"/>
      <c r="KY115" s="66"/>
      <c r="KZ115" s="66"/>
      <c r="LA115" s="8"/>
      <c r="LD115" s="252"/>
      <c r="LE115" s="252"/>
      <c r="LF115" s="252"/>
      <c r="LJ115" s="252"/>
      <c r="LK115" s="252"/>
      <c r="LN115" s="252"/>
      <c r="LO115" s="252"/>
      <c r="LP115" s="252"/>
      <c r="LT115" s="271"/>
      <c r="LU115" s="250"/>
      <c r="LV115" s="250"/>
      <c r="LW115" s="250"/>
      <c r="LX115" s="250"/>
      <c r="LY115" s="250"/>
      <c r="LZ115" s="250"/>
      <c r="MA115" s="250"/>
      <c r="MB115" s="250"/>
      <c r="MC115" s="250"/>
      <c r="MD115" s="250"/>
      <c r="ME115" s="250"/>
      <c r="MF115" s="250"/>
      <c r="MG115" s="250"/>
      <c r="MH115" s="250"/>
      <c r="MI115" s="250"/>
      <c r="MJ115" s="250"/>
      <c r="MK115" s="424"/>
      <c r="ML115" s="640"/>
      <c r="MM115" s="251"/>
      <c r="MN115" s="252"/>
      <c r="MO115" s="252"/>
      <c r="MP115" s="252"/>
      <c r="MQ115" s="252"/>
      <c r="MR115" s="252"/>
      <c r="MS115" s="252"/>
      <c r="MT115" s="252"/>
      <c r="MU115" s="252"/>
      <c r="MV115" s="252"/>
      <c r="MW115" s="252"/>
      <c r="MX115" s="252"/>
      <c r="MY115" s="252"/>
      <c r="MZ115" s="252"/>
      <c r="NA115" s="252"/>
      <c r="NB115" s="252"/>
      <c r="NC115" s="251"/>
      <c r="ND115" s="250"/>
      <c r="NE115" s="250"/>
      <c r="NF115" s="250"/>
      <c r="NG115" s="250"/>
      <c r="NH115" s="250"/>
      <c r="NI115" s="250"/>
      <c r="NJ115" s="250"/>
      <c r="NK115" s="250"/>
      <c r="NL115" s="250"/>
      <c r="NM115" s="250"/>
      <c r="NN115" s="250"/>
      <c r="NO115" s="250"/>
      <c r="NP115" s="250"/>
      <c r="NQ115" s="250"/>
      <c r="NR115" s="250"/>
      <c r="NS115" s="250"/>
      <c r="NT115" s="250"/>
      <c r="NU115" s="250"/>
      <c r="NV115" s="250"/>
      <c r="NW115" s="251"/>
      <c r="OT115" s="8"/>
      <c r="QG115" s="8"/>
      <c r="RT115" s="8"/>
    </row>
    <row r="116" spans="1:488" s="282" customFormat="1" x14ac:dyDescent="0.25">
      <c r="A116" s="66"/>
      <c r="B116" s="8"/>
      <c r="C116" s="66"/>
      <c r="D116" s="66"/>
      <c r="E116" s="66"/>
      <c r="F116" s="66"/>
      <c r="G116" s="66"/>
      <c r="H116" s="66"/>
      <c r="I116" s="66"/>
      <c r="J116" s="66"/>
      <c r="K116" s="66"/>
      <c r="L116" s="66"/>
      <c r="M116" s="66"/>
      <c r="N116" s="66"/>
      <c r="O116" s="66"/>
      <c r="P116" s="66"/>
      <c r="Q116" s="66"/>
      <c r="R116" s="66"/>
      <c r="S116" s="66"/>
      <c r="T116" s="68"/>
      <c r="AC116" s="66"/>
      <c r="AD116" s="66"/>
      <c r="AE116" s="68"/>
      <c r="AN116" s="66"/>
      <c r="AO116" s="66"/>
      <c r="AP116" s="68"/>
      <c r="AW116" s="66"/>
      <c r="AX116" s="68"/>
      <c r="BD116" s="66"/>
      <c r="BE116" s="68"/>
      <c r="BF116" s="66"/>
      <c r="BG116" s="66"/>
      <c r="BH116" s="66"/>
      <c r="BI116" s="66"/>
      <c r="BJ116" s="66"/>
      <c r="BK116" s="66"/>
      <c r="BL116" s="68"/>
      <c r="BO116" s="66"/>
      <c r="BP116" s="68"/>
      <c r="BV116" s="66"/>
      <c r="BW116" s="68"/>
      <c r="CB116" s="8"/>
      <c r="CH116" s="8"/>
      <c r="CK116" s="299"/>
      <c r="CL116" s="299"/>
      <c r="CM116" s="66"/>
      <c r="CN116" s="66"/>
      <c r="CO116" s="68"/>
      <c r="CR116" s="8"/>
      <c r="CX116" s="66"/>
      <c r="CY116" s="532"/>
      <c r="DE116" s="66"/>
      <c r="DF116" s="66"/>
      <c r="DG116" s="68"/>
      <c r="DH116" s="68"/>
      <c r="DK116" s="66"/>
      <c r="DL116" s="66"/>
      <c r="DM116" s="66"/>
      <c r="DN116" s="66"/>
      <c r="DO116" s="66"/>
      <c r="DP116" s="66"/>
      <c r="DQ116" s="66"/>
      <c r="DR116" s="66"/>
      <c r="DS116" s="66"/>
      <c r="DT116" s="68"/>
      <c r="DU116" s="66"/>
      <c r="DV116" s="296"/>
      <c r="DW116" s="330"/>
      <c r="DX116" s="631"/>
      <c r="DY116" s="631"/>
      <c r="DZ116" s="631"/>
      <c r="EA116" s="330"/>
      <c r="EC116" s="66"/>
      <c r="ED116" s="68"/>
      <c r="EH116" s="66"/>
      <c r="EI116" s="66"/>
      <c r="EJ116" s="68"/>
      <c r="EK116" s="252"/>
      <c r="EL116" s="252"/>
      <c r="EM116" s="252"/>
      <c r="EO116" s="252"/>
      <c r="EP116" s="252"/>
      <c r="EQ116" s="252"/>
      <c r="ES116" s="252"/>
      <c r="ET116" s="252"/>
      <c r="EU116" s="252"/>
      <c r="EW116" s="252"/>
      <c r="EX116" s="252"/>
      <c r="EY116" s="252"/>
      <c r="FA116" s="250"/>
      <c r="FB116" s="250"/>
      <c r="FC116" s="250"/>
      <c r="FD116" s="250"/>
      <c r="FE116" s="250"/>
      <c r="FF116" s="250"/>
      <c r="FG116" s="250"/>
      <c r="FH116" s="424"/>
      <c r="FI116" s="250"/>
      <c r="FJ116" s="250"/>
      <c r="FK116" s="250"/>
      <c r="FL116" s="256"/>
      <c r="FM116" s="250"/>
      <c r="FN116" s="256"/>
      <c r="FO116" s="250"/>
      <c r="FP116" s="256"/>
      <c r="FQ116" s="250"/>
      <c r="FR116" s="256"/>
      <c r="FS116" s="250"/>
      <c r="FT116" s="256"/>
      <c r="FU116" s="256"/>
      <c r="FV116" s="256"/>
      <c r="FW116" s="250"/>
      <c r="FX116" s="424"/>
      <c r="FY116" s="251"/>
      <c r="GC116" s="252"/>
      <c r="GF116" s="252"/>
      <c r="GG116" s="252"/>
      <c r="GH116" s="252"/>
      <c r="GI116" s="252"/>
      <c r="GJ116" s="252"/>
      <c r="GK116" s="251"/>
      <c r="GL116" s="250"/>
      <c r="GM116" s="250"/>
      <c r="GN116" s="250"/>
      <c r="GO116" s="250"/>
      <c r="GP116" s="250"/>
      <c r="GQ116" s="250"/>
      <c r="GR116" s="250"/>
      <c r="GS116" s="250"/>
      <c r="GT116" s="250"/>
      <c r="GU116" s="251"/>
      <c r="GV116" s="250"/>
      <c r="GW116" s="250"/>
      <c r="GX116" s="250"/>
      <c r="GY116" s="250"/>
      <c r="GZ116" s="250"/>
      <c r="HA116" s="250"/>
      <c r="HB116" s="250"/>
      <c r="HC116" s="250"/>
      <c r="HD116" s="250"/>
      <c r="HE116" s="250"/>
      <c r="HF116" s="250"/>
      <c r="HG116" s="250"/>
      <c r="HH116" s="251"/>
      <c r="HI116" s="424"/>
      <c r="HJ116" s="255"/>
      <c r="HK116" s="255"/>
      <c r="HL116" s="250"/>
      <c r="HM116" s="255"/>
      <c r="HN116" s="255"/>
      <c r="HO116" s="255"/>
      <c r="HP116" s="250"/>
      <c r="HQ116" s="250"/>
      <c r="HR116" s="250"/>
      <c r="HS116" s="250"/>
      <c r="HT116" s="250"/>
      <c r="HU116" s="251"/>
      <c r="HX116" s="252"/>
      <c r="HY116" s="252"/>
      <c r="HZ116" s="252"/>
      <c r="ID116" s="252"/>
      <c r="IE116" s="252"/>
      <c r="IF116" s="252"/>
      <c r="IJ116" s="252"/>
      <c r="IK116" s="252"/>
      <c r="IL116" s="252"/>
      <c r="IP116" s="252"/>
      <c r="IQ116" s="252"/>
      <c r="IR116" s="252"/>
      <c r="IY116" s="66"/>
      <c r="IZ116" s="66"/>
      <c r="JA116" s="66"/>
      <c r="JB116" s="250"/>
      <c r="JC116" s="66"/>
      <c r="JD116" s="66"/>
      <c r="JE116" s="66"/>
      <c r="JF116" s="66"/>
      <c r="JG116" s="66"/>
      <c r="JH116" s="66"/>
      <c r="JI116" s="66"/>
      <c r="JJ116" s="66"/>
      <c r="JK116" s="8"/>
      <c r="JN116" s="252"/>
      <c r="JO116" s="252"/>
      <c r="JP116" s="252"/>
      <c r="JT116" s="252"/>
      <c r="JU116" s="252"/>
      <c r="JV116" s="252"/>
      <c r="JZ116" s="252"/>
      <c r="KA116" s="252"/>
      <c r="KB116" s="252"/>
      <c r="KF116" s="252"/>
      <c r="KG116" s="252"/>
      <c r="KH116" s="252"/>
      <c r="KO116" s="66"/>
      <c r="KP116" s="66"/>
      <c r="KQ116" s="66"/>
      <c r="KR116" s="66"/>
      <c r="KS116" s="66"/>
      <c r="KT116" s="66"/>
      <c r="KU116" s="66"/>
      <c r="KV116" s="66"/>
      <c r="KW116" s="66"/>
      <c r="KX116" s="66"/>
      <c r="KY116" s="66"/>
      <c r="KZ116" s="66"/>
      <c r="LA116" s="8"/>
      <c r="LD116" s="252"/>
      <c r="LE116" s="252"/>
      <c r="LF116" s="252"/>
      <c r="LJ116" s="252"/>
      <c r="LK116" s="252"/>
      <c r="LN116" s="252"/>
      <c r="LO116" s="252"/>
      <c r="LP116" s="252"/>
      <c r="LT116" s="271"/>
      <c r="LU116" s="250"/>
      <c r="LV116" s="250"/>
      <c r="LW116" s="250"/>
      <c r="LX116" s="250"/>
      <c r="LY116" s="250"/>
      <c r="LZ116" s="250"/>
      <c r="MA116" s="250"/>
      <c r="MB116" s="250"/>
      <c r="MC116" s="250"/>
      <c r="MD116" s="250"/>
      <c r="ME116" s="250"/>
      <c r="MF116" s="250"/>
      <c r="MG116" s="250"/>
      <c r="MH116" s="250"/>
      <c r="MI116" s="250"/>
      <c r="MJ116" s="250"/>
      <c r="MK116" s="424"/>
      <c r="ML116" s="640"/>
      <c r="MM116" s="251"/>
      <c r="MN116" s="252"/>
      <c r="MO116" s="252"/>
      <c r="MP116" s="252"/>
      <c r="MQ116" s="252"/>
      <c r="MR116" s="252"/>
      <c r="MS116" s="252"/>
      <c r="MT116" s="252"/>
      <c r="MU116" s="252"/>
      <c r="MV116" s="252"/>
      <c r="MW116" s="252"/>
      <c r="MX116" s="252"/>
      <c r="MY116" s="252"/>
      <c r="MZ116" s="252"/>
      <c r="NA116" s="252"/>
      <c r="NB116" s="252"/>
      <c r="NC116" s="251"/>
      <c r="ND116" s="250"/>
      <c r="NE116" s="250"/>
      <c r="NF116" s="250"/>
      <c r="NG116" s="250"/>
      <c r="NH116" s="250"/>
      <c r="NI116" s="250"/>
      <c r="NJ116" s="250"/>
      <c r="NK116" s="250"/>
      <c r="NL116" s="250"/>
      <c r="NM116" s="250"/>
      <c r="NN116" s="250"/>
      <c r="NO116" s="250"/>
      <c r="NP116" s="250"/>
      <c r="NQ116" s="250"/>
      <c r="NR116" s="250"/>
      <c r="NS116" s="250"/>
      <c r="NT116" s="250"/>
      <c r="NU116" s="250"/>
      <c r="NV116" s="250"/>
      <c r="NW116" s="251"/>
      <c r="OT116" s="8"/>
      <c r="QG116" s="8"/>
      <c r="RT116" s="8"/>
    </row>
    <row r="117" spans="1:488" s="282" customFormat="1" x14ac:dyDescent="0.25">
      <c r="A117" s="66"/>
      <c r="B117" s="8"/>
      <c r="C117" s="66"/>
      <c r="D117" s="66"/>
      <c r="E117" s="66"/>
      <c r="F117" s="66"/>
      <c r="G117" s="66"/>
      <c r="H117" s="66"/>
      <c r="I117" s="66"/>
      <c r="J117" s="66"/>
      <c r="K117" s="66"/>
      <c r="L117" s="66"/>
      <c r="M117" s="66"/>
      <c r="N117" s="66"/>
      <c r="O117" s="66"/>
      <c r="P117" s="66"/>
      <c r="Q117" s="66"/>
      <c r="R117" s="66"/>
      <c r="S117" s="66"/>
      <c r="T117" s="68"/>
      <c r="AC117" s="66"/>
      <c r="AD117" s="66"/>
      <c r="AE117" s="68"/>
      <c r="AN117" s="66"/>
      <c r="AO117" s="66"/>
      <c r="AP117" s="68"/>
      <c r="AW117" s="66"/>
      <c r="AX117" s="68"/>
      <c r="BD117" s="66"/>
      <c r="BE117" s="68"/>
      <c r="BF117" s="66"/>
      <c r="BG117" s="66"/>
      <c r="BH117" s="66"/>
      <c r="BI117" s="66"/>
      <c r="BJ117" s="66"/>
      <c r="BK117" s="66"/>
      <c r="BL117" s="68"/>
      <c r="BO117" s="66"/>
      <c r="BP117" s="68"/>
      <c r="BV117" s="66"/>
      <c r="BW117" s="68"/>
      <c r="CB117" s="8"/>
      <c r="CH117" s="8"/>
      <c r="CK117" s="299"/>
      <c r="CL117" s="299"/>
      <c r="CM117" s="66"/>
      <c r="CN117" s="66"/>
      <c r="CO117" s="68"/>
      <c r="CR117" s="8"/>
      <c r="CX117" s="66"/>
      <c r="CY117" s="532"/>
      <c r="DE117" s="66"/>
      <c r="DF117" s="66"/>
      <c r="DG117" s="68"/>
      <c r="DH117" s="68"/>
      <c r="DK117" s="66"/>
      <c r="DL117" s="66"/>
      <c r="DM117" s="66"/>
      <c r="DN117" s="66"/>
      <c r="DO117" s="66"/>
      <c r="DP117" s="66"/>
      <c r="DQ117" s="66"/>
      <c r="DR117" s="66"/>
      <c r="DS117" s="66"/>
      <c r="DT117" s="68"/>
      <c r="DU117" s="66"/>
      <c r="DV117" s="296"/>
      <c r="DW117" s="330"/>
      <c r="DX117" s="631"/>
      <c r="DY117" s="631"/>
      <c r="DZ117" s="631"/>
      <c r="EA117" s="330"/>
      <c r="EC117" s="66"/>
      <c r="ED117" s="68"/>
      <c r="EH117" s="66"/>
      <c r="EI117" s="66"/>
      <c r="EJ117" s="68"/>
      <c r="EK117" s="252"/>
      <c r="EL117" s="252"/>
      <c r="EM117" s="252"/>
      <c r="EO117" s="252"/>
      <c r="EP117" s="252"/>
      <c r="EQ117" s="252"/>
      <c r="ES117" s="252"/>
      <c r="ET117" s="252"/>
      <c r="EU117" s="252"/>
      <c r="EW117" s="252"/>
      <c r="EX117" s="252"/>
      <c r="EY117" s="252"/>
      <c r="FA117" s="250"/>
      <c r="FB117" s="250"/>
      <c r="FC117" s="250"/>
      <c r="FD117" s="250"/>
      <c r="FE117" s="250"/>
      <c r="FF117" s="250"/>
      <c r="FG117" s="250"/>
      <c r="FH117" s="424"/>
      <c r="FI117" s="250"/>
      <c r="FJ117" s="250"/>
      <c r="FK117" s="250"/>
      <c r="FL117" s="256"/>
      <c r="FM117" s="250"/>
      <c r="FN117" s="256"/>
      <c r="FO117" s="250"/>
      <c r="FP117" s="256"/>
      <c r="FQ117" s="250"/>
      <c r="FR117" s="256"/>
      <c r="FS117" s="250"/>
      <c r="FT117" s="256"/>
      <c r="FU117" s="256"/>
      <c r="FV117" s="256"/>
      <c r="FW117" s="250"/>
      <c r="FX117" s="424"/>
      <c r="FY117" s="251"/>
      <c r="GC117" s="252"/>
      <c r="GF117" s="252"/>
      <c r="GG117" s="252"/>
      <c r="GH117" s="252"/>
      <c r="GI117" s="252"/>
      <c r="GJ117" s="252"/>
      <c r="GK117" s="251"/>
      <c r="GL117" s="250"/>
      <c r="GM117" s="250"/>
      <c r="GN117" s="250"/>
      <c r="GO117" s="250"/>
      <c r="GP117" s="250"/>
      <c r="GQ117" s="250"/>
      <c r="GR117" s="250"/>
      <c r="GS117" s="250"/>
      <c r="GT117" s="250"/>
      <c r="GU117" s="251"/>
      <c r="GV117" s="250"/>
      <c r="GW117" s="250"/>
      <c r="GX117" s="250"/>
      <c r="GY117" s="250"/>
      <c r="GZ117" s="250"/>
      <c r="HA117" s="250"/>
      <c r="HB117" s="250"/>
      <c r="HC117" s="250"/>
      <c r="HD117" s="250"/>
      <c r="HE117" s="250"/>
      <c r="HF117" s="250"/>
      <c r="HG117" s="250"/>
      <c r="HH117" s="251"/>
      <c r="HI117" s="424"/>
      <c r="HJ117" s="255"/>
      <c r="HK117" s="255"/>
      <c r="HL117" s="250"/>
      <c r="HM117" s="255"/>
      <c r="HN117" s="255"/>
      <c r="HO117" s="255"/>
      <c r="HP117" s="250"/>
      <c r="HQ117" s="250"/>
      <c r="HR117" s="250"/>
      <c r="HS117" s="250"/>
      <c r="HT117" s="250"/>
      <c r="HU117" s="251"/>
      <c r="HX117" s="252"/>
      <c r="HY117" s="252"/>
      <c r="HZ117" s="252"/>
      <c r="ID117" s="252"/>
      <c r="IE117" s="252"/>
      <c r="IF117" s="252"/>
      <c r="IJ117" s="252"/>
      <c r="IK117" s="252"/>
      <c r="IL117" s="252"/>
      <c r="IP117" s="252"/>
      <c r="IQ117" s="252"/>
      <c r="IR117" s="252"/>
      <c r="IY117" s="66"/>
      <c r="IZ117" s="66"/>
      <c r="JA117" s="66"/>
      <c r="JB117" s="250"/>
      <c r="JC117" s="66"/>
      <c r="JD117" s="66"/>
      <c r="JE117" s="66"/>
      <c r="JF117" s="66"/>
      <c r="JG117" s="66"/>
      <c r="JH117" s="66"/>
      <c r="JI117" s="66"/>
      <c r="JJ117" s="66"/>
      <c r="JK117" s="8"/>
      <c r="JN117" s="252"/>
      <c r="JO117" s="252"/>
      <c r="JP117" s="252"/>
      <c r="JT117" s="252"/>
      <c r="JU117" s="252"/>
      <c r="JV117" s="252"/>
      <c r="JZ117" s="252"/>
      <c r="KA117" s="252"/>
      <c r="KB117" s="252"/>
      <c r="KF117" s="252"/>
      <c r="KG117" s="252"/>
      <c r="KH117" s="252"/>
      <c r="KO117" s="66"/>
      <c r="KP117" s="66"/>
      <c r="KQ117" s="66"/>
      <c r="KR117" s="66"/>
      <c r="KS117" s="66"/>
      <c r="KT117" s="66"/>
      <c r="KU117" s="66"/>
      <c r="KV117" s="66"/>
      <c r="KW117" s="66"/>
      <c r="KX117" s="66"/>
      <c r="KY117" s="66"/>
      <c r="KZ117" s="66"/>
      <c r="LA117" s="8"/>
      <c r="LD117" s="252"/>
      <c r="LE117" s="252"/>
      <c r="LF117" s="252"/>
      <c r="LJ117" s="252"/>
      <c r="LK117" s="252"/>
      <c r="LN117" s="252"/>
      <c r="LO117" s="252"/>
      <c r="LP117" s="252"/>
      <c r="LT117" s="271"/>
      <c r="LU117" s="250"/>
      <c r="LV117" s="250"/>
      <c r="LW117" s="250"/>
      <c r="LX117" s="250"/>
      <c r="LY117" s="250"/>
      <c r="LZ117" s="250"/>
      <c r="MA117" s="250"/>
      <c r="MB117" s="250"/>
      <c r="MC117" s="250"/>
      <c r="MD117" s="250"/>
      <c r="ME117" s="250"/>
      <c r="MF117" s="250"/>
      <c r="MG117" s="250"/>
      <c r="MH117" s="250"/>
      <c r="MI117" s="250"/>
      <c r="MJ117" s="250"/>
      <c r="MK117" s="424"/>
      <c r="ML117" s="640"/>
      <c r="MM117" s="251"/>
      <c r="MN117" s="252"/>
      <c r="MO117" s="252"/>
      <c r="MP117" s="252"/>
      <c r="MQ117" s="252"/>
      <c r="MR117" s="252"/>
      <c r="MS117" s="252"/>
      <c r="MT117" s="252"/>
      <c r="MU117" s="252"/>
      <c r="MV117" s="252"/>
      <c r="MW117" s="252"/>
      <c r="MX117" s="252"/>
      <c r="MY117" s="252"/>
      <c r="MZ117" s="252"/>
      <c r="NA117" s="252"/>
      <c r="NB117" s="252"/>
      <c r="NC117" s="251"/>
      <c r="ND117" s="250"/>
      <c r="NE117" s="250"/>
      <c r="NF117" s="250"/>
      <c r="NG117" s="250"/>
      <c r="NH117" s="250"/>
      <c r="NI117" s="250"/>
      <c r="NJ117" s="250"/>
      <c r="NK117" s="250"/>
      <c r="NL117" s="250"/>
      <c r="NM117" s="250"/>
      <c r="NN117" s="250"/>
      <c r="NO117" s="250"/>
      <c r="NP117" s="250"/>
      <c r="NQ117" s="250"/>
      <c r="NR117" s="250"/>
      <c r="NS117" s="250"/>
      <c r="NT117" s="250"/>
      <c r="NU117" s="250"/>
      <c r="NV117" s="250"/>
      <c r="NW117" s="251"/>
      <c r="OT117" s="8"/>
      <c r="QG117" s="8"/>
      <c r="RT117" s="8"/>
    </row>
    <row r="118" spans="1:488" s="282" customFormat="1" x14ac:dyDescent="0.25">
      <c r="A118" s="66"/>
      <c r="B118" s="8"/>
      <c r="C118" s="66"/>
      <c r="D118" s="66"/>
      <c r="E118" s="66"/>
      <c r="F118" s="66"/>
      <c r="G118" s="66"/>
      <c r="H118" s="66"/>
      <c r="I118" s="66"/>
      <c r="J118" s="66"/>
      <c r="K118" s="66"/>
      <c r="L118" s="66"/>
      <c r="M118" s="66"/>
      <c r="N118" s="66"/>
      <c r="O118" s="66"/>
      <c r="P118" s="66"/>
      <c r="Q118" s="66"/>
      <c r="R118" s="66"/>
      <c r="S118" s="66"/>
      <c r="T118" s="68"/>
      <c r="AC118" s="66"/>
      <c r="AD118" s="66"/>
      <c r="AE118" s="68"/>
      <c r="AN118" s="66"/>
      <c r="AO118" s="66"/>
      <c r="AP118" s="68"/>
      <c r="AW118" s="66"/>
      <c r="AX118" s="68"/>
      <c r="BD118" s="66"/>
      <c r="BE118" s="68"/>
      <c r="BF118" s="66"/>
      <c r="BG118" s="66"/>
      <c r="BH118" s="66"/>
      <c r="BI118" s="66"/>
      <c r="BJ118" s="66"/>
      <c r="BK118" s="66"/>
      <c r="BL118" s="68"/>
      <c r="BO118" s="66"/>
      <c r="BP118" s="68"/>
      <c r="BV118" s="66"/>
      <c r="BW118" s="68"/>
      <c r="CB118" s="8"/>
      <c r="CH118" s="8"/>
      <c r="CK118" s="299"/>
      <c r="CL118" s="299"/>
      <c r="CM118" s="66"/>
      <c r="CN118" s="66"/>
      <c r="CO118" s="68"/>
      <c r="CR118" s="8"/>
      <c r="CX118" s="66"/>
      <c r="CY118" s="532"/>
      <c r="DE118" s="66"/>
      <c r="DF118" s="66"/>
      <c r="DG118" s="68"/>
      <c r="DH118" s="68"/>
      <c r="DK118" s="66"/>
      <c r="DL118" s="66"/>
      <c r="DM118" s="66"/>
      <c r="DN118" s="66"/>
      <c r="DO118" s="66"/>
      <c r="DP118" s="66"/>
      <c r="DQ118" s="66"/>
      <c r="DR118" s="66"/>
      <c r="DS118" s="66"/>
      <c r="DT118" s="68"/>
      <c r="DU118" s="66"/>
      <c r="DV118" s="296"/>
      <c r="DW118" s="330"/>
      <c r="DX118" s="631"/>
      <c r="DY118" s="631"/>
      <c r="DZ118" s="631"/>
      <c r="EA118" s="330"/>
      <c r="EC118" s="66"/>
      <c r="ED118" s="68"/>
      <c r="EH118" s="66"/>
      <c r="EI118" s="66"/>
      <c r="EJ118" s="68"/>
      <c r="EK118" s="252"/>
      <c r="EL118" s="252"/>
      <c r="EM118" s="252"/>
      <c r="EO118" s="252"/>
      <c r="EP118" s="252"/>
      <c r="EQ118" s="252"/>
      <c r="ES118" s="252"/>
      <c r="ET118" s="252"/>
      <c r="EU118" s="252"/>
      <c r="EW118" s="252"/>
      <c r="EX118" s="252"/>
      <c r="EY118" s="252"/>
      <c r="FA118" s="250"/>
      <c r="FB118" s="250"/>
      <c r="FC118" s="250"/>
      <c r="FD118" s="250"/>
      <c r="FE118" s="250"/>
      <c r="FF118" s="250"/>
      <c r="FG118" s="250"/>
      <c r="FH118" s="424"/>
      <c r="FI118" s="250"/>
      <c r="FJ118" s="250"/>
      <c r="FK118" s="250"/>
      <c r="FL118" s="256"/>
      <c r="FM118" s="250"/>
      <c r="FN118" s="256"/>
      <c r="FO118" s="250"/>
      <c r="FP118" s="256"/>
      <c r="FQ118" s="250"/>
      <c r="FR118" s="256"/>
      <c r="FS118" s="250"/>
      <c r="FT118" s="256"/>
      <c r="FU118" s="256"/>
      <c r="FV118" s="256"/>
      <c r="FW118" s="250"/>
      <c r="FX118" s="424"/>
      <c r="FY118" s="251"/>
      <c r="GC118" s="252"/>
      <c r="GF118" s="252"/>
      <c r="GG118" s="252"/>
      <c r="GH118" s="252"/>
      <c r="GI118" s="252"/>
      <c r="GJ118" s="252"/>
      <c r="GK118" s="251"/>
      <c r="GL118" s="250"/>
      <c r="GM118" s="250"/>
      <c r="GN118" s="250"/>
      <c r="GO118" s="250"/>
      <c r="GP118" s="250"/>
      <c r="GQ118" s="250"/>
      <c r="GR118" s="250"/>
      <c r="GS118" s="250"/>
      <c r="GT118" s="250"/>
      <c r="GU118" s="251"/>
      <c r="GV118" s="250"/>
      <c r="GW118" s="250"/>
      <c r="GX118" s="250"/>
      <c r="GY118" s="250"/>
      <c r="GZ118" s="250"/>
      <c r="HA118" s="250"/>
      <c r="HB118" s="250"/>
      <c r="HC118" s="250"/>
      <c r="HD118" s="250"/>
      <c r="HE118" s="250"/>
      <c r="HF118" s="250"/>
      <c r="HG118" s="250"/>
      <c r="HH118" s="251"/>
      <c r="HI118" s="424"/>
      <c r="HJ118" s="255"/>
      <c r="HK118" s="255"/>
      <c r="HL118" s="250"/>
      <c r="HM118" s="255"/>
      <c r="HN118" s="255"/>
      <c r="HO118" s="255"/>
      <c r="HP118" s="250"/>
      <c r="HQ118" s="250"/>
      <c r="HR118" s="250"/>
      <c r="HS118" s="250"/>
      <c r="HT118" s="250"/>
      <c r="HU118" s="251"/>
      <c r="HX118" s="252"/>
      <c r="HY118" s="252"/>
      <c r="HZ118" s="252"/>
      <c r="ID118" s="252"/>
      <c r="IE118" s="252"/>
      <c r="IF118" s="252"/>
      <c r="IJ118" s="252"/>
      <c r="IK118" s="252"/>
      <c r="IL118" s="252"/>
      <c r="IP118" s="252"/>
      <c r="IQ118" s="252"/>
      <c r="IR118" s="252"/>
      <c r="IY118" s="66"/>
      <c r="IZ118" s="66"/>
      <c r="JA118" s="66"/>
      <c r="JB118" s="250"/>
      <c r="JC118" s="66"/>
      <c r="JD118" s="66"/>
      <c r="JE118" s="66"/>
      <c r="JF118" s="66"/>
      <c r="JG118" s="66"/>
      <c r="JH118" s="66"/>
      <c r="JI118" s="66"/>
      <c r="JJ118" s="66"/>
      <c r="JK118" s="8"/>
      <c r="JN118" s="252"/>
      <c r="JO118" s="252"/>
      <c r="JP118" s="252"/>
      <c r="JT118" s="252"/>
      <c r="JU118" s="252"/>
      <c r="JV118" s="252"/>
      <c r="JZ118" s="252"/>
      <c r="KA118" s="252"/>
      <c r="KB118" s="252"/>
      <c r="KF118" s="252"/>
      <c r="KG118" s="252"/>
      <c r="KH118" s="252"/>
      <c r="KO118" s="66"/>
      <c r="KP118" s="66"/>
      <c r="KQ118" s="66"/>
      <c r="KR118" s="66"/>
      <c r="KS118" s="66"/>
      <c r="KT118" s="66"/>
      <c r="KU118" s="66"/>
      <c r="KV118" s="66"/>
      <c r="KW118" s="66"/>
      <c r="KX118" s="66"/>
      <c r="KY118" s="66"/>
      <c r="KZ118" s="66"/>
      <c r="LA118" s="8"/>
      <c r="LD118" s="252"/>
      <c r="LE118" s="252"/>
      <c r="LF118" s="252"/>
      <c r="LJ118" s="252"/>
      <c r="LK118" s="252"/>
      <c r="LN118" s="252"/>
      <c r="LO118" s="252"/>
      <c r="LP118" s="252"/>
      <c r="LT118" s="271"/>
      <c r="LU118" s="250"/>
      <c r="LV118" s="250"/>
      <c r="LW118" s="250"/>
      <c r="LX118" s="250"/>
      <c r="LY118" s="250"/>
      <c r="LZ118" s="250"/>
      <c r="MA118" s="250"/>
      <c r="MB118" s="250"/>
      <c r="MC118" s="250"/>
      <c r="MD118" s="250"/>
      <c r="ME118" s="250"/>
      <c r="MF118" s="250"/>
      <c r="MG118" s="250"/>
      <c r="MH118" s="250"/>
      <c r="MI118" s="250"/>
      <c r="MJ118" s="250"/>
      <c r="MK118" s="424"/>
      <c r="ML118" s="640"/>
      <c r="MM118" s="251"/>
      <c r="MN118" s="252"/>
      <c r="MO118" s="252"/>
      <c r="MP118" s="252"/>
      <c r="MQ118" s="252"/>
      <c r="MR118" s="252"/>
      <c r="MS118" s="252"/>
      <c r="MT118" s="252"/>
      <c r="MU118" s="252"/>
      <c r="MV118" s="252"/>
      <c r="MW118" s="252"/>
      <c r="MX118" s="252"/>
      <c r="MY118" s="252"/>
      <c r="MZ118" s="252"/>
      <c r="NA118" s="252"/>
      <c r="NB118" s="252"/>
      <c r="NC118" s="251"/>
      <c r="ND118" s="250"/>
      <c r="NE118" s="250"/>
      <c r="NF118" s="250"/>
      <c r="NG118" s="250"/>
      <c r="NH118" s="250"/>
      <c r="NI118" s="250"/>
      <c r="NJ118" s="250"/>
      <c r="NK118" s="250"/>
      <c r="NL118" s="250"/>
      <c r="NM118" s="250"/>
      <c r="NN118" s="250"/>
      <c r="NO118" s="250"/>
      <c r="NP118" s="250"/>
      <c r="NQ118" s="250"/>
      <c r="NR118" s="250"/>
      <c r="NS118" s="250"/>
      <c r="NT118" s="250"/>
      <c r="NU118" s="250"/>
      <c r="NV118" s="250"/>
      <c r="NW118" s="251"/>
      <c r="OT118" s="8"/>
      <c r="QG118" s="8"/>
      <c r="RT118" s="8"/>
    </row>
    <row r="119" spans="1:488" s="282" customFormat="1" x14ac:dyDescent="0.25">
      <c r="A119" s="66"/>
      <c r="B119" s="8"/>
      <c r="C119" s="66"/>
      <c r="D119" s="66"/>
      <c r="E119" s="66"/>
      <c r="F119" s="66"/>
      <c r="G119" s="66"/>
      <c r="H119" s="66"/>
      <c r="I119" s="66"/>
      <c r="J119" s="66"/>
      <c r="K119" s="66"/>
      <c r="L119" s="66"/>
      <c r="M119" s="66"/>
      <c r="N119" s="66"/>
      <c r="O119" s="66"/>
      <c r="P119" s="66"/>
      <c r="Q119" s="66"/>
      <c r="R119" s="66"/>
      <c r="S119" s="66"/>
      <c r="T119" s="68"/>
      <c r="AC119" s="66"/>
      <c r="AD119" s="66"/>
      <c r="AE119" s="68"/>
      <c r="AN119" s="66"/>
      <c r="AO119" s="66"/>
      <c r="AP119" s="68"/>
      <c r="AW119" s="66"/>
      <c r="AX119" s="68"/>
      <c r="BD119" s="66"/>
      <c r="BE119" s="68"/>
      <c r="BF119" s="66"/>
      <c r="BG119" s="66"/>
      <c r="BH119" s="66"/>
      <c r="BI119" s="66"/>
      <c r="BJ119" s="66"/>
      <c r="BK119" s="66"/>
      <c r="BL119" s="68"/>
      <c r="BO119" s="66"/>
      <c r="BP119" s="68"/>
      <c r="BV119" s="66"/>
      <c r="BW119" s="68"/>
      <c r="CB119" s="8"/>
      <c r="CH119" s="8"/>
      <c r="CK119" s="299"/>
      <c r="CL119" s="299"/>
      <c r="CM119" s="66"/>
      <c r="CN119" s="66"/>
      <c r="CO119" s="68"/>
      <c r="CR119" s="8"/>
      <c r="CX119" s="66"/>
      <c r="CY119" s="532"/>
      <c r="DE119" s="66"/>
      <c r="DF119" s="66"/>
      <c r="DG119" s="68"/>
      <c r="DH119" s="68"/>
      <c r="DK119" s="66"/>
      <c r="DL119" s="66"/>
      <c r="DM119" s="66"/>
      <c r="DN119" s="66"/>
      <c r="DO119" s="66"/>
      <c r="DP119" s="66"/>
      <c r="DQ119" s="66"/>
      <c r="DR119" s="66"/>
      <c r="DS119" s="66"/>
      <c r="DT119" s="68"/>
      <c r="DU119" s="66"/>
      <c r="DV119" s="296"/>
      <c r="DW119" s="330"/>
      <c r="DX119" s="631"/>
      <c r="DY119" s="631"/>
      <c r="DZ119" s="631"/>
      <c r="EA119" s="330"/>
      <c r="EC119" s="66"/>
      <c r="ED119" s="68"/>
      <c r="EH119" s="66"/>
      <c r="EI119" s="66"/>
      <c r="EJ119" s="68"/>
      <c r="EK119" s="252"/>
      <c r="EL119" s="252"/>
      <c r="EM119" s="252"/>
      <c r="EO119" s="252"/>
      <c r="EP119" s="252"/>
      <c r="EQ119" s="252"/>
      <c r="ES119" s="252"/>
      <c r="ET119" s="252"/>
      <c r="EU119" s="252"/>
      <c r="EW119" s="252"/>
      <c r="EX119" s="252"/>
      <c r="EY119" s="252"/>
      <c r="FA119" s="250"/>
      <c r="FB119" s="250"/>
      <c r="FC119" s="250"/>
      <c r="FD119" s="250"/>
      <c r="FE119" s="250"/>
      <c r="FF119" s="250"/>
      <c r="FG119" s="250"/>
      <c r="FH119" s="424"/>
      <c r="FI119" s="250"/>
      <c r="FJ119" s="250"/>
      <c r="FK119" s="250"/>
      <c r="FL119" s="256"/>
      <c r="FM119" s="250"/>
      <c r="FN119" s="256"/>
      <c r="FO119" s="250"/>
      <c r="FP119" s="256"/>
      <c r="FQ119" s="250"/>
      <c r="FR119" s="256"/>
      <c r="FS119" s="250"/>
      <c r="FT119" s="256"/>
      <c r="FU119" s="256"/>
      <c r="FV119" s="256"/>
      <c r="FW119" s="250"/>
      <c r="FX119" s="424"/>
      <c r="FY119" s="251"/>
      <c r="GC119" s="252"/>
      <c r="GF119" s="252"/>
      <c r="GG119" s="252"/>
      <c r="GH119" s="252"/>
      <c r="GI119" s="252"/>
      <c r="GJ119" s="252"/>
      <c r="GK119" s="251"/>
      <c r="GL119" s="250"/>
      <c r="GM119" s="250"/>
      <c r="GN119" s="250"/>
      <c r="GO119" s="250"/>
      <c r="GP119" s="250"/>
      <c r="GQ119" s="250"/>
      <c r="GR119" s="250"/>
      <c r="GS119" s="250"/>
      <c r="GT119" s="250"/>
      <c r="GU119" s="251"/>
      <c r="GV119" s="250"/>
      <c r="GW119" s="250"/>
      <c r="GX119" s="250"/>
      <c r="GY119" s="250"/>
      <c r="GZ119" s="250"/>
      <c r="HA119" s="250"/>
      <c r="HB119" s="250"/>
      <c r="HC119" s="250"/>
      <c r="HD119" s="250"/>
      <c r="HE119" s="250"/>
      <c r="HF119" s="250"/>
      <c r="HG119" s="250"/>
      <c r="HH119" s="251"/>
      <c r="HI119" s="424"/>
      <c r="HJ119" s="255"/>
      <c r="HK119" s="255"/>
      <c r="HL119" s="250"/>
      <c r="HM119" s="255"/>
      <c r="HN119" s="255"/>
      <c r="HO119" s="255"/>
      <c r="HP119" s="250"/>
      <c r="HQ119" s="250"/>
      <c r="HR119" s="250"/>
      <c r="HS119" s="250"/>
      <c r="HT119" s="250"/>
      <c r="HU119" s="251"/>
      <c r="HX119" s="252"/>
      <c r="HY119" s="252"/>
      <c r="HZ119" s="252"/>
      <c r="ID119" s="252"/>
      <c r="IE119" s="252"/>
      <c r="IF119" s="252"/>
      <c r="IJ119" s="252"/>
      <c r="IK119" s="252"/>
      <c r="IL119" s="252"/>
      <c r="IP119" s="252"/>
      <c r="IQ119" s="252"/>
      <c r="IR119" s="252"/>
      <c r="IY119" s="66"/>
      <c r="IZ119" s="66"/>
      <c r="JA119" s="66"/>
      <c r="JB119" s="250"/>
      <c r="JC119" s="66"/>
      <c r="JD119" s="66"/>
      <c r="JE119" s="66"/>
      <c r="JF119" s="66"/>
      <c r="JG119" s="66"/>
      <c r="JH119" s="66"/>
      <c r="JI119" s="66"/>
      <c r="JJ119" s="66"/>
      <c r="JK119" s="8"/>
      <c r="JN119" s="252"/>
      <c r="JO119" s="252"/>
      <c r="JP119" s="252"/>
      <c r="JT119" s="252"/>
      <c r="JU119" s="252"/>
      <c r="JV119" s="252"/>
      <c r="JZ119" s="252"/>
      <c r="KA119" s="252"/>
      <c r="KB119" s="252"/>
      <c r="KF119" s="252"/>
      <c r="KG119" s="252"/>
      <c r="KH119" s="252"/>
      <c r="KO119" s="66"/>
      <c r="KP119" s="66"/>
      <c r="KQ119" s="66"/>
      <c r="KR119" s="66"/>
      <c r="KS119" s="66"/>
      <c r="KT119" s="66"/>
      <c r="KU119" s="66"/>
      <c r="KV119" s="66"/>
      <c r="KW119" s="66"/>
      <c r="KX119" s="66"/>
      <c r="KY119" s="66"/>
      <c r="KZ119" s="66"/>
      <c r="LA119" s="8"/>
      <c r="LD119" s="252"/>
      <c r="LE119" s="252"/>
      <c r="LF119" s="252"/>
      <c r="LJ119" s="252"/>
      <c r="LK119" s="252"/>
      <c r="LN119" s="252"/>
      <c r="LO119" s="252"/>
      <c r="LP119" s="252"/>
      <c r="LT119" s="271"/>
      <c r="LU119" s="250"/>
      <c r="LV119" s="250"/>
      <c r="LW119" s="250"/>
      <c r="LX119" s="250"/>
      <c r="LY119" s="250"/>
      <c r="LZ119" s="250"/>
      <c r="MA119" s="250"/>
      <c r="MB119" s="250"/>
      <c r="MC119" s="250"/>
      <c r="MD119" s="250"/>
      <c r="ME119" s="250"/>
      <c r="MF119" s="250"/>
      <c r="MG119" s="250"/>
      <c r="MH119" s="250"/>
      <c r="MI119" s="250"/>
      <c r="MJ119" s="250"/>
      <c r="MK119" s="424"/>
      <c r="ML119" s="640"/>
      <c r="MM119" s="251"/>
      <c r="MN119" s="252"/>
      <c r="MO119" s="252"/>
      <c r="MP119" s="252"/>
      <c r="MQ119" s="252"/>
      <c r="MR119" s="252"/>
      <c r="MS119" s="252"/>
      <c r="MT119" s="252"/>
      <c r="MU119" s="252"/>
      <c r="MV119" s="252"/>
      <c r="MW119" s="252"/>
      <c r="MX119" s="252"/>
      <c r="MY119" s="252"/>
      <c r="MZ119" s="252"/>
      <c r="NA119" s="252"/>
      <c r="NB119" s="252"/>
      <c r="NC119" s="251"/>
      <c r="ND119" s="250"/>
      <c r="NE119" s="250"/>
      <c r="NF119" s="250"/>
      <c r="NG119" s="250"/>
      <c r="NH119" s="250"/>
      <c r="NI119" s="250"/>
      <c r="NJ119" s="250"/>
      <c r="NK119" s="250"/>
      <c r="NL119" s="250"/>
      <c r="NM119" s="250"/>
      <c r="NN119" s="250"/>
      <c r="NO119" s="250"/>
      <c r="NP119" s="250"/>
      <c r="NQ119" s="250"/>
      <c r="NR119" s="250"/>
      <c r="NS119" s="250"/>
      <c r="NT119" s="250"/>
      <c r="NU119" s="250"/>
      <c r="NV119" s="250"/>
      <c r="NW119" s="251"/>
      <c r="OT119" s="8"/>
      <c r="QG119" s="8"/>
      <c r="RT119" s="8"/>
    </row>
    <row r="120" spans="1:488" s="282" customFormat="1" x14ac:dyDescent="0.25">
      <c r="A120" s="66"/>
      <c r="B120" s="8"/>
      <c r="C120" s="66"/>
      <c r="D120" s="66"/>
      <c r="E120" s="66"/>
      <c r="F120" s="66"/>
      <c r="G120" s="66"/>
      <c r="H120" s="66"/>
      <c r="I120" s="66"/>
      <c r="J120" s="66"/>
      <c r="K120" s="66"/>
      <c r="L120" s="66"/>
      <c r="M120" s="66"/>
      <c r="N120" s="66"/>
      <c r="O120" s="66"/>
      <c r="P120" s="66"/>
      <c r="Q120" s="66"/>
      <c r="R120" s="66"/>
      <c r="S120" s="66"/>
      <c r="T120" s="68"/>
      <c r="AC120" s="66"/>
      <c r="AD120" s="66"/>
      <c r="AE120" s="68"/>
      <c r="AN120" s="66"/>
      <c r="AO120" s="66"/>
      <c r="AP120" s="68"/>
      <c r="AW120" s="66"/>
      <c r="AX120" s="68"/>
      <c r="BD120" s="66"/>
      <c r="BE120" s="68"/>
      <c r="BF120" s="66"/>
      <c r="BG120" s="66"/>
      <c r="BH120" s="66"/>
      <c r="BI120" s="66"/>
      <c r="BJ120" s="66"/>
      <c r="BK120" s="66"/>
      <c r="BL120" s="68"/>
      <c r="BO120" s="66"/>
      <c r="BP120" s="68"/>
      <c r="BV120" s="66"/>
      <c r="BW120" s="68"/>
      <c r="CB120" s="8"/>
      <c r="CH120" s="8"/>
      <c r="CK120" s="299"/>
      <c r="CL120" s="299"/>
      <c r="CM120" s="66"/>
      <c r="CN120" s="66"/>
      <c r="CO120" s="68"/>
      <c r="CR120" s="8"/>
      <c r="CX120" s="66"/>
      <c r="CY120" s="532"/>
      <c r="DE120" s="66"/>
      <c r="DF120" s="66"/>
      <c r="DG120" s="68"/>
      <c r="DH120" s="68"/>
      <c r="DK120" s="66"/>
      <c r="DL120" s="66"/>
      <c r="DM120" s="66"/>
      <c r="DN120" s="66"/>
      <c r="DO120" s="66"/>
      <c r="DP120" s="66"/>
      <c r="DQ120" s="66"/>
      <c r="DR120" s="66"/>
      <c r="DS120" s="66"/>
      <c r="DT120" s="68"/>
      <c r="DU120" s="66"/>
      <c r="DV120" s="296"/>
      <c r="DW120" s="330"/>
      <c r="DX120" s="631"/>
      <c r="DY120" s="631"/>
      <c r="DZ120" s="631"/>
      <c r="EA120" s="330"/>
      <c r="EC120" s="66"/>
      <c r="ED120" s="68"/>
      <c r="EH120" s="66"/>
      <c r="EI120" s="66"/>
      <c r="EJ120" s="68"/>
      <c r="EK120" s="252"/>
      <c r="EL120" s="252"/>
      <c r="EM120" s="252"/>
      <c r="EO120" s="252"/>
      <c r="EP120" s="252"/>
      <c r="EQ120" s="252"/>
      <c r="ES120" s="252"/>
      <c r="ET120" s="252"/>
      <c r="EU120" s="252"/>
      <c r="EW120" s="252"/>
      <c r="EX120" s="252"/>
      <c r="EY120" s="252"/>
      <c r="FA120" s="250"/>
      <c r="FB120" s="250"/>
      <c r="FC120" s="250"/>
      <c r="FD120" s="250"/>
      <c r="FE120" s="250"/>
      <c r="FF120" s="250"/>
      <c r="FG120" s="250"/>
      <c r="FH120" s="424"/>
      <c r="FI120" s="250"/>
      <c r="FJ120" s="250"/>
      <c r="FK120" s="250"/>
      <c r="FL120" s="256"/>
      <c r="FM120" s="250"/>
      <c r="FN120" s="256"/>
      <c r="FO120" s="250"/>
      <c r="FP120" s="256"/>
      <c r="FQ120" s="250"/>
      <c r="FR120" s="256"/>
      <c r="FS120" s="250"/>
      <c r="FT120" s="256"/>
      <c r="FU120" s="256"/>
      <c r="FV120" s="256"/>
      <c r="FW120" s="250"/>
      <c r="FX120" s="424"/>
      <c r="FY120" s="251"/>
      <c r="GC120" s="252"/>
      <c r="GF120" s="252"/>
      <c r="GG120" s="252"/>
      <c r="GH120" s="252"/>
      <c r="GI120" s="252"/>
      <c r="GJ120" s="252"/>
      <c r="GK120" s="251"/>
      <c r="GL120" s="250"/>
      <c r="GM120" s="250"/>
      <c r="GN120" s="250"/>
      <c r="GO120" s="250"/>
      <c r="GP120" s="250"/>
      <c r="GQ120" s="250"/>
      <c r="GR120" s="250"/>
      <c r="GS120" s="250"/>
      <c r="GT120" s="250"/>
      <c r="GU120" s="251"/>
      <c r="GV120" s="250"/>
      <c r="GW120" s="250"/>
      <c r="GX120" s="250"/>
      <c r="GY120" s="250"/>
      <c r="GZ120" s="250"/>
      <c r="HA120" s="250"/>
      <c r="HB120" s="250"/>
      <c r="HC120" s="250"/>
      <c r="HD120" s="250"/>
      <c r="HE120" s="250"/>
      <c r="HF120" s="250"/>
      <c r="HG120" s="250"/>
      <c r="HH120" s="251"/>
      <c r="HI120" s="424"/>
      <c r="HJ120" s="255"/>
      <c r="HK120" s="255"/>
      <c r="HL120" s="250"/>
      <c r="HM120" s="255"/>
      <c r="HN120" s="255"/>
      <c r="HO120" s="255"/>
      <c r="HP120" s="250"/>
      <c r="HQ120" s="250"/>
      <c r="HR120" s="250"/>
      <c r="HS120" s="250"/>
      <c r="HT120" s="250"/>
      <c r="HU120" s="251"/>
      <c r="HX120" s="252"/>
      <c r="HY120" s="252"/>
      <c r="HZ120" s="252"/>
      <c r="ID120" s="252"/>
      <c r="IE120" s="252"/>
      <c r="IF120" s="252"/>
      <c r="IJ120" s="252"/>
      <c r="IK120" s="252"/>
      <c r="IL120" s="252"/>
      <c r="IP120" s="252"/>
      <c r="IQ120" s="252"/>
      <c r="IR120" s="252"/>
      <c r="IY120" s="66"/>
      <c r="IZ120" s="66"/>
      <c r="JA120" s="66"/>
      <c r="JB120" s="250"/>
      <c r="JC120" s="66"/>
      <c r="JD120" s="66"/>
      <c r="JE120" s="66"/>
      <c r="JF120" s="66"/>
      <c r="JG120" s="66"/>
      <c r="JH120" s="66"/>
      <c r="JI120" s="66"/>
      <c r="JJ120" s="66"/>
      <c r="JK120" s="8"/>
      <c r="JN120" s="252"/>
      <c r="JO120" s="252"/>
      <c r="JP120" s="252"/>
      <c r="JT120" s="252"/>
      <c r="JU120" s="252"/>
      <c r="JV120" s="252"/>
      <c r="JZ120" s="252"/>
      <c r="KA120" s="252"/>
      <c r="KB120" s="252"/>
      <c r="KF120" s="252"/>
      <c r="KG120" s="252"/>
      <c r="KH120" s="252"/>
      <c r="KO120" s="66"/>
      <c r="KP120" s="66"/>
      <c r="KQ120" s="66"/>
      <c r="KR120" s="66"/>
      <c r="KS120" s="66"/>
      <c r="KT120" s="66"/>
      <c r="KU120" s="66"/>
      <c r="KV120" s="66"/>
      <c r="KW120" s="66"/>
      <c r="KX120" s="66"/>
      <c r="KY120" s="66"/>
      <c r="KZ120" s="66"/>
      <c r="LA120" s="8"/>
      <c r="LD120" s="252"/>
      <c r="LE120" s="252"/>
      <c r="LF120" s="252"/>
      <c r="LJ120" s="252"/>
      <c r="LK120" s="252"/>
      <c r="LN120" s="252"/>
      <c r="LO120" s="252"/>
      <c r="LP120" s="252"/>
      <c r="LT120" s="271"/>
      <c r="LU120" s="250"/>
      <c r="LV120" s="250"/>
      <c r="LW120" s="250"/>
      <c r="LX120" s="250"/>
      <c r="LY120" s="250"/>
      <c r="LZ120" s="250"/>
      <c r="MA120" s="250"/>
      <c r="MB120" s="250"/>
      <c r="MC120" s="250"/>
      <c r="MD120" s="250"/>
      <c r="ME120" s="250"/>
      <c r="MF120" s="250"/>
      <c r="MG120" s="250"/>
      <c r="MH120" s="250"/>
      <c r="MI120" s="250"/>
      <c r="MJ120" s="250"/>
      <c r="MK120" s="424"/>
      <c r="ML120" s="640"/>
      <c r="MM120" s="251"/>
      <c r="MN120" s="252"/>
      <c r="MO120" s="252"/>
      <c r="MP120" s="252"/>
      <c r="MQ120" s="252"/>
      <c r="MR120" s="252"/>
      <c r="MS120" s="252"/>
      <c r="MT120" s="252"/>
      <c r="MU120" s="252"/>
      <c r="MV120" s="252"/>
      <c r="MW120" s="252"/>
      <c r="MX120" s="252"/>
      <c r="MY120" s="252"/>
      <c r="MZ120" s="252"/>
      <c r="NA120" s="252"/>
      <c r="NB120" s="252"/>
      <c r="NC120" s="251"/>
      <c r="ND120" s="250"/>
      <c r="NE120" s="250"/>
      <c r="NF120" s="250"/>
      <c r="NG120" s="250"/>
      <c r="NH120" s="250"/>
      <c r="NI120" s="250"/>
      <c r="NJ120" s="250"/>
      <c r="NK120" s="250"/>
      <c r="NL120" s="250"/>
      <c r="NM120" s="250"/>
      <c r="NN120" s="250"/>
      <c r="NO120" s="250"/>
      <c r="NP120" s="250"/>
      <c r="NQ120" s="250"/>
      <c r="NR120" s="250"/>
      <c r="NS120" s="250"/>
      <c r="NT120" s="250"/>
      <c r="NU120" s="250"/>
      <c r="NV120" s="250"/>
      <c r="NW120" s="251"/>
      <c r="OT120" s="8"/>
      <c r="QG120" s="8"/>
      <c r="RT120" s="8"/>
    </row>
    <row r="121" spans="1:488" s="282" customFormat="1" x14ac:dyDescent="0.25">
      <c r="A121" s="66"/>
      <c r="B121" s="8"/>
      <c r="C121" s="66"/>
      <c r="D121" s="66"/>
      <c r="E121" s="66"/>
      <c r="F121" s="66"/>
      <c r="G121" s="66"/>
      <c r="H121" s="66"/>
      <c r="I121" s="66"/>
      <c r="J121" s="66"/>
      <c r="K121" s="66"/>
      <c r="L121" s="66"/>
      <c r="M121" s="66"/>
      <c r="N121" s="66"/>
      <c r="O121" s="66"/>
      <c r="P121" s="66"/>
      <c r="Q121" s="66"/>
      <c r="R121" s="66"/>
      <c r="S121" s="66"/>
      <c r="T121" s="68"/>
      <c r="AC121" s="66"/>
      <c r="AD121" s="66"/>
      <c r="AE121" s="68"/>
      <c r="AN121" s="66"/>
      <c r="AO121" s="66"/>
      <c r="AP121" s="68"/>
      <c r="AW121" s="66"/>
      <c r="AX121" s="68"/>
      <c r="BD121" s="66"/>
      <c r="BE121" s="68"/>
      <c r="BF121" s="66"/>
      <c r="BG121" s="66"/>
      <c r="BH121" s="66"/>
      <c r="BI121" s="66"/>
      <c r="BJ121" s="66"/>
      <c r="BK121" s="66"/>
      <c r="BL121" s="68"/>
      <c r="BO121" s="66"/>
      <c r="BP121" s="68"/>
      <c r="BV121" s="66"/>
      <c r="BW121" s="68"/>
      <c r="CB121" s="8"/>
      <c r="CH121" s="8"/>
      <c r="CK121" s="299"/>
      <c r="CL121" s="299"/>
      <c r="CM121" s="66"/>
      <c r="CN121" s="66"/>
      <c r="CO121" s="68"/>
      <c r="CR121" s="8"/>
      <c r="CX121" s="66"/>
      <c r="CY121" s="532"/>
      <c r="DE121" s="66"/>
      <c r="DF121" s="66"/>
      <c r="DG121" s="68"/>
      <c r="DH121" s="68"/>
      <c r="DK121" s="66"/>
      <c r="DL121" s="66"/>
      <c r="DM121" s="66"/>
      <c r="DN121" s="66"/>
      <c r="DO121" s="66"/>
      <c r="DP121" s="66"/>
      <c r="DQ121" s="66"/>
      <c r="DR121" s="66"/>
      <c r="DS121" s="66"/>
      <c r="DT121" s="68"/>
      <c r="DU121" s="66"/>
      <c r="DV121" s="296"/>
      <c r="DW121" s="330"/>
      <c r="DX121" s="631"/>
      <c r="DY121" s="631"/>
      <c r="DZ121" s="631"/>
      <c r="EA121" s="330"/>
      <c r="EC121" s="66"/>
      <c r="ED121" s="68"/>
      <c r="EH121" s="66"/>
      <c r="EI121" s="66"/>
      <c r="EJ121" s="68"/>
      <c r="EK121" s="252"/>
      <c r="EL121" s="252"/>
      <c r="EM121" s="252"/>
      <c r="EO121" s="252"/>
      <c r="EP121" s="252"/>
      <c r="EQ121" s="252"/>
      <c r="ES121" s="252"/>
      <c r="ET121" s="252"/>
      <c r="EU121" s="252"/>
      <c r="EW121" s="252"/>
      <c r="EX121" s="252"/>
      <c r="EY121" s="252"/>
      <c r="FA121" s="250"/>
      <c r="FB121" s="250"/>
      <c r="FC121" s="250"/>
      <c r="FD121" s="250"/>
      <c r="FE121" s="250"/>
      <c r="FF121" s="250"/>
      <c r="FG121" s="250"/>
      <c r="FH121" s="424"/>
      <c r="FI121" s="250"/>
      <c r="FJ121" s="250"/>
      <c r="FK121" s="250"/>
      <c r="FL121" s="256"/>
      <c r="FM121" s="250"/>
      <c r="FN121" s="256"/>
      <c r="FO121" s="250"/>
      <c r="FP121" s="256"/>
      <c r="FQ121" s="250"/>
      <c r="FR121" s="256"/>
      <c r="FS121" s="250"/>
      <c r="FT121" s="256"/>
      <c r="FU121" s="256"/>
      <c r="FV121" s="256"/>
      <c r="FW121" s="250"/>
      <c r="FX121" s="424"/>
      <c r="FY121" s="251"/>
      <c r="GC121" s="252"/>
      <c r="GF121" s="252"/>
      <c r="GG121" s="252"/>
      <c r="GH121" s="252"/>
      <c r="GI121" s="252"/>
      <c r="GJ121" s="252"/>
      <c r="GK121" s="251"/>
      <c r="GL121" s="250"/>
      <c r="GM121" s="250"/>
      <c r="GN121" s="250"/>
      <c r="GO121" s="250"/>
      <c r="GP121" s="250"/>
      <c r="GQ121" s="250"/>
      <c r="GR121" s="250"/>
      <c r="GS121" s="250"/>
      <c r="GT121" s="250"/>
      <c r="GU121" s="251"/>
      <c r="GV121" s="250"/>
      <c r="GW121" s="250"/>
      <c r="GX121" s="250"/>
      <c r="GY121" s="250"/>
      <c r="GZ121" s="250"/>
      <c r="HA121" s="250"/>
      <c r="HB121" s="250"/>
      <c r="HC121" s="250"/>
      <c r="HD121" s="250"/>
      <c r="HE121" s="250"/>
      <c r="HF121" s="250"/>
      <c r="HG121" s="250"/>
      <c r="HH121" s="251"/>
      <c r="HI121" s="424"/>
      <c r="HJ121" s="255"/>
      <c r="HK121" s="255"/>
      <c r="HL121" s="250"/>
      <c r="HM121" s="255"/>
      <c r="HN121" s="255"/>
      <c r="HO121" s="255"/>
      <c r="HP121" s="250"/>
      <c r="HQ121" s="250"/>
      <c r="HR121" s="250"/>
      <c r="HS121" s="250"/>
      <c r="HT121" s="250"/>
      <c r="HU121" s="251"/>
      <c r="HX121" s="252"/>
      <c r="HY121" s="252"/>
      <c r="HZ121" s="252"/>
      <c r="ID121" s="252"/>
      <c r="IE121" s="252"/>
      <c r="IF121" s="252"/>
      <c r="IJ121" s="252"/>
      <c r="IK121" s="252"/>
      <c r="IL121" s="252"/>
      <c r="IP121" s="252"/>
      <c r="IQ121" s="252"/>
      <c r="IR121" s="252"/>
      <c r="IY121" s="66"/>
      <c r="IZ121" s="66"/>
      <c r="JA121" s="66"/>
      <c r="JB121" s="250"/>
      <c r="JC121" s="66"/>
      <c r="JD121" s="66"/>
      <c r="JE121" s="66"/>
      <c r="JF121" s="66"/>
      <c r="JG121" s="66"/>
      <c r="JH121" s="66"/>
      <c r="JI121" s="66"/>
      <c r="JJ121" s="66"/>
      <c r="JK121" s="8"/>
      <c r="JN121" s="252"/>
      <c r="JO121" s="252"/>
      <c r="JP121" s="252"/>
      <c r="JT121" s="252"/>
      <c r="JU121" s="252"/>
      <c r="JV121" s="252"/>
      <c r="JZ121" s="252"/>
      <c r="KA121" s="252"/>
      <c r="KB121" s="252"/>
      <c r="KF121" s="252"/>
      <c r="KG121" s="252"/>
      <c r="KH121" s="252"/>
      <c r="KO121" s="66"/>
      <c r="KP121" s="66"/>
      <c r="KQ121" s="66"/>
      <c r="KR121" s="66"/>
      <c r="KS121" s="66"/>
      <c r="KT121" s="66"/>
      <c r="KU121" s="66"/>
      <c r="KV121" s="66"/>
      <c r="KW121" s="66"/>
      <c r="KX121" s="66"/>
      <c r="KY121" s="66"/>
      <c r="KZ121" s="66"/>
      <c r="LA121" s="8"/>
      <c r="LD121" s="252"/>
      <c r="LE121" s="252"/>
      <c r="LF121" s="252"/>
      <c r="LJ121" s="252"/>
      <c r="LK121" s="252"/>
      <c r="LN121" s="252"/>
      <c r="LO121" s="252"/>
      <c r="LP121" s="252"/>
      <c r="LT121" s="271"/>
      <c r="LU121" s="250"/>
      <c r="LV121" s="250"/>
      <c r="LW121" s="250"/>
      <c r="LX121" s="250"/>
      <c r="LY121" s="250"/>
      <c r="LZ121" s="250"/>
      <c r="MA121" s="250"/>
      <c r="MB121" s="250"/>
      <c r="MC121" s="250"/>
      <c r="MD121" s="250"/>
      <c r="ME121" s="250"/>
      <c r="MF121" s="250"/>
      <c r="MG121" s="250"/>
      <c r="MH121" s="250"/>
      <c r="MI121" s="250"/>
      <c r="MJ121" s="250"/>
      <c r="MK121" s="424"/>
      <c r="ML121" s="640"/>
      <c r="MM121" s="251"/>
      <c r="MN121" s="252"/>
      <c r="MO121" s="252"/>
      <c r="MP121" s="252"/>
      <c r="MQ121" s="252"/>
      <c r="MR121" s="252"/>
      <c r="MS121" s="252"/>
      <c r="MT121" s="252"/>
      <c r="MU121" s="252"/>
      <c r="MV121" s="252"/>
      <c r="MW121" s="252"/>
      <c r="MX121" s="252"/>
      <c r="MY121" s="252"/>
      <c r="MZ121" s="252"/>
      <c r="NA121" s="252"/>
      <c r="NB121" s="252"/>
      <c r="NC121" s="251"/>
      <c r="ND121" s="250"/>
      <c r="NE121" s="250"/>
      <c r="NF121" s="250"/>
      <c r="NG121" s="250"/>
      <c r="NH121" s="250"/>
      <c r="NI121" s="250"/>
      <c r="NJ121" s="250"/>
      <c r="NK121" s="250"/>
      <c r="NL121" s="250"/>
      <c r="NM121" s="250"/>
      <c r="NN121" s="250"/>
      <c r="NO121" s="250"/>
      <c r="NP121" s="250"/>
      <c r="NQ121" s="250"/>
      <c r="NR121" s="250"/>
      <c r="NS121" s="250"/>
      <c r="NT121" s="250"/>
      <c r="NU121" s="250"/>
      <c r="NV121" s="250"/>
      <c r="NW121" s="251"/>
      <c r="OT121" s="8"/>
      <c r="QG121" s="8"/>
      <c r="RT121" s="8"/>
    </row>
    <row r="122" spans="1:488" s="282" customFormat="1" x14ac:dyDescent="0.25">
      <c r="A122" s="66"/>
      <c r="B122" s="8"/>
      <c r="C122" s="66"/>
      <c r="D122" s="66"/>
      <c r="E122" s="66"/>
      <c r="F122" s="66"/>
      <c r="G122" s="66"/>
      <c r="H122" s="66"/>
      <c r="I122" s="66"/>
      <c r="J122" s="66"/>
      <c r="K122" s="66"/>
      <c r="L122" s="66"/>
      <c r="M122" s="66"/>
      <c r="N122" s="66"/>
      <c r="O122" s="66"/>
      <c r="P122" s="66"/>
      <c r="Q122" s="66"/>
      <c r="R122" s="66"/>
      <c r="S122" s="66"/>
      <c r="T122" s="68"/>
      <c r="AC122" s="66"/>
      <c r="AD122" s="66"/>
      <c r="AE122" s="68"/>
      <c r="AN122" s="66"/>
      <c r="AO122" s="66"/>
      <c r="AP122" s="68"/>
      <c r="AW122" s="66"/>
      <c r="AX122" s="68"/>
      <c r="BD122" s="66"/>
      <c r="BE122" s="68"/>
      <c r="BF122" s="66"/>
      <c r="BG122" s="66"/>
      <c r="BH122" s="66"/>
      <c r="BI122" s="66"/>
      <c r="BJ122" s="66"/>
      <c r="BK122" s="66"/>
      <c r="BL122" s="68"/>
      <c r="BO122" s="66"/>
      <c r="BP122" s="68"/>
      <c r="BV122" s="66"/>
      <c r="BW122" s="68"/>
      <c r="CB122" s="8"/>
      <c r="CH122" s="8"/>
      <c r="CK122" s="299"/>
      <c r="CL122" s="299"/>
      <c r="CM122" s="66"/>
      <c r="CN122" s="66"/>
      <c r="CO122" s="68"/>
      <c r="CR122" s="8"/>
      <c r="CX122" s="66"/>
      <c r="CY122" s="532"/>
      <c r="DE122" s="66"/>
      <c r="DF122" s="66"/>
      <c r="DG122" s="68"/>
      <c r="DH122" s="68"/>
      <c r="DK122" s="66"/>
      <c r="DL122" s="66"/>
      <c r="DM122" s="66"/>
      <c r="DN122" s="66"/>
      <c r="DO122" s="66"/>
      <c r="DP122" s="66"/>
      <c r="DQ122" s="66"/>
      <c r="DR122" s="66"/>
      <c r="DS122" s="66"/>
      <c r="DT122" s="68"/>
      <c r="DU122" s="66"/>
      <c r="DV122" s="296"/>
      <c r="DW122" s="330"/>
      <c r="DX122" s="631"/>
      <c r="DY122" s="631"/>
      <c r="DZ122" s="631"/>
      <c r="EA122" s="330"/>
      <c r="EC122" s="66"/>
      <c r="ED122" s="68"/>
      <c r="EH122" s="66"/>
      <c r="EI122" s="66"/>
      <c r="EJ122" s="68"/>
      <c r="EK122" s="252"/>
      <c r="EL122" s="252"/>
      <c r="EM122" s="252"/>
      <c r="EO122" s="252"/>
      <c r="EP122" s="252"/>
      <c r="EQ122" s="252"/>
      <c r="ES122" s="252"/>
      <c r="ET122" s="252"/>
      <c r="EU122" s="252"/>
      <c r="EW122" s="252"/>
      <c r="EX122" s="252"/>
      <c r="EY122" s="252"/>
      <c r="FA122" s="250"/>
      <c r="FB122" s="250"/>
      <c r="FC122" s="250"/>
      <c r="FD122" s="250"/>
      <c r="FE122" s="250"/>
      <c r="FF122" s="250"/>
      <c r="FG122" s="250"/>
      <c r="FH122" s="424"/>
      <c r="FI122" s="250"/>
      <c r="FJ122" s="250"/>
      <c r="FK122" s="250"/>
      <c r="FL122" s="256"/>
      <c r="FM122" s="250"/>
      <c r="FN122" s="256"/>
      <c r="FO122" s="250"/>
      <c r="FP122" s="256"/>
      <c r="FQ122" s="250"/>
      <c r="FR122" s="256"/>
      <c r="FS122" s="250"/>
      <c r="FT122" s="256"/>
      <c r="FU122" s="256"/>
      <c r="FV122" s="256"/>
      <c r="FW122" s="250"/>
      <c r="FX122" s="424"/>
      <c r="FY122" s="251"/>
      <c r="GC122" s="252"/>
      <c r="GF122" s="252"/>
      <c r="GG122" s="252"/>
      <c r="GH122" s="252"/>
      <c r="GI122" s="252"/>
      <c r="GJ122" s="252"/>
      <c r="GK122" s="251"/>
      <c r="GL122" s="250"/>
      <c r="GM122" s="250"/>
      <c r="GN122" s="250"/>
      <c r="GO122" s="250"/>
      <c r="GP122" s="250"/>
      <c r="GQ122" s="250"/>
      <c r="GR122" s="250"/>
      <c r="GS122" s="250"/>
      <c r="GT122" s="250"/>
      <c r="GU122" s="251"/>
      <c r="GV122" s="250"/>
      <c r="GW122" s="250"/>
      <c r="GX122" s="250"/>
      <c r="GY122" s="250"/>
      <c r="GZ122" s="250"/>
      <c r="HA122" s="250"/>
      <c r="HB122" s="250"/>
      <c r="HC122" s="250"/>
      <c r="HD122" s="250"/>
      <c r="HE122" s="250"/>
      <c r="HF122" s="250"/>
      <c r="HG122" s="250"/>
      <c r="HH122" s="251"/>
      <c r="HI122" s="424"/>
      <c r="HJ122" s="255"/>
      <c r="HK122" s="255"/>
      <c r="HL122" s="250"/>
      <c r="HM122" s="255"/>
      <c r="HN122" s="255"/>
      <c r="HO122" s="255"/>
      <c r="HP122" s="250"/>
      <c r="HQ122" s="250"/>
      <c r="HR122" s="250"/>
      <c r="HS122" s="250"/>
      <c r="HT122" s="250"/>
      <c r="HU122" s="251"/>
      <c r="HX122" s="252"/>
      <c r="HY122" s="252"/>
      <c r="HZ122" s="252"/>
      <c r="ID122" s="252"/>
      <c r="IE122" s="252"/>
      <c r="IF122" s="252"/>
      <c r="IJ122" s="252"/>
      <c r="IK122" s="252"/>
      <c r="IL122" s="252"/>
      <c r="IP122" s="252"/>
      <c r="IQ122" s="252"/>
      <c r="IR122" s="252"/>
      <c r="IY122" s="66"/>
      <c r="IZ122" s="66"/>
      <c r="JA122" s="66"/>
      <c r="JB122" s="250"/>
      <c r="JC122" s="66"/>
      <c r="JD122" s="66"/>
      <c r="JE122" s="66"/>
      <c r="JF122" s="66"/>
      <c r="JG122" s="66"/>
      <c r="JH122" s="66"/>
      <c r="JI122" s="66"/>
      <c r="JJ122" s="66"/>
      <c r="JK122" s="8"/>
      <c r="JN122" s="252"/>
      <c r="JO122" s="252"/>
      <c r="JP122" s="252"/>
      <c r="JT122" s="252"/>
      <c r="JU122" s="252"/>
      <c r="JV122" s="252"/>
      <c r="JZ122" s="252"/>
      <c r="KA122" s="252"/>
      <c r="KB122" s="252"/>
      <c r="KF122" s="252"/>
      <c r="KG122" s="252"/>
      <c r="KH122" s="252"/>
      <c r="KO122" s="66"/>
      <c r="KP122" s="66"/>
      <c r="KQ122" s="66"/>
      <c r="KR122" s="66"/>
      <c r="KS122" s="66"/>
      <c r="KT122" s="66"/>
      <c r="KU122" s="66"/>
      <c r="KV122" s="66"/>
      <c r="KW122" s="66"/>
      <c r="KX122" s="66"/>
      <c r="KY122" s="66"/>
      <c r="KZ122" s="66"/>
      <c r="LA122" s="8"/>
      <c r="LD122" s="252"/>
      <c r="LE122" s="252"/>
      <c r="LF122" s="252"/>
      <c r="LJ122" s="252"/>
      <c r="LK122" s="252"/>
      <c r="LN122" s="252"/>
      <c r="LO122" s="252"/>
      <c r="LP122" s="252"/>
      <c r="LT122" s="271"/>
      <c r="LU122" s="250"/>
      <c r="LV122" s="250"/>
      <c r="LW122" s="250"/>
      <c r="LX122" s="250"/>
      <c r="LY122" s="250"/>
      <c r="LZ122" s="250"/>
      <c r="MA122" s="250"/>
      <c r="MB122" s="250"/>
      <c r="MC122" s="250"/>
      <c r="MD122" s="250"/>
      <c r="ME122" s="250"/>
      <c r="MF122" s="250"/>
      <c r="MG122" s="250"/>
      <c r="MH122" s="250"/>
      <c r="MI122" s="250"/>
      <c r="MJ122" s="250"/>
      <c r="MK122" s="424"/>
      <c r="ML122" s="640"/>
      <c r="MM122" s="251"/>
      <c r="MN122" s="252"/>
      <c r="MO122" s="252"/>
      <c r="MP122" s="252"/>
      <c r="MQ122" s="252"/>
      <c r="MR122" s="252"/>
      <c r="MS122" s="252"/>
      <c r="MT122" s="252"/>
      <c r="MU122" s="252"/>
      <c r="MV122" s="252"/>
      <c r="MW122" s="252"/>
      <c r="MX122" s="252"/>
      <c r="MY122" s="252"/>
      <c r="MZ122" s="252"/>
      <c r="NA122" s="252"/>
      <c r="NB122" s="252"/>
      <c r="NC122" s="251"/>
      <c r="ND122" s="250"/>
      <c r="NE122" s="250"/>
      <c r="NF122" s="250"/>
      <c r="NG122" s="250"/>
      <c r="NH122" s="250"/>
      <c r="NI122" s="250"/>
      <c r="NJ122" s="250"/>
      <c r="NK122" s="250"/>
      <c r="NL122" s="250"/>
      <c r="NM122" s="250"/>
      <c r="NN122" s="250"/>
      <c r="NO122" s="250"/>
      <c r="NP122" s="250"/>
      <c r="NQ122" s="250"/>
      <c r="NR122" s="250"/>
      <c r="NS122" s="250"/>
      <c r="NT122" s="250"/>
      <c r="NU122" s="250"/>
      <c r="NV122" s="250"/>
      <c r="NW122" s="251"/>
      <c r="OT122" s="8"/>
      <c r="QG122" s="8"/>
      <c r="RT122" s="8"/>
    </row>
    <row r="123" spans="1:488" s="282" customFormat="1" x14ac:dyDescent="0.25">
      <c r="A123" s="66"/>
      <c r="B123" s="8"/>
      <c r="C123" s="66"/>
      <c r="D123" s="66"/>
      <c r="E123" s="66"/>
      <c r="F123" s="66"/>
      <c r="G123" s="66"/>
      <c r="H123" s="66"/>
      <c r="I123" s="66"/>
      <c r="J123" s="66"/>
      <c r="K123" s="66"/>
      <c r="L123" s="66"/>
      <c r="M123" s="66"/>
      <c r="N123" s="66"/>
      <c r="O123" s="66"/>
      <c r="P123" s="66"/>
      <c r="Q123" s="66"/>
      <c r="R123" s="66"/>
      <c r="S123" s="66"/>
      <c r="T123" s="68"/>
      <c r="AC123" s="66"/>
      <c r="AD123" s="66"/>
      <c r="AE123" s="68"/>
      <c r="AN123" s="66"/>
      <c r="AO123" s="66"/>
      <c r="AP123" s="68"/>
      <c r="AW123" s="66"/>
      <c r="AX123" s="68"/>
      <c r="BD123" s="66"/>
      <c r="BE123" s="68"/>
      <c r="BF123" s="66"/>
      <c r="BG123" s="66"/>
      <c r="BH123" s="66"/>
      <c r="BI123" s="66"/>
      <c r="BJ123" s="66"/>
      <c r="BK123" s="66"/>
      <c r="BL123" s="68"/>
      <c r="BO123" s="66"/>
      <c r="BP123" s="68"/>
      <c r="BV123" s="66"/>
      <c r="BW123" s="68"/>
      <c r="CB123" s="8"/>
      <c r="CH123" s="8"/>
      <c r="CK123" s="299"/>
      <c r="CL123" s="299"/>
      <c r="CM123" s="66"/>
      <c r="CN123" s="66"/>
      <c r="CO123" s="68"/>
      <c r="CR123" s="8"/>
      <c r="CX123" s="66"/>
      <c r="CY123" s="532"/>
      <c r="DE123" s="66"/>
      <c r="DF123" s="66"/>
      <c r="DG123" s="68"/>
      <c r="DH123" s="68"/>
      <c r="DK123" s="66"/>
      <c r="DL123" s="66"/>
      <c r="DM123" s="66"/>
      <c r="DN123" s="66"/>
      <c r="DO123" s="66"/>
      <c r="DP123" s="66"/>
      <c r="DQ123" s="66"/>
      <c r="DR123" s="66"/>
      <c r="DS123" s="66"/>
      <c r="DT123" s="68"/>
      <c r="DU123" s="66"/>
      <c r="DV123" s="296"/>
      <c r="DW123" s="330"/>
      <c r="DX123" s="631"/>
      <c r="DY123" s="631"/>
      <c r="DZ123" s="631"/>
      <c r="EA123" s="330"/>
      <c r="EC123" s="66"/>
      <c r="ED123" s="68"/>
      <c r="EH123" s="66"/>
      <c r="EI123" s="66"/>
      <c r="EJ123" s="68"/>
      <c r="EK123" s="252"/>
      <c r="EL123" s="252"/>
      <c r="EM123" s="252"/>
      <c r="EO123" s="252"/>
      <c r="EP123" s="252"/>
      <c r="EQ123" s="252"/>
      <c r="ES123" s="252"/>
      <c r="ET123" s="252"/>
      <c r="EU123" s="252"/>
      <c r="EW123" s="252"/>
      <c r="EX123" s="252"/>
      <c r="EY123" s="252"/>
      <c r="FA123" s="250"/>
      <c r="FB123" s="250"/>
      <c r="FC123" s="250"/>
      <c r="FD123" s="250"/>
      <c r="FE123" s="250"/>
      <c r="FF123" s="250"/>
      <c r="FG123" s="250"/>
      <c r="FH123" s="424"/>
      <c r="FI123" s="250"/>
      <c r="FJ123" s="250"/>
      <c r="FK123" s="250"/>
      <c r="FL123" s="256"/>
      <c r="FM123" s="250"/>
      <c r="FN123" s="256"/>
      <c r="FO123" s="250"/>
      <c r="FP123" s="256"/>
      <c r="FQ123" s="250"/>
      <c r="FR123" s="256"/>
      <c r="FS123" s="250"/>
      <c r="FT123" s="256"/>
      <c r="FU123" s="256"/>
      <c r="FV123" s="256"/>
      <c r="FW123" s="250"/>
      <c r="FX123" s="424"/>
      <c r="FY123" s="251"/>
      <c r="GC123" s="252"/>
      <c r="GF123" s="252"/>
      <c r="GG123" s="252"/>
      <c r="GH123" s="252"/>
      <c r="GI123" s="252"/>
      <c r="GJ123" s="252"/>
      <c r="GK123" s="251"/>
      <c r="GL123" s="250"/>
      <c r="GM123" s="250"/>
      <c r="GN123" s="250"/>
      <c r="GO123" s="250"/>
      <c r="GP123" s="250"/>
      <c r="GQ123" s="250"/>
      <c r="GR123" s="250"/>
      <c r="GS123" s="250"/>
      <c r="GT123" s="250"/>
      <c r="GU123" s="251"/>
      <c r="GV123" s="250"/>
      <c r="GW123" s="250"/>
      <c r="GX123" s="250"/>
      <c r="GY123" s="250"/>
      <c r="GZ123" s="250"/>
      <c r="HA123" s="250"/>
      <c r="HB123" s="250"/>
      <c r="HC123" s="250"/>
      <c r="HD123" s="250"/>
      <c r="HE123" s="250"/>
      <c r="HF123" s="250"/>
      <c r="HG123" s="250"/>
      <c r="HH123" s="251"/>
      <c r="HI123" s="424"/>
      <c r="HJ123" s="255"/>
      <c r="HK123" s="255"/>
      <c r="HL123" s="250"/>
      <c r="HM123" s="255"/>
      <c r="HN123" s="255"/>
      <c r="HO123" s="255"/>
      <c r="HP123" s="250"/>
      <c r="HQ123" s="250"/>
      <c r="HR123" s="250"/>
      <c r="HS123" s="250"/>
      <c r="HT123" s="250"/>
      <c r="HU123" s="251"/>
      <c r="HX123" s="252"/>
      <c r="HY123" s="252"/>
      <c r="HZ123" s="252"/>
      <c r="ID123" s="252"/>
      <c r="IE123" s="252"/>
      <c r="IF123" s="252"/>
      <c r="IJ123" s="252"/>
      <c r="IK123" s="252"/>
      <c r="IL123" s="252"/>
      <c r="IP123" s="252"/>
      <c r="IQ123" s="252"/>
      <c r="IR123" s="252"/>
      <c r="IY123" s="66"/>
      <c r="IZ123" s="66"/>
      <c r="JA123" s="66"/>
      <c r="JB123" s="250"/>
      <c r="JC123" s="66"/>
      <c r="JD123" s="66"/>
      <c r="JE123" s="66"/>
      <c r="JF123" s="66"/>
      <c r="JG123" s="66"/>
      <c r="JH123" s="66"/>
      <c r="JI123" s="66"/>
      <c r="JJ123" s="66"/>
      <c r="JK123" s="8"/>
      <c r="JN123" s="252"/>
      <c r="JO123" s="252"/>
      <c r="JP123" s="252"/>
      <c r="JT123" s="252"/>
      <c r="JU123" s="252"/>
      <c r="JV123" s="252"/>
      <c r="JZ123" s="252"/>
      <c r="KA123" s="252"/>
      <c r="KB123" s="252"/>
      <c r="KF123" s="252"/>
      <c r="KG123" s="252"/>
      <c r="KH123" s="252"/>
      <c r="KO123" s="66"/>
      <c r="KP123" s="66"/>
      <c r="KQ123" s="66"/>
      <c r="KR123" s="66"/>
      <c r="KS123" s="66"/>
      <c r="KT123" s="66"/>
      <c r="KU123" s="66"/>
      <c r="KV123" s="66"/>
      <c r="KW123" s="66"/>
      <c r="KX123" s="66"/>
      <c r="KY123" s="66"/>
      <c r="KZ123" s="66"/>
      <c r="LA123" s="8"/>
      <c r="LD123" s="252"/>
      <c r="LE123" s="252"/>
      <c r="LF123" s="252"/>
      <c r="LJ123" s="252"/>
      <c r="LK123" s="252"/>
      <c r="LN123" s="252"/>
      <c r="LO123" s="252"/>
      <c r="LP123" s="252"/>
      <c r="LT123" s="271"/>
      <c r="LU123" s="250"/>
      <c r="LV123" s="250"/>
      <c r="LW123" s="250"/>
      <c r="LX123" s="250"/>
      <c r="LY123" s="250"/>
      <c r="LZ123" s="250"/>
      <c r="MA123" s="250"/>
      <c r="MB123" s="250"/>
      <c r="MC123" s="250"/>
      <c r="MD123" s="250"/>
      <c r="ME123" s="250"/>
      <c r="MF123" s="250"/>
      <c r="MG123" s="250"/>
      <c r="MH123" s="250"/>
      <c r="MI123" s="250"/>
      <c r="MJ123" s="250"/>
      <c r="MK123" s="424"/>
      <c r="ML123" s="640"/>
      <c r="MM123" s="251"/>
      <c r="MN123" s="252"/>
      <c r="MO123" s="252"/>
      <c r="MP123" s="252"/>
      <c r="MQ123" s="252"/>
      <c r="MR123" s="252"/>
      <c r="MS123" s="252"/>
      <c r="MT123" s="252"/>
      <c r="MU123" s="252"/>
      <c r="MV123" s="252"/>
      <c r="MW123" s="252"/>
      <c r="MX123" s="252"/>
      <c r="MY123" s="252"/>
      <c r="MZ123" s="252"/>
      <c r="NA123" s="252"/>
      <c r="NB123" s="252"/>
      <c r="NC123" s="251"/>
      <c r="ND123" s="250"/>
      <c r="NE123" s="250"/>
      <c r="NF123" s="250"/>
      <c r="NG123" s="250"/>
      <c r="NH123" s="250"/>
      <c r="NI123" s="250"/>
      <c r="NJ123" s="250"/>
      <c r="NK123" s="250"/>
      <c r="NL123" s="250"/>
      <c r="NM123" s="250"/>
      <c r="NN123" s="250"/>
      <c r="NO123" s="250"/>
      <c r="NP123" s="250"/>
      <c r="NQ123" s="250"/>
      <c r="NR123" s="250"/>
      <c r="NS123" s="250"/>
      <c r="NT123" s="250"/>
      <c r="NU123" s="250"/>
      <c r="NV123" s="250"/>
      <c r="NW123" s="251"/>
      <c r="OT123" s="8"/>
      <c r="QG123" s="8"/>
      <c r="RT123" s="8"/>
    </row>
    <row r="124" spans="1:488" s="282" customFormat="1" x14ac:dyDescent="0.25">
      <c r="A124" s="66"/>
      <c r="B124" s="8"/>
      <c r="C124" s="66"/>
      <c r="D124" s="66"/>
      <c r="E124" s="66"/>
      <c r="F124" s="66"/>
      <c r="G124" s="66"/>
      <c r="H124" s="66"/>
      <c r="I124" s="66"/>
      <c r="J124" s="66"/>
      <c r="K124" s="66"/>
      <c r="L124" s="66"/>
      <c r="M124" s="66"/>
      <c r="N124" s="66"/>
      <c r="O124" s="66"/>
      <c r="P124" s="66"/>
      <c r="Q124" s="66"/>
      <c r="R124" s="66"/>
      <c r="S124" s="66"/>
      <c r="T124" s="68"/>
      <c r="AC124" s="66"/>
      <c r="AD124" s="66"/>
      <c r="AE124" s="68"/>
      <c r="AN124" s="66"/>
      <c r="AO124" s="66"/>
      <c r="AP124" s="68"/>
      <c r="AW124" s="66"/>
      <c r="AX124" s="68"/>
      <c r="BD124" s="66"/>
      <c r="BE124" s="68"/>
      <c r="BF124" s="66"/>
      <c r="BG124" s="66"/>
      <c r="BH124" s="66"/>
      <c r="BI124" s="66"/>
      <c r="BJ124" s="66"/>
      <c r="BK124" s="66"/>
      <c r="BL124" s="68"/>
      <c r="BO124" s="66"/>
      <c r="BP124" s="68"/>
      <c r="BV124" s="66"/>
      <c r="BW124" s="68"/>
      <c r="CB124" s="8"/>
      <c r="CH124" s="8"/>
      <c r="CK124" s="299"/>
      <c r="CL124" s="299"/>
      <c r="CM124" s="66"/>
      <c r="CN124" s="66"/>
      <c r="CO124" s="68"/>
      <c r="CR124" s="8"/>
      <c r="CX124" s="66"/>
      <c r="CY124" s="532"/>
      <c r="DE124" s="66"/>
      <c r="DF124" s="66"/>
      <c r="DG124" s="68"/>
      <c r="DH124" s="68"/>
      <c r="DK124" s="66"/>
      <c r="DL124" s="66"/>
      <c r="DM124" s="66"/>
      <c r="DN124" s="66"/>
      <c r="DO124" s="66"/>
      <c r="DP124" s="66"/>
      <c r="DQ124" s="66"/>
      <c r="DR124" s="66"/>
      <c r="DS124" s="66"/>
      <c r="DT124" s="68"/>
      <c r="DU124" s="66"/>
      <c r="DV124" s="296"/>
      <c r="DW124" s="330"/>
      <c r="DX124" s="631"/>
      <c r="DY124" s="631"/>
      <c r="DZ124" s="631"/>
      <c r="EA124" s="330"/>
      <c r="EC124" s="66"/>
      <c r="ED124" s="68"/>
      <c r="EH124" s="66"/>
      <c r="EI124" s="66"/>
      <c r="EJ124" s="68"/>
      <c r="EK124" s="252"/>
      <c r="EL124" s="252"/>
      <c r="EM124" s="252"/>
      <c r="EO124" s="252"/>
      <c r="EP124" s="252"/>
      <c r="EQ124" s="252"/>
      <c r="ES124" s="252"/>
      <c r="ET124" s="252"/>
      <c r="EU124" s="252"/>
      <c r="EW124" s="252"/>
      <c r="EX124" s="252"/>
      <c r="EY124" s="252"/>
      <c r="FA124" s="250"/>
      <c r="FB124" s="250"/>
      <c r="FC124" s="250"/>
      <c r="FD124" s="250"/>
      <c r="FE124" s="250"/>
      <c r="FF124" s="250"/>
      <c r="FG124" s="250"/>
      <c r="FH124" s="424"/>
      <c r="FI124" s="250"/>
      <c r="FJ124" s="250"/>
      <c r="FK124" s="250"/>
      <c r="FL124" s="256"/>
      <c r="FM124" s="250"/>
      <c r="FN124" s="256"/>
      <c r="FO124" s="250"/>
      <c r="FP124" s="256"/>
      <c r="FQ124" s="250"/>
      <c r="FR124" s="256"/>
      <c r="FS124" s="250"/>
      <c r="FT124" s="256"/>
      <c r="FU124" s="256"/>
      <c r="FV124" s="256"/>
      <c r="FW124" s="250"/>
      <c r="FX124" s="424"/>
      <c r="FY124" s="251"/>
      <c r="GC124" s="252"/>
      <c r="GF124" s="252"/>
      <c r="GG124" s="252"/>
      <c r="GH124" s="252"/>
      <c r="GI124" s="252"/>
      <c r="GJ124" s="252"/>
      <c r="GK124" s="251"/>
      <c r="GL124" s="250"/>
      <c r="GM124" s="250"/>
      <c r="GN124" s="250"/>
      <c r="GO124" s="250"/>
      <c r="GP124" s="250"/>
      <c r="GQ124" s="250"/>
      <c r="GR124" s="250"/>
      <c r="GS124" s="250"/>
      <c r="GT124" s="250"/>
      <c r="GU124" s="251"/>
      <c r="GV124" s="250"/>
      <c r="GW124" s="250"/>
      <c r="GX124" s="250"/>
      <c r="GY124" s="250"/>
      <c r="GZ124" s="250"/>
      <c r="HA124" s="250"/>
      <c r="HB124" s="250"/>
      <c r="HC124" s="250"/>
      <c r="HD124" s="250"/>
      <c r="HE124" s="250"/>
      <c r="HF124" s="250"/>
      <c r="HG124" s="250"/>
      <c r="HH124" s="251"/>
      <c r="HI124" s="424"/>
      <c r="HJ124" s="255"/>
      <c r="HK124" s="255"/>
      <c r="HL124" s="250"/>
      <c r="HM124" s="255"/>
      <c r="HN124" s="255"/>
      <c r="HO124" s="255"/>
      <c r="HP124" s="250"/>
      <c r="HQ124" s="250"/>
      <c r="HR124" s="250"/>
      <c r="HS124" s="250"/>
      <c r="HT124" s="250"/>
      <c r="HU124" s="251"/>
      <c r="HX124" s="252"/>
      <c r="HY124" s="252"/>
      <c r="HZ124" s="252"/>
      <c r="ID124" s="252"/>
      <c r="IE124" s="252"/>
      <c r="IF124" s="252"/>
      <c r="IJ124" s="252"/>
      <c r="IK124" s="252"/>
      <c r="IL124" s="252"/>
      <c r="IP124" s="252"/>
      <c r="IQ124" s="252"/>
      <c r="IR124" s="252"/>
      <c r="IY124" s="66"/>
      <c r="IZ124" s="66"/>
      <c r="JA124" s="66"/>
      <c r="JB124" s="250"/>
      <c r="JC124" s="66"/>
      <c r="JD124" s="66"/>
      <c r="JE124" s="66"/>
      <c r="JF124" s="66"/>
      <c r="JG124" s="66"/>
      <c r="JH124" s="66"/>
      <c r="JI124" s="66"/>
      <c r="JJ124" s="66"/>
      <c r="JK124" s="8"/>
      <c r="JN124" s="252"/>
      <c r="JO124" s="252"/>
      <c r="JP124" s="252"/>
      <c r="JT124" s="252"/>
      <c r="JU124" s="252"/>
      <c r="JV124" s="252"/>
      <c r="JZ124" s="252"/>
      <c r="KA124" s="252"/>
      <c r="KB124" s="252"/>
      <c r="KF124" s="252"/>
      <c r="KG124" s="252"/>
      <c r="KH124" s="252"/>
      <c r="KO124" s="66"/>
      <c r="KP124" s="66"/>
      <c r="KQ124" s="66"/>
      <c r="KR124" s="66"/>
      <c r="KS124" s="66"/>
      <c r="KT124" s="66"/>
      <c r="KU124" s="66"/>
      <c r="KV124" s="66"/>
      <c r="KW124" s="66"/>
      <c r="KX124" s="66"/>
      <c r="KY124" s="66"/>
      <c r="KZ124" s="66"/>
      <c r="LA124" s="8"/>
      <c r="LD124" s="252"/>
      <c r="LE124" s="252"/>
      <c r="LF124" s="252"/>
      <c r="LJ124" s="252"/>
      <c r="LK124" s="252"/>
      <c r="LN124" s="252"/>
      <c r="LO124" s="252"/>
      <c r="LP124" s="252"/>
      <c r="LT124" s="271"/>
      <c r="LU124" s="250"/>
      <c r="LV124" s="250"/>
      <c r="LW124" s="250"/>
      <c r="LX124" s="250"/>
      <c r="LY124" s="250"/>
      <c r="LZ124" s="250"/>
      <c r="MA124" s="250"/>
      <c r="MB124" s="250"/>
      <c r="MC124" s="250"/>
      <c r="MD124" s="250"/>
      <c r="ME124" s="250"/>
      <c r="MF124" s="250"/>
      <c r="MG124" s="250"/>
      <c r="MH124" s="250"/>
      <c r="MI124" s="250"/>
      <c r="MJ124" s="250"/>
      <c r="MK124" s="424"/>
      <c r="ML124" s="640"/>
      <c r="MM124" s="251"/>
      <c r="MN124" s="252"/>
      <c r="MO124" s="252"/>
      <c r="MP124" s="252"/>
      <c r="MQ124" s="252"/>
      <c r="MR124" s="252"/>
      <c r="MS124" s="252"/>
      <c r="MT124" s="252"/>
      <c r="MU124" s="252"/>
      <c r="MV124" s="252"/>
      <c r="MW124" s="252"/>
      <c r="MX124" s="252"/>
      <c r="MY124" s="252"/>
      <c r="MZ124" s="252"/>
      <c r="NA124" s="252"/>
      <c r="NB124" s="252"/>
      <c r="NC124" s="251"/>
      <c r="ND124" s="250"/>
      <c r="NE124" s="250"/>
      <c r="NF124" s="250"/>
      <c r="NG124" s="250"/>
      <c r="NH124" s="250"/>
      <c r="NI124" s="250"/>
      <c r="NJ124" s="250"/>
      <c r="NK124" s="250"/>
      <c r="NL124" s="250"/>
      <c r="NM124" s="250"/>
      <c r="NN124" s="250"/>
      <c r="NO124" s="250"/>
      <c r="NP124" s="250"/>
      <c r="NQ124" s="250"/>
      <c r="NR124" s="250"/>
      <c r="NS124" s="250"/>
      <c r="NT124" s="250"/>
      <c r="NU124" s="250"/>
      <c r="NV124" s="250"/>
      <c r="NW124" s="251"/>
      <c r="OT124" s="8"/>
      <c r="QG124" s="8"/>
      <c r="RT124" s="8"/>
    </row>
    <row r="125" spans="1:488" s="282" customFormat="1" x14ac:dyDescent="0.25">
      <c r="A125" s="66"/>
      <c r="B125" s="8"/>
      <c r="C125" s="66"/>
      <c r="D125" s="66"/>
      <c r="E125" s="66"/>
      <c r="F125" s="66"/>
      <c r="G125" s="66"/>
      <c r="H125" s="66"/>
      <c r="I125" s="66"/>
      <c r="J125" s="66"/>
      <c r="K125" s="66"/>
      <c r="L125" s="66"/>
      <c r="M125" s="66"/>
      <c r="N125" s="66"/>
      <c r="O125" s="66"/>
      <c r="P125" s="66"/>
      <c r="Q125" s="66"/>
      <c r="R125" s="66"/>
      <c r="S125" s="66"/>
      <c r="T125" s="68"/>
      <c r="AC125" s="66"/>
      <c r="AD125" s="66"/>
      <c r="AE125" s="68"/>
      <c r="AN125" s="66"/>
      <c r="AO125" s="66"/>
      <c r="AP125" s="68"/>
      <c r="AW125" s="66"/>
      <c r="AX125" s="68"/>
      <c r="BD125" s="66"/>
      <c r="BE125" s="68"/>
      <c r="BF125" s="66"/>
      <c r="BG125" s="66"/>
      <c r="BH125" s="66"/>
      <c r="BI125" s="66"/>
      <c r="BJ125" s="66"/>
      <c r="BK125" s="66"/>
      <c r="BL125" s="68"/>
      <c r="BO125" s="66"/>
      <c r="BP125" s="68"/>
      <c r="BV125" s="66"/>
      <c r="BW125" s="68"/>
      <c r="CB125" s="8"/>
      <c r="CH125" s="8"/>
      <c r="CK125" s="299"/>
      <c r="CL125" s="299"/>
      <c r="CM125" s="66"/>
      <c r="CN125" s="66"/>
      <c r="CO125" s="68"/>
      <c r="CR125" s="8"/>
      <c r="CX125" s="66"/>
      <c r="CY125" s="532"/>
      <c r="DE125" s="66"/>
      <c r="DF125" s="66"/>
      <c r="DG125" s="68"/>
      <c r="DH125" s="68"/>
      <c r="DK125" s="66"/>
      <c r="DL125" s="66"/>
      <c r="DM125" s="66"/>
      <c r="DN125" s="66"/>
      <c r="DO125" s="66"/>
      <c r="DP125" s="66"/>
      <c r="DQ125" s="66"/>
      <c r="DR125" s="66"/>
      <c r="DS125" s="66"/>
      <c r="DT125" s="68"/>
      <c r="DU125" s="66"/>
      <c r="DV125" s="296"/>
      <c r="DW125" s="330"/>
      <c r="DX125" s="631"/>
      <c r="DY125" s="631"/>
      <c r="DZ125" s="631"/>
      <c r="EA125" s="330"/>
      <c r="EC125" s="66"/>
      <c r="ED125" s="68"/>
      <c r="EH125" s="66"/>
      <c r="EI125" s="66"/>
      <c r="EJ125" s="68"/>
      <c r="EK125" s="252"/>
      <c r="EL125" s="252"/>
      <c r="EM125" s="252"/>
      <c r="EO125" s="252"/>
      <c r="EP125" s="252"/>
      <c r="EQ125" s="252"/>
      <c r="ES125" s="252"/>
      <c r="ET125" s="252"/>
      <c r="EU125" s="252"/>
      <c r="EW125" s="252"/>
      <c r="EX125" s="252"/>
      <c r="EY125" s="252"/>
      <c r="FA125" s="250"/>
      <c r="FB125" s="250"/>
      <c r="FC125" s="250"/>
      <c r="FD125" s="250"/>
      <c r="FE125" s="250"/>
      <c r="FF125" s="250"/>
      <c r="FG125" s="250"/>
      <c r="FH125" s="424"/>
      <c r="FI125" s="250"/>
      <c r="FJ125" s="250"/>
      <c r="FK125" s="250"/>
      <c r="FL125" s="256"/>
      <c r="FM125" s="250"/>
      <c r="FN125" s="256"/>
      <c r="FO125" s="250"/>
      <c r="FP125" s="256"/>
      <c r="FQ125" s="250"/>
      <c r="FR125" s="256"/>
      <c r="FS125" s="250"/>
      <c r="FT125" s="256"/>
      <c r="FU125" s="256"/>
      <c r="FV125" s="256"/>
      <c r="FW125" s="250"/>
      <c r="FX125" s="424"/>
      <c r="FY125" s="251"/>
      <c r="GC125" s="252"/>
      <c r="GF125" s="252"/>
      <c r="GG125" s="252"/>
      <c r="GH125" s="252"/>
      <c r="GI125" s="252"/>
      <c r="GJ125" s="252"/>
      <c r="GK125" s="251"/>
      <c r="GL125" s="250"/>
      <c r="GM125" s="250"/>
      <c r="GN125" s="250"/>
      <c r="GO125" s="250"/>
      <c r="GP125" s="250"/>
      <c r="GQ125" s="250"/>
      <c r="GR125" s="250"/>
      <c r="GS125" s="250"/>
      <c r="GT125" s="250"/>
      <c r="GU125" s="251"/>
      <c r="GV125" s="250"/>
      <c r="GW125" s="250"/>
      <c r="GX125" s="250"/>
      <c r="GY125" s="250"/>
      <c r="GZ125" s="250"/>
      <c r="HA125" s="250"/>
      <c r="HB125" s="250"/>
      <c r="HC125" s="250"/>
      <c r="HD125" s="250"/>
      <c r="HE125" s="250"/>
      <c r="HF125" s="250"/>
      <c r="HG125" s="250"/>
      <c r="HH125" s="251"/>
      <c r="HI125" s="424"/>
      <c r="HJ125" s="255"/>
      <c r="HK125" s="255"/>
      <c r="HL125" s="250"/>
      <c r="HM125" s="255"/>
      <c r="HN125" s="255"/>
      <c r="HO125" s="255"/>
      <c r="HP125" s="250"/>
      <c r="HQ125" s="250"/>
      <c r="HR125" s="250"/>
      <c r="HS125" s="250"/>
      <c r="HT125" s="250"/>
      <c r="HU125" s="251"/>
      <c r="HX125" s="252"/>
      <c r="HY125" s="252"/>
      <c r="HZ125" s="252"/>
      <c r="ID125" s="252"/>
      <c r="IE125" s="252"/>
      <c r="IF125" s="252"/>
      <c r="IJ125" s="252"/>
      <c r="IK125" s="252"/>
      <c r="IL125" s="252"/>
      <c r="IP125" s="252"/>
      <c r="IQ125" s="252"/>
      <c r="IR125" s="252"/>
      <c r="IY125" s="66"/>
      <c r="IZ125" s="66"/>
      <c r="JA125" s="66"/>
      <c r="JB125" s="250"/>
      <c r="JC125" s="66"/>
      <c r="JD125" s="66"/>
      <c r="JE125" s="66"/>
      <c r="JF125" s="66"/>
      <c r="JG125" s="66"/>
      <c r="JH125" s="66"/>
      <c r="JI125" s="66"/>
      <c r="JJ125" s="66"/>
      <c r="JK125" s="8"/>
      <c r="JN125" s="252"/>
      <c r="JO125" s="252"/>
      <c r="JP125" s="252"/>
      <c r="JT125" s="252"/>
      <c r="JU125" s="252"/>
      <c r="JV125" s="252"/>
      <c r="JZ125" s="252"/>
      <c r="KA125" s="252"/>
      <c r="KB125" s="252"/>
      <c r="KF125" s="252"/>
      <c r="KG125" s="252"/>
      <c r="KH125" s="252"/>
      <c r="KO125" s="66"/>
      <c r="KP125" s="66"/>
      <c r="KQ125" s="66"/>
      <c r="KR125" s="66"/>
      <c r="KS125" s="66"/>
      <c r="KT125" s="66"/>
      <c r="KU125" s="66"/>
      <c r="KV125" s="66"/>
      <c r="KW125" s="66"/>
      <c r="KX125" s="66"/>
      <c r="KY125" s="66"/>
      <c r="KZ125" s="66"/>
      <c r="LA125" s="8"/>
      <c r="LD125" s="252"/>
      <c r="LE125" s="252"/>
      <c r="LF125" s="252"/>
      <c r="LJ125" s="252"/>
      <c r="LK125" s="252"/>
      <c r="LN125" s="252"/>
      <c r="LO125" s="252"/>
      <c r="LP125" s="252"/>
      <c r="LT125" s="271"/>
      <c r="LU125" s="250"/>
      <c r="LV125" s="250"/>
      <c r="LW125" s="250"/>
      <c r="LX125" s="250"/>
      <c r="LY125" s="250"/>
      <c r="LZ125" s="250"/>
      <c r="MA125" s="250"/>
      <c r="MB125" s="250"/>
      <c r="MC125" s="250"/>
      <c r="MD125" s="250"/>
      <c r="ME125" s="250"/>
      <c r="MF125" s="250"/>
      <c r="MG125" s="250"/>
      <c r="MH125" s="250"/>
      <c r="MI125" s="250"/>
      <c r="MJ125" s="250"/>
      <c r="MK125" s="424"/>
      <c r="ML125" s="640"/>
      <c r="MM125" s="251"/>
      <c r="MN125" s="252"/>
      <c r="MO125" s="252"/>
      <c r="MP125" s="252"/>
      <c r="MQ125" s="252"/>
      <c r="MR125" s="252"/>
      <c r="MS125" s="252"/>
      <c r="MT125" s="252"/>
      <c r="MU125" s="252"/>
      <c r="MV125" s="252"/>
      <c r="MW125" s="252"/>
      <c r="MX125" s="252"/>
      <c r="MY125" s="252"/>
      <c r="MZ125" s="252"/>
      <c r="NA125" s="252"/>
      <c r="NB125" s="252"/>
      <c r="NC125" s="251"/>
      <c r="ND125" s="250"/>
      <c r="NE125" s="250"/>
      <c r="NF125" s="250"/>
      <c r="NG125" s="250"/>
      <c r="NH125" s="250"/>
      <c r="NI125" s="250"/>
      <c r="NJ125" s="250"/>
      <c r="NK125" s="250"/>
      <c r="NL125" s="250"/>
      <c r="NM125" s="250"/>
      <c r="NN125" s="250"/>
      <c r="NO125" s="250"/>
      <c r="NP125" s="250"/>
      <c r="NQ125" s="250"/>
      <c r="NR125" s="250"/>
      <c r="NS125" s="250"/>
      <c r="NT125" s="250"/>
      <c r="NU125" s="250"/>
      <c r="NV125" s="250"/>
      <c r="NW125" s="251"/>
      <c r="OT125" s="8"/>
      <c r="QG125" s="8"/>
      <c r="RT125" s="8"/>
    </row>
    <row r="126" spans="1:488" s="282" customFormat="1" x14ac:dyDescent="0.25">
      <c r="A126" s="66"/>
      <c r="B126" s="8"/>
      <c r="C126" s="66"/>
      <c r="D126" s="66"/>
      <c r="E126" s="66"/>
      <c r="F126" s="66"/>
      <c r="G126" s="66"/>
      <c r="H126" s="66"/>
      <c r="I126" s="66"/>
      <c r="J126" s="66"/>
      <c r="K126" s="66"/>
      <c r="L126" s="66"/>
      <c r="M126" s="66"/>
      <c r="N126" s="66"/>
      <c r="O126" s="66"/>
      <c r="P126" s="66"/>
      <c r="Q126" s="66"/>
      <c r="R126" s="66"/>
      <c r="S126" s="66"/>
      <c r="T126" s="68"/>
      <c r="AC126" s="66"/>
      <c r="AD126" s="66"/>
      <c r="AE126" s="68"/>
      <c r="AN126" s="66"/>
      <c r="AO126" s="66"/>
      <c r="AP126" s="68"/>
      <c r="AW126" s="66"/>
      <c r="AX126" s="68"/>
      <c r="BD126" s="66"/>
      <c r="BE126" s="68"/>
      <c r="BF126" s="66"/>
      <c r="BG126" s="66"/>
      <c r="BH126" s="66"/>
      <c r="BI126" s="66"/>
      <c r="BJ126" s="66"/>
      <c r="BK126" s="66"/>
      <c r="BL126" s="68"/>
      <c r="BO126" s="66"/>
      <c r="BP126" s="68"/>
      <c r="BV126" s="66"/>
      <c r="BW126" s="68"/>
      <c r="CB126" s="8"/>
      <c r="CH126" s="8"/>
      <c r="CK126" s="299"/>
      <c r="CL126" s="299"/>
      <c r="CM126" s="66"/>
      <c r="CN126" s="66"/>
      <c r="CO126" s="68"/>
      <c r="CR126" s="8"/>
      <c r="CX126" s="66"/>
      <c r="CY126" s="532"/>
      <c r="DE126" s="66"/>
      <c r="DF126" s="66"/>
      <c r="DG126" s="68"/>
      <c r="DH126" s="68"/>
      <c r="DK126" s="66"/>
      <c r="DL126" s="66"/>
      <c r="DM126" s="66"/>
      <c r="DN126" s="66"/>
      <c r="DO126" s="66"/>
      <c r="DP126" s="66"/>
      <c r="DQ126" s="66"/>
      <c r="DR126" s="66"/>
      <c r="DS126" s="66"/>
      <c r="DT126" s="68"/>
      <c r="DU126" s="66"/>
      <c r="DV126" s="296"/>
      <c r="DW126" s="330"/>
      <c r="DX126" s="631"/>
      <c r="DY126" s="631"/>
      <c r="DZ126" s="631"/>
      <c r="EA126" s="330"/>
      <c r="EC126" s="66"/>
      <c r="ED126" s="68"/>
      <c r="EH126" s="66"/>
      <c r="EI126" s="66"/>
      <c r="EJ126" s="68"/>
      <c r="EK126" s="252"/>
      <c r="EL126" s="252"/>
      <c r="EM126" s="252"/>
      <c r="EO126" s="252"/>
      <c r="EP126" s="252"/>
      <c r="EQ126" s="252"/>
      <c r="ES126" s="252"/>
      <c r="ET126" s="252"/>
      <c r="EU126" s="252"/>
      <c r="EW126" s="252"/>
      <c r="EX126" s="252"/>
      <c r="EY126" s="252"/>
      <c r="FA126" s="250"/>
      <c r="FB126" s="250"/>
      <c r="FC126" s="250"/>
      <c r="FD126" s="250"/>
      <c r="FE126" s="250"/>
      <c r="FF126" s="250"/>
      <c r="FG126" s="250"/>
      <c r="FH126" s="424"/>
      <c r="FI126" s="250"/>
      <c r="FJ126" s="250"/>
      <c r="FK126" s="250"/>
      <c r="FL126" s="256"/>
      <c r="FM126" s="250"/>
      <c r="FN126" s="256"/>
      <c r="FO126" s="250"/>
      <c r="FP126" s="256"/>
      <c r="FQ126" s="250"/>
      <c r="FR126" s="256"/>
      <c r="FS126" s="250"/>
      <c r="FT126" s="256"/>
      <c r="FU126" s="256"/>
      <c r="FV126" s="256"/>
      <c r="FW126" s="250"/>
      <c r="FX126" s="424"/>
      <c r="FY126" s="251"/>
      <c r="GC126" s="252"/>
      <c r="GF126" s="252"/>
      <c r="GG126" s="252"/>
      <c r="GH126" s="252"/>
      <c r="GI126" s="252"/>
      <c r="GJ126" s="252"/>
      <c r="GK126" s="251"/>
      <c r="GL126" s="250"/>
      <c r="GM126" s="250"/>
      <c r="GN126" s="250"/>
      <c r="GO126" s="250"/>
      <c r="GP126" s="250"/>
      <c r="GQ126" s="250"/>
      <c r="GR126" s="250"/>
      <c r="GS126" s="250"/>
      <c r="GT126" s="250"/>
      <c r="GU126" s="251"/>
      <c r="GV126" s="250"/>
      <c r="GW126" s="250"/>
      <c r="GX126" s="250"/>
      <c r="GY126" s="250"/>
      <c r="GZ126" s="250"/>
      <c r="HA126" s="250"/>
      <c r="HB126" s="250"/>
      <c r="HC126" s="250"/>
      <c r="HD126" s="250"/>
      <c r="HE126" s="250"/>
      <c r="HF126" s="250"/>
      <c r="HG126" s="250"/>
      <c r="HH126" s="251"/>
      <c r="HI126" s="424"/>
      <c r="HJ126" s="255"/>
      <c r="HK126" s="255"/>
      <c r="HL126" s="250"/>
      <c r="HM126" s="255"/>
      <c r="HN126" s="255"/>
      <c r="HO126" s="255"/>
      <c r="HP126" s="250"/>
      <c r="HQ126" s="250"/>
      <c r="HR126" s="250"/>
      <c r="HS126" s="250"/>
      <c r="HT126" s="250"/>
      <c r="HU126" s="251"/>
      <c r="HX126" s="252"/>
      <c r="HY126" s="252"/>
      <c r="HZ126" s="252"/>
      <c r="ID126" s="252"/>
      <c r="IE126" s="252"/>
      <c r="IF126" s="252"/>
      <c r="IJ126" s="252"/>
      <c r="IK126" s="252"/>
      <c r="IL126" s="252"/>
      <c r="IP126" s="252"/>
      <c r="IQ126" s="252"/>
      <c r="IR126" s="252"/>
      <c r="IY126" s="66"/>
      <c r="IZ126" s="66"/>
      <c r="JA126" s="66"/>
      <c r="JB126" s="250"/>
      <c r="JC126" s="66"/>
      <c r="JD126" s="66"/>
      <c r="JE126" s="66"/>
      <c r="JF126" s="66"/>
      <c r="JG126" s="66"/>
      <c r="JH126" s="66"/>
      <c r="JI126" s="66"/>
      <c r="JJ126" s="66"/>
      <c r="JK126" s="8"/>
      <c r="JN126" s="252"/>
      <c r="JO126" s="252"/>
      <c r="JP126" s="252"/>
      <c r="JT126" s="252"/>
      <c r="JU126" s="252"/>
      <c r="JV126" s="252"/>
      <c r="JZ126" s="252"/>
      <c r="KA126" s="252"/>
      <c r="KB126" s="252"/>
      <c r="KF126" s="252"/>
      <c r="KG126" s="252"/>
      <c r="KH126" s="252"/>
      <c r="KO126" s="66"/>
      <c r="KP126" s="66"/>
      <c r="KQ126" s="66"/>
      <c r="KR126" s="66"/>
      <c r="KS126" s="66"/>
      <c r="KT126" s="66"/>
      <c r="KU126" s="66"/>
      <c r="KV126" s="66"/>
      <c r="KW126" s="66"/>
      <c r="KX126" s="66"/>
      <c r="KY126" s="66"/>
      <c r="KZ126" s="66"/>
      <c r="LA126" s="8"/>
      <c r="LD126" s="252"/>
      <c r="LE126" s="252"/>
      <c r="LF126" s="252"/>
      <c r="LJ126" s="252"/>
      <c r="LK126" s="252"/>
      <c r="LN126" s="252"/>
      <c r="LO126" s="252"/>
      <c r="LP126" s="252"/>
      <c r="LT126" s="271"/>
      <c r="LU126" s="250"/>
      <c r="LV126" s="250"/>
      <c r="LW126" s="250"/>
      <c r="LX126" s="250"/>
      <c r="LY126" s="250"/>
      <c r="LZ126" s="250"/>
      <c r="MA126" s="250"/>
      <c r="MB126" s="250"/>
      <c r="MC126" s="250"/>
      <c r="MD126" s="250"/>
      <c r="ME126" s="250"/>
      <c r="MF126" s="250"/>
      <c r="MG126" s="250"/>
      <c r="MH126" s="250"/>
      <c r="MI126" s="250"/>
      <c r="MJ126" s="250"/>
      <c r="MK126" s="424"/>
      <c r="ML126" s="640"/>
      <c r="MM126" s="251"/>
      <c r="MN126" s="252"/>
      <c r="MO126" s="252"/>
      <c r="MP126" s="252"/>
      <c r="MQ126" s="252"/>
      <c r="MR126" s="252"/>
      <c r="MS126" s="252"/>
      <c r="MT126" s="252"/>
      <c r="MU126" s="252"/>
      <c r="MV126" s="252"/>
      <c r="MW126" s="252"/>
      <c r="MX126" s="252"/>
      <c r="MY126" s="252"/>
      <c r="MZ126" s="252"/>
      <c r="NA126" s="252"/>
      <c r="NB126" s="252"/>
      <c r="NC126" s="251"/>
      <c r="ND126" s="250"/>
      <c r="NE126" s="250"/>
      <c r="NF126" s="250"/>
      <c r="NG126" s="250"/>
      <c r="NH126" s="250"/>
      <c r="NI126" s="250"/>
      <c r="NJ126" s="250"/>
      <c r="NK126" s="250"/>
      <c r="NL126" s="250"/>
      <c r="NM126" s="250"/>
      <c r="NN126" s="250"/>
      <c r="NO126" s="250"/>
      <c r="NP126" s="250"/>
      <c r="NQ126" s="250"/>
      <c r="NR126" s="250"/>
      <c r="NS126" s="250"/>
      <c r="NT126" s="250"/>
      <c r="NU126" s="250"/>
      <c r="NV126" s="250"/>
      <c r="NW126" s="251"/>
      <c r="OT126" s="8"/>
      <c r="QG126" s="8"/>
      <c r="RT126" s="8"/>
    </row>
    <row r="127" spans="1:488" s="282" customFormat="1" x14ac:dyDescent="0.25">
      <c r="A127" s="66"/>
      <c r="B127" s="8"/>
      <c r="C127" s="66"/>
      <c r="D127" s="66"/>
      <c r="E127" s="66"/>
      <c r="F127" s="66"/>
      <c r="G127" s="66"/>
      <c r="H127" s="66"/>
      <c r="I127" s="66"/>
      <c r="J127" s="66"/>
      <c r="K127" s="66"/>
      <c r="L127" s="66"/>
      <c r="M127" s="66"/>
      <c r="N127" s="66"/>
      <c r="O127" s="66"/>
      <c r="P127" s="66"/>
      <c r="Q127" s="66"/>
      <c r="R127" s="66"/>
      <c r="S127" s="66"/>
      <c r="T127" s="68"/>
      <c r="AC127" s="66"/>
      <c r="AD127" s="66"/>
      <c r="AE127" s="68"/>
      <c r="AN127" s="66"/>
      <c r="AO127" s="66"/>
      <c r="AP127" s="68"/>
      <c r="AW127" s="66"/>
      <c r="AX127" s="68"/>
      <c r="BD127" s="66"/>
      <c r="BE127" s="68"/>
      <c r="BF127" s="66"/>
      <c r="BG127" s="66"/>
      <c r="BH127" s="66"/>
      <c r="BI127" s="66"/>
      <c r="BJ127" s="66"/>
      <c r="BK127" s="66"/>
      <c r="BL127" s="68"/>
      <c r="BO127" s="66"/>
      <c r="BP127" s="68"/>
      <c r="BV127" s="66"/>
      <c r="BW127" s="68"/>
      <c r="CB127" s="8"/>
      <c r="CH127" s="8"/>
      <c r="CK127" s="299"/>
      <c r="CL127" s="299"/>
      <c r="CM127" s="66"/>
      <c r="CN127" s="66"/>
      <c r="CO127" s="68"/>
      <c r="CR127" s="8"/>
      <c r="CX127" s="66"/>
      <c r="CY127" s="532"/>
      <c r="DE127" s="66"/>
      <c r="DF127" s="66"/>
      <c r="DG127" s="68"/>
      <c r="DH127" s="68"/>
      <c r="DK127" s="66"/>
      <c r="DL127" s="66"/>
      <c r="DM127" s="66"/>
      <c r="DN127" s="66"/>
      <c r="DO127" s="66"/>
      <c r="DP127" s="66"/>
      <c r="DQ127" s="66"/>
      <c r="DR127" s="66"/>
      <c r="DS127" s="66"/>
      <c r="DT127" s="68"/>
      <c r="DU127" s="66"/>
      <c r="DV127" s="296"/>
      <c r="DW127" s="330"/>
      <c r="DX127" s="631"/>
      <c r="DY127" s="631"/>
      <c r="DZ127" s="631"/>
      <c r="EA127" s="330"/>
      <c r="EC127" s="66"/>
      <c r="ED127" s="68"/>
      <c r="EH127" s="66"/>
      <c r="EI127" s="66"/>
      <c r="EJ127" s="68"/>
      <c r="EK127" s="252"/>
      <c r="EL127" s="252"/>
      <c r="EM127" s="252"/>
      <c r="EO127" s="252"/>
      <c r="EP127" s="252"/>
      <c r="EQ127" s="252"/>
      <c r="ES127" s="252"/>
      <c r="ET127" s="252"/>
      <c r="EU127" s="252"/>
      <c r="EW127" s="252"/>
      <c r="EX127" s="252"/>
      <c r="EY127" s="252"/>
      <c r="FA127" s="250"/>
      <c r="FB127" s="250"/>
      <c r="FC127" s="250"/>
      <c r="FD127" s="250"/>
      <c r="FE127" s="250"/>
      <c r="FF127" s="250"/>
      <c r="FG127" s="250"/>
      <c r="FH127" s="424"/>
      <c r="FI127" s="250"/>
      <c r="FJ127" s="250"/>
      <c r="FK127" s="250"/>
      <c r="FL127" s="256"/>
      <c r="FM127" s="250"/>
      <c r="FN127" s="256"/>
      <c r="FO127" s="250"/>
      <c r="FP127" s="256"/>
      <c r="FQ127" s="250"/>
      <c r="FR127" s="256"/>
      <c r="FS127" s="250"/>
      <c r="FT127" s="256"/>
      <c r="FU127" s="256"/>
      <c r="FV127" s="256"/>
      <c r="FW127" s="250"/>
      <c r="FX127" s="424"/>
      <c r="FY127" s="251"/>
      <c r="GC127" s="252"/>
      <c r="GF127" s="252"/>
      <c r="GG127" s="252"/>
      <c r="GH127" s="252"/>
      <c r="GI127" s="252"/>
      <c r="GJ127" s="252"/>
      <c r="GK127" s="251"/>
      <c r="GL127" s="250"/>
      <c r="GM127" s="250"/>
      <c r="GN127" s="250"/>
      <c r="GO127" s="250"/>
      <c r="GP127" s="250"/>
      <c r="GQ127" s="250"/>
      <c r="GR127" s="250"/>
      <c r="GS127" s="250"/>
      <c r="GT127" s="250"/>
      <c r="GU127" s="251"/>
      <c r="GV127" s="250"/>
      <c r="GW127" s="250"/>
      <c r="GX127" s="250"/>
      <c r="GY127" s="250"/>
      <c r="GZ127" s="250"/>
      <c r="HA127" s="250"/>
      <c r="HB127" s="250"/>
      <c r="HC127" s="250"/>
      <c r="HD127" s="250"/>
      <c r="HE127" s="250"/>
      <c r="HF127" s="250"/>
      <c r="HG127" s="250"/>
      <c r="HH127" s="251"/>
      <c r="HI127" s="424"/>
      <c r="HJ127" s="255"/>
      <c r="HK127" s="255"/>
      <c r="HL127" s="250"/>
      <c r="HM127" s="255"/>
      <c r="HN127" s="255"/>
      <c r="HO127" s="255"/>
      <c r="HP127" s="250"/>
      <c r="HQ127" s="250"/>
      <c r="HR127" s="250"/>
      <c r="HS127" s="250"/>
      <c r="HT127" s="250"/>
      <c r="HU127" s="251"/>
      <c r="HX127" s="252"/>
      <c r="HY127" s="252"/>
      <c r="HZ127" s="252"/>
      <c r="ID127" s="252"/>
      <c r="IE127" s="252"/>
      <c r="IF127" s="252"/>
      <c r="IJ127" s="252"/>
      <c r="IK127" s="252"/>
      <c r="IL127" s="252"/>
      <c r="IP127" s="252"/>
      <c r="IQ127" s="252"/>
      <c r="IR127" s="252"/>
      <c r="IY127" s="66"/>
      <c r="IZ127" s="66"/>
      <c r="JA127" s="66"/>
      <c r="JB127" s="250"/>
      <c r="JC127" s="66"/>
      <c r="JD127" s="66"/>
      <c r="JE127" s="66"/>
      <c r="JF127" s="66"/>
      <c r="JG127" s="66"/>
      <c r="JH127" s="66"/>
      <c r="JI127" s="66"/>
      <c r="JJ127" s="66"/>
      <c r="JK127" s="8"/>
      <c r="JN127" s="252"/>
      <c r="JO127" s="252"/>
      <c r="JP127" s="252"/>
      <c r="JT127" s="252"/>
      <c r="JU127" s="252"/>
      <c r="JV127" s="252"/>
      <c r="JZ127" s="252"/>
      <c r="KA127" s="252"/>
      <c r="KB127" s="252"/>
      <c r="KF127" s="252"/>
      <c r="KG127" s="252"/>
      <c r="KH127" s="252"/>
      <c r="KO127" s="66"/>
      <c r="KP127" s="66"/>
      <c r="KQ127" s="66"/>
      <c r="KR127" s="66"/>
      <c r="KS127" s="66"/>
      <c r="KT127" s="66"/>
      <c r="KU127" s="66"/>
      <c r="KV127" s="66"/>
      <c r="KW127" s="66"/>
      <c r="KX127" s="66"/>
      <c r="KY127" s="66"/>
      <c r="KZ127" s="66"/>
      <c r="LA127" s="8"/>
      <c r="LD127" s="252"/>
      <c r="LE127" s="252"/>
      <c r="LF127" s="252"/>
      <c r="LJ127" s="252"/>
      <c r="LK127" s="252"/>
      <c r="LN127" s="252"/>
      <c r="LO127" s="252"/>
      <c r="LP127" s="252"/>
      <c r="LT127" s="271"/>
      <c r="LU127" s="250"/>
      <c r="LV127" s="250"/>
      <c r="LW127" s="250"/>
      <c r="LX127" s="250"/>
      <c r="LY127" s="250"/>
      <c r="LZ127" s="250"/>
      <c r="MA127" s="250"/>
      <c r="MB127" s="250"/>
      <c r="MC127" s="250"/>
      <c r="MD127" s="250"/>
      <c r="ME127" s="250"/>
      <c r="MF127" s="250"/>
      <c r="MG127" s="250"/>
      <c r="MH127" s="250"/>
      <c r="MI127" s="250"/>
      <c r="MJ127" s="250"/>
      <c r="MK127" s="424"/>
      <c r="ML127" s="640"/>
      <c r="MM127" s="251"/>
      <c r="MN127" s="252"/>
      <c r="MO127" s="252"/>
      <c r="MP127" s="252"/>
      <c r="MQ127" s="252"/>
      <c r="MR127" s="252"/>
      <c r="MS127" s="252"/>
      <c r="MT127" s="252"/>
      <c r="MU127" s="252"/>
      <c r="MV127" s="252"/>
      <c r="MW127" s="252"/>
      <c r="MX127" s="252"/>
      <c r="MY127" s="252"/>
      <c r="MZ127" s="252"/>
      <c r="NA127" s="252"/>
      <c r="NB127" s="252"/>
      <c r="NC127" s="251"/>
      <c r="ND127" s="250"/>
      <c r="NE127" s="250"/>
      <c r="NF127" s="250"/>
      <c r="NG127" s="250"/>
      <c r="NH127" s="250"/>
      <c r="NI127" s="250"/>
      <c r="NJ127" s="250"/>
      <c r="NK127" s="250"/>
      <c r="NL127" s="250"/>
      <c r="NM127" s="250"/>
      <c r="NN127" s="250"/>
      <c r="NO127" s="250"/>
      <c r="NP127" s="250"/>
      <c r="NQ127" s="250"/>
      <c r="NR127" s="250"/>
      <c r="NS127" s="250"/>
      <c r="NT127" s="250"/>
      <c r="NU127" s="250"/>
      <c r="NV127" s="250"/>
      <c r="NW127" s="251"/>
      <c r="OT127" s="8"/>
      <c r="QG127" s="8"/>
      <c r="RT127" s="8"/>
    </row>
    <row r="128" spans="1:488" s="282" customFormat="1" x14ac:dyDescent="0.25">
      <c r="A128" s="66"/>
      <c r="B128" s="8"/>
      <c r="C128" s="66"/>
      <c r="D128" s="66"/>
      <c r="E128" s="66"/>
      <c r="F128" s="66"/>
      <c r="G128" s="66"/>
      <c r="H128" s="66"/>
      <c r="I128" s="66"/>
      <c r="J128" s="66"/>
      <c r="K128" s="66"/>
      <c r="L128" s="66"/>
      <c r="M128" s="66"/>
      <c r="N128" s="66"/>
      <c r="O128" s="66"/>
      <c r="P128" s="66"/>
      <c r="Q128" s="66"/>
      <c r="R128" s="66"/>
      <c r="S128" s="66"/>
      <c r="T128" s="68"/>
      <c r="AC128" s="66"/>
      <c r="AD128" s="66"/>
      <c r="AE128" s="68"/>
      <c r="AN128" s="66"/>
      <c r="AO128" s="66"/>
      <c r="AP128" s="68"/>
      <c r="AW128" s="66"/>
      <c r="AX128" s="68"/>
      <c r="BD128" s="66"/>
      <c r="BE128" s="68"/>
      <c r="BF128" s="66"/>
      <c r="BG128" s="66"/>
      <c r="BH128" s="66"/>
      <c r="BI128" s="66"/>
      <c r="BJ128" s="66"/>
      <c r="BK128" s="66"/>
      <c r="BL128" s="68"/>
      <c r="BO128" s="66"/>
      <c r="BP128" s="68"/>
      <c r="BV128" s="66"/>
      <c r="BW128" s="68"/>
      <c r="CB128" s="8"/>
      <c r="CH128" s="8"/>
      <c r="CK128" s="299"/>
      <c r="CL128" s="299"/>
      <c r="CM128" s="66"/>
      <c r="CN128" s="66"/>
      <c r="CO128" s="68"/>
      <c r="CR128" s="8"/>
      <c r="CX128" s="66"/>
      <c r="CY128" s="532"/>
      <c r="DE128" s="66"/>
      <c r="DF128" s="66"/>
      <c r="DG128" s="68"/>
      <c r="DH128" s="68"/>
      <c r="DK128" s="66"/>
      <c r="DL128" s="66"/>
      <c r="DM128" s="66"/>
      <c r="DN128" s="66"/>
      <c r="DO128" s="66"/>
      <c r="DP128" s="66"/>
      <c r="DQ128" s="66"/>
      <c r="DR128" s="66"/>
      <c r="DS128" s="66"/>
      <c r="DT128" s="68"/>
      <c r="DU128" s="66"/>
      <c r="DV128" s="296"/>
      <c r="DW128" s="330"/>
      <c r="DX128" s="631"/>
      <c r="DY128" s="631"/>
      <c r="DZ128" s="631"/>
      <c r="EA128" s="330"/>
      <c r="EC128" s="66"/>
      <c r="ED128" s="68"/>
      <c r="EH128" s="66"/>
      <c r="EI128" s="66"/>
      <c r="EJ128" s="68"/>
      <c r="EK128" s="252"/>
      <c r="EL128" s="252"/>
      <c r="EM128" s="252"/>
      <c r="EO128" s="252"/>
      <c r="EP128" s="252"/>
      <c r="EQ128" s="252"/>
      <c r="ES128" s="252"/>
      <c r="ET128" s="252"/>
      <c r="EU128" s="252"/>
      <c r="EW128" s="252"/>
      <c r="EX128" s="252"/>
      <c r="EY128" s="252"/>
      <c r="FA128" s="250"/>
      <c r="FB128" s="250"/>
      <c r="FC128" s="250"/>
      <c r="FD128" s="250"/>
      <c r="FE128" s="250"/>
      <c r="FF128" s="250"/>
      <c r="FG128" s="250"/>
      <c r="FH128" s="424"/>
      <c r="FI128" s="250"/>
      <c r="FJ128" s="250"/>
      <c r="FK128" s="250"/>
      <c r="FL128" s="256"/>
      <c r="FM128" s="250"/>
      <c r="FN128" s="256"/>
      <c r="FO128" s="250"/>
      <c r="FP128" s="256"/>
      <c r="FQ128" s="250"/>
      <c r="FR128" s="256"/>
      <c r="FS128" s="250"/>
      <c r="FT128" s="256"/>
      <c r="FU128" s="256"/>
      <c r="FV128" s="256"/>
      <c r="FW128" s="250"/>
      <c r="FX128" s="424"/>
      <c r="FY128" s="251"/>
      <c r="GC128" s="252"/>
      <c r="GF128" s="252"/>
      <c r="GG128" s="252"/>
      <c r="GH128" s="252"/>
      <c r="GI128" s="252"/>
      <c r="GJ128" s="252"/>
      <c r="GK128" s="251"/>
      <c r="GL128" s="250"/>
      <c r="GM128" s="250"/>
      <c r="GN128" s="250"/>
      <c r="GO128" s="250"/>
      <c r="GP128" s="250"/>
      <c r="GQ128" s="250"/>
      <c r="GR128" s="250"/>
      <c r="GS128" s="250"/>
      <c r="GT128" s="250"/>
      <c r="GU128" s="251"/>
      <c r="GV128" s="250"/>
      <c r="GW128" s="250"/>
      <c r="GX128" s="250"/>
      <c r="GY128" s="250"/>
      <c r="GZ128" s="250"/>
      <c r="HA128" s="250"/>
      <c r="HB128" s="250"/>
      <c r="HC128" s="250"/>
      <c r="HD128" s="250"/>
      <c r="HE128" s="250"/>
      <c r="HF128" s="250"/>
      <c r="HG128" s="250"/>
      <c r="HH128" s="251"/>
      <c r="HI128" s="424"/>
      <c r="HJ128" s="255"/>
      <c r="HK128" s="255"/>
      <c r="HL128" s="250"/>
      <c r="HM128" s="255"/>
      <c r="HN128" s="255"/>
      <c r="HO128" s="255"/>
      <c r="HP128" s="250"/>
      <c r="HQ128" s="250"/>
      <c r="HR128" s="250"/>
      <c r="HS128" s="250"/>
      <c r="HT128" s="250"/>
      <c r="HU128" s="251"/>
      <c r="HX128" s="252"/>
      <c r="HY128" s="252"/>
      <c r="HZ128" s="252"/>
      <c r="ID128" s="252"/>
      <c r="IE128" s="252"/>
      <c r="IF128" s="252"/>
      <c r="IJ128" s="252"/>
      <c r="IK128" s="252"/>
      <c r="IL128" s="252"/>
      <c r="IP128" s="252"/>
      <c r="IQ128" s="252"/>
      <c r="IR128" s="252"/>
      <c r="IY128" s="66"/>
      <c r="IZ128" s="66"/>
      <c r="JA128" s="66"/>
      <c r="JB128" s="250"/>
      <c r="JC128" s="66"/>
      <c r="JD128" s="66"/>
      <c r="JE128" s="66"/>
      <c r="JF128" s="66"/>
      <c r="JG128" s="66"/>
      <c r="JH128" s="66"/>
      <c r="JI128" s="66"/>
      <c r="JJ128" s="66"/>
      <c r="JK128" s="8"/>
      <c r="JN128" s="252"/>
      <c r="JO128" s="252"/>
      <c r="JP128" s="252"/>
      <c r="JT128" s="252"/>
      <c r="JU128" s="252"/>
      <c r="JV128" s="252"/>
      <c r="JZ128" s="252"/>
      <c r="KA128" s="252"/>
      <c r="KB128" s="252"/>
      <c r="KF128" s="252"/>
      <c r="KG128" s="252"/>
      <c r="KH128" s="252"/>
      <c r="KO128" s="66"/>
      <c r="KP128" s="66"/>
      <c r="KQ128" s="66"/>
      <c r="KR128" s="66"/>
      <c r="KS128" s="66"/>
      <c r="KT128" s="66"/>
      <c r="KU128" s="66"/>
      <c r="KV128" s="66"/>
      <c r="KW128" s="66"/>
      <c r="KX128" s="66"/>
      <c r="KY128" s="66"/>
      <c r="KZ128" s="66"/>
      <c r="LA128" s="8"/>
      <c r="LD128" s="252"/>
      <c r="LE128" s="252"/>
      <c r="LF128" s="252"/>
      <c r="LJ128" s="252"/>
      <c r="LK128" s="252"/>
      <c r="LN128" s="252"/>
      <c r="LO128" s="252"/>
      <c r="LP128" s="252"/>
      <c r="LT128" s="271"/>
      <c r="LU128" s="250"/>
      <c r="LV128" s="250"/>
      <c r="LW128" s="250"/>
      <c r="LX128" s="250"/>
      <c r="LY128" s="250"/>
      <c r="LZ128" s="250"/>
      <c r="MA128" s="250"/>
      <c r="MB128" s="250"/>
      <c r="MC128" s="250"/>
      <c r="MD128" s="250"/>
      <c r="ME128" s="250"/>
      <c r="MF128" s="250"/>
      <c r="MG128" s="250"/>
      <c r="MH128" s="250"/>
      <c r="MI128" s="250"/>
      <c r="MJ128" s="250"/>
      <c r="MK128" s="424"/>
      <c r="ML128" s="640"/>
      <c r="MM128" s="251"/>
      <c r="MN128" s="252"/>
      <c r="MO128" s="252"/>
      <c r="MP128" s="252"/>
      <c r="MQ128" s="252"/>
      <c r="MR128" s="252"/>
      <c r="MS128" s="252"/>
      <c r="MT128" s="252"/>
      <c r="MU128" s="252"/>
      <c r="MV128" s="252"/>
      <c r="MW128" s="252"/>
      <c r="MX128" s="252"/>
      <c r="MY128" s="252"/>
      <c r="MZ128" s="252"/>
      <c r="NA128" s="252"/>
      <c r="NB128" s="252"/>
      <c r="NC128" s="251"/>
      <c r="ND128" s="250"/>
      <c r="NE128" s="250"/>
      <c r="NF128" s="250"/>
      <c r="NG128" s="250"/>
      <c r="NH128" s="250"/>
      <c r="NI128" s="250"/>
      <c r="NJ128" s="250"/>
      <c r="NK128" s="250"/>
      <c r="NL128" s="250"/>
      <c r="NM128" s="250"/>
      <c r="NN128" s="250"/>
      <c r="NO128" s="250"/>
      <c r="NP128" s="250"/>
      <c r="NQ128" s="250"/>
      <c r="NR128" s="250"/>
      <c r="NS128" s="250"/>
      <c r="NT128" s="250"/>
      <c r="NU128" s="250"/>
      <c r="NV128" s="250"/>
      <c r="NW128" s="251"/>
      <c r="OT128" s="8"/>
      <c r="QG128" s="8"/>
      <c r="RT128" s="8"/>
    </row>
    <row r="129" spans="1:488" s="282" customFormat="1" x14ac:dyDescent="0.25">
      <c r="A129" s="66"/>
      <c r="B129" s="8"/>
      <c r="C129" s="66"/>
      <c r="D129" s="66"/>
      <c r="E129" s="66"/>
      <c r="F129" s="66"/>
      <c r="G129" s="66"/>
      <c r="H129" s="66"/>
      <c r="I129" s="66"/>
      <c r="J129" s="66"/>
      <c r="K129" s="66"/>
      <c r="L129" s="66"/>
      <c r="M129" s="66"/>
      <c r="N129" s="66"/>
      <c r="O129" s="66"/>
      <c r="P129" s="66"/>
      <c r="Q129" s="66"/>
      <c r="R129" s="66"/>
      <c r="S129" s="66"/>
      <c r="T129" s="68"/>
      <c r="AC129" s="66"/>
      <c r="AD129" s="66"/>
      <c r="AE129" s="68"/>
      <c r="AN129" s="66"/>
      <c r="AO129" s="66"/>
      <c r="AP129" s="68"/>
      <c r="AW129" s="66"/>
      <c r="AX129" s="68"/>
      <c r="BD129" s="66"/>
      <c r="BE129" s="68"/>
      <c r="BF129" s="66"/>
      <c r="BG129" s="66"/>
      <c r="BH129" s="66"/>
      <c r="BI129" s="66"/>
      <c r="BJ129" s="66"/>
      <c r="BK129" s="66"/>
      <c r="BL129" s="68"/>
      <c r="BO129" s="66"/>
      <c r="BP129" s="68"/>
      <c r="BV129" s="66"/>
      <c r="BW129" s="68"/>
      <c r="CB129" s="8"/>
      <c r="CH129" s="8"/>
      <c r="CK129" s="299"/>
      <c r="CL129" s="299"/>
      <c r="CM129" s="66"/>
      <c r="CN129" s="66"/>
      <c r="CO129" s="68"/>
      <c r="CR129" s="8"/>
      <c r="CX129" s="66"/>
      <c r="CY129" s="532"/>
      <c r="DE129" s="66"/>
      <c r="DF129" s="66"/>
      <c r="DG129" s="68"/>
      <c r="DH129" s="68"/>
      <c r="DK129" s="66"/>
      <c r="DL129" s="66"/>
      <c r="DM129" s="66"/>
      <c r="DN129" s="66"/>
      <c r="DO129" s="66"/>
      <c r="DP129" s="66"/>
      <c r="DQ129" s="66"/>
      <c r="DR129" s="66"/>
      <c r="DS129" s="66"/>
      <c r="DT129" s="68"/>
      <c r="DU129" s="66"/>
      <c r="DV129" s="296"/>
      <c r="DW129" s="330"/>
      <c r="DX129" s="631"/>
      <c r="DY129" s="631"/>
      <c r="DZ129" s="631"/>
      <c r="EA129" s="330"/>
      <c r="EC129" s="66"/>
      <c r="ED129" s="68"/>
      <c r="EH129" s="66"/>
      <c r="EI129" s="66"/>
      <c r="EJ129" s="68"/>
      <c r="EK129" s="252"/>
      <c r="EL129" s="252"/>
      <c r="EM129" s="252"/>
      <c r="EO129" s="252"/>
      <c r="EP129" s="252"/>
      <c r="EQ129" s="252"/>
      <c r="ES129" s="252"/>
      <c r="ET129" s="252"/>
      <c r="EU129" s="252"/>
      <c r="EW129" s="252"/>
      <c r="EX129" s="252"/>
      <c r="EY129" s="252"/>
      <c r="FA129" s="250"/>
      <c r="FB129" s="250"/>
      <c r="FC129" s="250"/>
      <c r="FD129" s="250"/>
      <c r="FE129" s="250"/>
      <c r="FF129" s="250"/>
      <c r="FG129" s="250"/>
      <c r="FH129" s="424"/>
      <c r="FI129" s="250"/>
      <c r="FJ129" s="250"/>
      <c r="FK129" s="250"/>
      <c r="FL129" s="256"/>
      <c r="FM129" s="250"/>
      <c r="FN129" s="256"/>
      <c r="FO129" s="250"/>
      <c r="FP129" s="256"/>
      <c r="FQ129" s="250"/>
      <c r="FR129" s="256"/>
      <c r="FS129" s="250"/>
      <c r="FT129" s="256"/>
      <c r="FU129" s="256"/>
      <c r="FV129" s="256"/>
      <c r="FW129" s="250"/>
      <c r="FX129" s="424"/>
      <c r="FY129" s="251"/>
      <c r="GC129" s="252"/>
      <c r="GF129" s="252"/>
      <c r="GG129" s="252"/>
      <c r="GH129" s="252"/>
      <c r="GI129" s="252"/>
      <c r="GJ129" s="252"/>
      <c r="GK129" s="251"/>
      <c r="GL129" s="250"/>
      <c r="GM129" s="250"/>
      <c r="GN129" s="250"/>
      <c r="GO129" s="250"/>
      <c r="GP129" s="250"/>
      <c r="GQ129" s="250"/>
      <c r="GR129" s="250"/>
      <c r="GS129" s="250"/>
      <c r="GT129" s="250"/>
      <c r="GU129" s="251"/>
      <c r="GV129" s="250"/>
      <c r="GW129" s="250"/>
      <c r="GX129" s="250"/>
      <c r="GY129" s="250"/>
      <c r="GZ129" s="250"/>
      <c r="HA129" s="250"/>
      <c r="HB129" s="250"/>
      <c r="HC129" s="250"/>
      <c r="HD129" s="250"/>
      <c r="HE129" s="250"/>
      <c r="HF129" s="250"/>
      <c r="HG129" s="250"/>
      <c r="HH129" s="251"/>
      <c r="HI129" s="424"/>
      <c r="HJ129" s="255"/>
      <c r="HK129" s="255"/>
      <c r="HL129" s="250"/>
      <c r="HM129" s="255"/>
      <c r="HN129" s="255"/>
      <c r="HO129" s="255"/>
      <c r="HP129" s="250"/>
      <c r="HQ129" s="250"/>
      <c r="HR129" s="250"/>
      <c r="HS129" s="250"/>
      <c r="HT129" s="250"/>
      <c r="HU129" s="251"/>
      <c r="HX129" s="252"/>
      <c r="HY129" s="252"/>
      <c r="HZ129" s="252"/>
      <c r="ID129" s="252"/>
      <c r="IE129" s="252"/>
      <c r="IF129" s="252"/>
      <c r="IJ129" s="252"/>
      <c r="IK129" s="252"/>
      <c r="IL129" s="252"/>
      <c r="IP129" s="252"/>
      <c r="IQ129" s="252"/>
      <c r="IR129" s="252"/>
      <c r="IY129" s="66"/>
      <c r="IZ129" s="66"/>
      <c r="JA129" s="66"/>
      <c r="JB129" s="250"/>
      <c r="JC129" s="66"/>
      <c r="JD129" s="66"/>
      <c r="JE129" s="66"/>
      <c r="JF129" s="66"/>
      <c r="JG129" s="66"/>
      <c r="JH129" s="66"/>
      <c r="JI129" s="66"/>
      <c r="JJ129" s="66"/>
      <c r="JK129" s="8"/>
      <c r="JN129" s="252"/>
      <c r="JO129" s="252"/>
      <c r="JP129" s="252"/>
      <c r="JT129" s="252"/>
      <c r="JU129" s="252"/>
      <c r="JV129" s="252"/>
      <c r="JZ129" s="252"/>
      <c r="KA129" s="252"/>
      <c r="KB129" s="252"/>
      <c r="KF129" s="252"/>
      <c r="KG129" s="252"/>
      <c r="KH129" s="252"/>
      <c r="KO129" s="66"/>
      <c r="KP129" s="66"/>
      <c r="KQ129" s="66"/>
      <c r="KR129" s="66"/>
      <c r="KS129" s="66"/>
      <c r="KT129" s="66"/>
      <c r="KU129" s="66"/>
      <c r="KV129" s="66"/>
      <c r="KW129" s="66"/>
      <c r="KX129" s="66"/>
      <c r="KY129" s="66"/>
      <c r="KZ129" s="66"/>
      <c r="LA129" s="8"/>
      <c r="LD129" s="252"/>
      <c r="LE129" s="252"/>
      <c r="LF129" s="252"/>
      <c r="LJ129" s="252"/>
      <c r="LK129" s="252"/>
      <c r="LN129" s="252"/>
      <c r="LO129" s="252"/>
      <c r="LP129" s="252"/>
      <c r="LT129" s="271"/>
      <c r="LU129" s="250"/>
      <c r="LV129" s="250"/>
      <c r="LW129" s="250"/>
      <c r="LX129" s="250"/>
      <c r="LY129" s="250"/>
      <c r="LZ129" s="250"/>
      <c r="MA129" s="250"/>
      <c r="MB129" s="250"/>
      <c r="MC129" s="250"/>
      <c r="MD129" s="250"/>
      <c r="ME129" s="250"/>
      <c r="MF129" s="250"/>
      <c r="MG129" s="250"/>
      <c r="MH129" s="250"/>
      <c r="MI129" s="250"/>
      <c r="MJ129" s="250"/>
      <c r="MK129" s="424"/>
      <c r="ML129" s="640"/>
      <c r="MM129" s="251"/>
      <c r="MN129" s="252"/>
      <c r="MO129" s="252"/>
      <c r="MP129" s="252"/>
      <c r="MQ129" s="252"/>
      <c r="MR129" s="252"/>
      <c r="MS129" s="252"/>
      <c r="MT129" s="252"/>
      <c r="MU129" s="252"/>
      <c r="MV129" s="252"/>
      <c r="MW129" s="252"/>
      <c r="MX129" s="252"/>
      <c r="MY129" s="252"/>
      <c r="MZ129" s="252"/>
      <c r="NA129" s="252"/>
      <c r="NB129" s="252"/>
      <c r="NC129" s="251"/>
      <c r="ND129" s="250"/>
      <c r="NE129" s="250"/>
      <c r="NF129" s="250"/>
      <c r="NG129" s="250"/>
      <c r="NH129" s="250"/>
      <c r="NI129" s="250"/>
      <c r="NJ129" s="250"/>
      <c r="NK129" s="250"/>
      <c r="NL129" s="250"/>
      <c r="NM129" s="250"/>
      <c r="NN129" s="250"/>
      <c r="NO129" s="250"/>
      <c r="NP129" s="250"/>
      <c r="NQ129" s="250"/>
      <c r="NR129" s="250"/>
      <c r="NS129" s="250"/>
      <c r="NT129" s="250"/>
      <c r="NU129" s="250"/>
      <c r="NV129" s="250"/>
      <c r="NW129" s="251"/>
      <c r="OT129" s="8"/>
      <c r="QG129" s="8"/>
      <c r="RT129" s="8"/>
    </row>
    <row r="130" spans="1:488" s="282" customFormat="1" x14ac:dyDescent="0.25">
      <c r="A130" s="66"/>
      <c r="B130" s="8"/>
      <c r="C130" s="66"/>
      <c r="D130" s="66"/>
      <c r="E130" s="66"/>
      <c r="F130" s="66"/>
      <c r="G130" s="66"/>
      <c r="H130" s="66"/>
      <c r="I130" s="66"/>
      <c r="J130" s="66"/>
      <c r="K130" s="66"/>
      <c r="L130" s="66"/>
      <c r="M130" s="66"/>
      <c r="N130" s="66"/>
      <c r="O130" s="66"/>
      <c r="P130" s="66"/>
      <c r="Q130" s="66"/>
      <c r="R130" s="66"/>
      <c r="S130" s="66"/>
      <c r="T130" s="68"/>
      <c r="AC130" s="66"/>
      <c r="AD130" s="66"/>
      <c r="AE130" s="68"/>
      <c r="AN130" s="66"/>
      <c r="AO130" s="66"/>
      <c r="AP130" s="68"/>
      <c r="AW130" s="66"/>
      <c r="AX130" s="68"/>
      <c r="BD130" s="66"/>
      <c r="BE130" s="68"/>
      <c r="BF130" s="66"/>
      <c r="BG130" s="66"/>
      <c r="BH130" s="66"/>
      <c r="BI130" s="66"/>
      <c r="BJ130" s="66"/>
      <c r="BK130" s="66"/>
      <c r="BL130" s="68"/>
      <c r="BO130" s="66"/>
      <c r="BP130" s="68"/>
      <c r="BV130" s="66"/>
      <c r="BW130" s="68"/>
      <c r="CB130" s="8"/>
      <c r="CH130" s="8"/>
      <c r="CK130" s="299"/>
      <c r="CL130" s="299"/>
      <c r="CM130" s="66"/>
      <c r="CN130" s="66"/>
      <c r="CO130" s="68"/>
      <c r="CR130" s="8"/>
      <c r="CX130" s="66"/>
      <c r="CY130" s="532"/>
      <c r="DE130" s="66"/>
      <c r="DF130" s="66"/>
      <c r="DG130" s="68"/>
      <c r="DH130" s="68"/>
      <c r="DK130" s="66"/>
      <c r="DL130" s="66"/>
      <c r="DM130" s="66"/>
      <c r="DN130" s="66"/>
      <c r="DO130" s="66"/>
      <c r="DP130" s="66"/>
      <c r="DQ130" s="66"/>
      <c r="DR130" s="66"/>
      <c r="DS130" s="66"/>
      <c r="DT130" s="68"/>
      <c r="DU130" s="66"/>
      <c r="DV130" s="296"/>
      <c r="DW130" s="330"/>
      <c r="DX130" s="631"/>
      <c r="DY130" s="631"/>
      <c r="DZ130" s="631"/>
      <c r="EA130" s="330"/>
      <c r="EC130" s="66"/>
      <c r="ED130" s="68"/>
      <c r="EH130" s="66"/>
      <c r="EI130" s="66"/>
      <c r="EJ130" s="68"/>
      <c r="EK130" s="252"/>
      <c r="EL130" s="252"/>
      <c r="EM130" s="252"/>
      <c r="EO130" s="252"/>
      <c r="EP130" s="252"/>
      <c r="EQ130" s="252"/>
      <c r="ES130" s="252"/>
      <c r="ET130" s="252"/>
      <c r="EU130" s="252"/>
      <c r="EW130" s="252"/>
      <c r="EX130" s="252"/>
      <c r="EY130" s="252"/>
      <c r="FA130" s="250"/>
      <c r="FB130" s="250"/>
      <c r="FC130" s="250"/>
      <c r="FD130" s="250"/>
      <c r="FE130" s="250"/>
      <c r="FF130" s="250"/>
      <c r="FG130" s="250"/>
      <c r="FH130" s="424"/>
      <c r="FI130" s="250"/>
      <c r="FJ130" s="250"/>
      <c r="FK130" s="250"/>
      <c r="FL130" s="256"/>
      <c r="FM130" s="250"/>
      <c r="FN130" s="256"/>
      <c r="FO130" s="250"/>
      <c r="FP130" s="256"/>
      <c r="FQ130" s="250"/>
      <c r="FR130" s="256"/>
      <c r="FS130" s="250"/>
      <c r="FT130" s="256"/>
      <c r="FU130" s="256"/>
      <c r="FV130" s="256"/>
      <c r="FW130" s="250"/>
      <c r="FX130" s="424"/>
      <c r="FY130" s="251"/>
      <c r="GC130" s="252"/>
      <c r="GF130" s="252"/>
      <c r="GG130" s="252"/>
      <c r="GH130" s="252"/>
      <c r="GI130" s="252"/>
      <c r="GJ130" s="252"/>
      <c r="GK130" s="251"/>
      <c r="GL130" s="250"/>
      <c r="GM130" s="250"/>
      <c r="GN130" s="250"/>
      <c r="GO130" s="250"/>
      <c r="GP130" s="250"/>
      <c r="GQ130" s="250"/>
      <c r="GR130" s="250"/>
      <c r="GS130" s="250"/>
      <c r="GT130" s="250"/>
      <c r="GU130" s="251"/>
      <c r="GV130" s="250"/>
      <c r="GW130" s="250"/>
      <c r="GX130" s="250"/>
      <c r="GY130" s="250"/>
      <c r="GZ130" s="250"/>
      <c r="HA130" s="250"/>
      <c r="HB130" s="250"/>
      <c r="HC130" s="250"/>
      <c r="HD130" s="250"/>
      <c r="HE130" s="250"/>
      <c r="HF130" s="250"/>
      <c r="HG130" s="250"/>
      <c r="HH130" s="251"/>
      <c r="HI130" s="424"/>
      <c r="HJ130" s="255"/>
      <c r="HK130" s="255"/>
      <c r="HL130" s="250"/>
      <c r="HM130" s="255"/>
      <c r="HN130" s="255"/>
      <c r="HO130" s="255"/>
      <c r="HP130" s="250"/>
      <c r="HQ130" s="250"/>
      <c r="HR130" s="250"/>
      <c r="HS130" s="250"/>
      <c r="HT130" s="250"/>
      <c r="HU130" s="251"/>
      <c r="HX130" s="252"/>
      <c r="HY130" s="252"/>
      <c r="HZ130" s="252"/>
      <c r="ID130" s="252"/>
      <c r="IE130" s="252"/>
      <c r="IF130" s="252"/>
      <c r="IJ130" s="252"/>
      <c r="IK130" s="252"/>
      <c r="IL130" s="252"/>
      <c r="IP130" s="252"/>
      <c r="IQ130" s="252"/>
      <c r="IR130" s="252"/>
      <c r="IY130" s="66"/>
      <c r="IZ130" s="66"/>
      <c r="JA130" s="66"/>
      <c r="JB130" s="250"/>
      <c r="JC130" s="66"/>
      <c r="JD130" s="66"/>
      <c r="JE130" s="66"/>
      <c r="JF130" s="66"/>
      <c r="JG130" s="66"/>
      <c r="JH130" s="66"/>
      <c r="JI130" s="66"/>
      <c r="JJ130" s="66"/>
      <c r="JK130" s="8"/>
      <c r="JN130" s="252"/>
      <c r="JO130" s="252"/>
      <c r="JP130" s="252"/>
      <c r="JT130" s="252"/>
      <c r="JU130" s="252"/>
      <c r="JV130" s="252"/>
      <c r="JZ130" s="252"/>
      <c r="KA130" s="252"/>
      <c r="KB130" s="252"/>
      <c r="KF130" s="252"/>
      <c r="KG130" s="252"/>
      <c r="KH130" s="252"/>
      <c r="KO130" s="66"/>
      <c r="KP130" s="66"/>
      <c r="KQ130" s="66"/>
      <c r="KR130" s="66"/>
      <c r="KS130" s="66"/>
      <c r="KT130" s="66"/>
      <c r="KU130" s="66"/>
      <c r="KV130" s="66"/>
      <c r="KW130" s="66"/>
      <c r="KX130" s="66"/>
      <c r="KY130" s="66"/>
      <c r="KZ130" s="66"/>
      <c r="LA130" s="8"/>
      <c r="LD130" s="252"/>
      <c r="LE130" s="252"/>
      <c r="LF130" s="252"/>
      <c r="LJ130" s="252"/>
      <c r="LK130" s="252"/>
      <c r="LN130" s="252"/>
      <c r="LO130" s="252"/>
      <c r="LP130" s="252"/>
      <c r="LT130" s="271"/>
      <c r="LU130" s="250"/>
      <c r="LV130" s="250"/>
      <c r="LW130" s="250"/>
      <c r="LX130" s="250"/>
      <c r="LY130" s="250"/>
      <c r="LZ130" s="250"/>
      <c r="MA130" s="250"/>
      <c r="MB130" s="250"/>
      <c r="MC130" s="250"/>
      <c r="MD130" s="250"/>
      <c r="ME130" s="250"/>
      <c r="MF130" s="250"/>
      <c r="MG130" s="250"/>
      <c r="MH130" s="250"/>
      <c r="MI130" s="250"/>
      <c r="MJ130" s="250"/>
      <c r="MK130" s="424"/>
      <c r="ML130" s="640"/>
      <c r="MM130" s="251"/>
      <c r="MN130" s="252"/>
      <c r="MO130" s="252"/>
      <c r="MP130" s="252"/>
      <c r="MQ130" s="252"/>
      <c r="MR130" s="252"/>
      <c r="MS130" s="252"/>
      <c r="MT130" s="252"/>
      <c r="MU130" s="252"/>
      <c r="MV130" s="252"/>
      <c r="MW130" s="252"/>
      <c r="MX130" s="252"/>
      <c r="MY130" s="252"/>
      <c r="MZ130" s="252"/>
      <c r="NA130" s="252"/>
      <c r="NB130" s="252"/>
      <c r="NC130" s="251"/>
      <c r="ND130" s="250"/>
      <c r="NE130" s="250"/>
      <c r="NF130" s="250"/>
      <c r="NG130" s="250"/>
      <c r="NH130" s="250"/>
      <c r="NI130" s="250"/>
      <c r="NJ130" s="250"/>
      <c r="NK130" s="250"/>
      <c r="NL130" s="250"/>
      <c r="NM130" s="250"/>
      <c r="NN130" s="250"/>
      <c r="NO130" s="250"/>
      <c r="NP130" s="250"/>
      <c r="NQ130" s="250"/>
      <c r="NR130" s="250"/>
      <c r="NS130" s="250"/>
      <c r="NT130" s="250"/>
      <c r="NU130" s="250"/>
      <c r="NV130" s="250"/>
      <c r="NW130" s="251"/>
      <c r="OT130" s="8"/>
      <c r="QG130" s="8"/>
      <c r="RT130" s="8"/>
    </row>
    <row r="131" spans="1:488" s="282" customFormat="1" x14ac:dyDescent="0.25">
      <c r="A131" s="66"/>
      <c r="B131" s="8"/>
      <c r="C131" s="66"/>
      <c r="D131" s="66"/>
      <c r="E131" s="66"/>
      <c r="F131" s="66"/>
      <c r="G131" s="66"/>
      <c r="H131" s="66"/>
      <c r="I131" s="66"/>
      <c r="J131" s="66"/>
      <c r="K131" s="66"/>
      <c r="L131" s="66"/>
      <c r="M131" s="66"/>
      <c r="N131" s="66"/>
      <c r="O131" s="66"/>
      <c r="P131" s="66"/>
      <c r="Q131" s="66"/>
      <c r="R131" s="66"/>
      <c r="S131" s="66"/>
      <c r="T131" s="68"/>
      <c r="AC131" s="66"/>
      <c r="AD131" s="66"/>
      <c r="AE131" s="68"/>
      <c r="AN131" s="66"/>
      <c r="AO131" s="66"/>
      <c r="AP131" s="68"/>
      <c r="AW131" s="66"/>
      <c r="AX131" s="68"/>
      <c r="BD131" s="66"/>
      <c r="BE131" s="68"/>
      <c r="BF131" s="66"/>
      <c r="BG131" s="66"/>
      <c r="BH131" s="66"/>
      <c r="BI131" s="66"/>
      <c r="BJ131" s="66"/>
      <c r="BK131" s="66"/>
      <c r="BL131" s="68"/>
      <c r="BO131" s="66"/>
      <c r="BP131" s="68"/>
      <c r="BV131" s="66"/>
      <c r="BW131" s="68"/>
      <c r="CB131" s="8"/>
      <c r="CH131" s="8"/>
      <c r="CK131" s="299"/>
      <c r="CL131" s="299"/>
      <c r="CM131" s="66"/>
      <c r="CN131" s="66"/>
      <c r="CO131" s="68"/>
      <c r="CR131" s="8"/>
      <c r="CX131" s="66"/>
      <c r="CY131" s="532"/>
      <c r="DE131" s="66"/>
      <c r="DF131" s="66"/>
      <c r="DG131" s="68"/>
      <c r="DH131" s="68"/>
      <c r="DK131" s="66"/>
      <c r="DL131" s="66"/>
      <c r="DM131" s="66"/>
      <c r="DN131" s="66"/>
      <c r="DO131" s="66"/>
      <c r="DP131" s="66"/>
      <c r="DQ131" s="66"/>
      <c r="DR131" s="66"/>
      <c r="DS131" s="66"/>
      <c r="DT131" s="68"/>
      <c r="DU131" s="66"/>
      <c r="DV131" s="296"/>
      <c r="DW131" s="330"/>
      <c r="DX131" s="631"/>
      <c r="DY131" s="631"/>
      <c r="DZ131" s="631"/>
      <c r="EA131" s="330"/>
      <c r="EC131" s="66"/>
      <c r="ED131" s="68"/>
      <c r="EH131" s="66"/>
      <c r="EI131" s="66"/>
      <c r="EJ131" s="68"/>
      <c r="EK131" s="252"/>
      <c r="EL131" s="252"/>
      <c r="EM131" s="252"/>
      <c r="EO131" s="252"/>
      <c r="EP131" s="252"/>
      <c r="EQ131" s="252"/>
      <c r="ES131" s="252"/>
      <c r="ET131" s="252"/>
      <c r="EU131" s="252"/>
      <c r="EW131" s="252"/>
      <c r="EX131" s="252"/>
      <c r="EY131" s="252"/>
      <c r="FA131" s="250"/>
      <c r="FB131" s="250"/>
      <c r="FC131" s="250"/>
      <c r="FD131" s="250"/>
      <c r="FE131" s="250"/>
      <c r="FF131" s="250"/>
      <c r="FG131" s="250"/>
      <c r="FH131" s="424"/>
      <c r="FI131" s="250"/>
      <c r="FJ131" s="250"/>
      <c r="FK131" s="250"/>
      <c r="FL131" s="256"/>
      <c r="FM131" s="250"/>
      <c r="FN131" s="256"/>
      <c r="FO131" s="250"/>
      <c r="FP131" s="256"/>
      <c r="FQ131" s="250"/>
      <c r="FR131" s="256"/>
      <c r="FS131" s="250"/>
      <c r="FT131" s="256"/>
      <c r="FU131" s="256"/>
      <c r="FV131" s="256"/>
      <c r="FW131" s="250"/>
      <c r="FX131" s="424"/>
      <c r="FY131" s="251"/>
      <c r="GC131" s="252"/>
      <c r="GF131" s="252"/>
      <c r="GG131" s="252"/>
      <c r="GH131" s="252"/>
      <c r="GI131" s="252"/>
      <c r="GJ131" s="252"/>
      <c r="GK131" s="251"/>
      <c r="GL131" s="250"/>
      <c r="GM131" s="250"/>
      <c r="GN131" s="250"/>
      <c r="GO131" s="250"/>
      <c r="GP131" s="250"/>
      <c r="GQ131" s="250"/>
      <c r="GR131" s="250"/>
      <c r="GS131" s="250"/>
      <c r="GT131" s="250"/>
      <c r="GU131" s="251"/>
      <c r="GV131" s="250"/>
      <c r="GW131" s="250"/>
      <c r="GX131" s="250"/>
      <c r="GY131" s="250"/>
      <c r="GZ131" s="250"/>
      <c r="HA131" s="250"/>
      <c r="HB131" s="250"/>
      <c r="HC131" s="250"/>
      <c r="HD131" s="250"/>
      <c r="HE131" s="250"/>
      <c r="HF131" s="250"/>
      <c r="HG131" s="250"/>
      <c r="HH131" s="251"/>
      <c r="HI131" s="424"/>
      <c r="HJ131" s="255"/>
      <c r="HK131" s="255"/>
      <c r="HL131" s="250"/>
      <c r="HM131" s="255"/>
      <c r="HN131" s="255"/>
      <c r="HO131" s="255"/>
      <c r="HP131" s="250"/>
      <c r="HQ131" s="250"/>
      <c r="HR131" s="250"/>
      <c r="HS131" s="250"/>
      <c r="HT131" s="250"/>
      <c r="HU131" s="251"/>
      <c r="HX131" s="252"/>
      <c r="HY131" s="252"/>
      <c r="HZ131" s="252"/>
      <c r="ID131" s="252"/>
      <c r="IE131" s="252"/>
      <c r="IF131" s="252"/>
      <c r="IJ131" s="252"/>
      <c r="IK131" s="252"/>
      <c r="IL131" s="252"/>
      <c r="IP131" s="252"/>
      <c r="IQ131" s="252"/>
      <c r="IR131" s="252"/>
      <c r="IY131" s="66"/>
      <c r="IZ131" s="66"/>
      <c r="JA131" s="66"/>
      <c r="JB131" s="250"/>
      <c r="JC131" s="66"/>
      <c r="JD131" s="66"/>
      <c r="JE131" s="66"/>
      <c r="JF131" s="66"/>
      <c r="JG131" s="66"/>
      <c r="JH131" s="66"/>
      <c r="JI131" s="66"/>
      <c r="JJ131" s="66"/>
      <c r="JK131" s="8"/>
      <c r="JN131" s="252"/>
      <c r="JO131" s="252"/>
      <c r="JP131" s="252"/>
      <c r="JT131" s="252"/>
      <c r="JU131" s="252"/>
      <c r="JV131" s="252"/>
      <c r="JZ131" s="252"/>
      <c r="KA131" s="252"/>
      <c r="KB131" s="252"/>
      <c r="KF131" s="252"/>
      <c r="KG131" s="252"/>
      <c r="KH131" s="252"/>
      <c r="KO131" s="66"/>
      <c r="KP131" s="66"/>
      <c r="KQ131" s="66"/>
      <c r="KR131" s="66"/>
      <c r="KS131" s="66"/>
      <c r="KT131" s="66"/>
      <c r="KU131" s="66"/>
      <c r="KV131" s="66"/>
      <c r="KW131" s="66"/>
      <c r="KX131" s="66"/>
      <c r="KY131" s="66"/>
      <c r="KZ131" s="66"/>
      <c r="LA131" s="8"/>
      <c r="LD131" s="252"/>
      <c r="LE131" s="252"/>
      <c r="LF131" s="252"/>
      <c r="LJ131" s="252"/>
      <c r="LK131" s="252"/>
      <c r="LN131" s="252"/>
      <c r="LO131" s="252"/>
      <c r="LP131" s="252"/>
      <c r="LT131" s="271"/>
      <c r="LU131" s="250"/>
      <c r="LV131" s="250"/>
      <c r="LW131" s="250"/>
      <c r="LX131" s="250"/>
      <c r="LY131" s="250"/>
      <c r="LZ131" s="250"/>
      <c r="MA131" s="250"/>
      <c r="MB131" s="250"/>
      <c r="MC131" s="250"/>
      <c r="MD131" s="250"/>
      <c r="ME131" s="250"/>
      <c r="MF131" s="250"/>
      <c r="MG131" s="250"/>
      <c r="MH131" s="250"/>
      <c r="MI131" s="250"/>
      <c r="MJ131" s="250"/>
      <c r="MK131" s="424"/>
      <c r="ML131" s="640"/>
      <c r="MM131" s="251"/>
      <c r="MN131" s="252"/>
      <c r="MO131" s="252"/>
      <c r="MP131" s="252"/>
      <c r="MQ131" s="252"/>
      <c r="MR131" s="252"/>
      <c r="MS131" s="252"/>
      <c r="MT131" s="252"/>
      <c r="MU131" s="252"/>
      <c r="MV131" s="252"/>
      <c r="MW131" s="252"/>
      <c r="MX131" s="252"/>
      <c r="MY131" s="252"/>
      <c r="MZ131" s="252"/>
      <c r="NA131" s="252"/>
      <c r="NB131" s="252"/>
      <c r="NC131" s="251"/>
      <c r="ND131" s="250"/>
      <c r="NE131" s="250"/>
      <c r="NF131" s="250"/>
      <c r="NG131" s="250"/>
      <c r="NH131" s="250"/>
      <c r="NI131" s="250"/>
      <c r="NJ131" s="250"/>
      <c r="NK131" s="250"/>
      <c r="NL131" s="250"/>
      <c r="NM131" s="250"/>
      <c r="NN131" s="250"/>
      <c r="NO131" s="250"/>
      <c r="NP131" s="250"/>
      <c r="NQ131" s="250"/>
      <c r="NR131" s="250"/>
      <c r="NS131" s="250"/>
      <c r="NT131" s="250"/>
      <c r="NU131" s="250"/>
      <c r="NV131" s="250"/>
      <c r="NW131" s="251"/>
      <c r="OT131" s="8"/>
      <c r="QG131" s="8"/>
      <c r="RT131" s="8"/>
    </row>
    <row r="132" spans="1:488" s="282" customFormat="1" x14ac:dyDescent="0.25">
      <c r="A132" s="66"/>
      <c r="B132" s="8"/>
      <c r="C132" s="66"/>
      <c r="D132" s="66"/>
      <c r="E132" s="66"/>
      <c r="F132" s="66"/>
      <c r="G132" s="66"/>
      <c r="H132" s="66"/>
      <c r="I132" s="66"/>
      <c r="J132" s="66"/>
      <c r="K132" s="66"/>
      <c r="L132" s="66"/>
      <c r="M132" s="66"/>
      <c r="N132" s="66"/>
      <c r="O132" s="66"/>
      <c r="P132" s="66"/>
      <c r="Q132" s="66"/>
      <c r="R132" s="66"/>
      <c r="S132" s="66"/>
      <c r="T132" s="68"/>
      <c r="AC132" s="66"/>
      <c r="AD132" s="66"/>
      <c r="AE132" s="68"/>
      <c r="AN132" s="66"/>
      <c r="AO132" s="66"/>
      <c r="AP132" s="68"/>
      <c r="AW132" s="66"/>
      <c r="AX132" s="68"/>
      <c r="BD132" s="66"/>
      <c r="BE132" s="68"/>
      <c r="BF132" s="66"/>
      <c r="BG132" s="66"/>
      <c r="BH132" s="66"/>
      <c r="BI132" s="66"/>
      <c r="BJ132" s="66"/>
      <c r="BK132" s="66"/>
      <c r="BL132" s="68"/>
      <c r="BO132" s="66"/>
      <c r="BP132" s="68"/>
      <c r="BV132" s="66"/>
      <c r="BW132" s="68"/>
      <c r="CB132" s="8"/>
      <c r="CH132" s="8"/>
      <c r="CK132" s="299"/>
      <c r="CL132" s="299"/>
      <c r="CM132" s="66"/>
      <c r="CN132" s="66"/>
      <c r="CO132" s="68"/>
      <c r="CR132" s="8"/>
      <c r="CX132" s="66"/>
      <c r="CY132" s="532"/>
      <c r="DE132" s="66"/>
      <c r="DF132" s="66"/>
      <c r="DG132" s="68"/>
      <c r="DH132" s="68"/>
      <c r="DK132" s="66"/>
      <c r="DL132" s="66"/>
      <c r="DM132" s="66"/>
      <c r="DN132" s="66"/>
      <c r="DO132" s="66"/>
      <c r="DP132" s="66"/>
      <c r="DQ132" s="66"/>
      <c r="DR132" s="66"/>
      <c r="DS132" s="66"/>
      <c r="DT132" s="68"/>
      <c r="DU132" s="66"/>
      <c r="DV132" s="296"/>
      <c r="DW132" s="330"/>
      <c r="DX132" s="631"/>
      <c r="DY132" s="631"/>
      <c r="DZ132" s="631"/>
      <c r="EA132" s="330"/>
      <c r="EC132" s="66"/>
      <c r="ED132" s="68"/>
      <c r="EH132" s="66"/>
      <c r="EI132" s="66"/>
      <c r="EJ132" s="68"/>
      <c r="EK132" s="252"/>
      <c r="EL132" s="252"/>
      <c r="EM132" s="252"/>
      <c r="EO132" s="252"/>
      <c r="EP132" s="252"/>
      <c r="EQ132" s="252"/>
      <c r="ES132" s="252"/>
      <c r="ET132" s="252"/>
      <c r="EU132" s="252"/>
      <c r="EW132" s="252"/>
      <c r="EX132" s="252"/>
      <c r="EY132" s="252"/>
      <c r="FA132" s="250"/>
      <c r="FB132" s="250"/>
      <c r="FC132" s="250"/>
      <c r="FD132" s="250"/>
      <c r="FE132" s="250"/>
      <c r="FF132" s="250"/>
      <c r="FG132" s="250"/>
      <c r="FH132" s="424"/>
      <c r="FI132" s="250"/>
      <c r="FJ132" s="250"/>
      <c r="FK132" s="250"/>
      <c r="FL132" s="256"/>
      <c r="FM132" s="250"/>
      <c r="FN132" s="256"/>
      <c r="FO132" s="250"/>
      <c r="FP132" s="256"/>
      <c r="FQ132" s="250"/>
      <c r="FR132" s="256"/>
      <c r="FS132" s="250"/>
      <c r="FT132" s="256"/>
      <c r="FU132" s="256"/>
      <c r="FV132" s="256"/>
      <c r="FW132" s="250"/>
      <c r="FX132" s="424"/>
      <c r="FY132" s="251"/>
      <c r="GC132" s="252"/>
      <c r="GF132" s="252"/>
      <c r="GG132" s="252"/>
      <c r="GH132" s="252"/>
      <c r="GI132" s="252"/>
      <c r="GJ132" s="252"/>
      <c r="GK132" s="251"/>
      <c r="GL132" s="250"/>
      <c r="GM132" s="250"/>
      <c r="GN132" s="250"/>
      <c r="GO132" s="250"/>
      <c r="GP132" s="250"/>
      <c r="GQ132" s="250"/>
      <c r="GR132" s="250"/>
      <c r="GS132" s="250"/>
      <c r="GT132" s="250"/>
      <c r="GU132" s="251"/>
      <c r="GV132" s="250"/>
      <c r="GW132" s="250"/>
      <c r="GX132" s="250"/>
      <c r="GY132" s="250"/>
      <c r="GZ132" s="250"/>
      <c r="HA132" s="250"/>
      <c r="HB132" s="250"/>
      <c r="HC132" s="250"/>
      <c r="HD132" s="250"/>
      <c r="HE132" s="250"/>
      <c r="HF132" s="250"/>
      <c r="HG132" s="250"/>
      <c r="HH132" s="251"/>
      <c r="HI132" s="424"/>
      <c r="HJ132" s="255"/>
      <c r="HK132" s="255"/>
      <c r="HL132" s="250"/>
      <c r="HM132" s="255"/>
      <c r="HN132" s="255"/>
      <c r="HO132" s="255"/>
      <c r="HP132" s="250"/>
      <c r="HQ132" s="250"/>
      <c r="HR132" s="250"/>
      <c r="HS132" s="250"/>
      <c r="HT132" s="250"/>
      <c r="HU132" s="251"/>
      <c r="HX132" s="252"/>
      <c r="HY132" s="252"/>
      <c r="HZ132" s="252"/>
      <c r="ID132" s="252"/>
      <c r="IE132" s="252"/>
      <c r="IF132" s="252"/>
      <c r="IJ132" s="252"/>
      <c r="IK132" s="252"/>
      <c r="IL132" s="252"/>
      <c r="IP132" s="252"/>
      <c r="IQ132" s="252"/>
      <c r="IR132" s="252"/>
      <c r="IY132" s="66"/>
      <c r="IZ132" s="66"/>
      <c r="JA132" s="66"/>
      <c r="JB132" s="250"/>
      <c r="JC132" s="66"/>
      <c r="JD132" s="66"/>
      <c r="JE132" s="66"/>
      <c r="JF132" s="66"/>
      <c r="JG132" s="66"/>
      <c r="JH132" s="66"/>
      <c r="JI132" s="66"/>
      <c r="JJ132" s="66"/>
      <c r="JK132" s="8"/>
      <c r="JN132" s="252"/>
      <c r="JO132" s="252"/>
      <c r="JP132" s="252"/>
      <c r="JT132" s="252"/>
      <c r="JU132" s="252"/>
      <c r="JV132" s="252"/>
      <c r="JZ132" s="252"/>
      <c r="KA132" s="252"/>
      <c r="KB132" s="252"/>
      <c r="KF132" s="252"/>
      <c r="KG132" s="252"/>
      <c r="KH132" s="252"/>
      <c r="KO132" s="66"/>
      <c r="KP132" s="66"/>
      <c r="KQ132" s="66"/>
      <c r="KR132" s="66"/>
      <c r="KS132" s="66"/>
      <c r="KT132" s="66"/>
      <c r="KU132" s="66"/>
      <c r="KV132" s="66"/>
      <c r="KW132" s="66"/>
      <c r="KX132" s="66"/>
      <c r="KY132" s="66"/>
      <c r="KZ132" s="66"/>
      <c r="LA132" s="8"/>
      <c r="LD132" s="252"/>
      <c r="LE132" s="252"/>
      <c r="LF132" s="252"/>
      <c r="LJ132" s="252"/>
      <c r="LK132" s="252"/>
      <c r="LN132" s="252"/>
      <c r="LO132" s="252"/>
      <c r="LP132" s="252"/>
      <c r="LT132" s="271"/>
      <c r="LU132" s="250"/>
      <c r="LV132" s="250"/>
      <c r="LW132" s="250"/>
      <c r="LX132" s="250"/>
      <c r="LY132" s="250"/>
      <c r="LZ132" s="250"/>
      <c r="MA132" s="250"/>
      <c r="MB132" s="250"/>
      <c r="MC132" s="250"/>
      <c r="MD132" s="250"/>
      <c r="ME132" s="250"/>
      <c r="MF132" s="250"/>
      <c r="MG132" s="250"/>
      <c r="MH132" s="250"/>
      <c r="MI132" s="250"/>
      <c r="MJ132" s="250"/>
      <c r="MK132" s="424"/>
      <c r="ML132" s="640"/>
      <c r="MM132" s="251"/>
      <c r="MN132" s="252"/>
      <c r="MO132" s="252"/>
      <c r="MP132" s="252"/>
      <c r="MQ132" s="252"/>
      <c r="MR132" s="252"/>
      <c r="MS132" s="252"/>
      <c r="MT132" s="252"/>
      <c r="MU132" s="252"/>
      <c r="MV132" s="252"/>
      <c r="MW132" s="252"/>
      <c r="MX132" s="252"/>
      <c r="MY132" s="252"/>
      <c r="MZ132" s="252"/>
      <c r="NA132" s="252"/>
      <c r="NB132" s="252"/>
      <c r="NC132" s="251"/>
      <c r="ND132" s="250"/>
      <c r="NE132" s="250"/>
      <c r="NF132" s="250"/>
      <c r="NG132" s="250"/>
      <c r="NH132" s="250"/>
      <c r="NI132" s="250"/>
      <c r="NJ132" s="250"/>
      <c r="NK132" s="250"/>
      <c r="NL132" s="250"/>
      <c r="NM132" s="250"/>
      <c r="NN132" s="250"/>
      <c r="NO132" s="250"/>
      <c r="NP132" s="250"/>
      <c r="NQ132" s="250"/>
      <c r="NR132" s="250"/>
      <c r="NS132" s="250"/>
      <c r="NT132" s="250"/>
      <c r="NU132" s="250"/>
      <c r="NV132" s="250"/>
      <c r="NW132" s="251"/>
      <c r="OT132" s="8"/>
      <c r="QG132" s="8"/>
      <c r="RT132" s="8"/>
    </row>
    <row r="133" spans="1:488" s="282" customFormat="1" x14ac:dyDescent="0.25">
      <c r="A133" s="66"/>
      <c r="B133" s="8"/>
      <c r="C133" s="66"/>
      <c r="D133" s="66"/>
      <c r="E133" s="66"/>
      <c r="F133" s="66"/>
      <c r="G133" s="66"/>
      <c r="H133" s="66"/>
      <c r="I133" s="66"/>
      <c r="J133" s="66"/>
      <c r="K133" s="66"/>
      <c r="L133" s="66"/>
      <c r="M133" s="66"/>
      <c r="N133" s="66"/>
      <c r="O133" s="66"/>
      <c r="P133" s="66"/>
      <c r="Q133" s="66"/>
      <c r="R133" s="66"/>
      <c r="S133" s="66"/>
      <c r="T133" s="68"/>
      <c r="AC133" s="66"/>
      <c r="AD133" s="66"/>
      <c r="AE133" s="68"/>
      <c r="AN133" s="66"/>
      <c r="AO133" s="66"/>
      <c r="AP133" s="68"/>
      <c r="AW133" s="66"/>
      <c r="AX133" s="68"/>
      <c r="BD133" s="66"/>
      <c r="BE133" s="68"/>
      <c r="BF133" s="66"/>
      <c r="BG133" s="66"/>
      <c r="BH133" s="66"/>
      <c r="BI133" s="66"/>
      <c r="BJ133" s="66"/>
      <c r="BK133" s="66"/>
      <c r="BL133" s="68"/>
      <c r="BO133" s="66"/>
      <c r="BP133" s="68"/>
      <c r="BV133" s="66"/>
      <c r="BW133" s="68"/>
      <c r="CB133" s="8"/>
      <c r="CH133" s="8"/>
      <c r="CK133" s="299"/>
      <c r="CL133" s="299"/>
      <c r="CM133" s="66"/>
      <c r="CN133" s="66"/>
      <c r="CO133" s="68"/>
      <c r="CR133" s="8"/>
      <c r="CX133" s="66"/>
      <c r="CY133" s="532"/>
      <c r="DE133" s="66"/>
      <c r="DF133" s="66"/>
      <c r="DG133" s="68"/>
      <c r="DH133" s="68"/>
      <c r="DK133" s="66"/>
      <c r="DL133" s="66"/>
      <c r="DM133" s="66"/>
      <c r="DN133" s="66"/>
      <c r="DO133" s="66"/>
      <c r="DP133" s="66"/>
      <c r="DQ133" s="66"/>
      <c r="DR133" s="66"/>
      <c r="DS133" s="66"/>
      <c r="DT133" s="68"/>
      <c r="DU133" s="66"/>
      <c r="DV133" s="296"/>
      <c r="DW133" s="330"/>
      <c r="DX133" s="631"/>
      <c r="DY133" s="631"/>
      <c r="DZ133" s="631"/>
      <c r="EA133" s="330"/>
      <c r="EC133" s="66"/>
      <c r="ED133" s="68"/>
      <c r="EH133" s="66"/>
      <c r="EI133" s="66"/>
      <c r="EJ133" s="68"/>
      <c r="EK133" s="252"/>
      <c r="EL133" s="252"/>
      <c r="EM133" s="252"/>
      <c r="EO133" s="252"/>
      <c r="EP133" s="252"/>
      <c r="EQ133" s="252"/>
      <c r="ES133" s="252"/>
      <c r="ET133" s="252"/>
      <c r="EU133" s="252"/>
      <c r="EW133" s="252"/>
      <c r="EX133" s="252"/>
      <c r="EY133" s="252"/>
      <c r="FA133" s="250"/>
      <c r="FB133" s="250"/>
      <c r="FC133" s="250"/>
      <c r="FD133" s="250"/>
      <c r="FE133" s="250"/>
      <c r="FF133" s="250"/>
      <c r="FG133" s="250"/>
      <c r="FH133" s="424"/>
      <c r="FI133" s="250"/>
      <c r="FJ133" s="250"/>
      <c r="FK133" s="250"/>
      <c r="FL133" s="256"/>
      <c r="FM133" s="250"/>
      <c r="FN133" s="256"/>
      <c r="FO133" s="250"/>
      <c r="FP133" s="256"/>
      <c r="FQ133" s="250"/>
      <c r="FR133" s="256"/>
      <c r="FS133" s="250"/>
      <c r="FT133" s="256"/>
      <c r="FU133" s="256"/>
      <c r="FV133" s="256"/>
      <c r="FW133" s="250"/>
      <c r="FX133" s="424"/>
      <c r="FY133" s="251"/>
      <c r="GC133" s="252"/>
      <c r="GF133" s="252"/>
      <c r="GG133" s="252"/>
      <c r="GH133" s="252"/>
      <c r="GI133" s="252"/>
      <c r="GJ133" s="252"/>
      <c r="GK133" s="251"/>
      <c r="GL133" s="250"/>
      <c r="GM133" s="250"/>
      <c r="GN133" s="250"/>
      <c r="GO133" s="250"/>
      <c r="GP133" s="250"/>
      <c r="GQ133" s="250"/>
      <c r="GR133" s="250"/>
      <c r="GS133" s="250"/>
      <c r="GT133" s="250"/>
      <c r="GU133" s="251"/>
      <c r="GV133" s="250"/>
      <c r="GW133" s="250"/>
      <c r="GX133" s="250"/>
      <c r="GY133" s="250"/>
      <c r="GZ133" s="250"/>
      <c r="HA133" s="250"/>
      <c r="HB133" s="250"/>
      <c r="HC133" s="250"/>
      <c r="HD133" s="250"/>
      <c r="HE133" s="250"/>
      <c r="HF133" s="250"/>
      <c r="HG133" s="250"/>
      <c r="HH133" s="251"/>
      <c r="HI133" s="424"/>
      <c r="HJ133" s="255"/>
      <c r="HK133" s="255"/>
      <c r="HL133" s="250"/>
      <c r="HM133" s="255"/>
      <c r="HN133" s="255"/>
      <c r="HO133" s="255"/>
      <c r="HP133" s="250"/>
      <c r="HQ133" s="250"/>
      <c r="HR133" s="250"/>
      <c r="HS133" s="250"/>
      <c r="HT133" s="250"/>
      <c r="HU133" s="251"/>
      <c r="HX133" s="252"/>
      <c r="HY133" s="252"/>
      <c r="HZ133" s="252"/>
      <c r="ID133" s="252"/>
      <c r="IE133" s="252"/>
      <c r="IF133" s="252"/>
      <c r="IJ133" s="252"/>
      <c r="IK133" s="252"/>
      <c r="IL133" s="252"/>
      <c r="IP133" s="252"/>
      <c r="IQ133" s="252"/>
      <c r="IR133" s="252"/>
      <c r="IY133" s="66"/>
      <c r="IZ133" s="66"/>
      <c r="JA133" s="66"/>
      <c r="JB133" s="250"/>
      <c r="JC133" s="66"/>
      <c r="JD133" s="66"/>
      <c r="JE133" s="66"/>
      <c r="JF133" s="66"/>
      <c r="JG133" s="66"/>
      <c r="JH133" s="66"/>
      <c r="JI133" s="66"/>
      <c r="JJ133" s="66"/>
      <c r="JK133" s="8"/>
      <c r="JN133" s="252"/>
      <c r="JO133" s="252"/>
      <c r="JP133" s="252"/>
      <c r="JT133" s="252"/>
      <c r="JU133" s="252"/>
      <c r="JV133" s="252"/>
      <c r="JZ133" s="252"/>
      <c r="KA133" s="252"/>
      <c r="KB133" s="252"/>
      <c r="KF133" s="252"/>
      <c r="KG133" s="252"/>
      <c r="KH133" s="252"/>
      <c r="KO133" s="66"/>
      <c r="KP133" s="66"/>
      <c r="KQ133" s="66"/>
      <c r="KR133" s="66"/>
      <c r="KS133" s="66"/>
      <c r="KT133" s="66"/>
      <c r="KU133" s="66"/>
      <c r="KV133" s="66"/>
      <c r="KW133" s="66"/>
      <c r="KX133" s="66"/>
      <c r="KY133" s="66"/>
      <c r="KZ133" s="66"/>
      <c r="LA133" s="8"/>
      <c r="LD133" s="252"/>
      <c r="LE133" s="252"/>
      <c r="LF133" s="252"/>
      <c r="LJ133" s="252"/>
      <c r="LK133" s="252"/>
      <c r="LN133" s="252"/>
      <c r="LO133" s="252"/>
      <c r="LP133" s="252"/>
      <c r="LT133" s="271"/>
      <c r="LU133" s="250"/>
      <c r="LV133" s="250"/>
      <c r="LW133" s="250"/>
      <c r="LX133" s="250"/>
      <c r="LY133" s="250"/>
      <c r="LZ133" s="250"/>
      <c r="MA133" s="250"/>
      <c r="MB133" s="250"/>
      <c r="MC133" s="250"/>
      <c r="MD133" s="250"/>
      <c r="ME133" s="250"/>
      <c r="MF133" s="250"/>
      <c r="MG133" s="250"/>
      <c r="MH133" s="250"/>
      <c r="MI133" s="250"/>
      <c r="MJ133" s="250"/>
      <c r="MK133" s="424"/>
      <c r="ML133" s="640"/>
      <c r="MM133" s="251"/>
      <c r="MN133" s="252"/>
      <c r="MO133" s="252"/>
      <c r="MP133" s="252"/>
      <c r="MQ133" s="252"/>
      <c r="MR133" s="252"/>
      <c r="MS133" s="252"/>
      <c r="MT133" s="252"/>
      <c r="MU133" s="252"/>
      <c r="MV133" s="252"/>
      <c r="MW133" s="252"/>
      <c r="MX133" s="252"/>
      <c r="MY133" s="252"/>
      <c r="MZ133" s="252"/>
      <c r="NA133" s="252"/>
      <c r="NB133" s="252"/>
      <c r="NC133" s="251"/>
      <c r="ND133" s="250"/>
      <c r="NE133" s="250"/>
      <c r="NF133" s="250"/>
      <c r="NG133" s="250"/>
      <c r="NH133" s="250"/>
      <c r="NI133" s="250"/>
      <c r="NJ133" s="250"/>
      <c r="NK133" s="250"/>
      <c r="NL133" s="250"/>
      <c r="NM133" s="250"/>
      <c r="NN133" s="250"/>
      <c r="NO133" s="250"/>
      <c r="NP133" s="250"/>
      <c r="NQ133" s="250"/>
      <c r="NR133" s="250"/>
      <c r="NS133" s="250"/>
      <c r="NT133" s="250"/>
      <c r="NU133" s="250"/>
      <c r="NV133" s="250"/>
      <c r="NW133" s="251"/>
      <c r="OT133" s="8"/>
      <c r="QG133" s="8"/>
      <c r="RT133" s="8"/>
    </row>
    <row r="134" spans="1:488" s="282" customFormat="1" x14ac:dyDescent="0.25">
      <c r="A134" s="66"/>
      <c r="B134" s="8"/>
      <c r="C134" s="66"/>
      <c r="D134" s="66"/>
      <c r="E134" s="66"/>
      <c r="F134" s="66"/>
      <c r="G134" s="66"/>
      <c r="H134" s="66"/>
      <c r="I134" s="66"/>
      <c r="J134" s="66"/>
      <c r="K134" s="66"/>
      <c r="L134" s="66"/>
      <c r="M134" s="66"/>
      <c r="N134" s="66"/>
      <c r="O134" s="66"/>
      <c r="P134" s="66"/>
      <c r="Q134" s="66"/>
      <c r="R134" s="66"/>
      <c r="S134" s="66"/>
      <c r="T134" s="68"/>
      <c r="AC134" s="66"/>
      <c r="AD134" s="66"/>
      <c r="AE134" s="68"/>
      <c r="AN134" s="66"/>
      <c r="AO134" s="66"/>
      <c r="AP134" s="68"/>
      <c r="AW134" s="66"/>
      <c r="AX134" s="68"/>
      <c r="BD134" s="66"/>
      <c r="BE134" s="68"/>
      <c r="BF134" s="66"/>
      <c r="BG134" s="66"/>
      <c r="BH134" s="66"/>
      <c r="BI134" s="66"/>
      <c r="BJ134" s="66"/>
      <c r="BK134" s="66"/>
      <c r="BL134" s="68"/>
      <c r="BO134" s="66"/>
      <c r="BP134" s="68"/>
      <c r="BV134" s="66"/>
      <c r="BW134" s="68"/>
      <c r="CB134" s="8"/>
      <c r="CH134" s="8"/>
      <c r="CK134" s="299"/>
      <c r="CL134" s="299"/>
      <c r="CM134" s="66"/>
      <c r="CN134" s="66"/>
      <c r="CO134" s="68"/>
      <c r="CR134" s="8"/>
      <c r="CX134" s="66"/>
      <c r="CY134" s="532"/>
      <c r="DE134" s="66"/>
      <c r="DF134" s="66"/>
      <c r="DG134" s="68"/>
      <c r="DH134" s="68"/>
      <c r="DK134" s="66"/>
      <c r="DL134" s="66"/>
      <c r="DM134" s="66"/>
      <c r="DN134" s="66"/>
      <c r="DO134" s="66"/>
      <c r="DP134" s="66"/>
      <c r="DQ134" s="66"/>
      <c r="DR134" s="66"/>
      <c r="DS134" s="66"/>
      <c r="DT134" s="68"/>
      <c r="DU134" s="66"/>
      <c r="DV134" s="296"/>
      <c r="DW134" s="330"/>
      <c r="DX134" s="631"/>
      <c r="DY134" s="631"/>
      <c r="DZ134" s="631"/>
      <c r="EA134" s="330"/>
      <c r="EC134" s="66"/>
      <c r="ED134" s="68"/>
      <c r="EH134" s="66"/>
      <c r="EI134" s="66"/>
      <c r="EJ134" s="68"/>
      <c r="EK134" s="252"/>
      <c r="EL134" s="252"/>
      <c r="EM134" s="252"/>
      <c r="EO134" s="252"/>
      <c r="EP134" s="252"/>
      <c r="EQ134" s="252"/>
      <c r="ES134" s="252"/>
      <c r="ET134" s="252"/>
      <c r="EU134" s="252"/>
      <c r="EW134" s="252"/>
      <c r="EX134" s="252"/>
      <c r="EY134" s="252"/>
      <c r="FA134" s="250"/>
      <c r="FB134" s="250"/>
      <c r="FC134" s="250"/>
      <c r="FD134" s="250"/>
      <c r="FE134" s="250"/>
      <c r="FF134" s="250"/>
      <c r="FG134" s="250"/>
      <c r="FH134" s="424"/>
      <c r="FI134" s="250"/>
      <c r="FJ134" s="250"/>
      <c r="FK134" s="250"/>
      <c r="FL134" s="256"/>
      <c r="FM134" s="250"/>
      <c r="FN134" s="256"/>
      <c r="FO134" s="250"/>
      <c r="FP134" s="256"/>
      <c r="FQ134" s="250"/>
      <c r="FR134" s="256"/>
      <c r="FS134" s="250"/>
      <c r="FT134" s="256"/>
      <c r="FU134" s="256"/>
      <c r="FV134" s="256"/>
      <c r="FW134" s="250"/>
      <c r="FX134" s="424"/>
      <c r="FY134" s="251"/>
      <c r="GC134" s="252"/>
      <c r="GF134" s="252"/>
      <c r="GG134" s="252"/>
      <c r="GH134" s="252"/>
      <c r="GI134" s="252"/>
      <c r="GJ134" s="252"/>
      <c r="GK134" s="251"/>
      <c r="GL134" s="250"/>
      <c r="GM134" s="250"/>
      <c r="GN134" s="250"/>
      <c r="GO134" s="250"/>
      <c r="GP134" s="250"/>
      <c r="GQ134" s="250"/>
      <c r="GR134" s="250"/>
      <c r="GS134" s="250"/>
      <c r="GT134" s="250"/>
      <c r="GU134" s="251"/>
      <c r="GV134" s="250"/>
      <c r="GW134" s="250"/>
      <c r="GX134" s="250"/>
      <c r="GY134" s="250"/>
      <c r="GZ134" s="250"/>
      <c r="HA134" s="250"/>
      <c r="HB134" s="250"/>
      <c r="HC134" s="250"/>
      <c r="HD134" s="250"/>
      <c r="HE134" s="250"/>
      <c r="HF134" s="250"/>
      <c r="HG134" s="250"/>
      <c r="HH134" s="251"/>
      <c r="HI134" s="424"/>
      <c r="HJ134" s="255"/>
      <c r="HK134" s="255"/>
      <c r="HL134" s="250"/>
      <c r="HM134" s="255"/>
      <c r="HN134" s="255"/>
      <c r="HO134" s="255"/>
      <c r="HP134" s="250"/>
      <c r="HQ134" s="250"/>
      <c r="HR134" s="250"/>
      <c r="HS134" s="250"/>
      <c r="HT134" s="250"/>
      <c r="HU134" s="251"/>
      <c r="HX134" s="252"/>
      <c r="HY134" s="252"/>
      <c r="HZ134" s="252"/>
      <c r="ID134" s="252"/>
      <c r="IE134" s="252"/>
      <c r="IF134" s="252"/>
      <c r="IJ134" s="252"/>
      <c r="IK134" s="252"/>
      <c r="IL134" s="252"/>
      <c r="IP134" s="252"/>
      <c r="IQ134" s="252"/>
      <c r="IR134" s="252"/>
      <c r="IY134" s="66"/>
      <c r="IZ134" s="66"/>
      <c r="JA134" s="66"/>
      <c r="JB134" s="250"/>
      <c r="JC134" s="66"/>
      <c r="JD134" s="66"/>
      <c r="JE134" s="66"/>
      <c r="JF134" s="66"/>
      <c r="JG134" s="66"/>
      <c r="JH134" s="66"/>
      <c r="JI134" s="66"/>
      <c r="JJ134" s="66"/>
      <c r="JK134" s="8"/>
      <c r="JN134" s="252"/>
      <c r="JO134" s="252"/>
      <c r="JP134" s="252"/>
      <c r="JT134" s="252"/>
      <c r="JU134" s="252"/>
      <c r="JV134" s="252"/>
      <c r="JZ134" s="252"/>
      <c r="KA134" s="252"/>
      <c r="KB134" s="252"/>
      <c r="KF134" s="252"/>
      <c r="KG134" s="252"/>
      <c r="KH134" s="252"/>
      <c r="KO134" s="66"/>
      <c r="KP134" s="66"/>
      <c r="KQ134" s="66"/>
      <c r="KR134" s="66"/>
      <c r="KS134" s="66"/>
      <c r="KT134" s="66"/>
      <c r="KU134" s="66"/>
      <c r="KV134" s="66"/>
      <c r="KW134" s="66"/>
      <c r="KX134" s="66"/>
      <c r="KY134" s="66"/>
      <c r="KZ134" s="66"/>
      <c r="LA134" s="8"/>
      <c r="LD134" s="252"/>
      <c r="LE134" s="252"/>
      <c r="LF134" s="252"/>
      <c r="LJ134" s="252"/>
      <c r="LK134" s="252"/>
      <c r="LN134" s="252"/>
      <c r="LO134" s="252"/>
      <c r="LP134" s="252"/>
      <c r="LT134" s="271"/>
      <c r="LU134" s="250"/>
      <c r="LV134" s="250"/>
      <c r="LW134" s="250"/>
      <c r="LX134" s="250"/>
      <c r="LY134" s="250"/>
      <c r="LZ134" s="250"/>
      <c r="MA134" s="250"/>
      <c r="MB134" s="250"/>
      <c r="MC134" s="250"/>
      <c r="MD134" s="250"/>
      <c r="ME134" s="250"/>
      <c r="MF134" s="250"/>
      <c r="MG134" s="250"/>
      <c r="MH134" s="250"/>
      <c r="MI134" s="250"/>
      <c r="MJ134" s="250"/>
      <c r="MK134" s="424"/>
      <c r="ML134" s="640"/>
      <c r="MM134" s="251"/>
      <c r="MN134" s="252"/>
      <c r="MO134" s="252"/>
      <c r="MP134" s="252"/>
      <c r="MQ134" s="252"/>
      <c r="MR134" s="252"/>
      <c r="MS134" s="252"/>
      <c r="MT134" s="252"/>
      <c r="MU134" s="252"/>
      <c r="MV134" s="252"/>
      <c r="MW134" s="252"/>
      <c r="MX134" s="252"/>
      <c r="MY134" s="252"/>
      <c r="MZ134" s="252"/>
      <c r="NA134" s="252"/>
      <c r="NB134" s="252"/>
      <c r="NC134" s="251"/>
      <c r="ND134" s="250"/>
      <c r="NE134" s="250"/>
      <c r="NF134" s="250"/>
      <c r="NG134" s="250"/>
      <c r="NH134" s="250"/>
      <c r="NI134" s="250"/>
      <c r="NJ134" s="250"/>
      <c r="NK134" s="250"/>
      <c r="NL134" s="250"/>
      <c r="NM134" s="250"/>
      <c r="NN134" s="250"/>
      <c r="NO134" s="250"/>
      <c r="NP134" s="250"/>
      <c r="NQ134" s="250"/>
      <c r="NR134" s="250"/>
      <c r="NS134" s="250"/>
      <c r="NT134" s="250"/>
      <c r="NU134" s="250"/>
      <c r="NV134" s="250"/>
      <c r="NW134" s="251"/>
      <c r="OT134" s="8"/>
      <c r="QG134" s="8"/>
      <c r="RT134" s="8"/>
    </row>
    <row r="135" spans="1:488" s="282" customFormat="1" x14ac:dyDescent="0.25">
      <c r="A135" s="66"/>
      <c r="B135" s="8"/>
      <c r="C135" s="66"/>
      <c r="D135" s="66"/>
      <c r="E135" s="66"/>
      <c r="F135" s="66"/>
      <c r="G135" s="66"/>
      <c r="H135" s="66"/>
      <c r="I135" s="66"/>
      <c r="J135" s="66"/>
      <c r="K135" s="66"/>
      <c r="L135" s="66"/>
      <c r="M135" s="66"/>
      <c r="N135" s="66"/>
      <c r="O135" s="66"/>
      <c r="P135" s="66"/>
      <c r="Q135" s="66"/>
      <c r="R135" s="66"/>
      <c r="S135" s="66"/>
      <c r="T135" s="68"/>
      <c r="AC135" s="66"/>
      <c r="AD135" s="66"/>
      <c r="AE135" s="68"/>
      <c r="AN135" s="66"/>
      <c r="AO135" s="66"/>
      <c r="AP135" s="68"/>
      <c r="AW135" s="66"/>
      <c r="AX135" s="68"/>
      <c r="BD135" s="66"/>
      <c r="BE135" s="68"/>
      <c r="BF135" s="66"/>
      <c r="BG135" s="66"/>
      <c r="BH135" s="66"/>
      <c r="BI135" s="66"/>
      <c r="BJ135" s="66"/>
      <c r="BK135" s="66"/>
      <c r="BL135" s="68"/>
      <c r="BO135" s="66"/>
      <c r="BP135" s="68"/>
      <c r="BV135" s="66"/>
      <c r="BW135" s="68"/>
      <c r="CB135" s="8"/>
      <c r="CH135" s="8"/>
      <c r="CK135" s="299"/>
      <c r="CL135" s="299"/>
      <c r="CM135" s="66"/>
      <c r="CN135" s="66"/>
      <c r="CO135" s="68"/>
      <c r="CR135" s="8"/>
      <c r="CX135" s="66"/>
      <c r="CY135" s="532"/>
      <c r="DE135" s="66"/>
      <c r="DF135" s="66"/>
      <c r="DG135" s="68"/>
      <c r="DH135" s="68"/>
      <c r="DK135" s="66"/>
      <c r="DL135" s="66"/>
      <c r="DM135" s="66"/>
      <c r="DN135" s="66"/>
      <c r="DO135" s="66"/>
      <c r="DP135" s="66"/>
      <c r="DQ135" s="66"/>
      <c r="DR135" s="66"/>
      <c r="DS135" s="66"/>
      <c r="DT135" s="68"/>
      <c r="DU135" s="66"/>
      <c r="DV135" s="296"/>
      <c r="DW135" s="330"/>
      <c r="DX135" s="631"/>
      <c r="DY135" s="631"/>
      <c r="DZ135" s="631"/>
      <c r="EA135" s="330"/>
      <c r="EC135" s="66"/>
      <c r="ED135" s="68"/>
      <c r="EH135" s="66"/>
      <c r="EI135" s="66"/>
      <c r="EJ135" s="68"/>
      <c r="EK135" s="252"/>
      <c r="EL135" s="252"/>
      <c r="EM135" s="252"/>
      <c r="EO135" s="252"/>
      <c r="EP135" s="252"/>
      <c r="EQ135" s="252"/>
      <c r="ES135" s="252"/>
      <c r="ET135" s="252"/>
      <c r="EU135" s="252"/>
      <c r="EW135" s="252"/>
      <c r="EX135" s="252"/>
      <c r="EY135" s="252"/>
      <c r="FA135" s="250"/>
      <c r="FB135" s="250"/>
      <c r="FC135" s="250"/>
      <c r="FD135" s="250"/>
      <c r="FE135" s="250"/>
      <c r="FF135" s="250"/>
      <c r="FG135" s="250"/>
      <c r="FH135" s="424"/>
      <c r="FI135" s="250"/>
      <c r="FJ135" s="250"/>
      <c r="FK135" s="250"/>
      <c r="FL135" s="256"/>
      <c r="FM135" s="250"/>
      <c r="FN135" s="256"/>
      <c r="FO135" s="250"/>
      <c r="FP135" s="256"/>
      <c r="FQ135" s="250"/>
      <c r="FR135" s="256"/>
      <c r="FS135" s="250"/>
      <c r="FT135" s="256"/>
      <c r="FU135" s="256"/>
      <c r="FV135" s="256"/>
      <c r="FW135" s="250"/>
      <c r="FX135" s="424"/>
      <c r="FY135" s="251"/>
      <c r="GC135" s="252"/>
      <c r="GF135" s="252"/>
      <c r="GG135" s="252"/>
      <c r="GH135" s="252"/>
      <c r="GI135" s="252"/>
      <c r="GJ135" s="252"/>
      <c r="GK135" s="251"/>
      <c r="GL135" s="250"/>
      <c r="GM135" s="250"/>
      <c r="GN135" s="250"/>
      <c r="GO135" s="250"/>
      <c r="GP135" s="250"/>
      <c r="GQ135" s="250"/>
      <c r="GR135" s="250"/>
      <c r="GS135" s="250"/>
      <c r="GT135" s="250"/>
      <c r="GU135" s="251"/>
      <c r="GV135" s="250"/>
      <c r="GW135" s="250"/>
      <c r="GX135" s="250"/>
      <c r="GY135" s="250"/>
      <c r="GZ135" s="250"/>
      <c r="HA135" s="250"/>
      <c r="HB135" s="250"/>
      <c r="HC135" s="250"/>
      <c r="HD135" s="250"/>
      <c r="HE135" s="250"/>
      <c r="HF135" s="250"/>
      <c r="HG135" s="250"/>
      <c r="HH135" s="251"/>
      <c r="HI135" s="424"/>
      <c r="HJ135" s="255"/>
      <c r="HK135" s="255"/>
      <c r="HL135" s="250"/>
      <c r="HM135" s="255"/>
      <c r="HN135" s="255"/>
      <c r="HO135" s="255"/>
      <c r="HP135" s="250"/>
      <c r="HQ135" s="250"/>
      <c r="HR135" s="250"/>
      <c r="HS135" s="250"/>
      <c r="HT135" s="250"/>
      <c r="HU135" s="251"/>
      <c r="HX135" s="252"/>
      <c r="HY135" s="252"/>
      <c r="HZ135" s="252"/>
      <c r="ID135" s="252"/>
      <c r="IE135" s="252"/>
      <c r="IF135" s="252"/>
      <c r="IJ135" s="252"/>
      <c r="IK135" s="252"/>
      <c r="IL135" s="252"/>
      <c r="IP135" s="252"/>
      <c r="IQ135" s="252"/>
      <c r="IR135" s="252"/>
      <c r="IY135" s="66"/>
      <c r="IZ135" s="66"/>
      <c r="JA135" s="66"/>
      <c r="JB135" s="250"/>
      <c r="JC135" s="66"/>
      <c r="JD135" s="66"/>
      <c r="JE135" s="66"/>
      <c r="JF135" s="66"/>
      <c r="JG135" s="66"/>
      <c r="JH135" s="66"/>
      <c r="JI135" s="66"/>
      <c r="JJ135" s="66"/>
      <c r="JK135" s="8"/>
      <c r="JN135" s="252"/>
      <c r="JO135" s="252"/>
      <c r="JP135" s="252"/>
      <c r="JT135" s="252"/>
      <c r="JU135" s="252"/>
      <c r="JV135" s="252"/>
      <c r="JZ135" s="252"/>
      <c r="KA135" s="252"/>
      <c r="KB135" s="252"/>
      <c r="KF135" s="252"/>
      <c r="KG135" s="252"/>
      <c r="KH135" s="252"/>
      <c r="KO135" s="66"/>
      <c r="KP135" s="66"/>
      <c r="KQ135" s="66"/>
      <c r="KR135" s="66"/>
      <c r="KS135" s="66"/>
      <c r="KT135" s="66"/>
      <c r="KU135" s="66"/>
      <c r="KV135" s="66"/>
      <c r="KW135" s="66"/>
      <c r="KX135" s="66"/>
      <c r="KY135" s="66"/>
      <c r="KZ135" s="66"/>
      <c r="LA135" s="8"/>
      <c r="LD135" s="252"/>
      <c r="LE135" s="252"/>
      <c r="LF135" s="252"/>
      <c r="LJ135" s="252"/>
      <c r="LK135" s="252"/>
      <c r="LN135" s="252"/>
      <c r="LO135" s="252"/>
      <c r="LP135" s="252"/>
      <c r="LT135" s="271"/>
      <c r="LU135" s="250"/>
      <c r="LV135" s="250"/>
      <c r="LW135" s="250"/>
      <c r="LX135" s="250"/>
      <c r="LY135" s="250"/>
      <c r="LZ135" s="250"/>
      <c r="MA135" s="250"/>
      <c r="MB135" s="250"/>
      <c r="MC135" s="250"/>
      <c r="MD135" s="250"/>
      <c r="ME135" s="250"/>
      <c r="MF135" s="250"/>
      <c r="MG135" s="250"/>
      <c r="MH135" s="250"/>
      <c r="MI135" s="250"/>
      <c r="MJ135" s="250"/>
      <c r="MK135" s="424"/>
      <c r="ML135" s="640"/>
      <c r="MM135" s="251"/>
      <c r="MN135" s="252"/>
      <c r="MO135" s="252"/>
      <c r="MP135" s="252"/>
      <c r="MQ135" s="252"/>
      <c r="MR135" s="252"/>
      <c r="MS135" s="252"/>
      <c r="MT135" s="252"/>
      <c r="MU135" s="252"/>
      <c r="MV135" s="252"/>
      <c r="MW135" s="252"/>
      <c r="MX135" s="252"/>
      <c r="MY135" s="252"/>
      <c r="MZ135" s="252"/>
      <c r="NA135" s="252"/>
      <c r="NB135" s="252"/>
      <c r="NC135" s="251"/>
      <c r="ND135" s="250"/>
      <c r="NE135" s="250"/>
      <c r="NF135" s="250"/>
      <c r="NG135" s="250"/>
      <c r="NH135" s="250"/>
      <c r="NI135" s="250"/>
      <c r="NJ135" s="250"/>
      <c r="NK135" s="250"/>
      <c r="NL135" s="250"/>
      <c r="NM135" s="250"/>
      <c r="NN135" s="250"/>
      <c r="NO135" s="250"/>
      <c r="NP135" s="250"/>
      <c r="NQ135" s="250"/>
      <c r="NR135" s="250"/>
      <c r="NS135" s="250"/>
      <c r="NT135" s="250"/>
      <c r="NU135" s="250"/>
      <c r="NV135" s="250"/>
      <c r="NW135" s="251"/>
      <c r="OT135" s="8"/>
      <c r="QG135" s="8"/>
      <c r="RT135" s="8"/>
    </row>
    <row r="136" spans="1:488" s="282" customFormat="1" x14ac:dyDescent="0.25">
      <c r="A136" s="66"/>
      <c r="B136" s="8"/>
      <c r="C136" s="66"/>
      <c r="D136" s="66"/>
      <c r="E136" s="66"/>
      <c r="F136" s="66"/>
      <c r="G136" s="66"/>
      <c r="H136" s="66"/>
      <c r="I136" s="66"/>
      <c r="J136" s="66"/>
      <c r="K136" s="66"/>
      <c r="L136" s="66"/>
      <c r="M136" s="66"/>
      <c r="N136" s="66"/>
      <c r="O136" s="66"/>
      <c r="P136" s="66"/>
      <c r="Q136" s="66"/>
      <c r="R136" s="66"/>
      <c r="S136" s="66"/>
      <c r="T136" s="68"/>
      <c r="AC136" s="66"/>
      <c r="AD136" s="66"/>
      <c r="AE136" s="68"/>
      <c r="AN136" s="66"/>
      <c r="AO136" s="66"/>
      <c r="AP136" s="68"/>
      <c r="AW136" s="66"/>
      <c r="AX136" s="68"/>
      <c r="BD136" s="66"/>
      <c r="BE136" s="68"/>
      <c r="BF136" s="66"/>
      <c r="BG136" s="66"/>
      <c r="BH136" s="66"/>
      <c r="BI136" s="66"/>
      <c r="BJ136" s="66"/>
      <c r="BK136" s="66"/>
      <c r="BL136" s="68"/>
      <c r="BO136" s="66"/>
      <c r="BP136" s="68"/>
      <c r="BV136" s="66"/>
      <c r="BW136" s="68"/>
      <c r="CB136" s="8"/>
      <c r="CH136" s="8"/>
      <c r="CK136" s="299"/>
      <c r="CL136" s="299"/>
      <c r="CM136" s="66"/>
      <c r="CN136" s="66"/>
      <c r="CO136" s="68"/>
      <c r="CR136" s="8"/>
      <c r="CX136" s="66"/>
      <c r="CY136" s="532"/>
      <c r="DE136" s="66"/>
      <c r="DF136" s="66"/>
      <c r="DG136" s="68"/>
      <c r="DH136" s="68"/>
      <c r="DK136" s="66"/>
      <c r="DL136" s="66"/>
      <c r="DM136" s="66"/>
      <c r="DN136" s="66"/>
      <c r="DO136" s="66"/>
      <c r="DP136" s="66"/>
      <c r="DQ136" s="66"/>
      <c r="DR136" s="66"/>
      <c r="DS136" s="66"/>
      <c r="DT136" s="68"/>
      <c r="DU136" s="66"/>
      <c r="DV136" s="296"/>
      <c r="DW136" s="330"/>
      <c r="DX136" s="631"/>
      <c r="DY136" s="631"/>
      <c r="DZ136" s="631"/>
      <c r="EA136" s="330"/>
      <c r="EC136" s="66"/>
      <c r="ED136" s="68"/>
      <c r="EH136" s="66"/>
      <c r="EI136" s="66"/>
      <c r="EJ136" s="68"/>
      <c r="EK136" s="252"/>
      <c r="EL136" s="252"/>
      <c r="EM136" s="252"/>
      <c r="EO136" s="252"/>
      <c r="EP136" s="252"/>
      <c r="EQ136" s="252"/>
      <c r="ES136" s="252"/>
      <c r="ET136" s="252"/>
      <c r="EU136" s="252"/>
      <c r="EW136" s="252"/>
      <c r="EX136" s="252"/>
      <c r="EY136" s="252"/>
      <c r="FA136" s="250"/>
      <c r="FB136" s="250"/>
      <c r="FC136" s="250"/>
      <c r="FD136" s="250"/>
      <c r="FE136" s="250"/>
      <c r="FF136" s="250"/>
      <c r="FG136" s="250"/>
      <c r="FH136" s="424"/>
      <c r="FI136" s="250"/>
      <c r="FJ136" s="250"/>
      <c r="FK136" s="250"/>
      <c r="FL136" s="256"/>
      <c r="FM136" s="250"/>
      <c r="FN136" s="256"/>
      <c r="FO136" s="250"/>
      <c r="FP136" s="256"/>
      <c r="FQ136" s="250"/>
      <c r="FR136" s="256"/>
      <c r="FS136" s="250"/>
      <c r="FT136" s="256"/>
      <c r="FU136" s="256"/>
      <c r="FV136" s="256"/>
      <c r="FW136" s="250"/>
      <c r="FX136" s="424"/>
      <c r="FY136" s="251"/>
      <c r="GC136" s="252"/>
      <c r="GF136" s="252"/>
      <c r="GG136" s="252"/>
      <c r="GH136" s="252"/>
      <c r="GI136" s="252"/>
      <c r="GJ136" s="252"/>
      <c r="GK136" s="251"/>
      <c r="GL136" s="250"/>
      <c r="GM136" s="250"/>
      <c r="GN136" s="250"/>
      <c r="GO136" s="250"/>
      <c r="GP136" s="250"/>
      <c r="GQ136" s="250"/>
      <c r="GR136" s="250"/>
      <c r="GS136" s="250"/>
      <c r="GT136" s="250"/>
      <c r="GU136" s="251"/>
      <c r="GV136" s="250"/>
      <c r="GW136" s="250"/>
      <c r="GX136" s="250"/>
      <c r="GY136" s="250"/>
      <c r="GZ136" s="250"/>
      <c r="HA136" s="250"/>
      <c r="HB136" s="250"/>
      <c r="HC136" s="250"/>
      <c r="HD136" s="250"/>
      <c r="HE136" s="250"/>
      <c r="HF136" s="250"/>
      <c r="HG136" s="250"/>
      <c r="HH136" s="251"/>
      <c r="HI136" s="424"/>
      <c r="HJ136" s="255"/>
      <c r="HK136" s="255"/>
      <c r="HL136" s="250"/>
      <c r="HM136" s="255"/>
      <c r="HN136" s="255"/>
      <c r="HO136" s="255"/>
      <c r="HP136" s="250"/>
      <c r="HQ136" s="250"/>
      <c r="HR136" s="250"/>
      <c r="HS136" s="250"/>
      <c r="HT136" s="250"/>
      <c r="HU136" s="251"/>
      <c r="HX136" s="252"/>
      <c r="HY136" s="252"/>
      <c r="HZ136" s="252"/>
      <c r="ID136" s="252"/>
      <c r="IE136" s="252"/>
      <c r="IF136" s="252"/>
      <c r="IJ136" s="252"/>
      <c r="IK136" s="252"/>
      <c r="IL136" s="252"/>
      <c r="IP136" s="252"/>
      <c r="IQ136" s="252"/>
      <c r="IR136" s="252"/>
      <c r="IY136" s="66"/>
      <c r="IZ136" s="66"/>
      <c r="JA136" s="66"/>
      <c r="JB136" s="250"/>
      <c r="JC136" s="66"/>
      <c r="JD136" s="66"/>
      <c r="JE136" s="66"/>
      <c r="JF136" s="66"/>
      <c r="JG136" s="66"/>
      <c r="JH136" s="66"/>
      <c r="JI136" s="66"/>
      <c r="JJ136" s="66"/>
      <c r="JK136" s="8"/>
      <c r="JN136" s="252"/>
      <c r="JO136" s="252"/>
      <c r="JP136" s="252"/>
      <c r="JT136" s="252"/>
      <c r="JU136" s="252"/>
      <c r="JV136" s="252"/>
      <c r="JZ136" s="252"/>
      <c r="KA136" s="252"/>
      <c r="KB136" s="252"/>
      <c r="KF136" s="252"/>
      <c r="KG136" s="252"/>
      <c r="KH136" s="252"/>
      <c r="KO136" s="66"/>
      <c r="KP136" s="66"/>
      <c r="KQ136" s="66"/>
      <c r="KR136" s="66"/>
      <c r="KS136" s="66"/>
      <c r="KT136" s="66"/>
      <c r="KU136" s="66"/>
      <c r="KV136" s="66"/>
      <c r="KW136" s="66"/>
      <c r="KX136" s="66"/>
      <c r="KY136" s="66"/>
      <c r="KZ136" s="66"/>
      <c r="LA136" s="8"/>
      <c r="LD136" s="252"/>
      <c r="LE136" s="252"/>
      <c r="LF136" s="252"/>
      <c r="LJ136" s="252"/>
      <c r="LK136" s="252"/>
      <c r="LN136" s="252"/>
      <c r="LO136" s="252"/>
      <c r="LP136" s="252"/>
      <c r="LT136" s="271"/>
      <c r="LU136" s="250"/>
      <c r="LV136" s="250"/>
      <c r="LW136" s="250"/>
      <c r="LX136" s="250"/>
      <c r="LY136" s="250"/>
      <c r="LZ136" s="250"/>
      <c r="MA136" s="250"/>
      <c r="MB136" s="250"/>
      <c r="MC136" s="250"/>
      <c r="MD136" s="250"/>
      <c r="ME136" s="250"/>
      <c r="MF136" s="250"/>
      <c r="MG136" s="250"/>
      <c r="MH136" s="250"/>
      <c r="MI136" s="250"/>
      <c r="MJ136" s="250"/>
      <c r="MK136" s="424"/>
      <c r="ML136" s="640"/>
      <c r="MM136" s="251"/>
      <c r="MN136" s="252"/>
      <c r="MO136" s="252"/>
      <c r="MP136" s="252"/>
      <c r="MQ136" s="252"/>
      <c r="MR136" s="252"/>
      <c r="MS136" s="252"/>
      <c r="MT136" s="252"/>
      <c r="MU136" s="252"/>
      <c r="MV136" s="252"/>
      <c r="MW136" s="252"/>
      <c r="MX136" s="252"/>
      <c r="MY136" s="252"/>
      <c r="MZ136" s="252"/>
      <c r="NA136" s="252"/>
      <c r="NB136" s="252"/>
      <c r="NC136" s="251"/>
      <c r="ND136" s="250"/>
      <c r="NE136" s="250"/>
      <c r="NF136" s="250"/>
      <c r="NG136" s="250"/>
      <c r="NH136" s="250"/>
      <c r="NI136" s="250"/>
      <c r="NJ136" s="250"/>
      <c r="NK136" s="250"/>
      <c r="NL136" s="250"/>
      <c r="NM136" s="250"/>
      <c r="NN136" s="250"/>
      <c r="NO136" s="250"/>
      <c r="NP136" s="250"/>
      <c r="NQ136" s="250"/>
      <c r="NR136" s="250"/>
      <c r="NS136" s="250"/>
      <c r="NT136" s="250"/>
      <c r="NU136" s="250"/>
      <c r="NV136" s="250"/>
      <c r="NW136" s="251"/>
      <c r="OT136" s="8"/>
      <c r="QG136" s="8"/>
      <c r="RT136" s="8"/>
    </row>
    <row r="137" spans="1:488" s="282" customFormat="1" x14ac:dyDescent="0.25">
      <c r="A137" s="66"/>
      <c r="B137" s="8"/>
      <c r="C137" s="66"/>
      <c r="D137" s="66"/>
      <c r="E137" s="66"/>
      <c r="F137" s="66"/>
      <c r="G137" s="66"/>
      <c r="H137" s="66"/>
      <c r="I137" s="66"/>
      <c r="J137" s="66"/>
      <c r="K137" s="66"/>
      <c r="L137" s="66"/>
      <c r="M137" s="66"/>
      <c r="N137" s="66"/>
      <c r="O137" s="66"/>
      <c r="P137" s="66"/>
      <c r="Q137" s="66"/>
      <c r="R137" s="66"/>
      <c r="S137" s="66"/>
      <c r="T137" s="68"/>
      <c r="AC137" s="66"/>
      <c r="AD137" s="66"/>
      <c r="AE137" s="68"/>
      <c r="AN137" s="66"/>
      <c r="AO137" s="66"/>
      <c r="AP137" s="68"/>
      <c r="AW137" s="66"/>
      <c r="AX137" s="68"/>
      <c r="BD137" s="66"/>
      <c r="BE137" s="68"/>
      <c r="BF137" s="66"/>
      <c r="BG137" s="66"/>
      <c r="BH137" s="66"/>
      <c r="BI137" s="66"/>
      <c r="BJ137" s="66"/>
      <c r="BK137" s="66"/>
      <c r="BL137" s="68"/>
      <c r="BO137" s="66"/>
      <c r="BP137" s="68"/>
      <c r="BV137" s="66"/>
      <c r="BW137" s="68"/>
      <c r="CB137" s="8"/>
      <c r="CH137" s="8"/>
      <c r="CK137" s="299"/>
      <c r="CL137" s="299"/>
      <c r="CM137" s="66"/>
      <c r="CN137" s="66"/>
      <c r="CO137" s="68"/>
      <c r="CR137" s="8"/>
      <c r="CX137" s="66"/>
      <c r="CY137" s="532"/>
      <c r="DE137" s="66"/>
      <c r="DF137" s="66"/>
      <c r="DG137" s="68"/>
      <c r="DH137" s="68"/>
      <c r="DK137" s="66"/>
      <c r="DL137" s="66"/>
      <c r="DM137" s="66"/>
      <c r="DN137" s="66"/>
      <c r="DO137" s="66"/>
      <c r="DP137" s="66"/>
      <c r="DQ137" s="66"/>
      <c r="DR137" s="66"/>
      <c r="DS137" s="66"/>
      <c r="DT137" s="68"/>
      <c r="DU137" s="66"/>
      <c r="DV137" s="296"/>
      <c r="DW137" s="330"/>
      <c r="DX137" s="631"/>
      <c r="DY137" s="631"/>
      <c r="DZ137" s="631"/>
      <c r="EA137" s="330"/>
      <c r="EC137" s="66"/>
      <c r="ED137" s="68"/>
      <c r="EH137" s="66"/>
      <c r="EI137" s="66"/>
      <c r="EJ137" s="68"/>
      <c r="EK137" s="252"/>
      <c r="EL137" s="252"/>
      <c r="EM137" s="252"/>
      <c r="EO137" s="252"/>
      <c r="EP137" s="252"/>
      <c r="EQ137" s="252"/>
      <c r="ES137" s="252"/>
      <c r="ET137" s="252"/>
      <c r="EU137" s="252"/>
      <c r="EW137" s="252"/>
      <c r="EX137" s="252"/>
      <c r="EY137" s="252"/>
      <c r="FA137" s="250"/>
      <c r="FB137" s="250"/>
      <c r="FC137" s="250"/>
      <c r="FD137" s="250"/>
      <c r="FE137" s="250"/>
      <c r="FF137" s="250"/>
      <c r="FG137" s="250"/>
      <c r="FH137" s="424"/>
      <c r="FI137" s="250"/>
      <c r="FJ137" s="250"/>
      <c r="FK137" s="250"/>
      <c r="FL137" s="256"/>
      <c r="FM137" s="250"/>
      <c r="FN137" s="256"/>
      <c r="FO137" s="250"/>
      <c r="FP137" s="256"/>
      <c r="FQ137" s="250"/>
      <c r="FR137" s="256"/>
      <c r="FS137" s="250"/>
      <c r="FT137" s="256"/>
      <c r="FU137" s="256"/>
      <c r="FV137" s="256"/>
      <c r="FW137" s="250"/>
      <c r="FX137" s="424"/>
      <c r="FY137" s="251"/>
      <c r="GC137" s="252"/>
      <c r="GF137" s="252"/>
      <c r="GG137" s="252"/>
      <c r="GH137" s="252"/>
      <c r="GI137" s="252"/>
      <c r="GJ137" s="252"/>
      <c r="GK137" s="251"/>
      <c r="GL137" s="250"/>
      <c r="GM137" s="250"/>
      <c r="GN137" s="250"/>
      <c r="GO137" s="250"/>
      <c r="GP137" s="250"/>
      <c r="GQ137" s="250"/>
      <c r="GR137" s="250"/>
      <c r="GS137" s="250"/>
      <c r="GT137" s="250"/>
      <c r="GU137" s="251"/>
      <c r="GV137" s="250"/>
      <c r="GW137" s="250"/>
      <c r="GX137" s="250"/>
      <c r="GY137" s="250"/>
      <c r="GZ137" s="250"/>
      <c r="HA137" s="250"/>
      <c r="HB137" s="250"/>
      <c r="HC137" s="250"/>
      <c r="HD137" s="250"/>
      <c r="HE137" s="250"/>
      <c r="HF137" s="250"/>
      <c r="HG137" s="250"/>
      <c r="HH137" s="251"/>
      <c r="HI137" s="424"/>
      <c r="HJ137" s="255"/>
      <c r="HK137" s="255"/>
      <c r="HL137" s="250"/>
      <c r="HM137" s="255"/>
      <c r="HN137" s="255"/>
      <c r="HO137" s="255"/>
      <c r="HP137" s="250"/>
      <c r="HQ137" s="250"/>
      <c r="HR137" s="250"/>
      <c r="HS137" s="250"/>
      <c r="HT137" s="250"/>
      <c r="HU137" s="251"/>
      <c r="HX137" s="252"/>
      <c r="HY137" s="252"/>
      <c r="HZ137" s="252"/>
      <c r="ID137" s="252"/>
      <c r="IE137" s="252"/>
      <c r="IF137" s="252"/>
      <c r="IJ137" s="252"/>
      <c r="IK137" s="252"/>
      <c r="IL137" s="252"/>
      <c r="IP137" s="252"/>
      <c r="IQ137" s="252"/>
      <c r="IR137" s="252"/>
      <c r="IY137" s="66"/>
      <c r="IZ137" s="66"/>
      <c r="JA137" s="66"/>
      <c r="JB137" s="250"/>
      <c r="JC137" s="66"/>
      <c r="JD137" s="66"/>
      <c r="JE137" s="66"/>
      <c r="JF137" s="66"/>
      <c r="JG137" s="66"/>
      <c r="JH137" s="66"/>
      <c r="JI137" s="66"/>
      <c r="JJ137" s="66"/>
      <c r="JK137" s="8"/>
      <c r="JN137" s="252"/>
      <c r="JO137" s="252"/>
      <c r="JP137" s="252"/>
      <c r="JT137" s="252"/>
      <c r="JU137" s="252"/>
      <c r="JV137" s="252"/>
      <c r="JZ137" s="252"/>
      <c r="KA137" s="252"/>
      <c r="KB137" s="252"/>
      <c r="KF137" s="252"/>
      <c r="KG137" s="252"/>
      <c r="KH137" s="252"/>
      <c r="KO137" s="66"/>
      <c r="KP137" s="66"/>
      <c r="KQ137" s="66"/>
      <c r="KR137" s="66"/>
      <c r="KS137" s="66"/>
      <c r="KT137" s="66"/>
      <c r="KU137" s="66"/>
      <c r="KV137" s="66"/>
      <c r="KW137" s="66"/>
      <c r="KX137" s="66"/>
      <c r="KY137" s="66"/>
      <c r="KZ137" s="66"/>
      <c r="LA137" s="8"/>
      <c r="LD137" s="252"/>
      <c r="LE137" s="252"/>
      <c r="LF137" s="252"/>
      <c r="LJ137" s="252"/>
      <c r="LK137" s="252"/>
      <c r="LN137" s="252"/>
      <c r="LO137" s="252"/>
      <c r="LP137" s="252"/>
      <c r="LT137" s="271"/>
      <c r="LU137" s="250"/>
      <c r="LV137" s="250"/>
      <c r="LW137" s="250"/>
      <c r="LX137" s="250"/>
      <c r="LY137" s="250"/>
      <c r="LZ137" s="250"/>
      <c r="MA137" s="250"/>
      <c r="MB137" s="250"/>
      <c r="MC137" s="250"/>
      <c r="MD137" s="250"/>
      <c r="ME137" s="250"/>
      <c r="MF137" s="250"/>
      <c r="MG137" s="250"/>
      <c r="MH137" s="250"/>
      <c r="MI137" s="250"/>
      <c r="MJ137" s="250"/>
      <c r="MK137" s="424"/>
      <c r="ML137" s="640"/>
      <c r="MM137" s="251"/>
      <c r="MN137" s="252"/>
      <c r="MO137" s="252"/>
      <c r="MP137" s="252"/>
      <c r="MQ137" s="252"/>
      <c r="MR137" s="252"/>
      <c r="MS137" s="252"/>
      <c r="MT137" s="252"/>
      <c r="MU137" s="252"/>
      <c r="MV137" s="252"/>
      <c r="MW137" s="252"/>
      <c r="MX137" s="252"/>
      <c r="MY137" s="252"/>
      <c r="MZ137" s="252"/>
      <c r="NA137" s="252"/>
      <c r="NB137" s="252"/>
      <c r="NC137" s="251"/>
      <c r="ND137" s="250"/>
      <c r="NE137" s="250"/>
      <c r="NF137" s="250"/>
      <c r="NG137" s="250"/>
      <c r="NH137" s="250"/>
      <c r="NI137" s="250"/>
      <c r="NJ137" s="250"/>
      <c r="NK137" s="250"/>
      <c r="NL137" s="250"/>
      <c r="NM137" s="250"/>
      <c r="NN137" s="250"/>
      <c r="NO137" s="250"/>
      <c r="NP137" s="250"/>
      <c r="NQ137" s="250"/>
      <c r="NR137" s="250"/>
      <c r="NS137" s="250"/>
      <c r="NT137" s="250"/>
      <c r="NU137" s="250"/>
      <c r="NV137" s="250"/>
      <c r="NW137" s="251"/>
      <c r="OT137" s="8"/>
      <c r="QG137" s="8"/>
      <c r="RT137" s="8"/>
    </row>
    <row r="138" spans="1:488" s="282" customFormat="1" x14ac:dyDescent="0.25">
      <c r="A138" s="66"/>
      <c r="B138" s="8"/>
      <c r="C138" s="66"/>
      <c r="D138" s="66"/>
      <c r="E138" s="66"/>
      <c r="F138" s="66"/>
      <c r="G138" s="66"/>
      <c r="H138" s="66"/>
      <c r="I138" s="66"/>
      <c r="J138" s="66"/>
      <c r="K138" s="66"/>
      <c r="L138" s="66"/>
      <c r="M138" s="66"/>
      <c r="N138" s="66"/>
      <c r="O138" s="66"/>
      <c r="P138" s="66"/>
      <c r="Q138" s="66"/>
      <c r="R138" s="66"/>
      <c r="S138" s="66"/>
      <c r="T138" s="68"/>
      <c r="AC138" s="66"/>
      <c r="AD138" s="66"/>
      <c r="AE138" s="68"/>
      <c r="AN138" s="66"/>
      <c r="AO138" s="66"/>
      <c r="AP138" s="68"/>
      <c r="AW138" s="66"/>
      <c r="AX138" s="68"/>
      <c r="BD138" s="66"/>
      <c r="BE138" s="68"/>
      <c r="BF138" s="66"/>
      <c r="BG138" s="66"/>
      <c r="BH138" s="66"/>
      <c r="BI138" s="66"/>
      <c r="BJ138" s="66"/>
      <c r="BK138" s="66"/>
      <c r="BL138" s="68"/>
      <c r="BO138" s="66"/>
      <c r="BP138" s="68"/>
      <c r="BV138" s="66"/>
      <c r="BW138" s="68"/>
      <c r="CB138" s="8"/>
      <c r="CH138" s="8"/>
      <c r="CK138" s="299"/>
      <c r="CL138" s="299"/>
      <c r="CM138" s="66"/>
      <c r="CN138" s="66"/>
      <c r="CO138" s="68"/>
      <c r="CR138" s="8"/>
      <c r="CX138" s="66"/>
      <c r="CY138" s="532"/>
      <c r="DE138" s="66"/>
      <c r="DF138" s="66"/>
      <c r="DG138" s="68"/>
      <c r="DH138" s="68"/>
      <c r="DK138" s="66"/>
      <c r="DL138" s="66"/>
      <c r="DM138" s="66"/>
      <c r="DN138" s="66"/>
      <c r="DO138" s="66"/>
      <c r="DP138" s="66"/>
      <c r="DQ138" s="66"/>
      <c r="DR138" s="66"/>
      <c r="DS138" s="66"/>
      <c r="DT138" s="68"/>
      <c r="DU138" s="66"/>
      <c r="DV138" s="296"/>
      <c r="DW138" s="330"/>
      <c r="DX138" s="631"/>
      <c r="DY138" s="631"/>
      <c r="DZ138" s="631"/>
      <c r="EA138" s="330"/>
      <c r="EC138" s="66"/>
      <c r="ED138" s="68"/>
      <c r="EH138" s="66"/>
      <c r="EI138" s="66"/>
      <c r="EJ138" s="68"/>
      <c r="EK138" s="252"/>
      <c r="EL138" s="252"/>
      <c r="EM138" s="252"/>
      <c r="EO138" s="252"/>
      <c r="EP138" s="252"/>
      <c r="EQ138" s="252"/>
      <c r="ES138" s="252"/>
      <c r="ET138" s="252"/>
      <c r="EU138" s="252"/>
      <c r="EW138" s="252"/>
      <c r="EX138" s="252"/>
      <c r="EY138" s="252"/>
      <c r="FA138" s="250"/>
      <c r="FB138" s="250"/>
      <c r="FC138" s="250"/>
      <c r="FD138" s="250"/>
      <c r="FE138" s="250"/>
      <c r="FF138" s="250"/>
      <c r="FG138" s="250"/>
      <c r="FH138" s="424"/>
      <c r="FI138" s="250"/>
      <c r="FJ138" s="250"/>
      <c r="FK138" s="250"/>
      <c r="FL138" s="256"/>
      <c r="FM138" s="250"/>
      <c r="FN138" s="256"/>
      <c r="FO138" s="250"/>
      <c r="FP138" s="256"/>
      <c r="FQ138" s="250"/>
      <c r="FR138" s="256"/>
      <c r="FS138" s="250"/>
      <c r="FT138" s="256"/>
      <c r="FU138" s="256"/>
      <c r="FV138" s="256"/>
      <c r="FW138" s="250"/>
      <c r="FX138" s="424"/>
      <c r="FY138" s="251"/>
      <c r="GC138" s="252"/>
      <c r="GF138" s="252"/>
      <c r="GG138" s="252"/>
      <c r="GH138" s="252"/>
      <c r="GI138" s="252"/>
      <c r="GJ138" s="252"/>
      <c r="GK138" s="251"/>
      <c r="GL138" s="250"/>
      <c r="GM138" s="250"/>
      <c r="GN138" s="250"/>
      <c r="GO138" s="250"/>
      <c r="GP138" s="250"/>
      <c r="GQ138" s="250"/>
      <c r="GR138" s="250"/>
      <c r="GS138" s="250"/>
      <c r="GT138" s="250"/>
      <c r="GU138" s="251"/>
      <c r="GV138" s="250"/>
      <c r="GW138" s="250"/>
      <c r="GX138" s="250"/>
      <c r="GY138" s="250"/>
      <c r="GZ138" s="250"/>
      <c r="HA138" s="250"/>
      <c r="HB138" s="250"/>
      <c r="HC138" s="250"/>
      <c r="HD138" s="250"/>
      <c r="HE138" s="250"/>
      <c r="HF138" s="250"/>
      <c r="HG138" s="250"/>
      <c r="HH138" s="251"/>
      <c r="HI138" s="424"/>
      <c r="HJ138" s="255"/>
      <c r="HK138" s="255"/>
      <c r="HL138" s="250"/>
      <c r="HM138" s="255"/>
      <c r="HN138" s="255"/>
      <c r="HO138" s="255"/>
      <c r="HP138" s="250"/>
      <c r="HQ138" s="250"/>
      <c r="HR138" s="250"/>
      <c r="HS138" s="250"/>
      <c r="HT138" s="250"/>
      <c r="HU138" s="251"/>
      <c r="HX138" s="252"/>
      <c r="HY138" s="252"/>
      <c r="HZ138" s="252"/>
      <c r="ID138" s="252"/>
      <c r="IE138" s="252"/>
      <c r="IF138" s="252"/>
      <c r="IJ138" s="252"/>
      <c r="IK138" s="252"/>
      <c r="IL138" s="252"/>
      <c r="IP138" s="252"/>
      <c r="IQ138" s="252"/>
      <c r="IR138" s="252"/>
      <c r="IY138" s="66"/>
      <c r="IZ138" s="66"/>
      <c r="JA138" s="66"/>
      <c r="JB138" s="250"/>
      <c r="JC138" s="66"/>
      <c r="JD138" s="66"/>
      <c r="JE138" s="66"/>
      <c r="JF138" s="66"/>
      <c r="JG138" s="66"/>
      <c r="JH138" s="66"/>
      <c r="JI138" s="66"/>
      <c r="JJ138" s="66"/>
      <c r="JK138" s="8"/>
      <c r="JN138" s="252"/>
      <c r="JO138" s="252"/>
      <c r="JP138" s="252"/>
      <c r="JT138" s="252"/>
      <c r="JU138" s="252"/>
      <c r="JV138" s="252"/>
      <c r="JZ138" s="252"/>
      <c r="KA138" s="252"/>
      <c r="KB138" s="252"/>
      <c r="KF138" s="252"/>
      <c r="KG138" s="252"/>
      <c r="KH138" s="252"/>
      <c r="KO138" s="66"/>
      <c r="KP138" s="66"/>
      <c r="KQ138" s="66"/>
      <c r="KR138" s="66"/>
      <c r="KS138" s="66"/>
      <c r="KT138" s="66"/>
      <c r="KU138" s="66"/>
      <c r="KV138" s="66"/>
      <c r="KW138" s="66"/>
      <c r="KX138" s="66"/>
      <c r="KY138" s="66"/>
      <c r="KZ138" s="66"/>
      <c r="LA138" s="8"/>
      <c r="LD138" s="252"/>
      <c r="LE138" s="252"/>
      <c r="LF138" s="252"/>
      <c r="LJ138" s="252"/>
      <c r="LK138" s="252"/>
      <c r="LN138" s="252"/>
      <c r="LO138" s="252"/>
      <c r="LP138" s="252"/>
      <c r="LT138" s="271"/>
      <c r="LU138" s="250"/>
      <c r="LV138" s="250"/>
      <c r="LW138" s="250"/>
      <c r="LX138" s="250"/>
      <c r="LY138" s="250"/>
      <c r="LZ138" s="250"/>
      <c r="MA138" s="250"/>
      <c r="MB138" s="250"/>
      <c r="MC138" s="250"/>
      <c r="MD138" s="250"/>
      <c r="ME138" s="250"/>
      <c r="MF138" s="250"/>
      <c r="MG138" s="250"/>
      <c r="MH138" s="250"/>
      <c r="MI138" s="250"/>
      <c r="MJ138" s="250"/>
      <c r="MK138" s="424"/>
      <c r="ML138" s="640"/>
      <c r="MM138" s="251"/>
      <c r="MN138" s="252"/>
      <c r="MO138" s="252"/>
      <c r="MP138" s="252"/>
      <c r="MQ138" s="252"/>
      <c r="MR138" s="252"/>
      <c r="MS138" s="252"/>
      <c r="MT138" s="252"/>
      <c r="MU138" s="252"/>
      <c r="MV138" s="252"/>
      <c r="MW138" s="252"/>
      <c r="MX138" s="252"/>
      <c r="MY138" s="252"/>
      <c r="MZ138" s="252"/>
      <c r="NA138" s="252"/>
      <c r="NB138" s="252"/>
      <c r="NC138" s="251"/>
      <c r="ND138" s="250"/>
      <c r="NE138" s="250"/>
      <c r="NF138" s="250"/>
      <c r="NG138" s="250"/>
      <c r="NH138" s="250"/>
      <c r="NI138" s="250"/>
      <c r="NJ138" s="250"/>
      <c r="NK138" s="250"/>
      <c r="NL138" s="250"/>
      <c r="NM138" s="250"/>
      <c r="NN138" s="250"/>
      <c r="NO138" s="250"/>
      <c r="NP138" s="250"/>
      <c r="NQ138" s="250"/>
      <c r="NR138" s="250"/>
      <c r="NS138" s="250"/>
      <c r="NT138" s="250"/>
      <c r="NU138" s="250"/>
      <c r="NV138" s="250"/>
      <c r="NW138" s="251"/>
      <c r="OT138" s="8"/>
      <c r="QG138" s="8"/>
      <c r="RT138" s="8"/>
    </row>
    <row r="139" spans="1:488" s="282" customFormat="1" x14ac:dyDescent="0.25">
      <c r="A139" s="66"/>
      <c r="B139" s="8"/>
      <c r="C139" s="66"/>
      <c r="D139" s="66"/>
      <c r="E139" s="66"/>
      <c r="F139" s="66"/>
      <c r="G139" s="66"/>
      <c r="H139" s="66"/>
      <c r="I139" s="66"/>
      <c r="J139" s="66"/>
      <c r="K139" s="66"/>
      <c r="L139" s="66"/>
      <c r="M139" s="66"/>
      <c r="N139" s="66"/>
      <c r="O139" s="66"/>
      <c r="P139" s="66"/>
      <c r="Q139" s="66"/>
      <c r="R139" s="66"/>
      <c r="S139" s="66"/>
      <c r="T139" s="68"/>
      <c r="AC139" s="66"/>
      <c r="AD139" s="66"/>
      <c r="AE139" s="68"/>
      <c r="AN139" s="66"/>
      <c r="AO139" s="66"/>
      <c r="AP139" s="68"/>
      <c r="AW139" s="66"/>
      <c r="AX139" s="68"/>
      <c r="BD139" s="66"/>
      <c r="BE139" s="68"/>
      <c r="BF139" s="66"/>
      <c r="BG139" s="66"/>
      <c r="BH139" s="66"/>
      <c r="BI139" s="66"/>
      <c r="BJ139" s="66"/>
      <c r="BK139" s="66"/>
      <c r="BL139" s="68"/>
      <c r="BO139" s="66"/>
      <c r="BP139" s="68"/>
      <c r="BV139" s="66"/>
      <c r="BW139" s="68"/>
      <c r="CB139" s="8"/>
      <c r="CH139" s="8"/>
      <c r="CK139" s="299"/>
      <c r="CL139" s="299"/>
      <c r="CM139" s="66"/>
      <c r="CN139" s="66"/>
      <c r="CO139" s="68"/>
      <c r="CR139" s="8"/>
      <c r="CX139" s="66"/>
      <c r="CY139" s="532"/>
      <c r="DE139" s="66"/>
      <c r="DF139" s="66"/>
      <c r="DG139" s="68"/>
      <c r="DH139" s="68"/>
      <c r="DK139" s="66"/>
      <c r="DL139" s="66"/>
      <c r="DM139" s="66"/>
      <c r="DN139" s="66"/>
      <c r="DO139" s="66"/>
      <c r="DP139" s="66"/>
      <c r="DQ139" s="66"/>
      <c r="DR139" s="66"/>
      <c r="DS139" s="66"/>
      <c r="DT139" s="68"/>
      <c r="DU139" s="66"/>
      <c r="DV139" s="296"/>
      <c r="DW139" s="330"/>
      <c r="DX139" s="631"/>
      <c r="DY139" s="631"/>
      <c r="DZ139" s="631"/>
      <c r="EA139" s="330"/>
      <c r="EC139" s="66"/>
      <c r="ED139" s="68"/>
      <c r="EH139" s="66"/>
      <c r="EI139" s="66"/>
      <c r="EJ139" s="68"/>
      <c r="EK139" s="252"/>
      <c r="EL139" s="252"/>
      <c r="EM139" s="252"/>
      <c r="EO139" s="252"/>
      <c r="EP139" s="252"/>
      <c r="EQ139" s="252"/>
      <c r="ES139" s="252"/>
      <c r="ET139" s="252"/>
      <c r="EU139" s="252"/>
      <c r="EW139" s="252"/>
      <c r="EX139" s="252"/>
      <c r="EY139" s="252"/>
      <c r="FA139" s="250"/>
      <c r="FB139" s="250"/>
      <c r="FC139" s="250"/>
      <c r="FD139" s="250"/>
      <c r="FE139" s="250"/>
      <c r="FF139" s="250"/>
      <c r="FG139" s="250"/>
      <c r="FH139" s="424"/>
      <c r="FI139" s="250"/>
      <c r="FJ139" s="250"/>
      <c r="FK139" s="250"/>
      <c r="FL139" s="256"/>
      <c r="FM139" s="250"/>
      <c r="FN139" s="256"/>
      <c r="FO139" s="250"/>
      <c r="FP139" s="256"/>
      <c r="FQ139" s="250"/>
      <c r="FR139" s="256"/>
      <c r="FS139" s="250"/>
      <c r="FT139" s="256"/>
      <c r="FU139" s="256"/>
      <c r="FV139" s="256"/>
      <c r="FW139" s="250"/>
      <c r="FX139" s="424"/>
      <c r="FY139" s="251"/>
      <c r="GC139" s="252"/>
      <c r="GF139" s="252"/>
      <c r="GG139" s="252"/>
      <c r="GH139" s="252"/>
      <c r="GI139" s="252"/>
      <c r="GJ139" s="252"/>
      <c r="GK139" s="251"/>
      <c r="GL139" s="250"/>
      <c r="GM139" s="250"/>
      <c r="GN139" s="250"/>
      <c r="GO139" s="250"/>
      <c r="GP139" s="250"/>
      <c r="GQ139" s="250"/>
      <c r="GR139" s="250"/>
      <c r="GS139" s="250"/>
      <c r="GT139" s="250"/>
      <c r="GU139" s="251"/>
      <c r="GV139" s="250"/>
      <c r="GW139" s="250"/>
      <c r="GX139" s="250"/>
      <c r="GY139" s="250"/>
      <c r="GZ139" s="250"/>
      <c r="HA139" s="250"/>
      <c r="HB139" s="250"/>
      <c r="HC139" s="250"/>
      <c r="HD139" s="250"/>
      <c r="HE139" s="250"/>
      <c r="HF139" s="250"/>
      <c r="HG139" s="250"/>
      <c r="HH139" s="251"/>
      <c r="HI139" s="424"/>
      <c r="HJ139" s="255"/>
      <c r="HK139" s="255"/>
      <c r="HL139" s="250"/>
      <c r="HM139" s="255"/>
      <c r="HN139" s="255"/>
      <c r="HO139" s="255"/>
      <c r="HP139" s="250"/>
      <c r="HQ139" s="250"/>
      <c r="HR139" s="250"/>
      <c r="HS139" s="250"/>
      <c r="HT139" s="250"/>
      <c r="HU139" s="251"/>
      <c r="HX139" s="252"/>
      <c r="HY139" s="252"/>
      <c r="HZ139" s="252"/>
      <c r="ID139" s="252"/>
      <c r="IE139" s="252"/>
      <c r="IF139" s="252"/>
      <c r="IJ139" s="252"/>
      <c r="IK139" s="252"/>
      <c r="IL139" s="252"/>
      <c r="IP139" s="252"/>
      <c r="IQ139" s="252"/>
      <c r="IR139" s="252"/>
      <c r="IY139" s="66"/>
      <c r="IZ139" s="66"/>
      <c r="JA139" s="66"/>
      <c r="JB139" s="250"/>
      <c r="JC139" s="66"/>
      <c r="JD139" s="66"/>
      <c r="JE139" s="66"/>
      <c r="JF139" s="66"/>
      <c r="JG139" s="66"/>
      <c r="JH139" s="66"/>
      <c r="JI139" s="66"/>
      <c r="JJ139" s="66"/>
      <c r="JK139" s="8"/>
      <c r="JN139" s="252"/>
      <c r="JO139" s="252"/>
      <c r="JP139" s="252"/>
      <c r="JT139" s="252"/>
      <c r="JU139" s="252"/>
      <c r="JV139" s="252"/>
      <c r="JZ139" s="252"/>
      <c r="KA139" s="252"/>
      <c r="KB139" s="252"/>
      <c r="KF139" s="252"/>
      <c r="KG139" s="252"/>
      <c r="KH139" s="252"/>
      <c r="KO139" s="66"/>
      <c r="KP139" s="66"/>
      <c r="KQ139" s="66"/>
      <c r="KR139" s="66"/>
      <c r="KS139" s="66"/>
      <c r="KT139" s="66"/>
      <c r="KU139" s="66"/>
      <c r="KV139" s="66"/>
      <c r="KW139" s="66"/>
      <c r="KX139" s="66"/>
      <c r="KY139" s="66"/>
      <c r="KZ139" s="66"/>
      <c r="LA139" s="8"/>
      <c r="LD139" s="252"/>
      <c r="LE139" s="252"/>
      <c r="LF139" s="252"/>
      <c r="LJ139" s="252"/>
      <c r="LK139" s="252"/>
      <c r="LN139" s="252"/>
      <c r="LO139" s="252"/>
      <c r="LP139" s="252"/>
      <c r="LT139" s="271"/>
      <c r="LU139" s="250"/>
      <c r="LV139" s="250"/>
      <c r="LW139" s="250"/>
      <c r="LX139" s="250"/>
      <c r="LY139" s="250"/>
      <c r="LZ139" s="250"/>
      <c r="MA139" s="250"/>
      <c r="MB139" s="250"/>
      <c r="MC139" s="250"/>
      <c r="MD139" s="250"/>
      <c r="ME139" s="250"/>
      <c r="MF139" s="250"/>
      <c r="MG139" s="250"/>
      <c r="MH139" s="250"/>
      <c r="MI139" s="250"/>
      <c r="MJ139" s="250"/>
      <c r="MK139" s="424"/>
      <c r="ML139" s="640"/>
      <c r="MM139" s="251"/>
      <c r="MN139" s="252"/>
      <c r="MO139" s="252"/>
      <c r="MP139" s="252"/>
      <c r="MQ139" s="252"/>
      <c r="MR139" s="252"/>
      <c r="MS139" s="252"/>
      <c r="MT139" s="252"/>
      <c r="MU139" s="252"/>
      <c r="MV139" s="252"/>
      <c r="MW139" s="252"/>
      <c r="MX139" s="252"/>
      <c r="MY139" s="252"/>
      <c r="MZ139" s="252"/>
      <c r="NA139" s="252"/>
      <c r="NB139" s="252"/>
      <c r="NC139" s="251"/>
      <c r="ND139" s="250"/>
      <c r="NE139" s="250"/>
      <c r="NF139" s="250"/>
      <c r="NG139" s="250"/>
      <c r="NH139" s="250"/>
      <c r="NI139" s="250"/>
      <c r="NJ139" s="250"/>
      <c r="NK139" s="250"/>
      <c r="NL139" s="250"/>
      <c r="NM139" s="250"/>
      <c r="NN139" s="250"/>
      <c r="NO139" s="250"/>
      <c r="NP139" s="250"/>
      <c r="NQ139" s="250"/>
      <c r="NR139" s="250"/>
      <c r="NS139" s="250"/>
      <c r="NT139" s="250"/>
      <c r="NU139" s="250"/>
      <c r="NV139" s="250"/>
      <c r="NW139" s="251"/>
      <c r="OT139" s="8"/>
      <c r="QG139" s="8"/>
      <c r="RT139" s="8"/>
    </row>
    <row r="140" spans="1:488" s="282" customFormat="1" x14ac:dyDescent="0.25">
      <c r="A140" s="66"/>
      <c r="B140" s="8"/>
      <c r="C140" s="66"/>
      <c r="D140" s="66"/>
      <c r="E140" s="66"/>
      <c r="F140" s="66"/>
      <c r="G140" s="66"/>
      <c r="H140" s="66"/>
      <c r="I140" s="66"/>
      <c r="J140" s="66"/>
      <c r="K140" s="66"/>
      <c r="L140" s="66"/>
      <c r="M140" s="66"/>
      <c r="N140" s="66"/>
      <c r="O140" s="66"/>
      <c r="P140" s="66"/>
      <c r="Q140" s="66"/>
      <c r="R140" s="66"/>
      <c r="S140" s="66"/>
      <c r="T140" s="68"/>
      <c r="AC140" s="66"/>
      <c r="AD140" s="66"/>
      <c r="AE140" s="68"/>
      <c r="AN140" s="66"/>
      <c r="AO140" s="66"/>
      <c r="AP140" s="68"/>
      <c r="AW140" s="66"/>
      <c r="AX140" s="68"/>
      <c r="BD140" s="66"/>
      <c r="BE140" s="68"/>
      <c r="BF140" s="66"/>
      <c r="BG140" s="66"/>
      <c r="BH140" s="66"/>
      <c r="BI140" s="66"/>
      <c r="BJ140" s="66"/>
      <c r="BK140" s="66"/>
      <c r="BL140" s="68"/>
      <c r="BO140" s="66"/>
      <c r="BP140" s="68"/>
      <c r="BV140" s="66"/>
      <c r="BW140" s="68"/>
      <c r="CB140" s="8"/>
      <c r="CH140" s="8"/>
      <c r="CK140" s="299"/>
      <c r="CL140" s="299"/>
      <c r="CM140" s="66"/>
      <c r="CN140" s="66"/>
      <c r="CO140" s="68"/>
      <c r="CR140" s="8"/>
      <c r="CX140" s="66"/>
      <c r="CY140" s="532"/>
      <c r="DE140" s="66"/>
      <c r="DF140" s="66"/>
      <c r="DG140" s="68"/>
      <c r="DH140" s="68"/>
      <c r="DK140" s="66"/>
      <c r="DL140" s="66"/>
      <c r="DM140" s="66"/>
      <c r="DN140" s="66"/>
      <c r="DO140" s="66"/>
      <c r="DP140" s="66"/>
      <c r="DQ140" s="66"/>
      <c r="DR140" s="66"/>
      <c r="DS140" s="66"/>
      <c r="DT140" s="68"/>
      <c r="DU140" s="66"/>
      <c r="DV140" s="296"/>
      <c r="DW140" s="330"/>
      <c r="DX140" s="631"/>
      <c r="DY140" s="631"/>
      <c r="DZ140" s="631"/>
      <c r="EA140" s="330"/>
      <c r="EC140" s="66"/>
      <c r="ED140" s="68"/>
      <c r="EH140" s="66"/>
      <c r="EI140" s="66"/>
      <c r="EJ140" s="68"/>
      <c r="EK140" s="252"/>
      <c r="EL140" s="252"/>
      <c r="EM140" s="252"/>
      <c r="EO140" s="252"/>
      <c r="EP140" s="252"/>
      <c r="EQ140" s="252"/>
      <c r="ES140" s="252"/>
      <c r="ET140" s="252"/>
      <c r="EU140" s="252"/>
      <c r="EW140" s="252"/>
      <c r="EX140" s="252"/>
      <c r="EY140" s="252"/>
      <c r="FA140" s="250"/>
      <c r="FB140" s="250"/>
      <c r="FC140" s="250"/>
      <c r="FD140" s="250"/>
      <c r="FE140" s="250"/>
      <c r="FF140" s="250"/>
      <c r="FG140" s="250"/>
      <c r="FH140" s="424"/>
      <c r="FI140" s="250"/>
      <c r="FJ140" s="250"/>
      <c r="FK140" s="250"/>
      <c r="FL140" s="256"/>
      <c r="FM140" s="250"/>
      <c r="FN140" s="256"/>
      <c r="FO140" s="250"/>
      <c r="FP140" s="256"/>
      <c r="FQ140" s="250"/>
      <c r="FR140" s="256"/>
      <c r="FS140" s="250"/>
      <c r="FT140" s="256"/>
      <c r="FU140" s="256"/>
      <c r="FV140" s="256"/>
      <c r="FW140" s="250"/>
      <c r="FX140" s="424"/>
      <c r="FY140" s="251"/>
      <c r="GC140" s="252"/>
      <c r="GF140" s="252"/>
      <c r="GG140" s="252"/>
      <c r="GH140" s="252"/>
      <c r="GI140" s="252"/>
      <c r="GJ140" s="252"/>
      <c r="GK140" s="251"/>
      <c r="GL140" s="250"/>
      <c r="GM140" s="250"/>
      <c r="GN140" s="250"/>
      <c r="GO140" s="250"/>
      <c r="GP140" s="250"/>
      <c r="GQ140" s="250"/>
      <c r="GR140" s="250"/>
      <c r="GS140" s="250"/>
      <c r="GT140" s="250"/>
      <c r="GU140" s="251"/>
      <c r="GV140" s="250"/>
      <c r="GW140" s="250"/>
      <c r="GX140" s="250"/>
      <c r="GY140" s="250"/>
      <c r="GZ140" s="250"/>
      <c r="HA140" s="250"/>
      <c r="HB140" s="250"/>
      <c r="HC140" s="250"/>
      <c r="HD140" s="250"/>
      <c r="HE140" s="250"/>
      <c r="HF140" s="250"/>
      <c r="HG140" s="250"/>
      <c r="HH140" s="251"/>
      <c r="HI140" s="424"/>
      <c r="HJ140" s="255"/>
      <c r="HK140" s="255"/>
      <c r="HL140" s="250"/>
      <c r="HM140" s="255"/>
      <c r="HN140" s="255"/>
      <c r="HO140" s="255"/>
      <c r="HP140" s="250"/>
      <c r="HQ140" s="250"/>
      <c r="HR140" s="250"/>
      <c r="HS140" s="250"/>
      <c r="HT140" s="250"/>
      <c r="HU140" s="251"/>
      <c r="HX140" s="252"/>
      <c r="HY140" s="252"/>
      <c r="HZ140" s="252"/>
      <c r="ID140" s="252"/>
      <c r="IE140" s="252"/>
      <c r="IF140" s="252"/>
      <c r="IJ140" s="252"/>
      <c r="IK140" s="252"/>
      <c r="IL140" s="252"/>
      <c r="IP140" s="252"/>
      <c r="IQ140" s="252"/>
      <c r="IR140" s="252"/>
      <c r="IY140" s="66"/>
      <c r="IZ140" s="66"/>
      <c r="JA140" s="66"/>
      <c r="JB140" s="250"/>
      <c r="JC140" s="66"/>
      <c r="JD140" s="66"/>
      <c r="JE140" s="66"/>
      <c r="JF140" s="66"/>
      <c r="JG140" s="66"/>
      <c r="JH140" s="66"/>
      <c r="JI140" s="66"/>
      <c r="JJ140" s="66"/>
      <c r="JK140" s="8"/>
      <c r="JN140" s="252"/>
      <c r="JO140" s="252"/>
      <c r="JP140" s="252"/>
      <c r="JT140" s="252"/>
      <c r="JU140" s="252"/>
      <c r="JV140" s="252"/>
      <c r="JZ140" s="252"/>
      <c r="KA140" s="252"/>
      <c r="KB140" s="252"/>
      <c r="KF140" s="252"/>
      <c r="KG140" s="252"/>
      <c r="KH140" s="252"/>
      <c r="KO140" s="66"/>
      <c r="KP140" s="66"/>
      <c r="KQ140" s="66"/>
      <c r="KR140" s="66"/>
      <c r="KS140" s="66"/>
      <c r="KT140" s="66"/>
      <c r="KU140" s="66"/>
      <c r="KV140" s="66"/>
      <c r="KW140" s="66"/>
      <c r="KX140" s="66"/>
      <c r="KY140" s="66"/>
      <c r="KZ140" s="66"/>
      <c r="LA140" s="8"/>
      <c r="LD140" s="252"/>
      <c r="LE140" s="252"/>
      <c r="LF140" s="252"/>
      <c r="LJ140" s="252"/>
      <c r="LK140" s="252"/>
      <c r="LN140" s="252"/>
      <c r="LO140" s="252"/>
      <c r="LP140" s="252"/>
      <c r="LT140" s="271"/>
      <c r="LU140" s="250"/>
      <c r="LV140" s="250"/>
      <c r="LW140" s="250"/>
      <c r="LX140" s="250"/>
      <c r="LY140" s="250"/>
      <c r="LZ140" s="250"/>
      <c r="MA140" s="250"/>
      <c r="MB140" s="250"/>
      <c r="MC140" s="250"/>
      <c r="MD140" s="250"/>
      <c r="ME140" s="250"/>
      <c r="MF140" s="250"/>
      <c r="MG140" s="250"/>
      <c r="MH140" s="250"/>
      <c r="MI140" s="250"/>
      <c r="MJ140" s="250"/>
      <c r="MK140" s="424"/>
      <c r="ML140" s="640"/>
      <c r="MM140" s="251"/>
      <c r="MN140" s="252"/>
      <c r="MO140" s="252"/>
      <c r="MP140" s="252"/>
      <c r="MQ140" s="252"/>
      <c r="MR140" s="252"/>
      <c r="MS140" s="252"/>
      <c r="MT140" s="252"/>
      <c r="MU140" s="252"/>
      <c r="MV140" s="252"/>
      <c r="MW140" s="252"/>
      <c r="MX140" s="252"/>
      <c r="MY140" s="252"/>
      <c r="MZ140" s="252"/>
      <c r="NA140" s="252"/>
      <c r="NB140" s="252"/>
      <c r="NC140" s="251"/>
      <c r="ND140" s="250"/>
      <c r="NE140" s="250"/>
      <c r="NF140" s="250"/>
      <c r="NG140" s="250"/>
      <c r="NH140" s="250"/>
      <c r="NI140" s="250"/>
      <c r="NJ140" s="250"/>
      <c r="NK140" s="250"/>
      <c r="NL140" s="250"/>
      <c r="NM140" s="250"/>
      <c r="NN140" s="250"/>
      <c r="NO140" s="250"/>
      <c r="NP140" s="250"/>
      <c r="NQ140" s="250"/>
      <c r="NR140" s="250"/>
      <c r="NS140" s="250"/>
      <c r="NT140" s="250"/>
      <c r="NU140" s="250"/>
      <c r="NV140" s="250"/>
      <c r="NW140" s="251"/>
      <c r="OT140" s="8"/>
      <c r="QG140" s="8"/>
      <c r="RT140" s="8"/>
    </row>
    <row r="141" spans="1:488" s="282" customFormat="1" x14ac:dyDescent="0.25">
      <c r="A141" s="66"/>
      <c r="B141" s="8"/>
      <c r="C141" s="66"/>
      <c r="D141" s="66"/>
      <c r="E141" s="66"/>
      <c r="F141" s="66"/>
      <c r="G141" s="66"/>
      <c r="H141" s="66"/>
      <c r="I141" s="66"/>
      <c r="J141" s="66"/>
      <c r="K141" s="66"/>
      <c r="L141" s="66"/>
      <c r="M141" s="66"/>
      <c r="N141" s="66"/>
      <c r="O141" s="66"/>
      <c r="P141" s="66"/>
      <c r="Q141" s="66"/>
      <c r="R141" s="66"/>
      <c r="S141" s="66"/>
      <c r="T141" s="68"/>
      <c r="AC141" s="66"/>
      <c r="AD141" s="66"/>
      <c r="AE141" s="68"/>
      <c r="AN141" s="66"/>
      <c r="AO141" s="66"/>
      <c r="AP141" s="68"/>
      <c r="AW141" s="66"/>
      <c r="AX141" s="68"/>
      <c r="BD141" s="66"/>
      <c r="BE141" s="68"/>
      <c r="BF141" s="66"/>
      <c r="BG141" s="66"/>
      <c r="BH141" s="66"/>
      <c r="BI141" s="66"/>
      <c r="BJ141" s="66"/>
      <c r="BK141" s="66"/>
      <c r="BL141" s="68"/>
      <c r="BO141" s="66"/>
      <c r="BP141" s="68"/>
      <c r="BV141" s="66"/>
      <c r="BW141" s="68"/>
      <c r="CB141" s="8"/>
      <c r="CH141" s="8"/>
      <c r="CK141" s="299"/>
      <c r="CL141" s="299"/>
      <c r="CM141" s="66"/>
      <c r="CN141" s="66"/>
      <c r="CO141" s="68"/>
      <c r="CR141" s="8"/>
      <c r="CX141" s="66"/>
      <c r="CY141" s="532"/>
      <c r="DE141" s="66"/>
      <c r="DF141" s="66"/>
      <c r="DG141" s="68"/>
      <c r="DH141" s="68"/>
      <c r="DK141" s="66"/>
      <c r="DL141" s="66"/>
      <c r="DM141" s="66"/>
      <c r="DN141" s="66"/>
      <c r="DO141" s="66"/>
      <c r="DP141" s="66"/>
      <c r="DQ141" s="66"/>
      <c r="DR141" s="66"/>
      <c r="DS141" s="66"/>
      <c r="DT141" s="68"/>
      <c r="DU141" s="66"/>
      <c r="DV141" s="296"/>
      <c r="DW141" s="330"/>
      <c r="DX141" s="631"/>
      <c r="DY141" s="631"/>
      <c r="DZ141" s="631"/>
      <c r="EA141" s="330"/>
      <c r="EC141" s="66"/>
      <c r="ED141" s="68"/>
      <c r="EH141" s="66"/>
      <c r="EI141" s="66"/>
      <c r="EJ141" s="68"/>
      <c r="EK141" s="252"/>
      <c r="EL141" s="252"/>
      <c r="EM141" s="252"/>
      <c r="EO141" s="252"/>
      <c r="EP141" s="252"/>
      <c r="EQ141" s="252"/>
      <c r="ES141" s="252"/>
      <c r="ET141" s="252"/>
      <c r="EU141" s="252"/>
      <c r="EW141" s="252"/>
      <c r="EX141" s="252"/>
      <c r="EY141" s="252"/>
      <c r="FA141" s="250"/>
      <c r="FB141" s="250"/>
      <c r="FC141" s="250"/>
      <c r="FD141" s="250"/>
      <c r="FE141" s="250"/>
      <c r="FF141" s="250"/>
      <c r="FG141" s="250"/>
      <c r="FH141" s="424"/>
      <c r="FI141" s="250"/>
      <c r="FJ141" s="250"/>
      <c r="FK141" s="250"/>
      <c r="FL141" s="256"/>
      <c r="FM141" s="250"/>
      <c r="FN141" s="256"/>
      <c r="FO141" s="250"/>
      <c r="FP141" s="256"/>
      <c r="FQ141" s="250"/>
      <c r="FR141" s="256"/>
      <c r="FS141" s="250"/>
      <c r="FT141" s="256"/>
      <c r="FU141" s="256"/>
      <c r="FV141" s="256"/>
      <c r="FW141" s="250"/>
      <c r="FX141" s="424"/>
      <c r="FY141" s="251"/>
      <c r="GC141" s="252"/>
      <c r="GF141" s="252"/>
      <c r="GG141" s="252"/>
      <c r="GH141" s="252"/>
      <c r="GI141" s="252"/>
      <c r="GJ141" s="252"/>
      <c r="GK141" s="251"/>
      <c r="GL141" s="250"/>
      <c r="GM141" s="250"/>
      <c r="GN141" s="250"/>
      <c r="GO141" s="250"/>
      <c r="GP141" s="250"/>
      <c r="GQ141" s="250"/>
      <c r="GR141" s="250"/>
      <c r="GS141" s="250"/>
      <c r="GT141" s="250"/>
      <c r="GU141" s="251"/>
      <c r="GV141" s="250"/>
      <c r="GW141" s="250"/>
      <c r="GX141" s="250"/>
      <c r="GY141" s="250"/>
      <c r="GZ141" s="250"/>
      <c r="HA141" s="250"/>
      <c r="HB141" s="250"/>
      <c r="HC141" s="250"/>
      <c r="HD141" s="250"/>
      <c r="HE141" s="250"/>
      <c r="HF141" s="250"/>
      <c r="HG141" s="250"/>
      <c r="HH141" s="251"/>
      <c r="HI141" s="424"/>
      <c r="HJ141" s="255"/>
      <c r="HK141" s="255"/>
      <c r="HL141" s="250"/>
      <c r="HM141" s="255"/>
      <c r="HN141" s="255"/>
      <c r="HO141" s="255"/>
      <c r="HP141" s="250"/>
      <c r="HQ141" s="250"/>
      <c r="HR141" s="250"/>
      <c r="HS141" s="250"/>
      <c r="HT141" s="250"/>
      <c r="HU141" s="251"/>
      <c r="HX141" s="252"/>
      <c r="HY141" s="252"/>
      <c r="HZ141" s="252"/>
      <c r="ID141" s="252"/>
      <c r="IE141" s="252"/>
      <c r="IF141" s="252"/>
      <c r="IJ141" s="252"/>
      <c r="IK141" s="252"/>
      <c r="IL141" s="252"/>
      <c r="IP141" s="252"/>
      <c r="IQ141" s="252"/>
      <c r="IR141" s="252"/>
      <c r="IY141" s="66"/>
      <c r="IZ141" s="66"/>
      <c r="JA141" s="66"/>
      <c r="JB141" s="250"/>
      <c r="JC141" s="66"/>
      <c r="JD141" s="66"/>
      <c r="JE141" s="66"/>
      <c r="JF141" s="66"/>
      <c r="JG141" s="66"/>
      <c r="JH141" s="66"/>
      <c r="JI141" s="66"/>
      <c r="JJ141" s="66"/>
      <c r="JK141" s="8"/>
      <c r="JN141" s="252"/>
      <c r="JO141" s="252"/>
      <c r="JP141" s="252"/>
      <c r="JT141" s="252"/>
      <c r="JU141" s="252"/>
      <c r="JV141" s="252"/>
      <c r="JZ141" s="252"/>
      <c r="KA141" s="252"/>
      <c r="KB141" s="252"/>
      <c r="KF141" s="252"/>
      <c r="KG141" s="252"/>
      <c r="KH141" s="252"/>
      <c r="KO141" s="66"/>
      <c r="KP141" s="66"/>
      <c r="KQ141" s="66"/>
      <c r="KR141" s="66"/>
      <c r="KS141" s="66"/>
      <c r="KT141" s="66"/>
      <c r="KU141" s="66"/>
      <c r="KV141" s="66"/>
      <c r="KW141" s="66"/>
      <c r="KX141" s="66"/>
      <c r="KY141" s="66"/>
      <c r="KZ141" s="66"/>
      <c r="LA141" s="8"/>
      <c r="LD141" s="252"/>
      <c r="LE141" s="252"/>
      <c r="LF141" s="252"/>
      <c r="LJ141" s="252"/>
      <c r="LK141" s="252"/>
      <c r="LN141" s="252"/>
      <c r="LO141" s="252"/>
      <c r="LP141" s="252"/>
      <c r="LT141" s="271"/>
      <c r="LU141" s="250"/>
      <c r="LV141" s="250"/>
      <c r="LW141" s="250"/>
      <c r="LX141" s="250"/>
      <c r="LY141" s="250"/>
      <c r="LZ141" s="250"/>
      <c r="MA141" s="250"/>
      <c r="MB141" s="250"/>
      <c r="MC141" s="250"/>
      <c r="MD141" s="250"/>
      <c r="ME141" s="250"/>
      <c r="MF141" s="250"/>
      <c r="MG141" s="250"/>
      <c r="MH141" s="250"/>
      <c r="MI141" s="250"/>
      <c r="MJ141" s="250"/>
      <c r="MK141" s="424"/>
      <c r="ML141" s="640"/>
      <c r="MM141" s="251"/>
      <c r="MN141" s="252"/>
      <c r="MO141" s="252"/>
      <c r="MP141" s="252"/>
      <c r="MQ141" s="252"/>
      <c r="MR141" s="252"/>
      <c r="MS141" s="252"/>
      <c r="MT141" s="252"/>
      <c r="MU141" s="252"/>
      <c r="MV141" s="252"/>
      <c r="MW141" s="252"/>
      <c r="MX141" s="252"/>
      <c r="MY141" s="252"/>
      <c r="MZ141" s="252"/>
      <c r="NA141" s="252"/>
      <c r="NB141" s="252"/>
      <c r="NC141" s="251"/>
      <c r="ND141" s="250"/>
      <c r="NE141" s="250"/>
      <c r="NF141" s="250"/>
      <c r="NG141" s="250"/>
      <c r="NH141" s="250"/>
      <c r="NI141" s="250"/>
      <c r="NJ141" s="250"/>
      <c r="NK141" s="250"/>
      <c r="NL141" s="250"/>
      <c r="NM141" s="250"/>
      <c r="NN141" s="250"/>
      <c r="NO141" s="250"/>
      <c r="NP141" s="250"/>
      <c r="NQ141" s="250"/>
      <c r="NR141" s="250"/>
      <c r="NS141" s="250"/>
      <c r="NT141" s="250"/>
      <c r="NU141" s="250"/>
      <c r="NV141" s="250"/>
      <c r="NW141" s="251"/>
      <c r="OT141" s="8"/>
      <c r="QG141" s="8"/>
      <c r="RT141" s="8"/>
    </row>
    <row r="142" spans="1:488" s="282" customFormat="1" x14ac:dyDescent="0.25">
      <c r="A142" s="66"/>
      <c r="B142" s="8"/>
      <c r="C142" s="66"/>
      <c r="D142" s="66"/>
      <c r="E142" s="66"/>
      <c r="F142" s="66"/>
      <c r="G142" s="66"/>
      <c r="H142" s="66"/>
      <c r="I142" s="66"/>
      <c r="J142" s="66"/>
      <c r="K142" s="66"/>
      <c r="L142" s="66"/>
      <c r="M142" s="66"/>
      <c r="N142" s="66"/>
      <c r="O142" s="66"/>
      <c r="P142" s="66"/>
      <c r="Q142" s="66"/>
      <c r="R142" s="66"/>
      <c r="S142" s="66"/>
      <c r="T142" s="68"/>
      <c r="AC142" s="66"/>
      <c r="AD142" s="66"/>
      <c r="AE142" s="68"/>
      <c r="AN142" s="66"/>
      <c r="AO142" s="66"/>
      <c r="AP142" s="68"/>
      <c r="AW142" s="66"/>
      <c r="AX142" s="68"/>
      <c r="BD142" s="66"/>
      <c r="BE142" s="68"/>
      <c r="BF142" s="66"/>
      <c r="BG142" s="66"/>
      <c r="BH142" s="66"/>
      <c r="BI142" s="66"/>
      <c r="BJ142" s="66"/>
      <c r="BK142" s="66"/>
      <c r="BL142" s="68"/>
      <c r="BO142" s="66"/>
      <c r="BP142" s="68"/>
      <c r="BV142" s="66"/>
      <c r="BW142" s="68"/>
      <c r="CB142" s="8"/>
      <c r="CH142" s="8"/>
      <c r="CK142" s="299"/>
      <c r="CL142" s="299"/>
      <c r="CM142" s="66"/>
      <c r="CN142" s="66"/>
      <c r="CO142" s="68"/>
      <c r="CR142" s="8"/>
      <c r="CX142" s="66"/>
      <c r="CY142" s="532"/>
      <c r="DE142" s="66"/>
      <c r="DF142" s="66"/>
      <c r="DG142" s="68"/>
      <c r="DH142" s="68"/>
      <c r="DK142" s="66"/>
      <c r="DL142" s="66"/>
      <c r="DM142" s="66"/>
      <c r="DN142" s="66"/>
      <c r="DO142" s="66"/>
      <c r="DP142" s="66"/>
      <c r="DQ142" s="66"/>
      <c r="DR142" s="66"/>
      <c r="DS142" s="66"/>
      <c r="DT142" s="68"/>
      <c r="DU142" s="66"/>
      <c r="DV142" s="296"/>
      <c r="DW142" s="330"/>
      <c r="DX142" s="631"/>
      <c r="DY142" s="631"/>
      <c r="DZ142" s="631"/>
      <c r="EA142" s="330"/>
      <c r="EC142" s="66"/>
      <c r="ED142" s="68"/>
      <c r="EH142" s="66"/>
      <c r="EI142" s="66"/>
      <c r="EJ142" s="68"/>
      <c r="EK142" s="252"/>
      <c r="EL142" s="252"/>
      <c r="EM142" s="252"/>
      <c r="EO142" s="252"/>
      <c r="EP142" s="252"/>
      <c r="EQ142" s="252"/>
      <c r="ES142" s="252"/>
      <c r="ET142" s="252"/>
      <c r="EU142" s="252"/>
      <c r="EW142" s="252"/>
      <c r="EX142" s="252"/>
      <c r="EY142" s="252"/>
      <c r="FA142" s="250"/>
      <c r="FB142" s="250"/>
      <c r="FC142" s="250"/>
      <c r="FD142" s="250"/>
      <c r="FE142" s="250"/>
      <c r="FF142" s="250"/>
      <c r="FG142" s="250"/>
      <c r="FH142" s="424"/>
      <c r="FI142" s="250"/>
      <c r="FJ142" s="250"/>
      <c r="FK142" s="250"/>
      <c r="FL142" s="256"/>
      <c r="FM142" s="250"/>
      <c r="FN142" s="256"/>
      <c r="FO142" s="250"/>
      <c r="FP142" s="256"/>
      <c r="FQ142" s="250"/>
      <c r="FR142" s="256"/>
      <c r="FS142" s="250"/>
      <c r="FT142" s="256"/>
      <c r="FU142" s="256"/>
      <c r="FV142" s="256"/>
      <c r="FW142" s="250"/>
      <c r="FX142" s="424"/>
      <c r="FY142" s="251"/>
      <c r="GC142" s="252"/>
      <c r="GF142" s="252"/>
      <c r="GG142" s="252"/>
      <c r="GH142" s="252"/>
      <c r="GI142" s="252"/>
      <c r="GJ142" s="252"/>
      <c r="GK142" s="251"/>
      <c r="GL142" s="250"/>
      <c r="GM142" s="250"/>
      <c r="GN142" s="250"/>
      <c r="GO142" s="250"/>
      <c r="GP142" s="250"/>
      <c r="GQ142" s="250"/>
      <c r="GR142" s="250"/>
      <c r="GS142" s="250"/>
      <c r="GT142" s="250"/>
      <c r="GU142" s="251"/>
      <c r="GV142" s="250"/>
      <c r="GW142" s="250"/>
      <c r="GX142" s="250"/>
      <c r="GY142" s="250"/>
      <c r="GZ142" s="250"/>
      <c r="HA142" s="250"/>
      <c r="HB142" s="250"/>
      <c r="HC142" s="250"/>
      <c r="HD142" s="250"/>
      <c r="HE142" s="250"/>
      <c r="HF142" s="250"/>
      <c r="HG142" s="250"/>
      <c r="HH142" s="251"/>
      <c r="HI142" s="424"/>
      <c r="HJ142" s="255"/>
      <c r="HK142" s="255"/>
      <c r="HL142" s="250"/>
      <c r="HM142" s="255"/>
      <c r="HN142" s="255"/>
      <c r="HO142" s="255"/>
      <c r="HP142" s="250"/>
      <c r="HQ142" s="250"/>
      <c r="HR142" s="250"/>
      <c r="HS142" s="250"/>
      <c r="HT142" s="250"/>
      <c r="HU142" s="251"/>
      <c r="HX142" s="252"/>
      <c r="HY142" s="252"/>
      <c r="HZ142" s="252"/>
      <c r="ID142" s="252"/>
      <c r="IE142" s="252"/>
      <c r="IF142" s="252"/>
      <c r="IJ142" s="252"/>
      <c r="IK142" s="252"/>
      <c r="IL142" s="252"/>
      <c r="IP142" s="252"/>
      <c r="IQ142" s="252"/>
      <c r="IR142" s="252"/>
      <c r="IY142" s="66"/>
      <c r="IZ142" s="66"/>
      <c r="JA142" s="66"/>
      <c r="JB142" s="250"/>
      <c r="JC142" s="66"/>
      <c r="JD142" s="66"/>
      <c r="JE142" s="66"/>
      <c r="JF142" s="66"/>
      <c r="JG142" s="66"/>
      <c r="JH142" s="66"/>
      <c r="JI142" s="66"/>
      <c r="JJ142" s="66"/>
      <c r="JK142" s="8"/>
      <c r="JN142" s="252"/>
      <c r="JO142" s="252"/>
      <c r="JP142" s="252"/>
      <c r="JT142" s="252"/>
      <c r="JU142" s="252"/>
      <c r="JV142" s="252"/>
      <c r="JZ142" s="252"/>
      <c r="KA142" s="252"/>
      <c r="KB142" s="252"/>
      <c r="KF142" s="252"/>
      <c r="KG142" s="252"/>
      <c r="KH142" s="252"/>
      <c r="KO142" s="66"/>
      <c r="KP142" s="66"/>
      <c r="KQ142" s="66"/>
      <c r="KR142" s="66"/>
      <c r="KS142" s="66"/>
      <c r="KT142" s="66"/>
      <c r="KU142" s="66"/>
      <c r="KV142" s="66"/>
      <c r="KW142" s="66"/>
      <c r="KX142" s="66"/>
      <c r="KY142" s="66"/>
      <c r="KZ142" s="66"/>
      <c r="LA142" s="8"/>
      <c r="LD142" s="252"/>
      <c r="LE142" s="252"/>
      <c r="LF142" s="252"/>
      <c r="LJ142" s="252"/>
      <c r="LK142" s="252"/>
      <c r="LN142" s="252"/>
      <c r="LO142" s="252"/>
      <c r="LP142" s="252"/>
      <c r="LT142" s="271"/>
      <c r="LU142" s="250"/>
      <c r="LV142" s="250"/>
      <c r="LW142" s="250"/>
      <c r="LX142" s="250"/>
      <c r="LY142" s="250"/>
      <c r="LZ142" s="250"/>
      <c r="MA142" s="250"/>
      <c r="MB142" s="250"/>
      <c r="MC142" s="250"/>
      <c r="MD142" s="250"/>
      <c r="ME142" s="250"/>
      <c r="MF142" s="250"/>
      <c r="MG142" s="250"/>
      <c r="MH142" s="250"/>
      <c r="MI142" s="250"/>
      <c r="MJ142" s="250"/>
      <c r="MK142" s="424"/>
      <c r="ML142" s="640"/>
      <c r="MM142" s="251"/>
      <c r="MN142" s="252"/>
      <c r="MO142" s="252"/>
      <c r="MP142" s="252"/>
      <c r="MQ142" s="252"/>
      <c r="MR142" s="252"/>
      <c r="MS142" s="252"/>
      <c r="MT142" s="252"/>
      <c r="MU142" s="252"/>
      <c r="MV142" s="252"/>
      <c r="MW142" s="252"/>
      <c r="MX142" s="252"/>
      <c r="MY142" s="252"/>
      <c r="MZ142" s="252"/>
      <c r="NA142" s="252"/>
      <c r="NB142" s="252"/>
      <c r="NC142" s="251"/>
      <c r="ND142" s="250"/>
      <c r="NE142" s="250"/>
      <c r="NF142" s="250"/>
      <c r="NG142" s="250"/>
      <c r="NH142" s="250"/>
      <c r="NI142" s="250"/>
      <c r="NJ142" s="250"/>
      <c r="NK142" s="250"/>
      <c r="NL142" s="250"/>
      <c r="NM142" s="250"/>
      <c r="NN142" s="250"/>
      <c r="NO142" s="250"/>
      <c r="NP142" s="250"/>
      <c r="NQ142" s="250"/>
      <c r="NR142" s="250"/>
      <c r="NS142" s="250"/>
      <c r="NT142" s="250"/>
      <c r="NU142" s="250"/>
      <c r="NV142" s="250"/>
      <c r="NW142" s="251"/>
      <c r="OT142" s="8"/>
      <c r="QG142" s="8"/>
      <c r="RT142" s="8"/>
    </row>
    <row r="143" spans="1:488" s="282" customFormat="1" x14ac:dyDescent="0.25">
      <c r="A143" s="66"/>
      <c r="B143" s="8"/>
      <c r="C143" s="66"/>
      <c r="D143" s="66"/>
      <c r="E143" s="66"/>
      <c r="F143" s="66"/>
      <c r="G143" s="66"/>
      <c r="H143" s="66"/>
      <c r="I143" s="66"/>
      <c r="J143" s="66"/>
      <c r="K143" s="66"/>
      <c r="L143" s="66"/>
      <c r="M143" s="66"/>
      <c r="N143" s="66"/>
      <c r="O143" s="66"/>
      <c r="P143" s="66"/>
      <c r="Q143" s="66"/>
      <c r="R143" s="66"/>
      <c r="S143" s="66"/>
      <c r="T143" s="68"/>
      <c r="AC143" s="66"/>
      <c r="AD143" s="66"/>
      <c r="AE143" s="68"/>
      <c r="AN143" s="66"/>
      <c r="AO143" s="66"/>
      <c r="AP143" s="68"/>
      <c r="AW143" s="66"/>
      <c r="AX143" s="68"/>
      <c r="BD143" s="66"/>
      <c r="BE143" s="68"/>
      <c r="BF143" s="66"/>
      <c r="BG143" s="66"/>
      <c r="BH143" s="66"/>
      <c r="BI143" s="66"/>
      <c r="BJ143" s="66"/>
      <c r="BK143" s="66"/>
      <c r="BL143" s="68"/>
      <c r="BO143" s="66"/>
      <c r="BP143" s="68"/>
      <c r="BV143" s="66"/>
      <c r="BW143" s="68"/>
      <c r="CB143" s="8"/>
      <c r="CH143" s="8"/>
      <c r="CK143" s="299"/>
      <c r="CL143" s="299"/>
      <c r="CM143" s="66"/>
      <c r="CN143" s="66"/>
      <c r="CO143" s="68"/>
      <c r="CR143" s="8"/>
      <c r="CX143" s="66"/>
      <c r="CY143" s="532"/>
      <c r="DE143" s="66"/>
      <c r="DF143" s="66"/>
      <c r="DG143" s="68"/>
      <c r="DH143" s="68"/>
      <c r="DK143" s="66"/>
      <c r="DL143" s="66"/>
      <c r="DM143" s="66"/>
      <c r="DN143" s="66"/>
      <c r="DO143" s="66"/>
      <c r="DP143" s="66"/>
      <c r="DQ143" s="66"/>
      <c r="DR143" s="66"/>
      <c r="DS143" s="66"/>
      <c r="DT143" s="68"/>
      <c r="DU143" s="66"/>
      <c r="DV143" s="296"/>
      <c r="DW143" s="330"/>
      <c r="DX143" s="631"/>
      <c r="DY143" s="631"/>
      <c r="DZ143" s="631"/>
      <c r="EA143" s="330"/>
      <c r="EC143" s="66"/>
      <c r="ED143" s="68"/>
      <c r="EH143" s="66"/>
      <c r="EI143" s="66"/>
      <c r="EJ143" s="68"/>
      <c r="EK143" s="252"/>
      <c r="EL143" s="252"/>
      <c r="EM143" s="252"/>
      <c r="EO143" s="252"/>
      <c r="EP143" s="252"/>
      <c r="EQ143" s="252"/>
      <c r="ES143" s="252"/>
      <c r="ET143" s="252"/>
      <c r="EU143" s="252"/>
      <c r="EW143" s="252"/>
      <c r="EX143" s="252"/>
      <c r="EY143" s="252"/>
      <c r="FA143" s="250"/>
      <c r="FB143" s="250"/>
      <c r="FC143" s="250"/>
      <c r="FD143" s="250"/>
      <c r="FE143" s="250"/>
      <c r="FF143" s="250"/>
      <c r="FG143" s="250"/>
      <c r="FH143" s="424"/>
      <c r="FI143" s="250"/>
      <c r="FJ143" s="250"/>
      <c r="FK143" s="250"/>
      <c r="FL143" s="256"/>
      <c r="FM143" s="250"/>
      <c r="FN143" s="256"/>
      <c r="FO143" s="250"/>
      <c r="FP143" s="256"/>
      <c r="FQ143" s="250"/>
      <c r="FR143" s="256"/>
      <c r="FS143" s="250"/>
      <c r="FT143" s="256"/>
      <c r="FU143" s="256"/>
      <c r="FV143" s="256"/>
      <c r="FW143" s="250"/>
      <c r="FX143" s="424"/>
      <c r="FY143" s="251"/>
      <c r="GC143" s="252"/>
      <c r="GF143" s="252"/>
      <c r="GG143" s="252"/>
      <c r="GH143" s="252"/>
      <c r="GI143" s="252"/>
      <c r="GJ143" s="252"/>
      <c r="GK143" s="251"/>
      <c r="GL143" s="250"/>
      <c r="GM143" s="250"/>
      <c r="GN143" s="250"/>
      <c r="GO143" s="250"/>
      <c r="GP143" s="250"/>
      <c r="GQ143" s="250"/>
      <c r="GR143" s="250"/>
      <c r="GS143" s="250"/>
      <c r="GT143" s="250"/>
      <c r="GU143" s="251"/>
      <c r="GV143" s="250"/>
      <c r="GW143" s="250"/>
      <c r="GX143" s="250"/>
      <c r="GY143" s="250"/>
      <c r="GZ143" s="250"/>
      <c r="HA143" s="250"/>
      <c r="HB143" s="250"/>
      <c r="HC143" s="250"/>
      <c r="HD143" s="250"/>
      <c r="HE143" s="250"/>
      <c r="HF143" s="250"/>
      <c r="HG143" s="250"/>
      <c r="HH143" s="251"/>
      <c r="HI143" s="424"/>
      <c r="HJ143" s="255"/>
      <c r="HK143" s="255"/>
      <c r="HL143" s="250"/>
      <c r="HM143" s="255"/>
      <c r="HN143" s="255"/>
      <c r="HO143" s="255"/>
      <c r="HP143" s="250"/>
      <c r="HQ143" s="250"/>
      <c r="HR143" s="250"/>
      <c r="HS143" s="250"/>
      <c r="HT143" s="250"/>
      <c r="HU143" s="251"/>
      <c r="HX143" s="252"/>
      <c r="HY143" s="252"/>
      <c r="HZ143" s="252"/>
      <c r="ID143" s="252"/>
      <c r="IE143" s="252"/>
      <c r="IF143" s="252"/>
      <c r="IJ143" s="252"/>
      <c r="IK143" s="252"/>
      <c r="IL143" s="252"/>
      <c r="IP143" s="252"/>
      <c r="IQ143" s="252"/>
      <c r="IR143" s="252"/>
      <c r="IY143" s="66"/>
      <c r="IZ143" s="66"/>
      <c r="JA143" s="66"/>
      <c r="JB143" s="250"/>
      <c r="JC143" s="66"/>
      <c r="JD143" s="66"/>
      <c r="JE143" s="66"/>
      <c r="JF143" s="66"/>
      <c r="JG143" s="66"/>
      <c r="JH143" s="66"/>
      <c r="JI143" s="66"/>
      <c r="JJ143" s="66"/>
      <c r="JK143" s="8"/>
      <c r="JN143" s="252"/>
      <c r="JO143" s="252"/>
      <c r="JP143" s="252"/>
      <c r="JT143" s="252"/>
      <c r="JU143" s="252"/>
      <c r="JV143" s="252"/>
      <c r="JZ143" s="252"/>
      <c r="KA143" s="252"/>
      <c r="KB143" s="252"/>
      <c r="KF143" s="252"/>
      <c r="KG143" s="252"/>
      <c r="KH143" s="252"/>
      <c r="KO143" s="66"/>
      <c r="KP143" s="66"/>
      <c r="KQ143" s="66"/>
      <c r="KR143" s="66"/>
      <c r="KS143" s="66"/>
      <c r="KT143" s="66"/>
      <c r="KU143" s="66"/>
      <c r="KV143" s="66"/>
      <c r="KW143" s="66"/>
      <c r="KX143" s="66"/>
      <c r="KY143" s="66"/>
      <c r="KZ143" s="66"/>
      <c r="LA143" s="8"/>
      <c r="LD143" s="252"/>
      <c r="LE143" s="252"/>
      <c r="LF143" s="252"/>
      <c r="LJ143" s="252"/>
      <c r="LK143" s="252"/>
      <c r="LN143" s="252"/>
      <c r="LO143" s="252"/>
      <c r="LP143" s="252"/>
      <c r="LT143" s="271"/>
      <c r="LU143" s="250"/>
      <c r="LV143" s="250"/>
      <c r="LW143" s="250"/>
      <c r="LX143" s="250"/>
      <c r="LY143" s="250"/>
      <c r="LZ143" s="250"/>
      <c r="MA143" s="250"/>
      <c r="MB143" s="250"/>
      <c r="MC143" s="250"/>
      <c r="MD143" s="250"/>
      <c r="ME143" s="250"/>
      <c r="MF143" s="250"/>
      <c r="MG143" s="250"/>
      <c r="MH143" s="250"/>
      <c r="MI143" s="250"/>
      <c r="MJ143" s="250"/>
      <c r="MK143" s="424"/>
      <c r="ML143" s="640"/>
      <c r="MM143" s="251"/>
      <c r="MN143" s="252"/>
      <c r="MO143" s="252"/>
      <c r="MP143" s="252"/>
      <c r="MQ143" s="252"/>
      <c r="MR143" s="252"/>
      <c r="MS143" s="252"/>
      <c r="MT143" s="252"/>
      <c r="MU143" s="252"/>
      <c r="MV143" s="252"/>
      <c r="MW143" s="252"/>
      <c r="MX143" s="252"/>
      <c r="MY143" s="252"/>
      <c r="MZ143" s="252"/>
      <c r="NA143" s="252"/>
      <c r="NB143" s="252"/>
      <c r="NC143" s="251"/>
      <c r="ND143" s="250"/>
      <c r="NE143" s="250"/>
      <c r="NF143" s="250"/>
      <c r="NG143" s="250"/>
      <c r="NH143" s="250"/>
      <c r="NI143" s="250"/>
      <c r="NJ143" s="250"/>
      <c r="NK143" s="250"/>
      <c r="NL143" s="250"/>
      <c r="NM143" s="250"/>
      <c r="NN143" s="250"/>
      <c r="NO143" s="250"/>
      <c r="NP143" s="250"/>
      <c r="NQ143" s="250"/>
      <c r="NR143" s="250"/>
      <c r="NS143" s="250"/>
      <c r="NT143" s="250"/>
      <c r="NU143" s="250"/>
      <c r="NV143" s="250"/>
      <c r="NW143" s="251"/>
      <c r="OT143" s="8"/>
      <c r="QG143" s="8"/>
      <c r="RT143" s="8"/>
    </row>
    <row r="144" spans="1:488" s="282" customFormat="1" x14ac:dyDescent="0.25">
      <c r="A144" s="66"/>
      <c r="B144" s="8"/>
      <c r="C144" s="66"/>
      <c r="D144" s="66"/>
      <c r="E144" s="66"/>
      <c r="F144" s="66"/>
      <c r="G144" s="66"/>
      <c r="H144" s="66"/>
      <c r="I144" s="66"/>
      <c r="J144" s="66"/>
      <c r="K144" s="66"/>
      <c r="L144" s="66"/>
      <c r="M144" s="66"/>
      <c r="N144" s="66"/>
      <c r="O144" s="66"/>
      <c r="P144" s="66"/>
      <c r="Q144" s="66"/>
      <c r="R144" s="66"/>
      <c r="S144" s="66"/>
      <c r="T144" s="68"/>
      <c r="AC144" s="66"/>
      <c r="AD144" s="66"/>
      <c r="AE144" s="68"/>
      <c r="AN144" s="66"/>
      <c r="AO144" s="66"/>
      <c r="AP144" s="68"/>
      <c r="AW144" s="66"/>
      <c r="AX144" s="68"/>
      <c r="BD144" s="66"/>
      <c r="BE144" s="68"/>
      <c r="BF144" s="66"/>
      <c r="BG144" s="66"/>
      <c r="BH144" s="66"/>
      <c r="BI144" s="66"/>
      <c r="BJ144" s="66"/>
      <c r="BK144" s="66"/>
      <c r="BL144" s="68"/>
      <c r="BO144" s="66"/>
      <c r="BP144" s="68"/>
      <c r="BV144" s="66"/>
      <c r="BW144" s="68"/>
      <c r="CB144" s="8"/>
      <c r="CH144" s="8"/>
      <c r="CK144" s="299"/>
      <c r="CL144" s="299"/>
      <c r="CM144" s="66"/>
      <c r="CN144" s="66"/>
      <c r="CO144" s="68"/>
      <c r="CR144" s="8"/>
      <c r="CX144" s="66"/>
      <c r="CY144" s="532"/>
      <c r="DE144" s="66"/>
      <c r="DF144" s="66"/>
      <c r="DG144" s="68"/>
      <c r="DH144" s="68"/>
      <c r="DK144" s="66"/>
      <c r="DL144" s="66"/>
      <c r="DM144" s="66"/>
      <c r="DN144" s="66"/>
      <c r="DO144" s="66"/>
      <c r="DP144" s="66"/>
      <c r="DQ144" s="66"/>
      <c r="DR144" s="66"/>
      <c r="DS144" s="66"/>
      <c r="DT144" s="68"/>
      <c r="DU144" s="66"/>
      <c r="DV144" s="296"/>
      <c r="DW144" s="330"/>
      <c r="DX144" s="631"/>
      <c r="DY144" s="631"/>
      <c r="DZ144" s="631"/>
      <c r="EA144" s="330"/>
      <c r="EC144" s="66"/>
      <c r="ED144" s="68"/>
      <c r="EH144" s="66"/>
      <c r="EI144" s="66"/>
      <c r="EJ144" s="68"/>
      <c r="EK144" s="252"/>
      <c r="EL144" s="252"/>
      <c r="EM144" s="252"/>
      <c r="EO144" s="252"/>
      <c r="EP144" s="252"/>
      <c r="EQ144" s="252"/>
      <c r="ES144" s="252"/>
      <c r="ET144" s="252"/>
      <c r="EU144" s="252"/>
      <c r="EW144" s="252"/>
      <c r="EX144" s="252"/>
      <c r="EY144" s="252"/>
      <c r="FA144" s="250"/>
      <c r="FB144" s="250"/>
      <c r="FC144" s="250"/>
      <c r="FD144" s="250"/>
      <c r="FE144" s="250"/>
      <c r="FF144" s="250"/>
      <c r="FG144" s="250"/>
      <c r="FH144" s="424"/>
      <c r="FI144" s="250"/>
      <c r="FJ144" s="250"/>
      <c r="FK144" s="250"/>
      <c r="FL144" s="256"/>
      <c r="FM144" s="250"/>
      <c r="FN144" s="256"/>
      <c r="FO144" s="250"/>
      <c r="FP144" s="256"/>
      <c r="FQ144" s="250"/>
      <c r="FR144" s="256"/>
      <c r="FS144" s="250"/>
      <c r="FT144" s="256"/>
      <c r="FU144" s="256"/>
      <c r="FV144" s="256"/>
      <c r="FW144" s="250"/>
      <c r="FX144" s="424"/>
      <c r="FY144" s="251"/>
      <c r="GC144" s="252"/>
      <c r="GF144" s="252"/>
      <c r="GG144" s="252"/>
      <c r="GH144" s="252"/>
      <c r="GI144" s="252"/>
      <c r="GJ144" s="252"/>
      <c r="GK144" s="251"/>
      <c r="GL144" s="250"/>
      <c r="GM144" s="250"/>
      <c r="GN144" s="250"/>
      <c r="GO144" s="250"/>
      <c r="GP144" s="250"/>
      <c r="GQ144" s="250"/>
      <c r="GR144" s="250"/>
      <c r="GS144" s="250"/>
      <c r="GT144" s="250"/>
      <c r="GU144" s="251"/>
      <c r="GV144" s="250"/>
      <c r="GW144" s="250"/>
      <c r="GX144" s="250"/>
      <c r="GY144" s="250"/>
      <c r="GZ144" s="250"/>
      <c r="HA144" s="250"/>
      <c r="HB144" s="250"/>
      <c r="HC144" s="250"/>
      <c r="HD144" s="250"/>
      <c r="HE144" s="250"/>
      <c r="HF144" s="250"/>
      <c r="HG144" s="250"/>
      <c r="HH144" s="251"/>
      <c r="HI144" s="424"/>
      <c r="HJ144" s="255"/>
      <c r="HK144" s="255"/>
      <c r="HL144" s="250"/>
      <c r="HM144" s="255"/>
      <c r="HN144" s="255"/>
      <c r="HO144" s="255"/>
      <c r="HP144" s="250"/>
      <c r="HQ144" s="250"/>
      <c r="HR144" s="250"/>
      <c r="HS144" s="250"/>
      <c r="HT144" s="250"/>
      <c r="HU144" s="251"/>
      <c r="HX144" s="252"/>
      <c r="HY144" s="252"/>
      <c r="HZ144" s="252"/>
      <c r="ID144" s="252"/>
      <c r="IE144" s="252"/>
      <c r="IF144" s="252"/>
      <c r="IJ144" s="252"/>
      <c r="IK144" s="252"/>
      <c r="IL144" s="252"/>
      <c r="IP144" s="252"/>
      <c r="IQ144" s="252"/>
      <c r="IR144" s="252"/>
      <c r="IY144" s="66"/>
      <c r="IZ144" s="66"/>
      <c r="JA144" s="66"/>
      <c r="JB144" s="250"/>
      <c r="JC144" s="66"/>
      <c r="JD144" s="66"/>
      <c r="JE144" s="66"/>
      <c r="JF144" s="66"/>
      <c r="JG144" s="66"/>
      <c r="JH144" s="66"/>
      <c r="JI144" s="66"/>
      <c r="JJ144" s="66"/>
      <c r="JK144" s="8"/>
      <c r="JN144" s="252"/>
      <c r="JO144" s="252"/>
      <c r="JP144" s="252"/>
      <c r="JT144" s="252"/>
      <c r="JU144" s="252"/>
      <c r="JV144" s="252"/>
      <c r="JZ144" s="252"/>
      <c r="KA144" s="252"/>
      <c r="KB144" s="252"/>
      <c r="KF144" s="252"/>
      <c r="KG144" s="252"/>
      <c r="KH144" s="252"/>
      <c r="KO144" s="66"/>
      <c r="KP144" s="66"/>
      <c r="KQ144" s="66"/>
      <c r="KR144" s="66"/>
      <c r="KS144" s="66"/>
      <c r="KT144" s="66"/>
      <c r="KU144" s="66"/>
      <c r="KV144" s="66"/>
      <c r="KW144" s="66"/>
      <c r="KX144" s="66"/>
      <c r="KY144" s="66"/>
      <c r="KZ144" s="66"/>
      <c r="LA144" s="8"/>
      <c r="LD144" s="252"/>
      <c r="LE144" s="252"/>
      <c r="LF144" s="252"/>
      <c r="LJ144" s="252"/>
      <c r="LK144" s="252"/>
      <c r="LN144" s="252"/>
      <c r="LO144" s="252"/>
      <c r="LP144" s="252"/>
      <c r="LT144" s="271"/>
      <c r="LU144" s="250"/>
      <c r="LV144" s="250"/>
      <c r="LW144" s="250"/>
      <c r="LX144" s="250"/>
      <c r="LY144" s="250"/>
      <c r="LZ144" s="250"/>
      <c r="MA144" s="250"/>
      <c r="MB144" s="250"/>
      <c r="MC144" s="250"/>
      <c r="MD144" s="250"/>
      <c r="ME144" s="250"/>
      <c r="MF144" s="250"/>
      <c r="MG144" s="250"/>
      <c r="MH144" s="250"/>
      <c r="MI144" s="250"/>
      <c r="MJ144" s="250"/>
      <c r="MK144" s="424"/>
      <c r="ML144" s="640"/>
      <c r="MM144" s="251"/>
      <c r="MN144" s="252"/>
      <c r="MO144" s="252"/>
      <c r="MP144" s="252"/>
      <c r="MQ144" s="252"/>
      <c r="MR144" s="252"/>
      <c r="MS144" s="252"/>
      <c r="MT144" s="252"/>
      <c r="MU144" s="252"/>
      <c r="MV144" s="252"/>
      <c r="MW144" s="252"/>
      <c r="MX144" s="252"/>
      <c r="MY144" s="252"/>
      <c r="MZ144" s="252"/>
      <c r="NA144" s="252"/>
      <c r="NB144" s="252"/>
      <c r="NC144" s="251"/>
      <c r="ND144" s="250"/>
      <c r="NE144" s="250"/>
      <c r="NF144" s="250"/>
      <c r="NG144" s="250"/>
      <c r="NH144" s="250"/>
      <c r="NI144" s="250"/>
      <c r="NJ144" s="250"/>
      <c r="NK144" s="250"/>
      <c r="NL144" s="250"/>
      <c r="NM144" s="250"/>
      <c r="NN144" s="250"/>
      <c r="NO144" s="250"/>
      <c r="NP144" s="250"/>
      <c r="NQ144" s="250"/>
      <c r="NR144" s="250"/>
      <c r="NS144" s="250"/>
      <c r="NT144" s="250"/>
      <c r="NU144" s="250"/>
      <c r="NV144" s="250"/>
      <c r="NW144" s="251"/>
      <c r="OT144" s="8"/>
      <c r="QG144" s="8"/>
      <c r="RT144" s="8"/>
    </row>
    <row r="145" spans="1:488" s="282" customFormat="1" x14ac:dyDescent="0.25">
      <c r="A145" s="66"/>
      <c r="B145" s="8"/>
      <c r="C145" s="66"/>
      <c r="D145" s="66"/>
      <c r="E145" s="66"/>
      <c r="F145" s="66"/>
      <c r="G145" s="66"/>
      <c r="H145" s="66"/>
      <c r="I145" s="66"/>
      <c r="J145" s="66"/>
      <c r="K145" s="66"/>
      <c r="L145" s="66"/>
      <c r="M145" s="66"/>
      <c r="N145" s="66"/>
      <c r="O145" s="66"/>
      <c r="P145" s="66"/>
      <c r="Q145" s="66"/>
      <c r="R145" s="66"/>
      <c r="S145" s="66"/>
      <c r="T145" s="68"/>
      <c r="AC145" s="66"/>
      <c r="AD145" s="66"/>
      <c r="AE145" s="68"/>
      <c r="AN145" s="66"/>
      <c r="AO145" s="66"/>
      <c r="AP145" s="68"/>
      <c r="AW145" s="66"/>
      <c r="AX145" s="68"/>
      <c r="BD145" s="66"/>
      <c r="BE145" s="68"/>
      <c r="BF145" s="66"/>
      <c r="BG145" s="66"/>
      <c r="BH145" s="66"/>
      <c r="BI145" s="66"/>
      <c r="BJ145" s="66"/>
      <c r="BK145" s="66"/>
      <c r="BL145" s="68"/>
      <c r="BO145" s="66"/>
      <c r="BP145" s="68"/>
      <c r="BV145" s="66"/>
      <c r="BW145" s="68"/>
      <c r="CB145" s="8"/>
      <c r="CH145" s="8"/>
      <c r="CK145" s="299"/>
      <c r="CL145" s="299"/>
      <c r="CM145" s="66"/>
      <c r="CN145" s="66"/>
      <c r="CO145" s="68"/>
      <c r="CR145" s="8"/>
      <c r="CX145" s="66"/>
      <c r="CY145" s="532"/>
      <c r="DE145" s="66"/>
      <c r="DF145" s="66"/>
      <c r="DG145" s="68"/>
      <c r="DH145" s="68"/>
      <c r="DK145" s="66"/>
      <c r="DL145" s="66"/>
      <c r="DM145" s="66"/>
      <c r="DN145" s="66"/>
      <c r="DO145" s="66"/>
      <c r="DP145" s="66"/>
      <c r="DQ145" s="66"/>
      <c r="DR145" s="66"/>
      <c r="DS145" s="66"/>
      <c r="DT145" s="68"/>
      <c r="DU145" s="66"/>
      <c r="DV145" s="296"/>
      <c r="DW145" s="330"/>
      <c r="DX145" s="631"/>
      <c r="DY145" s="631"/>
      <c r="DZ145" s="631"/>
      <c r="EA145" s="330"/>
      <c r="EC145" s="66"/>
      <c r="ED145" s="68"/>
      <c r="EH145" s="66"/>
      <c r="EI145" s="66"/>
      <c r="EJ145" s="68"/>
      <c r="EK145" s="252"/>
      <c r="EL145" s="252"/>
      <c r="EM145" s="252"/>
      <c r="EO145" s="252"/>
      <c r="EP145" s="252"/>
      <c r="EQ145" s="252"/>
      <c r="ES145" s="252"/>
      <c r="ET145" s="252"/>
      <c r="EU145" s="252"/>
      <c r="EW145" s="252"/>
      <c r="EX145" s="252"/>
      <c r="EY145" s="252"/>
      <c r="FA145" s="250"/>
      <c r="FB145" s="250"/>
      <c r="FC145" s="250"/>
      <c r="FD145" s="250"/>
      <c r="FE145" s="250"/>
      <c r="FF145" s="250"/>
      <c r="FG145" s="250"/>
      <c r="FH145" s="424"/>
      <c r="FI145" s="250"/>
      <c r="FJ145" s="250"/>
      <c r="FK145" s="250"/>
      <c r="FL145" s="256"/>
      <c r="FM145" s="250"/>
      <c r="FN145" s="256"/>
      <c r="FO145" s="250"/>
      <c r="FP145" s="256"/>
      <c r="FQ145" s="250"/>
      <c r="FR145" s="256"/>
      <c r="FS145" s="250"/>
      <c r="FT145" s="256"/>
      <c r="FU145" s="256"/>
      <c r="FV145" s="256"/>
      <c r="FW145" s="250"/>
      <c r="FX145" s="424"/>
      <c r="FY145" s="251"/>
      <c r="GC145" s="252"/>
      <c r="GF145" s="252"/>
      <c r="GG145" s="252"/>
      <c r="GH145" s="252"/>
      <c r="GI145" s="252"/>
      <c r="GJ145" s="252"/>
      <c r="GK145" s="251"/>
      <c r="GL145" s="250"/>
      <c r="GM145" s="250"/>
      <c r="GN145" s="250"/>
      <c r="GO145" s="250"/>
      <c r="GP145" s="250"/>
      <c r="GQ145" s="250"/>
      <c r="GR145" s="250"/>
      <c r="GS145" s="250"/>
      <c r="GT145" s="250"/>
      <c r="GU145" s="251"/>
      <c r="GV145" s="250"/>
      <c r="GW145" s="250"/>
      <c r="GX145" s="250"/>
      <c r="GY145" s="250"/>
      <c r="GZ145" s="250"/>
      <c r="HA145" s="250"/>
      <c r="HB145" s="250"/>
      <c r="HC145" s="250"/>
      <c r="HD145" s="250"/>
      <c r="HE145" s="250"/>
      <c r="HF145" s="250"/>
      <c r="HG145" s="250"/>
      <c r="HH145" s="251"/>
      <c r="HI145" s="424"/>
      <c r="HJ145" s="255"/>
      <c r="HK145" s="255"/>
      <c r="HL145" s="250"/>
      <c r="HM145" s="255"/>
      <c r="HN145" s="255"/>
      <c r="HO145" s="255"/>
      <c r="HP145" s="250"/>
      <c r="HQ145" s="250"/>
      <c r="HR145" s="250"/>
      <c r="HS145" s="250"/>
      <c r="HT145" s="250"/>
      <c r="HU145" s="251"/>
      <c r="HX145" s="252"/>
      <c r="HY145" s="252"/>
      <c r="HZ145" s="252"/>
      <c r="ID145" s="252"/>
      <c r="IE145" s="252"/>
      <c r="IF145" s="252"/>
      <c r="IJ145" s="252"/>
      <c r="IK145" s="252"/>
      <c r="IL145" s="252"/>
      <c r="IP145" s="252"/>
      <c r="IQ145" s="252"/>
      <c r="IR145" s="252"/>
      <c r="IY145" s="66"/>
      <c r="IZ145" s="66"/>
      <c r="JA145" s="66"/>
      <c r="JB145" s="250"/>
      <c r="JC145" s="66"/>
      <c r="JD145" s="66"/>
      <c r="JE145" s="66"/>
      <c r="JF145" s="66"/>
      <c r="JG145" s="66"/>
      <c r="JH145" s="66"/>
      <c r="JI145" s="66"/>
      <c r="JJ145" s="66"/>
      <c r="JK145" s="8"/>
      <c r="JN145" s="252"/>
      <c r="JO145" s="252"/>
      <c r="JP145" s="252"/>
      <c r="JT145" s="252"/>
      <c r="JU145" s="252"/>
      <c r="JV145" s="252"/>
      <c r="JZ145" s="252"/>
      <c r="KA145" s="252"/>
      <c r="KB145" s="252"/>
      <c r="KF145" s="252"/>
      <c r="KG145" s="252"/>
      <c r="KH145" s="252"/>
      <c r="KO145" s="66"/>
      <c r="KP145" s="66"/>
      <c r="KQ145" s="66"/>
      <c r="KR145" s="66"/>
      <c r="KS145" s="66"/>
      <c r="KT145" s="66"/>
      <c r="KU145" s="66"/>
      <c r="KV145" s="66"/>
      <c r="KW145" s="66"/>
      <c r="KX145" s="66"/>
      <c r="KY145" s="66"/>
      <c r="KZ145" s="66"/>
      <c r="LA145" s="8"/>
      <c r="LD145" s="252"/>
      <c r="LE145" s="252"/>
      <c r="LF145" s="252"/>
      <c r="LJ145" s="252"/>
      <c r="LK145" s="252"/>
      <c r="LN145" s="252"/>
      <c r="LO145" s="252"/>
      <c r="LP145" s="252"/>
      <c r="LT145" s="271"/>
      <c r="LU145" s="250"/>
      <c r="LV145" s="250"/>
      <c r="LW145" s="250"/>
      <c r="LX145" s="250"/>
      <c r="LY145" s="250"/>
      <c r="LZ145" s="250"/>
      <c r="MA145" s="250"/>
      <c r="MB145" s="250"/>
      <c r="MC145" s="250"/>
      <c r="MD145" s="250"/>
      <c r="ME145" s="250"/>
      <c r="MF145" s="250"/>
      <c r="MG145" s="250"/>
      <c r="MH145" s="250"/>
      <c r="MI145" s="250"/>
      <c r="MJ145" s="250"/>
      <c r="MK145" s="424"/>
      <c r="ML145" s="640"/>
      <c r="MM145" s="251"/>
      <c r="MN145" s="252"/>
      <c r="MO145" s="252"/>
      <c r="MP145" s="252"/>
      <c r="MQ145" s="252"/>
      <c r="MR145" s="252"/>
      <c r="MS145" s="252"/>
      <c r="MT145" s="252"/>
      <c r="MU145" s="252"/>
      <c r="MV145" s="252"/>
      <c r="MW145" s="252"/>
      <c r="MX145" s="252"/>
      <c r="MY145" s="252"/>
      <c r="MZ145" s="252"/>
      <c r="NA145" s="252"/>
      <c r="NB145" s="252"/>
      <c r="NC145" s="251"/>
      <c r="ND145" s="250"/>
      <c r="NE145" s="250"/>
      <c r="NF145" s="250"/>
      <c r="NG145" s="250"/>
      <c r="NH145" s="250"/>
      <c r="NI145" s="250"/>
      <c r="NJ145" s="250"/>
      <c r="NK145" s="250"/>
      <c r="NL145" s="250"/>
      <c r="NM145" s="250"/>
      <c r="NN145" s="250"/>
      <c r="NO145" s="250"/>
      <c r="NP145" s="250"/>
      <c r="NQ145" s="250"/>
      <c r="NR145" s="250"/>
      <c r="NS145" s="250"/>
      <c r="NT145" s="250"/>
      <c r="NU145" s="250"/>
      <c r="NV145" s="250"/>
      <c r="NW145" s="251"/>
      <c r="OT145" s="8"/>
      <c r="QG145" s="8"/>
      <c r="RT145" s="8"/>
    </row>
    <row r="146" spans="1:488" s="282" customFormat="1" x14ac:dyDescent="0.25">
      <c r="A146" s="66"/>
      <c r="B146" s="8"/>
      <c r="C146" s="66"/>
      <c r="D146" s="66"/>
      <c r="E146" s="66"/>
      <c r="F146" s="66"/>
      <c r="G146" s="66"/>
      <c r="H146" s="66"/>
      <c r="I146" s="66"/>
      <c r="J146" s="66"/>
      <c r="K146" s="66"/>
      <c r="L146" s="66"/>
      <c r="M146" s="66"/>
      <c r="N146" s="66"/>
      <c r="O146" s="66"/>
      <c r="P146" s="66"/>
      <c r="Q146" s="66"/>
      <c r="R146" s="66"/>
      <c r="S146" s="66"/>
      <c r="T146" s="68"/>
      <c r="AC146" s="66"/>
      <c r="AD146" s="66"/>
      <c r="AE146" s="68"/>
      <c r="AN146" s="66"/>
      <c r="AO146" s="66"/>
      <c r="AP146" s="68"/>
      <c r="AW146" s="66"/>
      <c r="AX146" s="68"/>
      <c r="BD146" s="66"/>
      <c r="BE146" s="68"/>
      <c r="BF146" s="66"/>
      <c r="BG146" s="66"/>
      <c r="BH146" s="66"/>
      <c r="BI146" s="66"/>
      <c r="BJ146" s="66"/>
      <c r="BK146" s="66"/>
      <c r="BL146" s="68"/>
      <c r="BO146" s="66"/>
      <c r="BP146" s="68"/>
      <c r="BV146" s="66"/>
      <c r="BW146" s="68"/>
      <c r="CB146" s="8"/>
      <c r="CH146" s="8"/>
      <c r="CK146" s="299"/>
      <c r="CL146" s="299"/>
      <c r="CM146" s="66"/>
      <c r="CN146" s="66"/>
      <c r="CO146" s="68"/>
      <c r="CR146" s="8"/>
      <c r="CX146" s="66"/>
      <c r="CY146" s="532"/>
      <c r="DE146" s="66"/>
      <c r="DF146" s="66"/>
      <c r="DG146" s="68"/>
      <c r="DH146" s="68"/>
      <c r="DK146" s="66"/>
      <c r="DL146" s="66"/>
      <c r="DM146" s="66"/>
      <c r="DN146" s="66"/>
      <c r="DO146" s="66"/>
      <c r="DP146" s="66"/>
      <c r="DQ146" s="66"/>
      <c r="DR146" s="66"/>
      <c r="DS146" s="66"/>
      <c r="DT146" s="68"/>
      <c r="DU146" s="66"/>
      <c r="DV146" s="296"/>
      <c r="DW146" s="330"/>
      <c r="DX146" s="631"/>
      <c r="DY146" s="631"/>
      <c r="DZ146" s="631"/>
      <c r="EA146" s="330"/>
      <c r="EC146" s="66"/>
      <c r="ED146" s="68"/>
      <c r="EH146" s="66"/>
      <c r="EI146" s="66"/>
      <c r="EJ146" s="68"/>
      <c r="EK146" s="252"/>
      <c r="EL146" s="252"/>
      <c r="EM146" s="252"/>
      <c r="EO146" s="252"/>
      <c r="EP146" s="252"/>
      <c r="EQ146" s="252"/>
      <c r="ES146" s="252"/>
      <c r="ET146" s="252"/>
      <c r="EU146" s="252"/>
      <c r="EW146" s="252"/>
      <c r="EX146" s="252"/>
      <c r="EY146" s="252"/>
      <c r="FA146" s="250"/>
      <c r="FB146" s="250"/>
      <c r="FC146" s="250"/>
      <c r="FD146" s="250"/>
      <c r="FE146" s="250"/>
      <c r="FF146" s="250"/>
      <c r="FG146" s="250"/>
      <c r="FH146" s="424"/>
      <c r="FI146" s="250"/>
      <c r="FJ146" s="250"/>
      <c r="FK146" s="250"/>
      <c r="FL146" s="256"/>
      <c r="FM146" s="250"/>
      <c r="FN146" s="256"/>
      <c r="FO146" s="250"/>
      <c r="FP146" s="256"/>
      <c r="FQ146" s="250"/>
      <c r="FR146" s="256"/>
      <c r="FS146" s="250"/>
      <c r="FT146" s="256"/>
      <c r="FU146" s="256"/>
      <c r="FV146" s="256"/>
      <c r="FW146" s="250"/>
      <c r="FX146" s="424"/>
      <c r="FY146" s="251"/>
      <c r="GC146" s="252"/>
      <c r="GF146" s="252"/>
      <c r="GG146" s="252"/>
      <c r="GH146" s="252"/>
      <c r="GI146" s="252"/>
      <c r="GJ146" s="252"/>
      <c r="GK146" s="251"/>
      <c r="GL146" s="250"/>
      <c r="GM146" s="250"/>
      <c r="GN146" s="250"/>
      <c r="GO146" s="250"/>
      <c r="GP146" s="250"/>
      <c r="GQ146" s="250"/>
      <c r="GR146" s="250"/>
      <c r="GS146" s="250"/>
      <c r="GT146" s="250"/>
      <c r="GU146" s="251"/>
      <c r="GV146" s="250"/>
      <c r="GW146" s="250"/>
      <c r="GX146" s="250"/>
      <c r="GY146" s="250"/>
      <c r="GZ146" s="250"/>
      <c r="HA146" s="250"/>
      <c r="HB146" s="250"/>
      <c r="HC146" s="250"/>
      <c r="HD146" s="250"/>
      <c r="HE146" s="250"/>
      <c r="HF146" s="250"/>
      <c r="HG146" s="250"/>
      <c r="HH146" s="251"/>
      <c r="HI146" s="424"/>
      <c r="HJ146" s="255"/>
      <c r="HK146" s="255"/>
      <c r="HL146" s="250"/>
      <c r="HM146" s="255"/>
      <c r="HN146" s="255"/>
      <c r="HO146" s="255"/>
      <c r="HP146" s="250"/>
      <c r="HQ146" s="250"/>
      <c r="HR146" s="250"/>
      <c r="HS146" s="250"/>
      <c r="HT146" s="250"/>
      <c r="HU146" s="251"/>
      <c r="HX146" s="252"/>
      <c r="HY146" s="252"/>
      <c r="HZ146" s="252"/>
      <c r="ID146" s="252"/>
      <c r="IE146" s="252"/>
      <c r="IF146" s="252"/>
      <c r="IJ146" s="252"/>
      <c r="IK146" s="252"/>
      <c r="IL146" s="252"/>
      <c r="IP146" s="252"/>
      <c r="IQ146" s="252"/>
      <c r="IR146" s="252"/>
      <c r="IY146" s="66"/>
      <c r="IZ146" s="66"/>
      <c r="JA146" s="66"/>
      <c r="JB146" s="250"/>
      <c r="JC146" s="66"/>
      <c r="JD146" s="66"/>
      <c r="JE146" s="66"/>
      <c r="JF146" s="66"/>
      <c r="JG146" s="66"/>
      <c r="JH146" s="66"/>
      <c r="JI146" s="66"/>
      <c r="JJ146" s="66"/>
      <c r="JK146" s="8"/>
      <c r="JN146" s="252"/>
      <c r="JO146" s="252"/>
      <c r="JP146" s="252"/>
      <c r="JT146" s="252"/>
      <c r="JU146" s="252"/>
      <c r="JV146" s="252"/>
      <c r="JZ146" s="252"/>
      <c r="KA146" s="252"/>
      <c r="KB146" s="252"/>
      <c r="KF146" s="252"/>
      <c r="KG146" s="252"/>
      <c r="KH146" s="252"/>
      <c r="KO146" s="66"/>
      <c r="KP146" s="66"/>
      <c r="KQ146" s="66"/>
      <c r="KR146" s="66"/>
      <c r="KS146" s="66"/>
      <c r="KT146" s="66"/>
      <c r="KU146" s="66"/>
      <c r="KV146" s="66"/>
      <c r="KW146" s="66"/>
      <c r="KX146" s="66"/>
      <c r="KY146" s="66"/>
      <c r="KZ146" s="66"/>
      <c r="LA146" s="8"/>
      <c r="LD146" s="252"/>
      <c r="LE146" s="252"/>
      <c r="LF146" s="252"/>
      <c r="LJ146" s="252"/>
      <c r="LK146" s="252"/>
      <c r="LN146" s="252"/>
      <c r="LO146" s="252"/>
      <c r="LP146" s="252"/>
      <c r="LT146" s="271"/>
      <c r="LU146" s="250"/>
      <c r="LV146" s="250"/>
      <c r="LW146" s="250"/>
      <c r="LX146" s="250"/>
      <c r="LY146" s="250"/>
      <c r="LZ146" s="250"/>
      <c r="MA146" s="250"/>
      <c r="MB146" s="250"/>
      <c r="MC146" s="250"/>
      <c r="MD146" s="250"/>
      <c r="ME146" s="250"/>
      <c r="MF146" s="250"/>
      <c r="MG146" s="250"/>
      <c r="MH146" s="250"/>
      <c r="MI146" s="250"/>
      <c r="MJ146" s="250"/>
      <c r="MK146" s="424"/>
      <c r="ML146" s="640"/>
      <c r="MM146" s="251"/>
      <c r="MN146" s="252"/>
      <c r="MO146" s="252"/>
      <c r="MP146" s="252"/>
      <c r="MQ146" s="252"/>
      <c r="MR146" s="252"/>
      <c r="MS146" s="252"/>
      <c r="MT146" s="252"/>
      <c r="MU146" s="252"/>
      <c r="MV146" s="252"/>
      <c r="MW146" s="252"/>
      <c r="MX146" s="252"/>
      <c r="MY146" s="252"/>
      <c r="MZ146" s="252"/>
      <c r="NA146" s="252"/>
      <c r="NB146" s="252"/>
      <c r="NC146" s="251"/>
      <c r="ND146" s="250"/>
      <c r="NE146" s="250"/>
      <c r="NF146" s="250"/>
      <c r="NG146" s="250"/>
      <c r="NH146" s="250"/>
      <c r="NI146" s="250"/>
      <c r="NJ146" s="250"/>
      <c r="NK146" s="250"/>
      <c r="NL146" s="250"/>
      <c r="NM146" s="250"/>
      <c r="NN146" s="250"/>
      <c r="NO146" s="250"/>
      <c r="NP146" s="250"/>
      <c r="NQ146" s="250"/>
      <c r="NR146" s="250"/>
      <c r="NS146" s="250"/>
      <c r="NT146" s="250"/>
      <c r="NU146" s="250"/>
      <c r="NV146" s="250"/>
      <c r="NW146" s="251"/>
      <c r="OT146" s="8"/>
      <c r="QG146" s="8"/>
      <c r="RT146" s="8"/>
    </row>
    <row r="147" spans="1:488" s="282" customFormat="1" x14ac:dyDescent="0.25">
      <c r="A147" s="66"/>
      <c r="B147" s="8"/>
      <c r="C147" s="66"/>
      <c r="D147" s="66"/>
      <c r="E147" s="66"/>
      <c r="F147" s="66"/>
      <c r="G147" s="66"/>
      <c r="H147" s="66"/>
      <c r="I147" s="66"/>
      <c r="J147" s="66"/>
      <c r="K147" s="66"/>
      <c r="L147" s="66"/>
      <c r="M147" s="66"/>
      <c r="N147" s="66"/>
      <c r="O147" s="66"/>
      <c r="P147" s="66"/>
      <c r="Q147" s="66"/>
      <c r="R147" s="66"/>
      <c r="S147" s="66"/>
      <c r="T147" s="68"/>
      <c r="AC147" s="66"/>
      <c r="AD147" s="66"/>
      <c r="AE147" s="68"/>
      <c r="AN147" s="66"/>
      <c r="AO147" s="66"/>
      <c r="AP147" s="68"/>
      <c r="AW147" s="66"/>
      <c r="AX147" s="68"/>
      <c r="BD147" s="66"/>
      <c r="BE147" s="68"/>
      <c r="BF147" s="66"/>
      <c r="BG147" s="66"/>
      <c r="BH147" s="66"/>
      <c r="BI147" s="66"/>
      <c r="BJ147" s="66"/>
      <c r="BK147" s="66"/>
      <c r="BL147" s="68"/>
      <c r="BO147" s="66"/>
      <c r="BP147" s="68"/>
      <c r="BV147" s="66"/>
      <c r="BW147" s="68"/>
      <c r="CB147" s="8"/>
      <c r="CH147" s="8"/>
      <c r="CK147" s="299"/>
      <c r="CL147" s="299"/>
      <c r="CM147" s="66"/>
      <c r="CN147" s="66"/>
      <c r="CO147" s="68"/>
      <c r="CR147" s="8"/>
      <c r="CX147" s="66"/>
      <c r="CY147" s="532"/>
      <c r="DE147" s="66"/>
      <c r="DF147" s="66"/>
      <c r="DG147" s="68"/>
      <c r="DH147" s="68"/>
      <c r="DK147" s="66"/>
      <c r="DL147" s="66"/>
      <c r="DM147" s="66"/>
      <c r="DN147" s="66"/>
      <c r="DO147" s="66"/>
      <c r="DP147" s="66"/>
      <c r="DQ147" s="66"/>
      <c r="DR147" s="66"/>
      <c r="DS147" s="66"/>
      <c r="DT147" s="68"/>
      <c r="DU147" s="66"/>
      <c r="DV147" s="296"/>
      <c r="DW147" s="330"/>
      <c r="DX147" s="631"/>
      <c r="DY147" s="631"/>
      <c r="DZ147" s="631"/>
      <c r="EA147" s="330"/>
      <c r="EC147" s="66"/>
      <c r="ED147" s="68"/>
      <c r="EH147" s="66"/>
      <c r="EI147" s="66"/>
      <c r="EJ147" s="68"/>
      <c r="EK147" s="252"/>
      <c r="EL147" s="252"/>
      <c r="EM147" s="252"/>
      <c r="EO147" s="252"/>
      <c r="EP147" s="252"/>
      <c r="EQ147" s="252"/>
      <c r="ES147" s="252"/>
      <c r="ET147" s="252"/>
      <c r="EU147" s="252"/>
      <c r="EW147" s="252"/>
      <c r="EX147" s="252"/>
      <c r="EY147" s="252"/>
      <c r="FA147" s="250"/>
      <c r="FB147" s="250"/>
      <c r="FC147" s="250"/>
      <c r="FD147" s="250"/>
      <c r="FE147" s="250"/>
      <c r="FF147" s="250"/>
      <c r="FG147" s="250"/>
      <c r="FH147" s="424"/>
      <c r="FI147" s="250"/>
      <c r="FJ147" s="250"/>
      <c r="FK147" s="250"/>
      <c r="FL147" s="256"/>
      <c r="FM147" s="250"/>
      <c r="FN147" s="256"/>
      <c r="FO147" s="250"/>
      <c r="FP147" s="256"/>
      <c r="FQ147" s="250"/>
      <c r="FR147" s="256"/>
      <c r="FS147" s="250"/>
      <c r="FT147" s="256"/>
      <c r="FU147" s="256"/>
      <c r="FV147" s="256"/>
      <c r="FW147" s="250"/>
      <c r="FX147" s="424"/>
      <c r="FY147" s="251"/>
      <c r="GC147" s="252"/>
      <c r="GF147" s="252"/>
      <c r="GG147" s="252"/>
      <c r="GH147" s="252"/>
      <c r="GI147" s="252"/>
      <c r="GJ147" s="252"/>
      <c r="GK147" s="251"/>
      <c r="GL147" s="250"/>
      <c r="GM147" s="250"/>
      <c r="GN147" s="250"/>
      <c r="GO147" s="250"/>
      <c r="GP147" s="250"/>
      <c r="GQ147" s="250"/>
      <c r="GR147" s="250"/>
      <c r="GS147" s="250"/>
      <c r="GT147" s="250"/>
      <c r="GU147" s="251"/>
      <c r="GV147" s="250"/>
      <c r="GW147" s="250"/>
      <c r="GX147" s="250"/>
      <c r="GY147" s="250"/>
      <c r="GZ147" s="250"/>
      <c r="HA147" s="250"/>
      <c r="HB147" s="250"/>
      <c r="HC147" s="250"/>
      <c r="HD147" s="250"/>
      <c r="HE147" s="250"/>
      <c r="HF147" s="250"/>
      <c r="HG147" s="250"/>
      <c r="HH147" s="251"/>
      <c r="HI147" s="424"/>
      <c r="HJ147" s="255"/>
      <c r="HK147" s="255"/>
      <c r="HL147" s="250"/>
      <c r="HM147" s="255"/>
      <c r="HN147" s="255"/>
      <c r="HO147" s="255"/>
      <c r="HP147" s="250"/>
      <c r="HQ147" s="250"/>
      <c r="HR147" s="250"/>
      <c r="HS147" s="250"/>
      <c r="HT147" s="250"/>
      <c r="HU147" s="251"/>
      <c r="HX147" s="252"/>
      <c r="HY147" s="252"/>
      <c r="HZ147" s="252"/>
      <c r="ID147" s="252"/>
      <c r="IE147" s="252"/>
      <c r="IF147" s="252"/>
      <c r="IJ147" s="252"/>
      <c r="IK147" s="252"/>
      <c r="IL147" s="252"/>
      <c r="IP147" s="252"/>
      <c r="IQ147" s="252"/>
      <c r="IR147" s="252"/>
      <c r="IY147" s="66"/>
      <c r="IZ147" s="66"/>
      <c r="JA147" s="66"/>
      <c r="JB147" s="250"/>
      <c r="JC147" s="66"/>
      <c r="JD147" s="66"/>
      <c r="JE147" s="66"/>
      <c r="JF147" s="66"/>
      <c r="JG147" s="66"/>
      <c r="JH147" s="66"/>
      <c r="JI147" s="66"/>
      <c r="JJ147" s="66"/>
      <c r="JK147" s="8"/>
      <c r="JN147" s="252"/>
      <c r="JO147" s="252"/>
      <c r="JP147" s="252"/>
      <c r="JT147" s="252"/>
      <c r="JU147" s="252"/>
      <c r="JV147" s="252"/>
      <c r="JZ147" s="252"/>
      <c r="KA147" s="252"/>
      <c r="KB147" s="252"/>
      <c r="KF147" s="252"/>
      <c r="KG147" s="252"/>
      <c r="KH147" s="252"/>
      <c r="KO147" s="66"/>
      <c r="KP147" s="66"/>
      <c r="KQ147" s="66"/>
      <c r="KR147" s="66"/>
      <c r="KS147" s="66"/>
      <c r="KT147" s="66"/>
      <c r="KU147" s="66"/>
      <c r="KV147" s="66"/>
      <c r="KW147" s="66"/>
      <c r="KX147" s="66"/>
      <c r="KY147" s="66"/>
      <c r="KZ147" s="66"/>
      <c r="LA147" s="8"/>
      <c r="LD147" s="252"/>
      <c r="LE147" s="252"/>
      <c r="LF147" s="252"/>
      <c r="LJ147" s="252"/>
      <c r="LK147" s="252"/>
      <c r="LN147" s="252"/>
      <c r="LO147" s="252"/>
      <c r="LP147" s="252"/>
      <c r="LT147" s="271"/>
      <c r="LU147" s="250"/>
      <c r="LV147" s="250"/>
      <c r="LW147" s="250"/>
      <c r="LX147" s="250"/>
      <c r="LY147" s="250"/>
      <c r="LZ147" s="250"/>
      <c r="MA147" s="250"/>
      <c r="MB147" s="250"/>
      <c r="MC147" s="250"/>
      <c r="MD147" s="250"/>
      <c r="ME147" s="250"/>
      <c r="MF147" s="250"/>
      <c r="MG147" s="250"/>
      <c r="MH147" s="250"/>
      <c r="MI147" s="250"/>
      <c r="MJ147" s="250"/>
      <c r="MK147" s="424"/>
      <c r="ML147" s="640"/>
      <c r="MM147" s="251"/>
      <c r="MN147" s="252"/>
      <c r="MO147" s="252"/>
      <c r="MP147" s="252"/>
      <c r="MQ147" s="252"/>
      <c r="MR147" s="252"/>
      <c r="MS147" s="252"/>
      <c r="MT147" s="252"/>
      <c r="MU147" s="252"/>
      <c r="MV147" s="252"/>
      <c r="MW147" s="252"/>
      <c r="MX147" s="252"/>
      <c r="MY147" s="252"/>
      <c r="MZ147" s="252"/>
      <c r="NA147" s="252"/>
      <c r="NB147" s="252"/>
      <c r="NC147" s="251"/>
      <c r="ND147" s="250"/>
      <c r="NE147" s="250"/>
      <c r="NF147" s="250"/>
      <c r="NG147" s="250"/>
      <c r="NH147" s="250"/>
      <c r="NI147" s="250"/>
      <c r="NJ147" s="250"/>
      <c r="NK147" s="250"/>
      <c r="NL147" s="250"/>
      <c r="NM147" s="250"/>
      <c r="NN147" s="250"/>
      <c r="NO147" s="250"/>
      <c r="NP147" s="250"/>
      <c r="NQ147" s="250"/>
      <c r="NR147" s="250"/>
      <c r="NS147" s="250"/>
      <c r="NT147" s="250"/>
      <c r="NU147" s="250"/>
      <c r="NV147" s="250"/>
      <c r="NW147" s="251"/>
      <c r="OT147" s="8"/>
      <c r="QG147" s="8"/>
      <c r="RT147" s="8"/>
    </row>
    <row r="148" spans="1:488" s="282" customFormat="1" x14ac:dyDescent="0.25">
      <c r="A148" s="66"/>
      <c r="B148" s="8"/>
      <c r="C148" s="66"/>
      <c r="D148" s="66"/>
      <c r="E148" s="66"/>
      <c r="F148" s="66"/>
      <c r="G148" s="66"/>
      <c r="H148" s="66"/>
      <c r="I148" s="66"/>
      <c r="J148" s="66"/>
      <c r="K148" s="66"/>
      <c r="L148" s="66"/>
      <c r="M148" s="66"/>
      <c r="N148" s="66"/>
      <c r="O148" s="66"/>
      <c r="P148" s="66"/>
      <c r="Q148" s="66"/>
      <c r="R148" s="66"/>
      <c r="S148" s="66"/>
      <c r="T148" s="68"/>
      <c r="AC148" s="66"/>
      <c r="AD148" s="66"/>
      <c r="AE148" s="68"/>
      <c r="AN148" s="66"/>
      <c r="AO148" s="66"/>
      <c r="AP148" s="68"/>
      <c r="AW148" s="66"/>
      <c r="AX148" s="68"/>
      <c r="BD148" s="66"/>
      <c r="BE148" s="68"/>
      <c r="BF148" s="66"/>
      <c r="BG148" s="66"/>
      <c r="BH148" s="66"/>
      <c r="BI148" s="66"/>
      <c r="BJ148" s="66"/>
      <c r="BK148" s="66"/>
      <c r="BL148" s="68"/>
      <c r="BO148" s="66"/>
      <c r="BP148" s="68"/>
      <c r="BV148" s="66"/>
      <c r="BW148" s="68"/>
      <c r="CB148" s="8"/>
      <c r="CH148" s="8"/>
      <c r="CK148" s="299"/>
      <c r="CL148" s="299"/>
      <c r="CM148" s="66"/>
      <c r="CN148" s="66"/>
      <c r="CO148" s="68"/>
      <c r="CR148" s="8"/>
      <c r="CX148" s="66"/>
      <c r="CY148" s="532"/>
      <c r="DE148" s="66"/>
      <c r="DF148" s="66"/>
      <c r="DG148" s="68"/>
      <c r="DH148" s="68"/>
      <c r="DK148" s="66"/>
      <c r="DL148" s="66"/>
      <c r="DM148" s="66"/>
      <c r="DN148" s="66"/>
      <c r="DO148" s="66"/>
      <c r="DP148" s="66"/>
      <c r="DQ148" s="66"/>
      <c r="DR148" s="66"/>
      <c r="DS148" s="66"/>
      <c r="DT148" s="68"/>
      <c r="DU148" s="66"/>
      <c r="DV148" s="296"/>
      <c r="DW148" s="330"/>
      <c r="DX148" s="631"/>
      <c r="DY148" s="631"/>
      <c r="DZ148" s="631"/>
      <c r="EA148" s="330"/>
      <c r="EC148" s="66"/>
      <c r="ED148" s="68"/>
      <c r="EH148" s="66"/>
      <c r="EI148" s="66"/>
      <c r="EJ148" s="68"/>
      <c r="EK148" s="252"/>
      <c r="EL148" s="252"/>
      <c r="EM148" s="252"/>
      <c r="EO148" s="252"/>
      <c r="EP148" s="252"/>
      <c r="EQ148" s="252"/>
      <c r="ES148" s="252"/>
      <c r="ET148" s="252"/>
      <c r="EU148" s="252"/>
      <c r="EW148" s="252"/>
      <c r="EX148" s="252"/>
      <c r="EY148" s="252"/>
      <c r="FA148" s="250"/>
      <c r="FB148" s="250"/>
      <c r="FC148" s="250"/>
      <c r="FD148" s="250"/>
      <c r="FE148" s="250"/>
      <c r="FF148" s="250"/>
      <c r="FG148" s="250"/>
      <c r="FH148" s="424"/>
      <c r="FI148" s="250"/>
      <c r="FJ148" s="250"/>
      <c r="FK148" s="250"/>
      <c r="FL148" s="256"/>
      <c r="FM148" s="250"/>
      <c r="FN148" s="256"/>
      <c r="FO148" s="250"/>
      <c r="FP148" s="256"/>
      <c r="FQ148" s="250"/>
      <c r="FR148" s="256"/>
      <c r="FS148" s="250"/>
      <c r="FT148" s="256"/>
      <c r="FU148" s="256"/>
      <c r="FV148" s="256"/>
      <c r="FW148" s="250"/>
      <c r="FX148" s="424"/>
      <c r="FY148" s="251"/>
      <c r="GC148" s="252"/>
      <c r="GF148" s="252"/>
      <c r="GG148" s="252"/>
      <c r="GH148" s="252"/>
      <c r="GI148" s="252"/>
      <c r="GJ148" s="252"/>
      <c r="GK148" s="251"/>
      <c r="GL148" s="250"/>
      <c r="GM148" s="250"/>
      <c r="GN148" s="250"/>
      <c r="GO148" s="250"/>
      <c r="GP148" s="250"/>
      <c r="GQ148" s="250"/>
      <c r="GR148" s="250"/>
      <c r="GS148" s="250"/>
      <c r="GT148" s="250"/>
      <c r="GU148" s="251"/>
      <c r="GV148" s="250"/>
      <c r="GW148" s="250"/>
      <c r="GX148" s="250"/>
      <c r="GY148" s="250"/>
      <c r="GZ148" s="250"/>
      <c r="HA148" s="250"/>
      <c r="HB148" s="250"/>
      <c r="HC148" s="250"/>
      <c r="HD148" s="250"/>
      <c r="HE148" s="250"/>
      <c r="HF148" s="250"/>
      <c r="HG148" s="250"/>
      <c r="HH148" s="251"/>
      <c r="HI148" s="424"/>
      <c r="HJ148" s="255"/>
      <c r="HK148" s="255"/>
      <c r="HL148" s="250"/>
      <c r="HM148" s="255"/>
      <c r="HN148" s="255"/>
      <c r="HO148" s="255"/>
      <c r="HP148" s="250"/>
      <c r="HQ148" s="250"/>
      <c r="HR148" s="250"/>
      <c r="HS148" s="250"/>
      <c r="HT148" s="250"/>
      <c r="HU148" s="251"/>
      <c r="HX148" s="252"/>
      <c r="HY148" s="252"/>
      <c r="HZ148" s="252"/>
      <c r="ID148" s="252"/>
      <c r="IE148" s="252"/>
      <c r="IF148" s="252"/>
      <c r="IJ148" s="252"/>
      <c r="IK148" s="252"/>
      <c r="IL148" s="252"/>
      <c r="IP148" s="252"/>
      <c r="IQ148" s="252"/>
      <c r="IR148" s="252"/>
      <c r="IY148" s="66"/>
      <c r="IZ148" s="66"/>
      <c r="JA148" s="66"/>
      <c r="JB148" s="250"/>
      <c r="JC148" s="66"/>
      <c r="JD148" s="66"/>
      <c r="JE148" s="66"/>
      <c r="JF148" s="66"/>
      <c r="JG148" s="66"/>
      <c r="JH148" s="66"/>
      <c r="JI148" s="66"/>
      <c r="JJ148" s="66"/>
      <c r="JK148" s="8"/>
      <c r="JN148" s="252"/>
      <c r="JO148" s="252"/>
      <c r="JP148" s="252"/>
      <c r="JT148" s="252"/>
      <c r="JU148" s="252"/>
      <c r="JV148" s="252"/>
      <c r="JZ148" s="252"/>
      <c r="KA148" s="252"/>
      <c r="KB148" s="252"/>
      <c r="KF148" s="252"/>
      <c r="KG148" s="252"/>
      <c r="KH148" s="252"/>
      <c r="KO148" s="66"/>
      <c r="KP148" s="66"/>
      <c r="KQ148" s="66"/>
      <c r="KR148" s="66"/>
      <c r="KS148" s="66"/>
      <c r="KT148" s="66"/>
      <c r="KU148" s="66"/>
      <c r="KV148" s="66"/>
      <c r="KW148" s="66"/>
      <c r="KX148" s="66"/>
      <c r="KY148" s="66"/>
      <c r="KZ148" s="66"/>
      <c r="LA148" s="8"/>
      <c r="LD148" s="252"/>
      <c r="LE148" s="252"/>
      <c r="LF148" s="252"/>
      <c r="LJ148" s="252"/>
      <c r="LK148" s="252"/>
      <c r="LN148" s="252"/>
      <c r="LO148" s="252"/>
      <c r="LP148" s="252"/>
      <c r="LT148" s="271"/>
      <c r="LU148" s="250"/>
      <c r="LV148" s="250"/>
      <c r="LW148" s="250"/>
      <c r="LX148" s="250"/>
      <c r="LY148" s="250"/>
      <c r="LZ148" s="250"/>
      <c r="MA148" s="250"/>
      <c r="MB148" s="250"/>
      <c r="MC148" s="250"/>
      <c r="MD148" s="250"/>
      <c r="ME148" s="250"/>
      <c r="MF148" s="250"/>
      <c r="MG148" s="250"/>
      <c r="MH148" s="250"/>
      <c r="MI148" s="250"/>
      <c r="MJ148" s="250"/>
      <c r="MK148" s="424"/>
      <c r="ML148" s="640"/>
      <c r="MM148" s="251"/>
      <c r="MN148" s="252"/>
      <c r="MO148" s="252"/>
      <c r="MP148" s="252"/>
      <c r="MQ148" s="252"/>
      <c r="MR148" s="252"/>
      <c r="MS148" s="252"/>
      <c r="MT148" s="252"/>
      <c r="MU148" s="252"/>
      <c r="MV148" s="252"/>
      <c r="MW148" s="252"/>
      <c r="MX148" s="252"/>
      <c r="MY148" s="252"/>
      <c r="MZ148" s="252"/>
      <c r="NA148" s="252"/>
      <c r="NB148" s="252"/>
      <c r="NC148" s="251"/>
      <c r="ND148" s="250"/>
      <c r="NE148" s="250"/>
      <c r="NF148" s="250"/>
      <c r="NG148" s="250"/>
      <c r="NH148" s="250"/>
      <c r="NI148" s="250"/>
      <c r="NJ148" s="250"/>
      <c r="NK148" s="250"/>
      <c r="NL148" s="250"/>
      <c r="NM148" s="250"/>
      <c r="NN148" s="250"/>
      <c r="NO148" s="250"/>
      <c r="NP148" s="250"/>
      <c r="NQ148" s="250"/>
      <c r="NR148" s="250"/>
      <c r="NS148" s="250"/>
      <c r="NT148" s="250"/>
      <c r="NU148" s="250"/>
      <c r="NV148" s="250"/>
      <c r="NW148" s="251"/>
      <c r="OT148" s="8"/>
      <c r="QG148" s="8"/>
      <c r="RT148" s="8"/>
    </row>
    <row r="149" spans="1:488" s="282" customFormat="1" x14ac:dyDescent="0.25">
      <c r="A149" s="66"/>
      <c r="B149" s="8"/>
      <c r="C149" s="66"/>
      <c r="D149" s="66"/>
      <c r="E149" s="66"/>
      <c r="F149" s="66"/>
      <c r="G149" s="66"/>
      <c r="H149" s="66"/>
      <c r="I149" s="66"/>
      <c r="J149" s="66"/>
      <c r="K149" s="66"/>
      <c r="L149" s="66"/>
      <c r="M149" s="66"/>
      <c r="N149" s="66"/>
      <c r="O149" s="66"/>
      <c r="P149" s="66"/>
      <c r="Q149" s="66"/>
      <c r="R149" s="66"/>
      <c r="S149" s="66"/>
      <c r="T149" s="68"/>
      <c r="AC149" s="66"/>
      <c r="AD149" s="66"/>
      <c r="AE149" s="68"/>
      <c r="AN149" s="66"/>
      <c r="AO149" s="66"/>
      <c r="AP149" s="68"/>
      <c r="AW149" s="66"/>
      <c r="AX149" s="68"/>
      <c r="BD149" s="66"/>
      <c r="BE149" s="68"/>
      <c r="BF149" s="66"/>
      <c r="BG149" s="66"/>
      <c r="BH149" s="66"/>
      <c r="BI149" s="66"/>
      <c r="BJ149" s="66"/>
      <c r="BK149" s="66"/>
      <c r="BL149" s="68"/>
      <c r="BO149" s="66"/>
      <c r="BP149" s="68"/>
      <c r="BV149" s="66"/>
      <c r="BW149" s="68"/>
      <c r="CB149" s="8"/>
      <c r="CH149" s="8"/>
      <c r="CK149" s="299"/>
      <c r="CL149" s="299"/>
      <c r="CM149" s="66"/>
      <c r="CN149" s="66"/>
      <c r="CO149" s="68"/>
      <c r="CR149" s="8"/>
      <c r="CX149" s="66"/>
      <c r="CY149" s="532"/>
      <c r="DE149" s="66"/>
      <c r="DF149" s="66"/>
      <c r="DG149" s="68"/>
      <c r="DH149" s="68"/>
      <c r="DK149" s="66"/>
      <c r="DL149" s="66"/>
      <c r="DM149" s="66"/>
      <c r="DN149" s="66"/>
      <c r="DO149" s="66"/>
      <c r="DP149" s="66"/>
      <c r="DQ149" s="66"/>
      <c r="DR149" s="66"/>
      <c r="DS149" s="66"/>
      <c r="DT149" s="68"/>
      <c r="DU149" s="66"/>
      <c r="DV149" s="296"/>
      <c r="DW149" s="330"/>
      <c r="DX149" s="631"/>
      <c r="DY149" s="631"/>
      <c r="DZ149" s="631"/>
      <c r="EA149" s="330"/>
      <c r="EC149" s="66"/>
      <c r="ED149" s="68"/>
      <c r="EH149" s="66"/>
      <c r="EI149" s="66"/>
      <c r="EJ149" s="68"/>
      <c r="EK149" s="252"/>
      <c r="EL149" s="252"/>
      <c r="EM149" s="252"/>
      <c r="EO149" s="252"/>
      <c r="EP149" s="252"/>
      <c r="EQ149" s="252"/>
      <c r="ES149" s="252"/>
      <c r="ET149" s="252"/>
      <c r="EU149" s="252"/>
      <c r="EW149" s="252"/>
      <c r="EX149" s="252"/>
      <c r="EY149" s="252"/>
      <c r="FA149" s="250"/>
      <c r="FB149" s="250"/>
      <c r="FC149" s="250"/>
      <c r="FD149" s="250"/>
      <c r="FE149" s="250"/>
      <c r="FF149" s="250"/>
      <c r="FG149" s="250"/>
      <c r="FH149" s="424"/>
      <c r="FI149" s="250"/>
      <c r="FJ149" s="250"/>
      <c r="FK149" s="250"/>
      <c r="FL149" s="256"/>
      <c r="FM149" s="250"/>
      <c r="FN149" s="256"/>
      <c r="FO149" s="250"/>
      <c r="FP149" s="256"/>
      <c r="FQ149" s="250"/>
      <c r="FR149" s="256"/>
      <c r="FS149" s="250"/>
      <c r="FT149" s="256"/>
      <c r="FU149" s="256"/>
      <c r="FV149" s="256"/>
      <c r="FW149" s="250"/>
      <c r="FX149" s="424"/>
      <c r="FY149" s="251"/>
      <c r="GC149" s="252"/>
      <c r="GF149" s="252"/>
      <c r="GG149" s="252"/>
      <c r="GH149" s="252"/>
      <c r="GI149" s="252"/>
      <c r="GJ149" s="252"/>
      <c r="GK149" s="251"/>
      <c r="GL149" s="250"/>
      <c r="GM149" s="250"/>
      <c r="GN149" s="250"/>
      <c r="GO149" s="250"/>
      <c r="GP149" s="250"/>
      <c r="GQ149" s="250"/>
      <c r="GR149" s="250"/>
      <c r="GS149" s="250"/>
      <c r="GT149" s="250"/>
      <c r="GU149" s="251"/>
      <c r="GV149" s="250"/>
      <c r="GW149" s="250"/>
      <c r="GX149" s="250"/>
      <c r="GY149" s="250"/>
      <c r="GZ149" s="250"/>
      <c r="HA149" s="250"/>
      <c r="HB149" s="250"/>
      <c r="HC149" s="250"/>
      <c r="HD149" s="250"/>
      <c r="HE149" s="250"/>
      <c r="HF149" s="250"/>
      <c r="HG149" s="250"/>
      <c r="HH149" s="251"/>
      <c r="HI149" s="424"/>
      <c r="HJ149" s="255"/>
      <c r="HK149" s="255"/>
      <c r="HL149" s="250"/>
      <c r="HM149" s="255"/>
      <c r="HN149" s="255"/>
      <c r="HO149" s="255"/>
      <c r="HP149" s="250"/>
      <c r="HQ149" s="250"/>
      <c r="HR149" s="250"/>
      <c r="HS149" s="250"/>
      <c r="HT149" s="250"/>
      <c r="HU149" s="251"/>
      <c r="HX149" s="252"/>
      <c r="HY149" s="252"/>
      <c r="HZ149" s="252"/>
      <c r="ID149" s="252"/>
      <c r="IE149" s="252"/>
      <c r="IF149" s="252"/>
      <c r="IJ149" s="252"/>
      <c r="IK149" s="252"/>
      <c r="IL149" s="252"/>
      <c r="IP149" s="252"/>
      <c r="IQ149" s="252"/>
      <c r="IR149" s="252"/>
      <c r="IY149" s="66"/>
      <c r="IZ149" s="66"/>
      <c r="JA149" s="66"/>
      <c r="JB149" s="250"/>
      <c r="JC149" s="66"/>
      <c r="JD149" s="66"/>
      <c r="JE149" s="66"/>
      <c r="JF149" s="66"/>
      <c r="JG149" s="66"/>
      <c r="JH149" s="66"/>
      <c r="JI149" s="66"/>
      <c r="JJ149" s="66"/>
      <c r="JK149" s="8"/>
      <c r="JN149" s="252"/>
      <c r="JO149" s="252"/>
      <c r="JP149" s="252"/>
      <c r="JT149" s="252"/>
      <c r="JU149" s="252"/>
      <c r="JV149" s="252"/>
      <c r="JZ149" s="252"/>
      <c r="KA149" s="252"/>
      <c r="KB149" s="252"/>
      <c r="KF149" s="252"/>
      <c r="KG149" s="252"/>
      <c r="KH149" s="252"/>
      <c r="KO149" s="66"/>
      <c r="KP149" s="66"/>
      <c r="KQ149" s="66"/>
      <c r="KR149" s="66"/>
      <c r="KS149" s="66"/>
      <c r="KT149" s="66"/>
      <c r="KU149" s="66"/>
      <c r="KV149" s="66"/>
      <c r="KW149" s="66"/>
      <c r="KX149" s="66"/>
      <c r="KY149" s="66"/>
      <c r="KZ149" s="66"/>
      <c r="LA149" s="8"/>
      <c r="LD149" s="252"/>
      <c r="LE149" s="252"/>
      <c r="LF149" s="252"/>
      <c r="LJ149" s="252"/>
      <c r="LK149" s="252"/>
      <c r="LN149" s="252"/>
      <c r="LO149" s="252"/>
      <c r="LP149" s="252"/>
      <c r="LT149" s="271"/>
      <c r="LU149" s="250"/>
      <c r="LV149" s="250"/>
      <c r="LW149" s="250"/>
      <c r="LX149" s="250"/>
      <c r="LY149" s="250"/>
      <c r="LZ149" s="250"/>
      <c r="MA149" s="250"/>
      <c r="MB149" s="250"/>
      <c r="MC149" s="250"/>
      <c r="MD149" s="250"/>
      <c r="ME149" s="250"/>
      <c r="MF149" s="250"/>
      <c r="MG149" s="250"/>
      <c r="MH149" s="250"/>
      <c r="MI149" s="250"/>
      <c r="MJ149" s="250"/>
      <c r="MK149" s="424"/>
      <c r="ML149" s="640"/>
      <c r="MM149" s="251"/>
      <c r="MN149" s="252"/>
      <c r="MO149" s="252"/>
      <c r="MP149" s="252"/>
      <c r="MQ149" s="252"/>
      <c r="MR149" s="252"/>
      <c r="MS149" s="252"/>
      <c r="MT149" s="252"/>
      <c r="MU149" s="252"/>
      <c r="MV149" s="252"/>
      <c r="MW149" s="252"/>
      <c r="MX149" s="252"/>
      <c r="MY149" s="252"/>
      <c r="MZ149" s="252"/>
      <c r="NA149" s="252"/>
      <c r="NB149" s="252"/>
      <c r="NC149" s="251"/>
      <c r="ND149" s="250"/>
      <c r="NE149" s="250"/>
      <c r="NF149" s="250"/>
      <c r="NG149" s="250"/>
      <c r="NH149" s="250"/>
      <c r="NI149" s="250"/>
      <c r="NJ149" s="250"/>
      <c r="NK149" s="250"/>
      <c r="NL149" s="250"/>
      <c r="NM149" s="250"/>
      <c r="NN149" s="250"/>
      <c r="NO149" s="250"/>
      <c r="NP149" s="250"/>
      <c r="NQ149" s="250"/>
      <c r="NR149" s="250"/>
      <c r="NS149" s="250"/>
      <c r="NT149" s="250"/>
      <c r="NU149" s="250"/>
      <c r="NV149" s="250"/>
      <c r="NW149" s="251"/>
      <c r="OT149" s="8"/>
      <c r="QG149" s="8"/>
      <c r="RT149" s="8"/>
    </row>
    <row r="150" spans="1:488" s="282" customFormat="1" x14ac:dyDescent="0.25">
      <c r="A150" s="66"/>
      <c r="B150" s="8"/>
      <c r="C150" s="66"/>
      <c r="D150" s="66"/>
      <c r="E150" s="66"/>
      <c r="F150" s="66"/>
      <c r="G150" s="66"/>
      <c r="H150" s="66"/>
      <c r="I150" s="66"/>
      <c r="J150" s="66"/>
      <c r="K150" s="66"/>
      <c r="L150" s="66"/>
      <c r="M150" s="66"/>
      <c r="N150" s="66"/>
      <c r="O150" s="66"/>
      <c r="P150" s="66"/>
      <c r="Q150" s="66"/>
      <c r="R150" s="66"/>
      <c r="S150" s="66"/>
      <c r="T150" s="68"/>
      <c r="AC150" s="66"/>
      <c r="AD150" s="66"/>
      <c r="AE150" s="68"/>
      <c r="AN150" s="66"/>
      <c r="AO150" s="66"/>
      <c r="AP150" s="68"/>
      <c r="AW150" s="66"/>
      <c r="AX150" s="68"/>
      <c r="BD150" s="66"/>
      <c r="BE150" s="68"/>
      <c r="BF150" s="66"/>
      <c r="BG150" s="66"/>
      <c r="BH150" s="66"/>
      <c r="BI150" s="66"/>
      <c r="BJ150" s="66"/>
      <c r="BK150" s="66"/>
      <c r="BL150" s="68"/>
      <c r="BO150" s="66"/>
      <c r="BP150" s="68"/>
      <c r="BV150" s="66"/>
      <c r="BW150" s="68"/>
      <c r="CB150" s="8"/>
      <c r="CH150" s="8"/>
      <c r="CK150" s="299"/>
      <c r="CL150" s="299"/>
      <c r="CM150" s="66"/>
      <c r="CN150" s="66"/>
      <c r="CO150" s="68"/>
      <c r="CR150" s="8"/>
      <c r="CX150" s="66"/>
      <c r="CY150" s="532"/>
      <c r="DE150" s="66"/>
      <c r="DF150" s="66"/>
      <c r="DG150" s="68"/>
      <c r="DH150" s="68"/>
      <c r="DK150" s="66"/>
      <c r="DL150" s="66"/>
      <c r="DM150" s="66"/>
      <c r="DN150" s="66"/>
      <c r="DO150" s="66"/>
      <c r="DP150" s="66"/>
      <c r="DQ150" s="66"/>
      <c r="DR150" s="66"/>
      <c r="DS150" s="66"/>
      <c r="DT150" s="68"/>
      <c r="DU150" s="66"/>
      <c r="DV150" s="296"/>
      <c r="DW150" s="330"/>
      <c r="DX150" s="631"/>
      <c r="DY150" s="631"/>
      <c r="DZ150" s="631"/>
      <c r="EA150" s="330"/>
      <c r="EC150" s="66"/>
      <c r="ED150" s="68"/>
      <c r="EH150" s="66"/>
      <c r="EI150" s="66"/>
      <c r="EJ150" s="68"/>
      <c r="EK150" s="252"/>
      <c r="EL150" s="252"/>
      <c r="EM150" s="252"/>
      <c r="EO150" s="252"/>
      <c r="EP150" s="252"/>
      <c r="EQ150" s="252"/>
      <c r="ES150" s="252"/>
      <c r="ET150" s="252"/>
      <c r="EU150" s="252"/>
      <c r="EW150" s="252"/>
      <c r="EX150" s="252"/>
      <c r="EY150" s="252"/>
      <c r="FA150" s="250"/>
      <c r="FB150" s="250"/>
      <c r="FC150" s="250"/>
      <c r="FD150" s="250"/>
      <c r="FE150" s="250"/>
      <c r="FF150" s="250"/>
      <c r="FG150" s="250"/>
      <c r="FH150" s="424"/>
      <c r="FI150" s="250"/>
      <c r="FJ150" s="250"/>
      <c r="FK150" s="250"/>
      <c r="FL150" s="256"/>
      <c r="FM150" s="250"/>
      <c r="FN150" s="256"/>
      <c r="FO150" s="250"/>
      <c r="FP150" s="256"/>
      <c r="FQ150" s="250"/>
      <c r="FR150" s="256"/>
      <c r="FS150" s="250"/>
      <c r="FT150" s="256"/>
      <c r="FU150" s="256"/>
      <c r="FV150" s="256"/>
      <c r="FW150" s="250"/>
      <c r="FX150" s="424"/>
      <c r="FY150" s="251"/>
      <c r="GC150" s="252"/>
      <c r="GF150" s="252"/>
      <c r="GG150" s="252"/>
      <c r="GH150" s="252"/>
      <c r="GI150" s="252"/>
      <c r="GJ150" s="252"/>
      <c r="GK150" s="251"/>
      <c r="GL150" s="250"/>
      <c r="GM150" s="250"/>
      <c r="GN150" s="250"/>
      <c r="GO150" s="250"/>
      <c r="GP150" s="250"/>
      <c r="GQ150" s="250"/>
      <c r="GR150" s="250"/>
      <c r="GS150" s="250"/>
      <c r="GT150" s="250"/>
      <c r="GU150" s="251"/>
      <c r="GV150" s="250"/>
      <c r="GW150" s="250"/>
      <c r="GX150" s="250"/>
      <c r="GY150" s="250"/>
      <c r="GZ150" s="250"/>
      <c r="HA150" s="250"/>
      <c r="HB150" s="250"/>
      <c r="HC150" s="250"/>
      <c r="HD150" s="250"/>
      <c r="HE150" s="250"/>
      <c r="HF150" s="250"/>
      <c r="HG150" s="250"/>
      <c r="HH150" s="251"/>
      <c r="HI150" s="424"/>
      <c r="HJ150" s="255"/>
      <c r="HK150" s="255"/>
      <c r="HL150" s="250"/>
      <c r="HM150" s="255"/>
      <c r="HN150" s="255"/>
      <c r="HO150" s="255"/>
      <c r="HP150" s="250"/>
      <c r="HQ150" s="250"/>
      <c r="HR150" s="250"/>
      <c r="HS150" s="250"/>
      <c r="HT150" s="250"/>
      <c r="HU150" s="251"/>
      <c r="HX150" s="252"/>
      <c r="HY150" s="252"/>
      <c r="HZ150" s="252"/>
      <c r="ID150" s="252"/>
      <c r="IE150" s="252"/>
      <c r="IF150" s="252"/>
      <c r="IJ150" s="252"/>
      <c r="IK150" s="252"/>
      <c r="IL150" s="252"/>
      <c r="IP150" s="252"/>
      <c r="IQ150" s="252"/>
      <c r="IR150" s="252"/>
      <c r="IY150" s="66"/>
      <c r="IZ150" s="66"/>
      <c r="JA150" s="66"/>
      <c r="JB150" s="250"/>
      <c r="JC150" s="66"/>
      <c r="JD150" s="66"/>
      <c r="JE150" s="66"/>
      <c r="JF150" s="66"/>
      <c r="JG150" s="66"/>
      <c r="JH150" s="66"/>
      <c r="JI150" s="66"/>
      <c r="JJ150" s="66"/>
      <c r="JK150" s="8"/>
      <c r="JN150" s="252"/>
      <c r="JO150" s="252"/>
      <c r="JP150" s="252"/>
      <c r="JT150" s="252"/>
      <c r="JU150" s="252"/>
      <c r="JV150" s="252"/>
      <c r="JZ150" s="252"/>
      <c r="KA150" s="252"/>
      <c r="KB150" s="252"/>
      <c r="KF150" s="252"/>
      <c r="KG150" s="252"/>
      <c r="KH150" s="252"/>
      <c r="KO150" s="66"/>
      <c r="KP150" s="66"/>
      <c r="KQ150" s="66"/>
      <c r="KR150" s="66"/>
      <c r="KS150" s="66"/>
      <c r="KT150" s="66"/>
      <c r="KU150" s="66"/>
      <c r="KV150" s="66"/>
      <c r="KW150" s="66"/>
      <c r="KX150" s="66"/>
      <c r="KY150" s="66"/>
      <c r="KZ150" s="66"/>
      <c r="LA150" s="8"/>
      <c r="LD150" s="252"/>
      <c r="LE150" s="252"/>
      <c r="LF150" s="252"/>
      <c r="LJ150" s="252"/>
      <c r="LK150" s="252"/>
      <c r="LN150" s="252"/>
      <c r="LO150" s="252"/>
      <c r="LP150" s="252"/>
      <c r="LT150" s="271"/>
      <c r="LU150" s="250"/>
      <c r="LV150" s="250"/>
      <c r="LW150" s="250"/>
      <c r="LX150" s="250"/>
      <c r="LY150" s="250"/>
      <c r="LZ150" s="250"/>
      <c r="MA150" s="250"/>
      <c r="MB150" s="250"/>
      <c r="MC150" s="250"/>
      <c r="MD150" s="250"/>
      <c r="ME150" s="250"/>
      <c r="MF150" s="250"/>
      <c r="MG150" s="250"/>
      <c r="MH150" s="250"/>
      <c r="MI150" s="250"/>
      <c r="MJ150" s="250"/>
      <c r="MK150" s="424"/>
      <c r="ML150" s="640"/>
      <c r="MM150" s="251"/>
      <c r="MN150" s="252"/>
      <c r="MO150" s="252"/>
      <c r="MP150" s="252"/>
      <c r="MQ150" s="252"/>
      <c r="MR150" s="252"/>
      <c r="MS150" s="252"/>
      <c r="MT150" s="252"/>
      <c r="MU150" s="252"/>
      <c r="MV150" s="252"/>
      <c r="MW150" s="252"/>
      <c r="MX150" s="252"/>
      <c r="MY150" s="252"/>
      <c r="MZ150" s="252"/>
      <c r="NA150" s="252"/>
      <c r="NB150" s="252"/>
      <c r="NC150" s="251"/>
      <c r="ND150" s="250"/>
      <c r="NE150" s="250"/>
      <c r="NF150" s="250"/>
      <c r="NG150" s="250"/>
      <c r="NH150" s="250"/>
      <c r="NI150" s="250"/>
      <c r="NJ150" s="250"/>
      <c r="NK150" s="250"/>
      <c r="NL150" s="250"/>
      <c r="NM150" s="250"/>
      <c r="NN150" s="250"/>
      <c r="NO150" s="250"/>
      <c r="NP150" s="250"/>
      <c r="NQ150" s="250"/>
      <c r="NR150" s="250"/>
      <c r="NS150" s="250"/>
      <c r="NT150" s="250"/>
      <c r="NU150" s="250"/>
      <c r="NV150" s="250"/>
      <c r="NW150" s="251"/>
      <c r="OT150" s="8"/>
      <c r="QG150" s="8"/>
      <c r="RT150" s="8"/>
    </row>
    <row r="151" spans="1:488" s="282" customFormat="1" x14ac:dyDescent="0.25">
      <c r="A151" s="66"/>
      <c r="B151" s="8"/>
      <c r="C151" s="66"/>
      <c r="D151" s="66"/>
      <c r="E151" s="66"/>
      <c r="F151" s="66"/>
      <c r="G151" s="66"/>
      <c r="H151" s="66"/>
      <c r="I151" s="66"/>
      <c r="J151" s="66"/>
      <c r="K151" s="66"/>
      <c r="L151" s="66"/>
      <c r="M151" s="66"/>
      <c r="N151" s="66"/>
      <c r="O151" s="66"/>
      <c r="P151" s="66"/>
      <c r="Q151" s="66"/>
      <c r="R151" s="66"/>
      <c r="S151" s="66"/>
      <c r="T151" s="68"/>
      <c r="AC151" s="66"/>
      <c r="AD151" s="66"/>
      <c r="AE151" s="68"/>
      <c r="AN151" s="66"/>
      <c r="AO151" s="66"/>
      <c r="AP151" s="68"/>
      <c r="AW151" s="66"/>
      <c r="AX151" s="68"/>
      <c r="BD151" s="66"/>
      <c r="BE151" s="68"/>
      <c r="BF151" s="66"/>
      <c r="BG151" s="66"/>
      <c r="BH151" s="66"/>
      <c r="BI151" s="66"/>
      <c r="BJ151" s="66"/>
      <c r="BK151" s="66"/>
      <c r="BL151" s="68"/>
      <c r="BO151" s="66"/>
      <c r="BP151" s="68"/>
      <c r="BV151" s="66"/>
      <c r="BW151" s="68"/>
      <c r="CB151" s="8"/>
      <c r="CH151" s="8"/>
      <c r="CK151" s="299"/>
      <c r="CL151" s="299"/>
      <c r="CM151" s="66"/>
      <c r="CN151" s="66"/>
      <c r="CO151" s="68"/>
      <c r="CR151" s="8"/>
      <c r="CX151" s="66"/>
      <c r="CY151" s="532"/>
      <c r="DE151" s="66"/>
      <c r="DF151" s="66"/>
      <c r="DG151" s="68"/>
      <c r="DH151" s="68"/>
      <c r="DK151" s="66"/>
      <c r="DL151" s="66"/>
      <c r="DM151" s="66"/>
      <c r="DN151" s="66"/>
      <c r="DO151" s="66"/>
      <c r="DP151" s="66"/>
      <c r="DQ151" s="66"/>
      <c r="DR151" s="66"/>
      <c r="DS151" s="66"/>
      <c r="DT151" s="68"/>
      <c r="DU151" s="66"/>
      <c r="DV151" s="296"/>
      <c r="DW151" s="330"/>
      <c r="DX151" s="631"/>
      <c r="DY151" s="631"/>
      <c r="DZ151" s="631"/>
      <c r="EA151" s="330"/>
      <c r="EC151" s="66"/>
      <c r="ED151" s="68"/>
      <c r="EH151" s="66"/>
      <c r="EI151" s="66"/>
      <c r="EJ151" s="68"/>
      <c r="EK151" s="252"/>
      <c r="EL151" s="252"/>
      <c r="EM151" s="252"/>
      <c r="EO151" s="252"/>
      <c r="EP151" s="252"/>
      <c r="EQ151" s="252"/>
      <c r="ES151" s="252"/>
      <c r="ET151" s="252"/>
      <c r="EU151" s="252"/>
      <c r="EW151" s="252"/>
      <c r="EX151" s="252"/>
      <c r="EY151" s="252"/>
      <c r="FA151" s="250"/>
      <c r="FB151" s="250"/>
      <c r="FC151" s="250"/>
      <c r="FD151" s="250"/>
      <c r="FE151" s="250"/>
      <c r="FF151" s="250"/>
      <c r="FG151" s="250"/>
      <c r="FH151" s="424"/>
      <c r="FI151" s="250"/>
      <c r="FJ151" s="250"/>
      <c r="FK151" s="250"/>
      <c r="FL151" s="256"/>
      <c r="FM151" s="250"/>
      <c r="FN151" s="256"/>
      <c r="FO151" s="250"/>
      <c r="FP151" s="256"/>
      <c r="FQ151" s="250"/>
      <c r="FR151" s="256"/>
      <c r="FS151" s="250"/>
      <c r="FT151" s="256"/>
      <c r="FU151" s="256"/>
      <c r="FV151" s="256"/>
      <c r="FW151" s="250"/>
      <c r="FX151" s="424"/>
      <c r="FY151" s="251"/>
      <c r="GC151" s="252"/>
      <c r="GF151" s="252"/>
      <c r="GG151" s="252"/>
      <c r="GH151" s="252"/>
      <c r="GI151" s="252"/>
      <c r="GJ151" s="252"/>
      <c r="GK151" s="251"/>
      <c r="GL151" s="250"/>
      <c r="GM151" s="250"/>
      <c r="GN151" s="250"/>
      <c r="GO151" s="250"/>
      <c r="GP151" s="250"/>
      <c r="GQ151" s="250"/>
      <c r="GR151" s="250"/>
      <c r="GS151" s="250"/>
      <c r="GT151" s="250"/>
      <c r="GU151" s="251"/>
      <c r="GV151" s="250"/>
      <c r="GW151" s="250"/>
      <c r="GX151" s="250"/>
      <c r="GY151" s="250"/>
      <c r="GZ151" s="250"/>
      <c r="HA151" s="250"/>
      <c r="HB151" s="250"/>
      <c r="HC151" s="250"/>
      <c r="HD151" s="250"/>
      <c r="HE151" s="250"/>
      <c r="HF151" s="250"/>
      <c r="HG151" s="250"/>
      <c r="HH151" s="251"/>
      <c r="HI151" s="424"/>
      <c r="HJ151" s="255"/>
      <c r="HK151" s="255"/>
      <c r="HL151" s="250"/>
      <c r="HM151" s="255"/>
      <c r="HN151" s="255"/>
      <c r="HO151" s="255"/>
      <c r="HP151" s="250"/>
      <c r="HQ151" s="250"/>
      <c r="HR151" s="250"/>
      <c r="HS151" s="250"/>
      <c r="HT151" s="250"/>
      <c r="HU151" s="251"/>
      <c r="HX151" s="252"/>
      <c r="HY151" s="252"/>
      <c r="HZ151" s="252"/>
      <c r="ID151" s="252"/>
      <c r="IE151" s="252"/>
      <c r="IF151" s="252"/>
      <c r="IJ151" s="252"/>
      <c r="IK151" s="252"/>
      <c r="IL151" s="252"/>
      <c r="IP151" s="252"/>
      <c r="IQ151" s="252"/>
      <c r="IR151" s="252"/>
      <c r="IY151" s="66"/>
      <c r="IZ151" s="66"/>
      <c r="JA151" s="66"/>
      <c r="JB151" s="250"/>
      <c r="JC151" s="66"/>
      <c r="JD151" s="66"/>
      <c r="JE151" s="66"/>
      <c r="JF151" s="66"/>
      <c r="JG151" s="66"/>
      <c r="JH151" s="66"/>
      <c r="JI151" s="66"/>
      <c r="JJ151" s="66"/>
      <c r="JK151" s="8"/>
      <c r="JN151" s="252"/>
      <c r="JO151" s="252"/>
      <c r="JP151" s="252"/>
      <c r="JT151" s="252"/>
      <c r="JU151" s="252"/>
      <c r="JV151" s="252"/>
      <c r="JZ151" s="252"/>
      <c r="KA151" s="252"/>
      <c r="KB151" s="252"/>
      <c r="KF151" s="252"/>
      <c r="KG151" s="252"/>
      <c r="KH151" s="252"/>
      <c r="KO151" s="66"/>
      <c r="KP151" s="66"/>
      <c r="KQ151" s="66"/>
      <c r="KR151" s="66"/>
      <c r="KS151" s="66"/>
      <c r="KT151" s="66"/>
      <c r="KU151" s="66"/>
      <c r="KV151" s="66"/>
      <c r="KW151" s="66"/>
      <c r="KX151" s="66"/>
      <c r="KY151" s="66"/>
      <c r="KZ151" s="66"/>
      <c r="LA151" s="8"/>
      <c r="LD151" s="252"/>
      <c r="LE151" s="252"/>
      <c r="LF151" s="252"/>
      <c r="LJ151" s="252"/>
      <c r="LK151" s="252"/>
      <c r="LN151" s="252"/>
      <c r="LO151" s="252"/>
      <c r="LP151" s="252"/>
      <c r="LT151" s="271"/>
      <c r="LU151" s="250"/>
      <c r="LV151" s="250"/>
      <c r="LW151" s="250"/>
      <c r="LX151" s="250"/>
      <c r="LY151" s="250"/>
      <c r="LZ151" s="250"/>
      <c r="MA151" s="250"/>
      <c r="MB151" s="250"/>
      <c r="MC151" s="250"/>
      <c r="MD151" s="250"/>
      <c r="ME151" s="250"/>
      <c r="MF151" s="250"/>
      <c r="MG151" s="250"/>
      <c r="MH151" s="250"/>
      <c r="MI151" s="250"/>
      <c r="MJ151" s="250"/>
      <c r="MK151" s="424"/>
      <c r="ML151" s="640"/>
      <c r="MM151" s="251"/>
      <c r="MN151" s="252"/>
      <c r="MO151" s="252"/>
      <c r="MP151" s="252"/>
      <c r="MQ151" s="252"/>
      <c r="MR151" s="252"/>
      <c r="MS151" s="252"/>
      <c r="MT151" s="252"/>
      <c r="MU151" s="252"/>
      <c r="MV151" s="252"/>
      <c r="MW151" s="252"/>
      <c r="MX151" s="252"/>
      <c r="MY151" s="252"/>
      <c r="MZ151" s="252"/>
      <c r="NA151" s="252"/>
      <c r="NB151" s="252"/>
      <c r="NC151" s="251"/>
      <c r="ND151" s="250"/>
      <c r="NE151" s="250"/>
      <c r="NF151" s="250"/>
      <c r="NG151" s="250"/>
      <c r="NH151" s="250"/>
      <c r="NI151" s="250"/>
      <c r="NJ151" s="250"/>
      <c r="NK151" s="250"/>
      <c r="NL151" s="250"/>
      <c r="NM151" s="250"/>
      <c r="NN151" s="250"/>
      <c r="NO151" s="250"/>
      <c r="NP151" s="250"/>
      <c r="NQ151" s="250"/>
      <c r="NR151" s="250"/>
      <c r="NS151" s="250"/>
      <c r="NT151" s="250"/>
      <c r="NU151" s="250"/>
      <c r="NV151" s="250"/>
      <c r="NW151" s="251"/>
      <c r="OT151" s="8"/>
      <c r="QG151" s="8"/>
      <c r="RT151" s="8"/>
    </row>
    <row r="152" spans="1:488" s="282" customFormat="1" x14ac:dyDescent="0.25">
      <c r="A152" s="66"/>
      <c r="B152" s="8"/>
      <c r="C152" s="66"/>
      <c r="D152" s="66"/>
      <c r="E152" s="66"/>
      <c r="F152" s="66"/>
      <c r="G152" s="66"/>
      <c r="H152" s="66"/>
      <c r="I152" s="66"/>
      <c r="J152" s="66"/>
      <c r="K152" s="66"/>
      <c r="L152" s="66"/>
      <c r="M152" s="66"/>
      <c r="N152" s="66"/>
      <c r="O152" s="66"/>
      <c r="P152" s="66"/>
      <c r="Q152" s="66"/>
      <c r="R152" s="66"/>
      <c r="S152" s="66"/>
      <c r="T152" s="68"/>
      <c r="AC152" s="66"/>
      <c r="AD152" s="66"/>
      <c r="AE152" s="68"/>
      <c r="AN152" s="66"/>
      <c r="AO152" s="66"/>
      <c r="AP152" s="68"/>
      <c r="AW152" s="66"/>
      <c r="AX152" s="68"/>
      <c r="BD152" s="66"/>
      <c r="BE152" s="68"/>
      <c r="BF152" s="66"/>
      <c r="BG152" s="66"/>
      <c r="BH152" s="66"/>
      <c r="BI152" s="66"/>
      <c r="BJ152" s="66"/>
      <c r="BK152" s="66"/>
      <c r="BL152" s="68"/>
      <c r="BO152" s="66"/>
      <c r="BP152" s="68"/>
      <c r="BV152" s="66"/>
      <c r="BW152" s="68"/>
      <c r="CB152" s="8"/>
      <c r="CH152" s="8"/>
      <c r="CK152" s="299"/>
      <c r="CL152" s="299"/>
      <c r="CM152" s="66"/>
      <c r="CN152" s="66"/>
      <c r="CO152" s="68"/>
      <c r="CR152" s="8"/>
      <c r="CX152" s="66"/>
      <c r="CY152" s="532"/>
      <c r="DE152" s="66"/>
      <c r="DF152" s="66"/>
      <c r="DG152" s="68"/>
      <c r="DH152" s="68"/>
      <c r="DK152" s="66"/>
      <c r="DL152" s="66"/>
      <c r="DM152" s="66"/>
      <c r="DN152" s="66"/>
      <c r="DO152" s="66"/>
      <c r="DP152" s="66"/>
      <c r="DQ152" s="66"/>
      <c r="DR152" s="66"/>
      <c r="DS152" s="66"/>
      <c r="DT152" s="68"/>
      <c r="DU152" s="66"/>
      <c r="DV152" s="296"/>
      <c r="DW152" s="330"/>
      <c r="DX152" s="631"/>
      <c r="DY152" s="631"/>
      <c r="DZ152" s="631"/>
      <c r="EA152" s="330"/>
      <c r="EC152" s="66"/>
      <c r="ED152" s="68"/>
      <c r="EH152" s="66"/>
      <c r="EI152" s="66"/>
      <c r="EJ152" s="68"/>
      <c r="EK152" s="252"/>
      <c r="EL152" s="252"/>
      <c r="EM152" s="252"/>
      <c r="EO152" s="252"/>
      <c r="EP152" s="252"/>
      <c r="EQ152" s="252"/>
      <c r="ES152" s="252"/>
      <c r="ET152" s="252"/>
      <c r="EU152" s="252"/>
      <c r="EW152" s="252"/>
      <c r="EX152" s="252"/>
      <c r="EY152" s="252"/>
      <c r="FA152" s="250"/>
      <c r="FB152" s="250"/>
      <c r="FC152" s="250"/>
      <c r="FD152" s="250"/>
      <c r="FE152" s="250"/>
      <c r="FF152" s="250"/>
      <c r="FG152" s="250"/>
      <c r="FH152" s="424"/>
      <c r="FI152" s="250"/>
      <c r="FJ152" s="250"/>
      <c r="FK152" s="250"/>
      <c r="FL152" s="256"/>
      <c r="FM152" s="250"/>
      <c r="FN152" s="256"/>
      <c r="FO152" s="250"/>
      <c r="FP152" s="256"/>
      <c r="FQ152" s="250"/>
      <c r="FR152" s="256"/>
      <c r="FS152" s="250"/>
      <c r="FT152" s="256"/>
      <c r="FU152" s="256"/>
      <c r="FV152" s="256"/>
      <c r="FW152" s="250"/>
      <c r="FX152" s="424"/>
      <c r="FY152" s="251"/>
      <c r="GC152" s="252"/>
      <c r="GF152" s="252"/>
      <c r="GG152" s="252"/>
      <c r="GH152" s="252"/>
      <c r="GI152" s="252"/>
      <c r="GJ152" s="252"/>
      <c r="GK152" s="251"/>
      <c r="GL152" s="250"/>
      <c r="GM152" s="250"/>
      <c r="GN152" s="250"/>
      <c r="GO152" s="250"/>
      <c r="GP152" s="250"/>
      <c r="GQ152" s="250"/>
      <c r="GR152" s="250"/>
      <c r="GS152" s="250"/>
      <c r="GT152" s="250"/>
      <c r="GU152" s="251"/>
      <c r="GV152" s="250"/>
      <c r="GW152" s="250"/>
      <c r="GX152" s="250"/>
      <c r="GY152" s="250"/>
      <c r="GZ152" s="250"/>
      <c r="HA152" s="250"/>
      <c r="HB152" s="250"/>
      <c r="HC152" s="250"/>
      <c r="HD152" s="250"/>
      <c r="HE152" s="250"/>
      <c r="HF152" s="250"/>
      <c r="HG152" s="250"/>
      <c r="HH152" s="251"/>
      <c r="HI152" s="424"/>
      <c r="HJ152" s="255"/>
      <c r="HK152" s="255"/>
      <c r="HL152" s="250"/>
      <c r="HM152" s="255"/>
      <c r="HN152" s="255"/>
      <c r="HO152" s="255"/>
      <c r="HP152" s="250"/>
      <c r="HQ152" s="250"/>
      <c r="HR152" s="250"/>
      <c r="HS152" s="250"/>
      <c r="HT152" s="250"/>
      <c r="HU152" s="251"/>
      <c r="HX152" s="252"/>
      <c r="HY152" s="252"/>
      <c r="HZ152" s="252"/>
      <c r="ID152" s="252"/>
      <c r="IE152" s="252"/>
      <c r="IF152" s="252"/>
      <c r="IJ152" s="252"/>
      <c r="IK152" s="252"/>
      <c r="IL152" s="252"/>
      <c r="IP152" s="252"/>
      <c r="IQ152" s="252"/>
      <c r="IR152" s="252"/>
      <c r="IY152" s="66"/>
      <c r="IZ152" s="66"/>
      <c r="JA152" s="66"/>
      <c r="JB152" s="250"/>
      <c r="JC152" s="66"/>
      <c r="JD152" s="66"/>
      <c r="JE152" s="66"/>
      <c r="JF152" s="66"/>
      <c r="JG152" s="66"/>
      <c r="JH152" s="66"/>
      <c r="JI152" s="66"/>
      <c r="JJ152" s="66"/>
      <c r="JK152" s="8"/>
      <c r="JN152" s="252"/>
      <c r="JO152" s="252"/>
      <c r="JP152" s="252"/>
      <c r="JT152" s="252"/>
      <c r="JU152" s="252"/>
      <c r="JV152" s="252"/>
      <c r="JZ152" s="252"/>
      <c r="KA152" s="252"/>
      <c r="KB152" s="252"/>
      <c r="KF152" s="252"/>
      <c r="KG152" s="252"/>
      <c r="KH152" s="252"/>
      <c r="KO152" s="66"/>
      <c r="KP152" s="66"/>
      <c r="KQ152" s="66"/>
      <c r="KR152" s="66"/>
      <c r="KS152" s="66"/>
      <c r="KT152" s="66"/>
      <c r="KU152" s="66"/>
      <c r="KV152" s="66"/>
      <c r="KW152" s="66"/>
      <c r="KX152" s="66"/>
      <c r="KY152" s="66"/>
      <c r="KZ152" s="66"/>
      <c r="LA152" s="8"/>
      <c r="LD152" s="252"/>
      <c r="LE152" s="252"/>
      <c r="LF152" s="252"/>
      <c r="LJ152" s="252"/>
      <c r="LK152" s="252"/>
      <c r="LN152" s="252"/>
      <c r="LO152" s="252"/>
      <c r="LP152" s="252"/>
      <c r="LT152" s="271"/>
      <c r="LU152" s="250"/>
      <c r="LV152" s="250"/>
      <c r="LW152" s="250"/>
      <c r="LX152" s="250"/>
      <c r="LY152" s="250"/>
      <c r="LZ152" s="250"/>
      <c r="MA152" s="250"/>
      <c r="MB152" s="250"/>
      <c r="MC152" s="250"/>
      <c r="MD152" s="250"/>
      <c r="ME152" s="250"/>
      <c r="MF152" s="250"/>
      <c r="MG152" s="250"/>
      <c r="MH152" s="250"/>
      <c r="MI152" s="250"/>
      <c r="MJ152" s="250"/>
      <c r="MK152" s="424"/>
      <c r="ML152" s="640"/>
      <c r="MM152" s="251"/>
      <c r="MN152" s="252"/>
      <c r="MO152" s="252"/>
      <c r="MP152" s="252"/>
      <c r="MQ152" s="252"/>
      <c r="MR152" s="252"/>
      <c r="MS152" s="252"/>
      <c r="MT152" s="252"/>
      <c r="MU152" s="252"/>
      <c r="MV152" s="252"/>
      <c r="MW152" s="252"/>
      <c r="MX152" s="252"/>
      <c r="MY152" s="252"/>
      <c r="MZ152" s="252"/>
      <c r="NA152" s="252"/>
      <c r="NB152" s="252"/>
      <c r="NC152" s="251"/>
      <c r="ND152" s="250"/>
      <c r="NE152" s="250"/>
      <c r="NF152" s="250"/>
      <c r="NG152" s="250"/>
      <c r="NH152" s="250"/>
      <c r="NI152" s="250"/>
      <c r="NJ152" s="250"/>
      <c r="NK152" s="250"/>
      <c r="NL152" s="250"/>
      <c r="NM152" s="250"/>
      <c r="NN152" s="250"/>
      <c r="NO152" s="250"/>
      <c r="NP152" s="250"/>
      <c r="NQ152" s="250"/>
      <c r="NR152" s="250"/>
      <c r="NS152" s="250"/>
      <c r="NT152" s="250"/>
      <c r="NU152" s="250"/>
      <c r="NV152" s="250"/>
      <c r="NW152" s="251"/>
      <c r="OT152" s="8"/>
      <c r="QG152" s="8"/>
      <c r="RT152" s="8"/>
    </row>
    <row r="153" spans="1:488" s="282" customFormat="1" x14ac:dyDescent="0.25">
      <c r="A153" s="66"/>
      <c r="B153" s="8"/>
      <c r="C153" s="66"/>
      <c r="D153" s="66"/>
      <c r="E153" s="66"/>
      <c r="F153" s="66"/>
      <c r="G153" s="66"/>
      <c r="H153" s="66"/>
      <c r="I153" s="66"/>
      <c r="J153" s="66"/>
      <c r="K153" s="66"/>
      <c r="L153" s="66"/>
      <c r="M153" s="66"/>
      <c r="N153" s="66"/>
      <c r="O153" s="66"/>
      <c r="P153" s="66"/>
      <c r="Q153" s="66"/>
      <c r="R153" s="66"/>
      <c r="S153" s="66"/>
      <c r="T153" s="68"/>
      <c r="AC153" s="66"/>
      <c r="AD153" s="66"/>
      <c r="AE153" s="68"/>
      <c r="AN153" s="66"/>
      <c r="AO153" s="66"/>
      <c r="AP153" s="68"/>
      <c r="AW153" s="66"/>
      <c r="AX153" s="68"/>
      <c r="BD153" s="66"/>
      <c r="BE153" s="68"/>
      <c r="BF153" s="66"/>
      <c r="BG153" s="66"/>
      <c r="BH153" s="66"/>
      <c r="BI153" s="66"/>
      <c r="BJ153" s="66"/>
      <c r="BK153" s="66"/>
      <c r="BL153" s="68"/>
      <c r="BO153" s="66"/>
      <c r="BP153" s="68"/>
      <c r="BV153" s="66"/>
      <c r="BW153" s="68"/>
      <c r="CB153" s="8"/>
      <c r="CH153" s="8"/>
      <c r="CK153" s="299"/>
      <c r="CL153" s="299"/>
      <c r="CM153" s="66"/>
      <c r="CN153" s="66"/>
      <c r="CO153" s="68"/>
      <c r="CR153" s="8"/>
      <c r="CX153" s="66"/>
      <c r="CY153" s="532"/>
      <c r="DE153" s="66"/>
      <c r="DF153" s="66"/>
      <c r="DG153" s="68"/>
      <c r="DH153" s="68"/>
      <c r="DK153" s="66"/>
      <c r="DL153" s="66"/>
      <c r="DM153" s="66"/>
      <c r="DN153" s="66"/>
      <c r="DO153" s="66"/>
      <c r="DP153" s="66"/>
      <c r="DQ153" s="66"/>
      <c r="DR153" s="66"/>
      <c r="DS153" s="66"/>
      <c r="DT153" s="68"/>
      <c r="DU153" s="66"/>
      <c r="DV153" s="296"/>
      <c r="DW153" s="330"/>
      <c r="DX153" s="631"/>
      <c r="DY153" s="631"/>
      <c r="DZ153" s="631"/>
      <c r="EA153" s="330"/>
      <c r="EC153" s="66"/>
      <c r="ED153" s="68"/>
      <c r="EH153" s="66"/>
      <c r="EI153" s="66"/>
      <c r="EJ153" s="68"/>
      <c r="EK153" s="252"/>
      <c r="EL153" s="252"/>
      <c r="EM153" s="252"/>
      <c r="EO153" s="252"/>
      <c r="EP153" s="252"/>
      <c r="EQ153" s="252"/>
      <c r="ES153" s="252"/>
      <c r="ET153" s="252"/>
      <c r="EU153" s="252"/>
      <c r="EW153" s="252"/>
      <c r="EX153" s="252"/>
      <c r="EY153" s="252"/>
      <c r="FA153" s="250"/>
      <c r="FB153" s="250"/>
      <c r="FC153" s="250"/>
      <c r="FD153" s="250"/>
      <c r="FE153" s="250"/>
      <c r="FF153" s="250"/>
      <c r="FG153" s="250"/>
      <c r="FH153" s="424"/>
      <c r="FI153" s="250"/>
      <c r="FJ153" s="250"/>
      <c r="FK153" s="250"/>
      <c r="FL153" s="256"/>
      <c r="FM153" s="250"/>
      <c r="FN153" s="256"/>
      <c r="FO153" s="250"/>
      <c r="FP153" s="256"/>
      <c r="FQ153" s="250"/>
      <c r="FR153" s="256"/>
      <c r="FS153" s="250"/>
      <c r="FT153" s="256"/>
      <c r="FU153" s="256"/>
      <c r="FV153" s="256"/>
      <c r="FW153" s="250"/>
      <c r="FX153" s="424"/>
      <c r="FY153" s="251"/>
      <c r="GC153" s="252"/>
      <c r="GF153" s="252"/>
      <c r="GG153" s="252"/>
      <c r="GH153" s="252"/>
      <c r="GI153" s="252"/>
      <c r="GJ153" s="252"/>
      <c r="GK153" s="251"/>
      <c r="GL153" s="250"/>
      <c r="GM153" s="250"/>
      <c r="GN153" s="250"/>
      <c r="GO153" s="250"/>
      <c r="GP153" s="250"/>
      <c r="GQ153" s="250"/>
      <c r="GR153" s="250"/>
      <c r="GS153" s="250"/>
      <c r="GT153" s="250"/>
      <c r="GU153" s="251"/>
      <c r="GV153" s="250"/>
      <c r="GW153" s="250"/>
      <c r="GX153" s="250"/>
      <c r="GY153" s="250"/>
      <c r="GZ153" s="250"/>
      <c r="HA153" s="250"/>
      <c r="HB153" s="250"/>
      <c r="HC153" s="250"/>
      <c r="HD153" s="250"/>
      <c r="HE153" s="250"/>
      <c r="HF153" s="250"/>
      <c r="HG153" s="250"/>
      <c r="HH153" s="251"/>
      <c r="HI153" s="424"/>
      <c r="HJ153" s="255"/>
      <c r="HK153" s="255"/>
      <c r="HL153" s="250"/>
      <c r="HM153" s="255"/>
      <c r="HN153" s="255"/>
      <c r="HO153" s="255"/>
      <c r="HP153" s="250"/>
      <c r="HQ153" s="250"/>
      <c r="HR153" s="250"/>
      <c r="HS153" s="250"/>
      <c r="HT153" s="250"/>
      <c r="HU153" s="251"/>
      <c r="HX153" s="252"/>
      <c r="HY153" s="252"/>
      <c r="HZ153" s="252"/>
      <c r="ID153" s="252"/>
      <c r="IE153" s="252"/>
      <c r="IF153" s="252"/>
      <c r="IJ153" s="252"/>
      <c r="IK153" s="252"/>
      <c r="IL153" s="252"/>
      <c r="IP153" s="252"/>
      <c r="IQ153" s="252"/>
      <c r="IR153" s="252"/>
      <c r="IY153" s="66"/>
      <c r="IZ153" s="66"/>
      <c r="JA153" s="66"/>
      <c r="JB153" s="250"/>
      <c r="JC153" s="66"/>
      <c r="JD153" s="66"/>
      <c r="JE153" s="66"/>
      <c r="JF153" s="66"/>
      <c r="JG153" s="66"/>
      <c r="JH153" s="66"/>
      <c r="JI153" s="66"/>
      <c r="JJ153" s="66"/>
      <c r="JK153" s="8"/>
      <c r="JN153" s="252"/>
      <c r="JO153" s="252"/>
      <c r="JP153" s="252"/>
      <c r="JT153" s="252"/>
      <c r="JU153" s="252"/>
      <c r="JV153" s="252"/>
      <c r="JZ153" s="252"/>
      <c r="KA153" s="252"/>
      <c r="KB153" s="252"/>
      <c r="KF153" s="252"/>
      <c r="KG153" s="252"/>
      <c r="KH153" s="252"/>
      <c r="KO153" s="66"/>
      <c r="KP153" s="66"/>
      <c r="KQ153" s="66"/>
      <c r="KR153" s="66"/>
      <c r="KS153" s="66"/>
      <c r="KT153" s="66"/>
      <c r="KU153" s="66"/>
      <c r="KV153" s="66"/>
      <c r="KW153" s="66"/>
      <c r="KX153" s="66"/>
      <c r="KY153" s="66"/>
      <c r="KZ153" s="66"/>
      <c r="LA153" s="8"/>
      <c r="LD153" s="252"/>
      <c r="LE153" s="252"/>
      <c r="LF153" s="252"/>
      <c r="LJ153" s="252"/>
      <c r="LK153" s="252"/>
      <c r="LN153" s="252"/>
      <c r="LO153" s="252"/>
      <c r="LP153" s="252"/>
      <c r="LT153" s="271"/>
      <c r="LU153" s="250"/>
      <c r="LV153" s="250"/>
      <c r="LW153" s="250"/>
      <c r="LX153" s="250"/>
      <c r="LY153" s="250"/>
      <c r="LZ153" s="250"/>
      <c r="MA153" s="250"/>
      <c r="MB153" s="250"/>
      <c r="MC153" s="250"/>
      <c r="MD153" s="250"/>
      <c r="ME153" s="250"/>
      <c r="MF153" s="250"/>
      <c r="MG153" s="250"/>
      <c r="MH153" s="250"/>
      <c r="MI153" s="250"/>
      <c r="MJ153" s="250"/>
      <c r="MK153" s="424"/>
      <c r="ML153" s="640"/>
      <c r="MM153" s="251"/>
      <c r="MN153" s="252"/>
      <c r="MO153" s="252"/>
      <c r="MP153" s="252"/>
      <c r="MQ153" s="252"/>
      <c r="MR153" s="252"/>
      <c r="MS153" s="252"/>
      <c r="MT153" s="252"/>
      <c r="MU153" s="252"/>
      <c r="MV153" s="252"/>
      <c r="MW153" s="252"/>
      <c r="MX153" s="252"/>
      <c r="MY153" s="252"/>
      <c r="MZ153" s="252"/>
      <c r="NA153" s="252"/>
      <c r="NB153" s="252"/>
      <c r="NC153" s="251"/>
      <c r="ND153" s="250"/>
      <c r="NE153" s="250"/>
      <c r="NF153" s="250"/>
      <c r="NG153" s="250"/>
      <c r="NH153" s="250"/>
      <c r="NI153" s="250"/>
      <c r="NJ153" s="250"/>
      <c r="NK153" s="250"/>
      <c r="NL153" s="250"/>
      <c r="NM153" s="250"/>
      <c r="NN153" s="250"/>
      <c r="NO153" s="250"/>
      <c r="NP153" s="250"/>
      <c r="NQ153" s="250"/>
      <c r="NR153" s="250"/>
      <c r="NS153" s="250"/>
      <c r="NT153" s="250"/>
      <c r="NU153" s="250"/>
      <c r="NV153" s="250"/>
      <c r="NW153" s="251"/>
      <c r="OT153" s="8"/>
      <c r="QG153" s="8"/>
      <c r="RT153" s="8"/>
    </row>
    <row r="154" spans="1:488" s="282" customFormat="1" x14ac:dyDescent="0.25">
      <c r="A154" s="66"/>
      <c r="B154" s="8"/>
      <c r="C154" s="66"/>
      <c r="D154" s="66"/>
      <c r="E154" s="66"/>
      <c r="F154" s="66"/>
      <c r="G154" s="66"/>
      <c r="H154" s="66"/>
      <c r="I154" s="66"/>
      <c r="J154" s="66"/>
      <c r="K154" s="66"/>
      <c r="L154" s="66"/>
      <c r="M154" s="66"/>
      <c r="N154" s="66"/>
      <c r="O154" s="66"/>
      <c r="P154" s="66"/>
      <c r="Q154" s="66"/>
      <c r="R154" s="66"/>
      <c r="S154" s="66"/>
      <c r="T154" s="68"/>
      <c r="AC154" s="66"/>
      <c r="AD154" s="66"/>
      <c r="AE154" s="68"/>
      <c r="AN154" s="66"/>
      <c r="AO154" s="66"/>
      <c r="AP154" s="68"/>
      <c r="AW154" s="66"/>
      <c r="AX154" s="68"/>
      <c r="BD154" s="66"/>
      <c r="BE154" s="68"/>
      <c r="BF154" s="66"/>
      <c r="BG154" s="66"/>
      <c r="BH154" s="66"/>
      <c r="BI154" s="66"/>
      <c r="BJ154" s="66"/>
      <c r="BK154" s="66"/>
      <c r="BL154" s="68"/>
      <c r="BO154" s="66"/>
      <c r="BP154" s="68"/>
      <c r="BV154" s="66"/>
      <c r="BW154" s="68"/>
      <c r="CB154" s="8"/>
      <c r="CH154" s="8"/>
      <c r="CK154" s="299"/>
      <c r="CL154" s="299"/>
      <c r="CM154" s="66"/>
      <c r="CN154" s="66"/>
      <c r="CO154" s="68"/>
      <c r="CR154" s="8"/>
      <c r="CX154" s="66"/>
      <c r="CY154" s="532"/>
      <c r="DE154" s="66"/>
      <c r="DF154" s="66"/>
      <c r="DG154" s="68"/>
      <c r="DH154" s="68"/>
      <c r="DK154" s="66"/>
      <c r="DL154" s="66"/>
      <c r="DM154" s="66"/>
      <c r="DN154" s="66"/>
      <c r="DO154" s="66"/>
      <c r="DP154" s="66"/>
      <c r="DQ154" s="66"/>
      <c r="DR154" s="66"/>
      <c r="DS154" s="66"/>
      <c r="DT154" s="68"/>
      <c r="DU154" s="66"/>
      <c r="DV154" s="296"/>
      <c r="DW154" s="330"/>
      <c r="DX154" s="631"/>
      <c r="DY154" s="631"/>
      <c r="DZ154" s="631"/>
      <c r="EA154" s="330"/>
      <c r="EC154" s="66"/>
      <c r="ED154" s="68"/>
      <c r="EH154" s="66"/>
      <c r="EI154" s="66"/>
      <c r="EJ154" s="68"/>
      <c r="EK154" s="252"/>
      <c r="EL154" s="252"/>
      <c r="EM154" s="252"/>
      <c r="EO154" s="252"/>
      <c r="EP154" s="252"/>
      <c r="EQ154" s="252"/>
      <c r="ES154" s="252"/>
      <c r="ET154" s="252"/>
      <c r="EU154" s="252"/>
      <c r="EW154" s="252"/>
      <c r="EX154" s="252"/>
      <c r="EY154" s="252"/>
      <c r="FA154" s="250"/>
      <c r="FB154" s="250"/>
      <c r="FC154" s="250"/>
      <c r="FD154" s="250"/>
      <c r="FE154" s="250"/>
      <c r="FF154" s="250"/>
      <c r="FG154" s="250"/>
      <c r="FH154" s="424"/>
      <c r="FI154" s="250"/>
      <c r="FJ154" s="250"/>
      <c r="FK154" s="250"/>
      <c r="FL154" s="256"/>
      <c r="FM154" s="250"/>
      <c r="FN154" s="256"/>
      <c r="FO154" s="250"/>
      <c r="FP154" s="256"/>
      <c r="FQ154" s="250"/>
      <c r="FR154" s="256"/>
      <c r="FS154" s="250"/>
      <c r="FT154" s="256"/>
      <c r="FU154" s="256"/>
      <c r="FV154" s="256"/>
      <c r="FW154" s="250"/>
      <c r="FX154" s="424"/>
      <c r="FY154" s="251"/>
      <c r="GC154" s="252"/>
      <c r="GF154" s="252"/>
      <c r="GG154" s="252"/>
      <c r="GH154" s="252"/>
      <c r="GI154" s="252"/>
      <c r="GJ154" s="252"/>
      <c r="GK154" s="251"/>
      <c r="GL154" s="250"/>
      <c r="GM154" s="250"/>
      <c r="GN154" s="250"/>
      <c r="GO154" s="250"/>
      <c r="GP154" s="250"/>
      <c r="GQ154" s="250"/>
      <c r="GR154" s="250"/>
      <c r="GS154" s="250"/>
      <c r="GT154" s="250"/>
      <c r="GU154" s="251"/>
      <c r="GV154" s="250"/>
      <c r="GW154" s="250"/>
      <c r="GX154" s="250"/>
      <c r="GY154" s="250"/>
      <c r="GZ154" s="250"/>
      <c r="HA154" s="250"/>
      <c r="HB154" s="250"/>
      <c r="HC154" s="250"/>
      <c r="HD154" s="250"/>
      <c r="HE154" s="250"/>
      <c r="HF154" s="250"/>
      <c r="HG154" s="250"/>
      <c r="HH154" s="251"/>
      <c r="HI154" s="424"/>
      <c r="HJ154" s="255"/>
      <c r="HK154" s="255"/>
      <c r="HL154" s="250"/>
      <c r="HM154" s="255"/>
      <c r="HN154" s="255"/>
      <c r="HO154" s="255"/>
      <c r="HP154" s="250"/>
      <c r="HQ154" s="250"/>
      <c r="HR154" s="250"/>
      <c r="HS154" s="250"/>
      <c r="HT154" s="250"/>
      <c r="HU154" s="251"/>
      <c r="HX154" s="252"/>
      <c r="HY154" s="252"/>
      <c r="HZ154" s="252"/>
      <c r="ID154" s="252"/>
      <c r="IE154" s="252"/>
      <c r="IF154" s="252"/>
      <c r="IJ154" s="252"/>
      <c r="IK154" s="252"/>
      <c r="IL154" s="252"/>
      <c r="IP154" s="252"/>
      <c r="IQ154" s="252"/>
      <c r="IR154" s="252"/>
      <c r="IY154" s="66"/>
      <c r="IZ154" s="66"/>
      <c r="JA154" s="66"/>
      <c r="JB154" s="250"/>
      <c r="JC154" s="66"/>
      <c r="JD154" s="66"/>
      <c r="JE154" s="66"/>
      <c r="JF154" s="66"/>
      <c r="JG154" s="66"/>
      <c r="JH154" s="66"/>
      <c r="JI154" s="66"/>
      <c r="JJ154" s="66"/>
      <c r="JK154" s="8"/>
      <c r="JN154" s="252"/>
      <c r="JO154" s="252"/>
      <c r="JP154" s="252"/>
      <c r="JT154" s="252"/>
      <c r="JU154" s="252"/>
      <c r="JV154" s="252"/>
      <c r="JZ154" s="252"/>
      <c r="KA154" s="252"/>
      <c r="KB154" s="252"/>
      <c r="KF154" s="252"/>
      <c r="KG154" s="252"/>
      <c r="KH154" s="252"/>
      <c r="KO154" s="66"/>
      <c r="KP154" s="66"/>
      <c r="KQ154" s="66"/>
      <c r="KR154" s="66"/>
      <c r="KS154" s="66"/>
      <c r="KT154" s="66"/>
      <c r="KU154" s="66"/>
      <c r="KV154" s="66"/>
      <c r="KW154" s="66"/>
      <c r="KX154" s="66"/>
      <c r="KY154" s="66"/>
      <c r="KZ154" s="66"/>
      <c r="LA154" s="8"/>
      <c r="LD154" s="252"/>
      <c r="LE154" s="252"/>
      <c r="LF154" s="252"/>
      <c r="LJ154" s="252"/>
      <c r="LK154" s="252"/>
      <c r="LN154" s="252"/>
      <c r="LO154" s="252"/>
      <c r="LP154" s="252"/>
      <c r="LT154" s="271"/>
      <c r="LU154" s="250"/>
      <c r="LV154" s="250"/>
      <c r="LW154" s="250"/>
      <c r="LX154" s="250"/>
      <c r="LY154" s="250"/>
      <c r="LZ154" s="250"/>
      <c r="MA154" s="250"/>
      <c r="MB154" s="250"/>
      <c r="MC154" s="250"/>
      <c r="MD154" s="250"/>
      <c r="ME154" s="250"/>
      <c r="MF154" s="250"/>
      <c r="MG154" s="250"/>
      <c r="MH154" s="250"/>
      <c r="MI154" s="250"/>
      <c r="MJ154" s="250"/>
      <c r="MK154" s="424"/>
      <c r="ML154" s="640"/>
      <c r="MM154" s="251"/>
      <c r="MN154" s="252"/>
      <c r="MO154" s="252"/>
      <c r="MP154" s="252"/>
      <c r="MQ154" s="252"/>
      <c r="MR154" s="252"/>
      <c r="MS154" s="252"/>
      <c r="MT154" s="252"/>
      <c r="MU154" s="252"/>
      <c r="MV154" s="252"/>
      <c r="MW154" s="252"/>
      <c r="MX154" s="252"/>
      <c r="MY154" s="252"/>
      <c r="MZ154" s="252"/>
      <c r="NA154" s="252"/>
      <c r="NB154" s="252"/>
      <c r="NC154" s="251"/>
      <c r="ND154" s="250"/>
      <c r="NE154" s="250"/>
      <c r="NF154" s="250"/>
      <c r="NG154" s="250"/>
      <c r="NH154" s="250"/>
      <c r="NI154" s="250"/>
      <c r="NJ154" s="250"/>
      <c r="NK154" s="250"/>
      <c r="NL154" s="250"/>
      <c r="NM154" s="250"/>
      <c r="NN154" s="250"/>
      <c r="NO154" s="250"/>
      <c r="NP154" s="250"/>
      <c r="NQ154" s="250"/>
      <c r="NR154" s="250"/>
      <c r="NS154" s="250"/>
      <c r="NT154" s="250"/>
      <c r="NU154" s="250"/>
      <c r="NV154" s="250"/>
      <c r="NW154" s="251"/>
      <c r="OT154" s="8"/>
      <c r="QG154" s="8"/>
      <c r="RT154" s="8"/>
    </row>
    <row r="155" spans="1:488" s="282" customFormat="1" x14ac:dyDescent="0.25">
      <c r="A155" s="66"/>
      <c r="B155" s="8"/>
      <c r="C155" s="66"/>
      <c r="D155" s="66"/>
      <c r="E155" s="66"/>
      <c r="F155" s="66"/>
      <c r="G155" s="66"/>
      <c r="H155" s="66"/>
      <c r="I155" s="66"/>
      <c r="J155" s="66"/>
      <c r="K155" s="66"/>
      <c r="L155" s="66"/>
      <c r="M155" s="66"/>
      <c r="N155" s="66"/>
      <c r="O155" s="66"/>
      <c r="P155" s="66"/>
      <c r="Q155" s="66"/>
      <c r="R155" s="66"/>
      <c r="S155" s="66"/>
      <c r="T155" s="68"/>
      <c r="AC155" s="66"/>
      <c r="AD155" s="66"/>
      <c r="AE155" s="68"/>
      <c r="AN155" s="66"/>
      <c r="AO155" s="66"/>
      <c r="AP155" s="68"/>
      <c r="AW155" s="66"/>
      <c r="AX155" s="68"/>
      <c r="BD155" s="66"/>
      <c r="BE155" s="68"/>
      <c r="BF155" s="66"/>
      <c r="BG155" s="66"/>
      <c r="BH155" s="66"/>
      <c r="BI155" s="66"/>
      <c r="BJ155" s="66"/>
      <c r="BK155" s="66"/>
      <c r="BL155" s="68"/>
      <c r="BO155" s="66"/>
      <c r="BP155" s="68"/>
      <c r="BV155" s="66"/>
      <c r="BW155" s="68"/>
      <c r="CB155" s="8"/>
      <c r="CH155" s="8"/>
      <c r="CK155" s="299"/>
      <c r="CL155" s="299"/>
      <c r="CM155" s="66"/>
      <c r="CN155" s="66"/>
      <c r="CO155" s="68"/>
      <c r="CR155" s="8"/>
      <c r="CX155" s="66"/>
      <c r="CY155" s="532"/>
      <c r="DE155" s="66"/>
      <c r="DF155" s="66"/>
      <c r="DG155" s="68"/>
      <c r="DH155" s="68"/>
      <c r="DK155" s="66"/>
      <c r="DL155" s="66"/>
      <c r="DM155" s="66"/>
      <c r="DN155" s="66"/>
      <c r="DO155" s="66"/>
      <c r="DP155" s="66"/>
      <c r="DQ155" s="66"/>
      <c r="DR155" s="66"/>
      <c r="DS155" s="66"/>
      <c r="DT155" s="68"/>
      <c r="DU155" s="66"/>
      <c r="DV155" s="296"/>
      <c r="DW155" s="330"/>
      <c r="DX155" s="631"/>
      <c r="DY155" s="631"/>
      <c r="DZ155" s="631"/>
      <c r="EA155" s="330"/>
      <c r="EC155" s="66"/>
      <c r="ED155" s="68"/>
      <c r="EH155" s="66"/>
      <c r="EI155" s="66"/>
      <c r="EJ155" s="68"/>
      <c r="EK155" s="252"/>
      <c r="EL155" s="252"/>
      <c r="EM155" s="252"/>
      <c r="EO155" s="252"/>
      <c r="EP155" s="252"/>
      <c r="EQ155" s="252"/>
      <c r="ES155" s="252"/>
      <c r="ET155" s="252"/>
      <c r="EU155" s="252"/>
      <c r="EW155" s="252"/>
      <c r="EX155" s="252"/>
      <c r="EY155" s="252"/>
      <c r="FA155" s="250"/>
      <c r="FB155" s="250"/>
      <c r="FC155" s="250"/>
      <c r="FD155" s="250"/>
      <c r="FE155" s="250"/>
      <c r="FF155" s="250"/>
      <c r="FG155" s="250"/>
      <c r="FH155" s="424"/>
      <c r="FI155" s="250"/>
      <c r="FJ155" s="250"/>
      <c r="FK155" s="250"/>
      <c r="FL155" s="256"/>
      <c r="FM155" s="250"/>
      <c r="FN155" s="256"/>
      <c r="FO155" s="250"/>
      <c r="FP155" s="256"/>
      <c r="FQ155" s="250"/>
      <c r="FR155" s="256"/>
      <c r="FS155" s="250"/>
      <c r="FT155" s="256"/>
      <c r="FU155" s="256"/>
      <c r="FV155" s="256"/>
      <c r="FW155" s="250"/>
      <c r="FX155" s="424"/>
      <c r="FY155" s="251"/>
      <c r="GC155" s="252"/>
      <c r="GF155" s="252"/>
      <c r="GG155" s="252"/>
      <c r="GH155" s="252"/>
      <c r="GI155" s="252"/>
      <c r="GJ155" s="252"/>
      <c r="GK155" s="251"/>
      <c r="GL155" s="250"/>
      <c r="GM155" s="250"/>
      <c r="GN155" s="250"/>
      <c r="GO155" s="250"/>
      <c r="GP155" s="250"/>
      <c r="GQ155" s="250"/>
      <c r="GR155" s="250"/>
      <c r="GS155" s="250"/>
      <c r="GT155" s="250"/>
      <c r="GU155" s="251"/>
      <c r="GV155" s="250"/>
      <c r="GW155" s="250"/>
      <c r="GX155" s="250"/>
      <c r="GY155" s="250"/>
      <c r="GZ155" s="250"/>
      <c r="HA155" s="250"/>
      <c r="HB155" s="250"/>
      <c r="HC155" s="250"/>
      <c r="HD155" s="250"/>
      <c r="HE155" s="250"/>
      <c r="HF155" s="250"/>
      <c r="HG155" s="250"/>
      <c r="HH155" s="251"/>
      <c r="HI155" s="424"/>
      <c r="HJ155" s="255"/>
      <c r="HK155" s="255"/>
      <c r="HL155" s="250"/>
      <c r="HM155" s="255"/>
      <c r="HN155" s="255"/>
      <c r="HO155" s="255"/>
      <c r="HP155" s="250"/>
      <c r="HQ155" s="250"/>
      <c r="HR155" s="250"/>
      <c r="HS155" s="250"/>
      <c r="HT155" s="250"/>
      <c r="HU155" s="251"/>
      <c r="HX155" s="252"/>
      <c r="HY155" s="252"/>
      <c r="HZ155" s="252"/>
      <c r="ID155" s="252"/>
      <c r="IE155" s="252"/>
      <c r="IF155" s="252"/>
      <c r="IJ155" s="252"/>
      <c r="IK155" s="252"/>
      <c r="IL155" s="252"/>
      <c r="IP155" s="252"/>
      <c r="IQ155" s="252"/>
      <c r="IR155" s="252"/>
      <c r="IY155" s="66"/>
      <c r="IZ155" s="66"/>
      <c r="JA155" s="66"/>
      <c r="JB155" s="250"/>
      <c r="JC155" s="66"/>
      <c r="JD155" s="66"/>
      <c r="JE155" s="66"/>
      <c r="JF155" s="66"/>
      <c r="JG155" s="66"/>
      <c r="JH155" s="66"/>
      <c r="JI155" s="66"/>
      <c r="JJ155" s="66"/>
      <c r="JK155" s="8"/>
      <c r="JN155" s="252"/>
      <c r="JO155" s="252"/>
      <c r="JP155" s="252"/>
      <c r="JT155" s="252"/>
      <c r="JU155" s="252"/>
      <c r="JV155" s="252"/>
      <c r="JZ155" s="252"/>
      <c r="KA155" s="252"/>
      <c r="KB155" s="252"/>
      <c r="KF155" s="252"/>
      <c r="KG155" s="252"/>
      <c r="KH155" s="252"/>
      <c r="KO155" s="66"/>
      <c r="KP155" s="66"/>
      <c r="KQ155" s="66"/>
      <c r="KR155" s="66"/>
      <c r="KS155" s="66"/>
      <c r="KT155" s="66"/>
      <c r="KU155" s="66"/>
      <c r="KV155" s="66"/>
      <c r="KW155" s="66"/>
      <c r="KX155" s="66"/>
      <c r="KY155" s="66"/>
      <c r="KZ155" s="66"/>
      <c r="LA155" s="8"/>
      <c r="LD155" s="252"/>
      <c r="LE155" s="252"/>
      <c r="LF155" s="252"/>
      <c r="LJ155" s="252"/>
      <c r="LK155" s="252"/>
      <c r="LN155" s="252"/>
      <c r="LO155" s="252"/>
      <c r="LP155" s="252"/>
      <c r="LT155" s="271"/>
      <c r="LU155" s="250"/>
      <c r="LV155" s="250"/>
      <c r="LW155" s="250"/>
      <c r="LX155" s="250"/>
      <c r="LY155" s="250"/>
      <c r="LZ155" s="250"/>
      <c r="MA155" s="250"/>
      <c r="MB155" s="250"/>
      <c r="MC155" s="250"/>
      <c r="MD155" s="250"/>
      <c r="ME155" s="250"/>
      <c r="MF155" s="250"/>
      <c r="MG155" s="250"/>
      <c r="MH155" s="250"/>
      <c r="MI155" s="250"/>
      <c r="MJ155" s="250"/>
      <c r="MK155" s="424"/>
      <c r="ML155" s="640"/>
      <c r="MM155" s="251"/>
      <c r="MN155" s="252"/>
      <c r="MO155" s="252"/>
      <c r="MP155" s="252"/>
      <c r="MQ155" s="252"/>
      <c r="MR155" s="252"/>
      <c r="MS155" s="252"/>
      <c r="MT155" s="252"/>
      <c r="MU155" s="252"/>
      <c r="MV155" s="252"/>
      <c r="MW155" s="252"/>
      <c r="MX155" s="252"/>
      <c r="MY155" s="252"/>
      <c r="MZ155" s="252"/>
      <c r="NA155" s="252"/>
      <c r="NB155" s="252"/>
      <c r="NC155" s="251"/>
      <c r="ND155" s="250"/>
      <c r="NE155" s="250"/>
      <c r="NF155" s="250"/>
      <c r="NG155" s="250"/>
      <c r="NH155" s="250"/>
      <c r="NI155" s="250"/>
      <c r="NJ155" s="250"/>
      <c r="NK155" s="250"/>
      <c r="NL155" s="250"/>
      <c r="NM155" s="250"/>
      <c r="NN155" s="250"/>
      <c r="NO155" s="250"/>
      <c r="NP155" s="250"/>
      <c r="NQ155" s="250"/>
      <c r="NR155" s="250"/>
      <c r="NS155" s="250"/>
      <c r="NT155" s="250"/>
      <c r="NU155" s="250"/>
      <c r="NV155" s="250"/>
      <c r="NW155" s="251"/>
      <c r="OT155" s="8"/>
      <c r="QG155" s="8"/>
      <c r="RT155" s="8"/>
    </row>
    <row r="156" spans="1:488" s="282" customFormat="1" x14ac:dyDescent="0.25">
      <c r="A156" s="66"/>
      <c r="B156" s="8"/>
      <c r="C156" s="66"/>
      <c r="D156" s="66"/>
      <c r="E156" s="66"/>
      <c r="F156" s="66"/>
      <c r="G156" s="66"/>
      <c r="H156" s="66"/>
      <c r="I156" s="66"/>
      <c r="J156" s="66"/>
      <c r="K156" s="66"/>
      <c r="L156" s="66"/>
      <c r="M156" s="66"/>
      <c r="N156" s="66"/>
      <c r="O156" s="66"/>
      <c r="P156" s="66"/>
      <c r="Q156" s="66"/>
      <c r="R156" s="66"/>
      <c r="S156" s="66"/>
      <c r="T156" s="68"/>
      <c r="AC156" s="66"/>
      <c r="AD156" s="66"/>
      <c r="AE156" s="68"/>
      <c r="AN156" s="66"/>
      <c r="AO156" s="66"/>
      <c r="AP156" s="68"/>
      <c r="AW156" s="66"/>
      <c r="AX156" s="68"/>
      <c r="BD156" s="66"/>
      <c r="BE156" s="68"/>
      <c r="BF156" s="66"/>
      <c r="BG156" s="66"/>
      <c r="BH156" s="66"/>
      <c r="BI156" s="66"/>
      <c r="BJ156" s="66"/>
      <c r="BK156" s="66"/>
      <c r="BL156" s="68"/>
      <c r="BO156" s="66"/>
      <c r="BP156" s="68"/>
      <c r="BV156" s="66"/>
      <c r="BW156" s="68"/>
      <c r="CB156" s="8"/>
      <c r="CH156" s="8"/>
      <c r="CK156" s="299"/>
      <c r="CL156" s="299"/>
      <c r="CM156" s="66"/>
      <c r="CN156" s="66"/>
      <c r="CO156" s="68"/>
      <c r="CR156" s="8"/>
      <c r="CX156" s="66"/>
      <c r="CY156" s="532"/>
      <c r="DE156" s="66"/>
      <c r="DF156" s="66"/>
      <c r="DG156" s="68"/>
      <c r="DH156" s="68"/>
      <c r="DK156" s="66"/>
      <c r="DL156" s="66"/>
      <c r="DM156" s="66"/>
      <c r="DN156" s="66"/>
      <c r="DO156" s="66"/>
      <c r="DP156" s="66"/>
      <c r="DQ156" s="66"/>
      <c r="DR156" s="66"/>
      <c r="DS156" s="66"/>
      <c r="DT156" s="68"/>
      <c r="DU156" s="66"/>
      <c r="DV156" s="296"/>
      <c r="DW156" s="330"/>
      <c r="DX156" s="631"/>
      <c r="DY156" s="631"/>
      <c r="DZ156" s="631"/>
      <c r="EA156" s="330"/>
      <c r="EC156" s="66"/>
      <c r="ED156" s="68"/>
      <c r="EH156" s="66"/>
      <c r="EI156" s="66"/>
      <c r="EJ156" s="68"/>
      <c r="EK156" s="252"/>
      <c r="EL156" s="252"/>
      <c r="EM156" s="252"/>
      <c r="EO156" s="252"/>
      <c r="EP156" s="252"/>
      <c r="EQ156" s="252"/>
      <c r="ES156" s="252"/>
      <c r="ET156" s="252"/>
      <c r="EU156" s="252"/>
      <c r="EW156" s="252"/>
      <c r="EX156" s="252"/>
      <c r="EY156" s="252"/>
      <c r="FA156" s="250"/>
      <c r="FB156" s="250"/>
      <c r="FC156" s="250"/>
      <c r="FD156" s="250"/>
      <c r="FE156" s="250"/>
      <c r="FF156" s="250"/>
      <c r="FG156" s="250"/>
      <c r="FH156" s="424"/>
      <c r="FI156" s="250"/>
      <c r="FJ156" s="250"/>
      <c r="FK156" s="250"/>
      <c r="FL156" s="256"/>
      <c r="FM156" s="250"/>
      <c r="FN156" s="256"/>
      <c r="FO156" s="250"/>
      <c r="FP156" s="256"/>
      <c r="FQ156" s="250"/>
      <c r="FR156" s="256"/>
      <c r="FS156" s="250"/>
      <c r="FT156" s="256"/>
      <c r="FU156" s="256"/>
      <c r="FV156" s="256"/>
      <c r="FW156" s="250"/>
      <c r="FX156" s="424"/>
      <c r="FY156" s="251"/>
      <c r="GC156" s="252"/>
      <c r="GF156" s="252"/>
      <c r="GG156" s="252"/>
      <c r="GH156" s="252"/>
      <c r="GI156" s="252"/>
      <c r="GJ156" s="252"/>
      <c r="GK156" s="251"/>
      <c r="GL156" s="250"/>
      <c r="GM156" s="250"/>
      <c r="GN156" s="250"/>
      <c r="GO156" s="250"/>
      <c r="GP156" s="250"/>
      <c r="GQ156" s="250"/>
      <c r="GR156" s="250"/>
      <c r="GS156" s="250"/>
      <c r="GT156" s="250"/>
      <c r="GU156" s="251"/>
      <c r="GV156" s="250"/>
      <c r="GW156" s="250"/>
      <c r="GX156" s="250"/>
      <c r="GY156" s="250"/>
      <c r="GZ156" s="250"/>
      <c r="HA156" s="250"/>
      <c r="HB156" s="250"/>
      <c r="HC156" s="250"/>
      <c r="HD156" s="250"/>
      <c r="HE156" s="250"/>
      <c r="HF156" s="250"/>
      <c r="HG156" s="250"/>
      <c r="HH156" s="251"/>
      <c r="HI156" s="424"/>
      <c r="HJ156" s="255"/>
      <c r="HK156" s="255"/>
      <c r="HL156" s="250"/>
      <c r="HM156" s="255"/>
      <c r="HN156" s="255"/>
      <c r="HO156" s="255"/>
      <c r="HP156" s="250"/>
      <c r="HQ156" s="250"/>
      <c r="HR156" s="250"/>
      <c r="HS156" s="250"/>
      <c r="HT156" s="250"/>
      <c r="HU156" s="251"/>
      <c r="HX156" s="252"/>
      <c r="HY156" s="252"/>
      <c r="HZ156" s="252"/>
      <c r="ID156" s="252"/>
      <c r="IE156" s="252"/>
      <c r="IF156" s="252"/>
      <c r="IJ156" s="252"/>
      <c r="IK156" s="252"/>
      <c r="IL156" s="252"/>
      <c r="IP156" s="252"/>
      <c r="IQ156" s="252"/>
      <c r="IR156" s="252"/>
      <c r="IY156" s="66"/>
      <c r="IZ156" s="66"/>
      <c r="JA156" s="66"/>
      <c r="JB156" s="250"/>
      <c r="JC156" s="66"/>
      <c r="JD156" s="66"/>
      <c r="JE156" s="66"/>
      <c r="JF156" s="66"/>
      <c r="JG156" s="66"/>
      <c r="JH156" s="66"/>
      <c r="JI156" s="66"/>
      <c r="JJ156" s="66"/>
      <c r="JK156" s="8"/>
      <c r="JN156" s="252"/>
      <c r="JO156" s="252"/>
      <c r="JP156" s="252"/>
      <c r="JT156" s="252"/>
      <c r="JU156" s="252"/>
      <c r="JV156" s="252"/>
      <c r="JZ156" s="252"/>
      <c r="KA156" s="252"/>
      <c r="KB156" s="252"/>
      <c r="KF156" s="252"/>
      <c r="KG156" s="252"/>
      <c r="KH156" s="252"/>
      <c r="KO156" s="66"/>
      <c r="KP156" s="66"/>
      <c r="KQ156" s="66"/>
      <c r="KR156" s="66"/>
      <c r="KS156" s="66"/>
      <c r="KT156" s="66"/>
      <c r="KU156" s="66"/>
      <c r="KV156" s="66"/>
      <c r="KW156" s="66"/>
      <c r="KX156" s="66"/>
      <c r="KY156" s="66"/>
      <c r="KZ156" s="66"/>
      <c r="LA156" s="8"/>
      <c r="LD156" s="252"/>
      <c r="LE156" s="252"/>
      <c r="LF156" s="252"/>
      <c r="LJ156" s="252"/>
      <c r="LK156" s="252"/>
      <c r="LN156" s="252"/>
      <c r="LO156" s="252"/>
      <c r="LP156" s="252"/>
      <c r="LT156" s="271"/>
      <c r="LU156" s="250"/>
      <c r="LV156" s="250"/>
      <c r="LW156" s="250"/>
      <c r="LX156" s="250"/>
      <c r="LY156" s="250"/>
      <c r="LZ156" s="250"/>
      <c r="MA156" s="250"/>
      <c r="MB156" s="250"/>
      <c r="MC156" s="250"/>
      <c r="MD156" s="250"/>
      <c r="ME156" s="250"/>
      <c r="MF156" s="250"/>
      <c r="MG156" s="250"/>
      <c r="MH156" s="250"/>
      <c r="MI156" s="250"/>
      <c r="MJ156" s="250"/>
      <c r="MK156" s="424"/>
      <c r="ML156" s="640"/>
      <c r="MM156" s="251"/>
      <c r="MN156" s="252"/>
      <c r="MO156" s="252"/>
      <c r="MP156" s="252"/>
      <c r="MQ156" s="252"/>
      <c r="MR156" s="252"/>
      <c r="MS156" s="252"/>
      <c r="MT156" s="252"/>
      <c r="MU156" s="252"/>
      <c r="MV156" s="252"/>
      <c r="MW156" s="252"/>
      <c r="MX156" s="252"/>
      <c r="MY156" s="252"/>
      <c r="MZ156" s="252"/>
      <c r="NA156" s="252"/>
      <c r="NB156" s="252"/>
      <c r="NC156" s="251"/>
      <c r="ND156" s="250"/>
      <c r="NE156" s="250"/>
      <c r="NF156" s="250"/>
      <c r="NG156" s="250"/>
      <c r="NH156" s="250"/>
      <c r="NI156" s="250"/>
      <c r="NJ156" s="250"/>
      <c r="NK156" s="250"/>
      <c r="NL156" s="250"/>
      <c r="NM156" s="250"/>
      <c r="NN156" s="250"/>
      <c r="NO156" s="250"/>
      <c r="NP156" s="250"/>
      <c r="NQ156" s="250"/>
      <c r="NR156" s="250"/>
      <c r="NS156" s="250"/>
      <c r="NT156" s="250"/>
      <c r="NU156" s="250"/>
      <c r="NV156" s="250"/>
      <c r="NW156" s="251"/>
      <c r="OT156" s="8"/>
      <c r="QG156" s="8"/>
      <c r="RT156" s="8"/>
    </row>
    <row r="157" spans="1:488" s="282" customFormat="1" x14ac:dyDescent="0.25">
      <c r="A157" s="66"/>
      <c r="B157" s="8"/>
      <c r="C157" s="66"/>
      <c r="D157" s="66"/>
      <c r="E157" s="66"/>
      <c r="F157" s="66"/>
      <c r="G157" s="66"/>
      <c r="H157" s="66"/>
      <c r="I157" s="66"/>
      <c r="J157" s="66"/>
      <c r="K157" s="66"/>
      <c r="L157" s="66"/>
      <c r="M157" s="66"/>
      <c r="N157" s="66"/>
      <c r="O157" s="66"/>
      <c r="P157" s="66"/>
      <c r="Q157" s="66"/>
      <c r="R157" s="66"/>
      <c r="S157" s="66"/>
      <c r="T157" s="68"/>
      <c r="AC157" s="66"/>
      <c r="AD157" s="66"/>
      <c r="AE157" s="68"/>
      <c r="AN157" s="66"/>
      <c r="AO157" s="66"/>
      <c r="AP157" s="68"/>
      <c r="AW157" s="66"/>
      <c r="AX157" s="68"/>
      <c r="BD157" s="66"/>
      <c r="BE157" s="68"/>
      <c r="BF157" s="66"/>
      <c r="BG157" s="66"/>
      <c r="BH157" s="66"/>
      <c r="BI157" s="66"/>
      <c r="BJ157" s="66"/>
      <c r="BK157" s="66"/>
      <c r="BL157" s="68"/>
      <c r="BO157" s="66"/>
      <c r="BP157" s="68"/>
      <c r="BV157" s="66"/>
      <c r="BW157" s="68"/>
      <c r="CB157" s="8"/>
      <c r="CH157" s="8"/>
      <c r="CK157" s="299"/>
      <c r="CL157" s="299"/>
      <c r="CM157" s="66"/>
      <c r="CN157" s="66"/>
      <c r="CO157" s="68"/>
      <c r="CR157" s="8"/>
      <c r="CX157" s="66"/>
      <c r="CY157" s="532"/>
      <c r="DE157" s="66"/>
      <c r="DF157" s="66"/>
      <c r="DG157" s="68"/>
      <c r="DH157" s="68"/>
      <c r="DK157" s="66"/>
      <c r="DL157" s="66"/>
      <c r="DM157" s="66"/>
      <c r="DN157" s="66"/>
      <c r="DO157" s="66"/>
      <c r="DP157" s="66"/>
      <c r="DQ157" s="66"/>
      <c r="DR157" s="66"/>
      <c r="DS157" s="66"/>
      <c r="DT157" s="68"/>
      <c r="DU157" s="66"/>
      <c r="DV157" s="296"/>
      <c r="DW157" s="330"/>
      <c r="DX157" s="631"/>
      <c r="DY157" s="631"/>
      <c r="DZ157" s="631"/>
      <c r="EA157" s="330"/>
      <c r="EC157" s="66"/>
      <c r="ED157" s="68"/>
      <c r="EH157" s="66"/>
      <c r="EI157" s="66"/>
      <c r="EJ157" s="68"/>
      <c r="EK157" s="252"/>
      <c r="EL157" s="252"/>
      <c r="EM157" s="252"/>
      <c r="EO157" s="252"/>
      <c r="EP157" s="252"/>
      <c r="EQ157" s="252"/>
      <c r="ES157" s="252"/>
      <c r="ET157" s="252"/>
      <c r="EU157" s="252"/>
      <c r="EW157" s="252"/>
      <c r="EX157" s="252"/>
      <c r="EY157" s="252"/>
      <c r="FA157" s="250"/>
      <c r="FB157" s="250"/>
      <c r="FC157" s="250"/>
      <c r="FD157" s="250"/>
      <c r="FE157" s="250"/>
      <c r="FF157" s="250"/>
      <c r="FG157" s="250"/>
      <c r="FH157" s="424"/>
      <c r="FI157" s="250"/>
      <c r="FJ157" s="250"/>
      <c r="FK157" s="250"/>
      <c r="FL157" s="256"/>
      <c r="FM157" s="250"/>
      <c r="FN157" s="256"/>
      <c r="FO157" s="250"/>
      <c r="FP157" s="256"/>
      <c r="FQ157" s="250"/>
      <c r="FR157" s="256"/>
      <c r="FS157" s="250"/>
      <c r="FT157" s="256"/>
      <c r="FU157" s="256"/>
      <c r="FV157" s="256"/>
      <c r="FW157" s="250"/>
      <c r="FX157" s="424"/>
      <c r="FY157" s="251"/>
      <c r="GC157" s="252"/>
      <c r="GF157" s="252"/>
      <c r="GG157" s="252"/>
      <c r="GH157" s="252"/>
      <c r="GI157" s="252"/>
      <c r="GJ157" s="252"/>
      <c r="GK157" s="251"/>
      <c r="GL157" s="250"/>
      <c r="GM157" s="250"/>
      <c r="GN157" s="250"/>
      <c r="GO157" s="250"/>
      <c r="GP157" s="250"/>
      <c r="GQ157" s="250"/>
      <c r="GR157" s="250"/>
      <c r="GS157" s="250"/>
      <c r="GT157" s="250"/>
      <c r="GU157" s="251"/>
      <c r="GV157" s="250"/>
      <c r="GW157" s="250"/>
      <c r="GX157" s="250"/>
      <c r="GY157" s="250"/>
      <c r="GZ157" s="250"/>
      <c r="HA157" s="250"/>
      <c r="HB157" s="250"/>
      <c r="HC157" s="250"/>
      <c r="HD157" s="250"/>
      <c r="HE157" s="250"/>
      <c r="HF157" s="250"/>
      <c r="HG157" s="250"/>
      <c r="HH157" s="251"/>
      <c r="HI157" s="424"/>
      <c r="HJ157" s="255"/>
      <c r="HK157" s="255"/>
      <c r="HL157" s="250"/>
      <c r="HM157" s="255"/>
      <c r="HN157" s="255"/>
      <c r="HO157" s="255"/>
      <c r="HP157" s="250"/>
      <c r="HQ157" s="250"/>
      <c r="HR157" s="250"/>
      <c r="HS157" s="250"/>
      <c r="HT157" s="250"/>
      <c r="HU157" s="251"/>
      <c r="HX157" s="252"/>
      <c r="HY157" s="252"/>
      <c r="HZ157" s="252"/>
      <c r="ID157" s="252"/>
      <c r="IE157" s="252"/>
      <c r="IF157" s="252"/>
      <c r="IJ157" s="252"/>
      <c r="IK157" s="252"/>
      <c r="IL157" s="252"/>
      <c r="IP157" s="252"/>
      <c r="IQ157" s="252"/>
      <c r="IR157" s="252"/>
      <c r="IY157" s="66"/>
      <c r="IZ157" s="66"/>
      <c r="JA157" s="66"/>
      <c r="JB157" s="250"/>
      <c r="JC157" s="66"/>
      <c r="JD157" s="66"/>
      <c r="JE157" s="66"/>
      <c r="JF157" s="66"/>
      <c r="JG157" s="66"/>
      <c r="JH157" s="66"/>
      <c r="JI157" s="66"/>
      <c r="JJ157" s="66"/>
      <c r="JK157" s="8"/>
      <c r="JN157" s="252"/>
      <c r="JO157" s="252"/>
      <c r="JP157" s="252"/>
      <c r="JT157" s="252"/>
      <c r="JU157" s="252"/>
      <c r="JV157" s="252"/>
      <c r="JZ157" s="252"/>
      <c r="KA157" s="252"/>
      <c r="KB157" s="252"/>
      <c r="KF157" s="252"/>
      <c r="KG157" s="252"/>
      <c r="KH157" s="252"/>
      <c r="KO157" s="66"/>
      <c r="KP157" s="66"/>
      <c r="KQ157" s="66"/>
      <c r="KR157" s="66"/>
      <c r="KS157" s="66"/>
      <c r="KT157" s="66"/>
      <c r="KU157" s="66"/>
      <c r="KV157" s="66"/>
      <c r="KW157" s="66"/>
      <c r="KX157" s="66"/>
      <c r="KY157" s="66"/>
      <c r="KZ157" s="66"/>
      <c r="LA157" s="8"/>
      <c r="LD157" s="252"/>
      <c r="LE157" s="252"/>
      <c r="LF157" s="252"/>
      <c r="LJ157" s="252"/>
      <c r="LK157" s="252"/>
      <c r="LN157" s="252"/>
      <c r="LO157" s="252"/>
      <c r="LP157" s="252"/>
      <c r="LT157" s="271"/>
      <c r="LU157" s="250"/>
      <c r="LV157" s="250"/>
      <c r="LW157" s="250"/>
      <c r="LX157" s="250"/>
      <c r="LY157" s="250"/>
      <c r="LZ157" s="250"/>
      <c r="MA157" s="250"/>
      <c r="MB157" s="250"/>
      <c r="MC157" s="250"/>
      <c r="MD157" s="250"/>
      <c r="ME157" s="250"/>
      <c r="MF157" s="250"/>
      <c r="MG157" s="250"/>
      <c r="MH157" s="250"/>
      <c r="MI157" s="250"/>
      <c r="MJ157" s="250"/>
      <c r="MK157" s="424"/>
      <c r="ML157" s="640"/>
      <c r="MM157" s="251"/>
      <c r="MN157" s="252"/>
      <c r="MO157" s="252"/>
      <c r="MP157" s="252"/>
      <c r="MQ157" s="252"/>
      <c r="MR157" s="252"/>
      <c r="MS157" s="252"/>
      <c r="MT157" s="252"/>
      <c r="MU157" s="252"/>
      <c r="MV157" s="252"/>
      <c r="MW157" s="252"/>
      <c r="MX157" s="252"/>
      <c r="MY157" s="252"/>
      <c r="MZ157" s="252"/>
      <c r="NA157" s="252"/>
      <c r="NB157" s="252"/>
      <c r="NC157" s="251"/>
      <c r="ND157" s="250"/>
      <c r="NE157" s="250"/>
      <c r="NF157" s="250"/>
      <c r="NG157" s="250"/>
      <c r="NH157" s="250"/>
      <c r="NI157" s="250"/>
      <c r="NJ157" s="250"/>
      <c r="NK157" s="250"/>
      <c r="NL157" s="250"/>
      <c r="NM157" s="250"/>
      <c r="NN157" s="250"/>
      <c r="NO157" s="250"/>
      <c r="NP157" s="250"/>
      <c r="NQ157" s="250"/>
      <c r="NR157" s="250"/>
      <c r="NS157" s="250"/>
      <c r="NT157" s="250"/>
      <c r="NU157" s="250"/>
      <c r="NV157" s="250"/>
      <c r="NW157" s="251"/>
      <c r="OT157" s="8"/>
      <c r="QG157" s="8"/>
      <c r="RT157" s="8"/>
    </row>
    <row r="158" spans="1:488" s="282" customFormat="1" x14ac:dyDescent="0.25">
      <c r="A158" s="66"/>
      <c r="B158" s="8"/>
      <c r="C158" s="66"/>
      <c r="D158" s="66"/>
      <c r="E158" s="66"/>
      <c r="F158" s="66"/>
      <c r="G158" s="66"/>
      <c r="H158" s="66"/>
      <c r="I158" s="66"/>
      <c r="J158" s="66"/>
      <c r="K158" s="66"/>
      <c r="L158" s="66"/>
      <c r="M158" s="66"/>
      <c r="N158" s="66"/>
      <c r="O158" s="66"/>
      <c r="P158" s="66"/>
      <c r="Q158" s="66"/>
      <c r="R158" s="66"/>
      <c r="S158" s="66"/>
      <c r="T158" s="68"/>
      <c r="AC158" s="66"/>
      <c r="AD158" s="66"/>
      <c r="AE158" s="68"/>
      <c r="AN158" s="66"/>
      <c r="AO158" s="66"/>
      <c r="AP158" s="68"/>
      <c r="AW158" s="66"/>
      <c r="AX158" s="68"/>
      <c r="BD158" s="66"/>
      <c r="BE158" s="68"/>
      <c r="BF158" s="66"/>
      <c r="BG158" s="66"/>
      <c r="BH158" s="66"/>
      <c r="BI158" s="66"/>
      <c r="BJ158" s="66"/>
      <c r="BK158" s="66"/>
      <c r="BL158" s="68"/>
      <c r="BO158" s="66"/>
      <c r="BP158" s="68"/>
      <c r="BV158" s="66"/>
      <c r="BW158" s="68"/>
      <c r="CB158" s="8"/>
      <c r="CH158" s="8"/>
      <c r="CK158" s="299"/>
      <c r="CL158" s="299"/>
      <c r="CM158" s="66"/>
      <c r="CN158" s="66"/>
      <c r="CO158" s="68"/>
      <c r="CR158" s="8"/>
      <c r="CX158" s="66"/>
      <c r="CY158" s="532"/>
      <c r="DE158" s="66"/>
      <c r="DF158" s="66"/>
      <c r="DG158" s="68"/>
      <c r="DH158" s="68"/>
      <c r="DK158" s="66"/>
      <c r="DL158" s="66"/>
      <c r="DM158" s="66"/>
      <c r="DN158" s="66"/>
      <c r="DO158" s="66"/>
      <c r="DP158" s="66"/>
      <c r="DQ158" s="66"/>
      <c r="DR158" s="66"/>
      <c r="DS158" s="66"/>
      <c r="DT158" s="68"/>
      <c r="DU158" s="66"/>
      <c r="DV158" s="296"/>
      <c r="DW158" s="330"/>
      <c r="DX158" s="631"/>
      <c r="DY158" s="631"/>
      <c r="DZ158" s="631"/>
      <c r="EA158" s="330"/>
      <c r="EC158" s="66"/>
      <c r="ED158" s="68"/>
      <c r="EH158" s="66"/>
      <c r="EI158" s="66"/>
      <c r="EJ158" s="68"/>
      <c r="EK158" s="252"/>
      <c r="EL158" s="252"/>
      <c r="EM158" s="252"/>
      <c r="EO158" s="252"/>
      <c r="EP158" s="252"/>
      <c r="EQ158" s="252"/>
      <c r="ES158" s="252"/>
      <c r="ET158" s="252"/>
      <c r="EU158" s="252"/>
      <c r="EW158" s="252"/>
      <c r="EX158" s="252"/>
      <c r="EY158" s="252"/>
      <c r="FA158" s="250"/>
      <c r="FB158" s="250"/>
      <c r="FC158" s="250"/>
      <c r="FD158" s="250"/>
      <c r="FE158" s="250"/>
      <c r="FF158" s="250"/>
      <c r="FG158" s="250"/>
      <c r="FH158" s="424"/>
      <c r="FI158" s="250"/>
      <c r="FJ158" s="250"/>
      <c r="FK158" s="250"/>
      <c r="FL158" s="256"/>
      <c r="FM158" s="250"/>
      <c r="FN158" s="256"/>
      <c r="FO158" s="250"/>
      <c r="FP158" s="256"/>
      <c r="FQ158" s="250"/>
      <c r="FR158" s="256"/>
      <c r="FS158" s="250"/>
      <c r="FT158" s="256"/>
      <c r="FU158" s="256"/>
      <c r="FV158" s="256"/>
      <c r="FW158" s="250"/>
      <c r="FX158" s="424"/>
      <c r="FY158" s="251"/>
      <c r="GC158" s="252"/>
      <c r="GF158" s="252"/>
      <c r="GG158" s="252"/>
      <c r="GH158" s="252"/>
      <c r="GI158" s="252"/>
      <c r="GJ158" s="252"/>
      <c r="GK158" s="251"/>
      <c r="GL158" s="250"/>
      <c r="GM158" s="250"/>
      <c r="GN158" s="250"/>
      <c r="GO158" s="250"/>
      <c r="GP158" s="250"/>
      <c r="GQ158" s="250"/>
      <c r="GR158" s="250"/>
      <c r="GS158" s="250"/>
      <c r="GT158" s="250"/>
      <c r="GU158" s="251"/>
      <c r="GV158" s="250"/>
      <c r="GW158" s="250"/>
      <c r="GX158" s="250"/>
      <c r="GY158" s="250"/>
      <c r="GZ158" s="250"/>
      <c r="HA158" s="250"/>
      <c r="HB158" s="250"/>
      <c r="HC158" s="250"/>
      <c r="HD158" s="250"/>
      <c r="HE158" s="250"/>
      <c r="HF158" s="250"/>
      <c r="HG158" s="250"/>
      <c r="HH158" s="251"/>
      <c r="HI158" s="424"/>
      <c r="HJ158" s="255"/>
      <c r="HK158" s="255"/>
      <c r="HL158" s="250"/>
      <c r="HM158" s="255"/>
      <c r="HN158" s="255"/>
      <c r="HO158" s="255"/>
      <c r="HP158" s="250"/>
      <c r="HQ158" s="250"/>
      <c r="HR158" s="250"/>
      <c r="HS158" s="250"/>
      <c r="HT158" s="250"/>
      <c r="HU158" s="251"/>
      <c r="HX158" s="252"/>
      <c r="HY158" s="252"/>
      <c r="HZ158" s="252"/>
      <c r="ID158" s="252"/>
      <c r="IE158" s="252"/>
      <c r="IF158" s="252"/>
      <c r="IJ158" s="252"/>
      <c r="IK158" s="252"/>
      <c r="IL158" s="252"/>
      <c r="IP158" s="252"/>
      <c r="IQ158" s="252"/>
      <c r="IR158" s="252"/>
      <c r="IY158" s="66"/>
      <c r="IZ158" s="66"/>
      <c r="JA158" s="66"/>
      <c r="JB158" s="250"/>
      <c r="JC158" s="66"/>
      <c r="JD158" s="66"/>
      <c r="JE158" s="66"/>
      <c r="JF158" s="66"/>
      <c r="JG158" s="66"/>
      <c r="JH158" s="66"/>
      <c r="JI158" s="66"/>
      <c r="JJ158" s="66"/>
      <c r="JK158" s="8"/>
      <c r="JN158" s="252"/>
      <c r="JO158" s="252"/>
      <c r="JP158" s="252"/>
      <c r="JT158" s="252"/>
      <c r="JU158" s="252"/>
      <c r="JV158" s="252"/>
      <c r="JZ158" s="252"/>
      <c r="KA158" s="252"/>
      <c r="KB158" s="252"/>
      <c r="KF158" s="252"/>
      <c r="KG158" s="252"/>
      <c r="KH158" s="252"/>
      <c r="KO158" s="66"/>
      <c r="KP158" s="66"/>
      <c r="KQ158" s="66"/>
      <c r="KR158" s="66"/>
      <c r="KS158" s="66"/>
      <c r="KT158" s="66"/>
      <c r="KU158" s="66"/>
      <c r="KV158" s="66"/>
      <c r="KW158" s="66"/>
      <c r="KX158" s="66"/>
      <c r="KY158" s="66"/>
      <c r="KZ158" s="66"/>
      <c r="LA158" s="8"/>
      <c r="LD158" s="252"/>
      <c r="LE158" s="252"/>
      <c r="LF158" s="252"/>
      <c r="LJ158" s="252"/>
      <c r="LK158" s="252"/>
      <c r="LN158" s="252"/>
      <c r="LO158" s="252"/>
      <c r="LP158" s="252"/>
      <c r="LT158" s="271"/>
      <c r="LU158" s="250"/>
      <c r="LV158" s="250"/>
      <c r="LW158" s="250"/>
      <c r="LX158" s="250"/>
      <c r="LY158" s="250"/>
      <c r="LZ158" s="250"/>
      <c r="MA158" s="250"/>
      <c r="MB158" s="250"/>
      <c r="MC158" s="250"/>
      <c r="MD158" s="250"/>
      <c r="ME158" s="250"/>
      <c r="MF158" s="250"/>
      <c r="MG158" s="250"/>
      <c r="MH158" s="250"/>
      <c r="MI158" s="250"/>
      <c r="MJ158" s="250"/>
      <c r="MK158" s="424"/>
      <c r="ML158" s="640"/>
      <c r="MM158" s="251"/>
      <c r="MN158" s="252"/>
      <c r="MO158" s="252"/>
      <c r="MP158" s="252"/>
      <c r="MQ158" s="252"/>
      <c r="MR158" s="252"/>
      <c r="MS158" s="252"/>
      <c r="MT158" s="252"/>
      <c r="MU158" s="252"/>
      <c r="MV158" s="252"/>
      <c r="MW158" s="252"/>
      <c r="MX158" s="252"/>
      <c r="MY158" s="252"/>
      <c r="MZ158" s="252"/>
      <c r="NA158" s="252"/>
      <c r="NB158" s="252"/>
      <c r="NC158" s="251"/>
      <c r="ND158" s="250"/>
      <c r="NE158" s="250"/>
      <c r="NF158" s="250"/>
      <c r="NG158" s="250"/>
      <c r="NH158" s="250"/>
      <c r="NI158" s="250"/>
      <c r="NJ158" s="250"/>
      <c r="NK158" s="250"/>
      <c r="NL158" s="250"/>
      <c r="NM158" s="250"/>
      <c r="NN158" s="250"/>
      <c r="NO158" s="250"/>
      <c r="NP158" s="250"/>
      <c r="NQ158" s="250"/>
      <c r="NR158" s="250"/>
      <c r="NS158" s="250"/>
      <c r="NT158" s="250"/>
      <c r="NU158" s="250"/>
      <c r="NV158" s="250"/>
      <c r="NW158" s="251"/>
      <c r="OT158" s="8"/>
      <c r="QG158" s="8"/>
      <c r="RT158" s="8"/>
    </row>
    <row r="159" spans="1:488" s="282" customFormat="1" x14ac:dyDescent="0.25">
      <c r="A159" s="66"/>
      <c r="B159" s="8"/>
      <c r="C159" s="66"/>
      <c r="D159" s="66"/>
      <c r="E159" s="66"/>
      <c r="F159" s="66"/>
      <c r="G159" s="66"/>
      <c r="H159" s="66"/>
      <c r="I159" s="66"/>
      <c r="J159" s="66"/>
      <c r="K159" s="66"/>
      <c r="L159" s="66"/>
      <c r="M159" s="66"/>
      <c r="N159" s="66"/>
      <c r="O159" s="66"/>
      <c r="P159" s="66"/>
      <c r="Q159" s="66"/>
      <c r="R159" s="66"/>
      <c r="S159" s="66"/>
      <c r="T159" s="68"/>
      <c r="AC159" s="66"/>
      <c r="AD159" s="66"/>
      <c r="AE159" s="68"/>
      <c r="AN159" s="66"/>
      <c r="AO159" s="66"/>
      <c r="AP159" s="68"/>
      <c r="AW159" s="66"/>
      <c r="AX159" s="68"/>
      <c r="BD159" s="66"/>
      <c r="BE159" s="68"/>
      <c r="BF159" s="66"/>
      <c r="BG159" s="66"/>
      <c r="BH159" s="66"/>
      <c r="BI159" s="66"/>
      <c r="BJ159" s="66"/>
      <c r="BK159" s="66"/>
      <c r="BL159" s="68"/>
      <c r="BO159" s="66"/>
      <c r="BP159" s="68"/>
      <c r="BV159" s="66"/>
      <c r="BW159" s="68"/>
      <c r="CB159" s="8"/>
      <c r="CH159" s="8"/>
      <c r="CK159" s="299"/>
      <c r="CL159" s="299"/>
      <c r="CM159" s="66"/>
      <c r="CN159" s="66"/>
      <c r="CO159" s="68"/>
      <c r="CR159" s="8"/>
      <c r="CX159" s="66"/>
      <c r="CY159" s="532"/>
      <c r="DE159" s="66"/>
      <c r="DF159" s="66"/>
      <c r="DG159" s="68"/>
      <c r="DH159" s="68"/>
      <c r="DK159" s="66"/>
      <c r="DL159" s="66"/>
      <c r="DM159" s="66"/>
      <c r="DN159" s="66"/>
      <c r="DO159" s="66"/>
      <c r="DP159" s="66"/>
      <c r="DQ159" s="66"/>
      <c r="DR159" s="66"/>
      <c r="DS159" s="66"/>
      <c r="DT159" s="68"/>
      <c r="DU159" s="66"/>
      <c r="DV159" s="296"/>
      <c r="DW159" s="330"/>
      <c r="DX159" s="631"/>
      <c r="DY159" s="631"/>
      <c r="DZ159" s="631"/>
      <c r="EA159" s="330"/>
      <c r="EC159" s="66"/>
      <c r="ED159" s="68"/>
      <c r="EH159" s="66"/>
      <c r="EI159" s="66"/>
      <c r="EJ159" s="68"/>
      <c r="EK159" s="252"/>
      <c r="EL159" s="252"/>
      <c r="EM159" s="252"/>
      <c r="EO159" s="252"/>
      <c r="EP159" s="252"/>
      <c r="EQ159" s="252"/>
      <c r="ES159" s="252"/>
      <c r="ET159" s="252"/>
      <c r="EU159" s="252"/>
      <c r="EW159" s="252"/>
      <c r="EX159" s="252"/>
      <c r="EY159" s="252"/>
      <c r="FA159" s="250"/>
      <c r="FB159" s="250"/>
      <c r="FC159" s="250"/>
      <c r="FD159" s="250"/>
      <c r="FE159" s="250"/>
      <c r="FF159" s="250"/>
      <c r="FG159" s="250"/>
      <c r="FH159" s="424"/>
      <c r="FI159" s="250"/>
      <c r="FJ159" s="250"/>
      <c r="FK159" s="250"/>
      <c r="FL159" s="256"/>
      <c r="FM159" s="250"/>
      <c r="FN159" s="256"/>
      <c r="FO159" s="250"/>
      <c r="FP159" s="256"/>
      <c r="FQ159" s="250"/>
      <c r="FR159" s="256"/>
      <c r="FS159" s="250"/>
      <c r="FT159" s="256"/>
      <c r="FU159" s="256"/>
      <c r="FV159" s="256"/>
      <c r="FW159" s="250"/>
      <c r="FX159" s="424"/>
      <c r="FY159" s="251"/>
      <c r="GC159" s="252"/>
      <c r="GF159" s="252"/>
      <c r="GG159" s="252"/>
      <c r="GH159" s="252"/>
      <c r="GI159" s="252"/>
      <c r="GJ159" s="252"/>
      <c r="GK159" s="251"/>
      <c r="GL159" s="250"/>
      <c r="GM159" s="250"/>
      <c r="GN159" s="250"/>
      <c r="GO159" s="250"/>
      <c r="GP159" s="250"/>
      <c r="GQ159" s="250"/>
      <c r="GR159" s="250"/>
      <c r="GS159" s="250"/>
      <c r="GT159" s="250"/>
      <c r="GU159" s="251"/>
      <c r="GV159" s="250"/>
      <c r="GW159" s="250"/>
      <c r="GX159" s="250"/>
      <c r="GY159" s="250"/>
      <c r="GZ159" s="250"/>
      <c r="HA159" s="250"/>
      <c r="HB159" s="250"/>
      <c r="HC159" s="250"/>
      <c r="HD159" s="250"/>
      <c r="HE159" s="250"/>
      <c r="HF159" s="250"/>
      <c r="HG159" s="250"/>
      <c r="HH159" s="251"/>
      <c r="HI159" s="424"/>
      <c r="HJ159" s="255"/>
      <c r="HK159" s="255"/>
      <c r="HL159" s="250"/>
      <c r="HM159" s="255"/>
      <c r="HN159" s="255"/>
      <c r="HO159" s="255"/>
      <c r="HP159" s="250"/>
      <c r="HQ159" s="250"/>
      <c r="HR159" s="250"/>
      <c r="HS159" s="250"/>
      <c r="HT159" s="250"/>
      <c r="HU159" s="251"/>
      <c r="HX159" s="252"/>
      <c r="HY159" s="252"/>
      <c r="HZ159" s="252"/>
      <c r="ID159" s="252"/>
      <c r="IE159" s="252"/>
      <c r="IF159" s="252"/>
      <c r="IJ159" s="252"/>
      <c r="IK159" s="252"/>
      <c r="IL159" s="252"/>
      <c r="IP159" s="252"/>
      <c r="IQ159" s="252"/>
      <c r="IR159" s="252"/>
      <c r="IY159" s="66"/>
      <c r="IZ159" s="66"/>
      <c r="JA159" s="66"/>
      <c r="JB159" s="250"/>
      <c r="JC159" s="66"/>
      <c r="JD159" s="66"/>
      <c r="JE159" s="66"/>
      <c r="JF159" s="66"/>
      <c r="JG159" s="66"/>
      <c r="JH159" s="66"/>
      <c r="JI159" s="66"/>
      <c r="JJ159" s="66"/>
      <c r="JK159" s="8"/>
      <c r="JN159" s="252"/>
      <c r="JO159" s="252"/>
      <c r="JP159" s="252"/>
      <c r="JT159" s="252"/>
      <c r="JU159" s="252"/>
      <c r="JV159" s="252"/>
      <c r="JZ159" s="252"/>
      <c r="KA159" s="252"/>
      <c r="KB159" s="252"/>
      <c r="KF159" s="252"/>
      <c r="KG159" s="252"/>
      <c r="KH159" s="252"/>
      <c r="KO159" s="66"/>
      <c r="KP159" s="66"/>
      <c r="KQ159" s="66"/>
      <c r="KR159" s="66"/>
      <c r="KS159" s="66"/>
      <c r="KT159" s="66"/>
      <c r="KU159" s="66"/>
      <c r="KV159" s="66"/>
      <c r="KW159" s="66"/>
      <c r="KX159" s="66"/>
      <c r="KY159" s="66"/>
      <c r="KZ159" s="66"/>
      <c r="LA159" s="8"/>
      <c r="LD159" s="252"/>
      <c r="LE159" s="252"/>
      <c r="LF159" s="252"/>
      <c r="LJ159" s="252"/>
      <c r="LK159" s="252"/>
      <c r="LN159" s="252"/>
      <c r="LO159" s="252"/>
      <c r="LP159" s="252"/>
      <c r="LT159" s="271"/>
      <c r="LU159" s="250"/>
      <c r="LV159" s="250"/>
      <c r="LW159" s="250"/>
      <c r="LX159" s="250"/>
      <c r="LY159" s="250"/>
      <c r="LZ159" s="250"/>
      <c r="MA159" s="250"/>
      <c r="MB159" s="250"/>
      <c r="MC159" s="250"/>
      <c r="MD159" s="250"/>
      <c r="ME159" s="250"/>
      <c r="MF159" s="250"/>
      <c r="MG159" s="250"/>
      <c r="MH159" s="250"/>
      <c r="MI159" s="250"/>
      <c r="MJ159" s="250"/>
      <c r="MK159" s="424"/>
      <c r="ML159" s="640"/>
      <c r="MM159" s="251"/>
      <c r="MN159" s="252"/>
      <c r="MO159" s="252"/>
      <c r="MP159" s="252"/>
      <c r="MQ159" s="252"/>
      <c r="MR159" s="252"/>
      <c r="MS159" s="252"/>
      <c r="MT159" s="252"/>
      <c r="MU159" s="252"/>
      <c r="MV159" s="252"/>
      <c r="MW159" s="252"/>
      <c r="MX159" s="252"/>
      <c r="MY159" s="252"/>
      <c r="MZ159" s="252"/>
      <c r="NA159" s="252"/>
      <c r="NB159" s="252"/>
      <c r="NC159" s="251"/>
      <c r="ND159" s="250"/>
      <c r="NE159" s="250"/>
      <c r="NF159" s="250"/>
      <c r="NG159" s="250"/>
      <c r="NH159" s="250"/>
      <c r="NI159" s="250"/>
      <c r="NJ159" s="250"/>
      <c r="NK159" s="250"/>
      <c r="NL159" s="250"/>
      <c r="NM159" s="250"/>
      <c r="NN159" s="250"/>
      <c r="NO159" s="250"/>
      <c r="NP159" s="250"/>
      <c r="NQ159" s="250"/>
      <c r="NR159" s="250"/>
      <c r="NS159" s="250"/>
      <c r="NT159" s="250"/>
      <c r="NU159" s="250"/>
      <c r="NV159" s="250"/>
      <c r="NW159" s="251"/>
      <c r="OT159" s="8"/>
      <c r="QG159" s="8"/>
      <c r="RT159" s="8"/>
    </row>
    <row r="160" spans="1:488" s="282" customFormat="1" x14ac:dyDescent="0.25">
      <c r="A160" s="66"/>
      <c r="B160" s="8"/>
      <c r="C160" s="66"/>
      <c r="D160" s="66"/>
      <c r="E160" s="66"/>
      <c r="F160" s="66"/>
      <c r="G160" s="66"/>
      <c r="H160" s="66"/>
      <c r="I160" s="66"/>
      <c r="J160" s="66"/>
      <c r="K160" s="66"/>
      <c r="L160" s="66"/>
      <c r="M160" s="66"/>
      <c r="N160" s="66"/>
      <c r="O160" s="66"/>
      <c r="P160" s="66"/>
      <c r="Q160" s="66"/>
      <c r="R160" s="66"/>
      <c r="S160" s="66"/>
      <c r="T160" s="68"/>
      <c r="AC160" s="66"/>
      <c r="AD160" s="66"/>
      <c r="AE160" s="68"/>
      <c r="AN160" s="66"/>
      <c r="AO160" s="66"/>
      <c r="AP160" s="68"/>
      <c r="AW160" s="66"/>
      <c r="AX160" s="68"/>
      <c r="BD160" s="66"/>
      <c r="BE160" s="68"/>
      <c r="BF160" s="66"/>
      <c r="BG160" s="66"/>
      <c r="BH160" s="66"/>
      <c r="BI160" s="66"/>
      <c r="BJ160" s="66"/>
      <c r="BK160" s="66"/>
      <c r="BL160" s="68"/>
      <c r="BO160" s="66"/>
      <c r="BP160" s="68"/>
      <c r="BV160" s="66"/>
      <c r="BW160" s="68"/>
      <c r="CB160" s="8"/>
      <c r="CH160" s="8"/>
      <c r="CK160" s="299"/>
      <c r="CL160" s="299"/>
      <c r="CM160" s="66"/>
      <c r="CN160" s="66"/>
      <c r="CO160" s="68"/>
      <c r="CR160" s="8"/>
      <c r="CX160" s="66"/>
      <c r="CY160" s="532"/>
      <c r="DE160" s="66"/>
      <c r="DF160" s="66"/>
      <c r="DG160" s="68"/>
      <c r="DH160" s="68"/>
      <c r="DK160" s="66"/>
      <c r="DL160" s="66"/>
      <c r="DM160" s="66"/>
      <c r="DN160" s="66"/>
      <c r="DO160" s="66"/>
      <c r="DP160" s="66"/>
      <c r="DQ160" s="66"/>
      <c r="DR160" s="66"/>
      <c r="DS160" s="66"/>
      <c r="DT160" s="68"/>
      <c r="DU160" s="66"/>
      <c r="DV160" s="296"/>
      <c r="DW160" s="330"/>
      <c r="DX160" s="631"/>
      <c r="DY160" s="631"/>
      <c r="DZ160" s="631"/>
      <c r="EA160" s="330"/>
      <c r="EC160" s="66"/>
      <c r="ED160" s="68"/>
      <c r="EH160" s="66"/>
      <c r="EI160" s="66"/>
      <c r="EJ160" s="68"/>
      <c r="EK160" s="252"/>
      <c r="EL160" s="252"/>
      <c r="EM160" s="252"/>
      <c r="EO160" s="252"/>
      <c r="EP160" s="252"/>
      <c r="EQ160" s="252"/>
      <c r="ES160" s="252"/>
      <c r="ET160" s="252"/>
      <c r="EU160" s="252"/>
      <c r="EW160" s="252"/>
      <c r="EX160" s="252"/>
      <c r="EY160" s="252"/>
      <c r="FA160" s="250"/>
      <c r="FB160" s="250"/>
      <c r="FC160" s="250"/>
      <c r="FD160" s="250"/>
      <c r="FE160" s="250"/>
      <c r="FF160" s="250"/>
      <c r="FG160" s="250"/>
      <c r="FH160" s="424"/>
      <c r="FI160" s="250"/>
      <c r="FJ160" s="250"/>
      <c r="FK160" s="250"/>
      <c r="FL160" s="256"/>
      <c r="FM160" s="250"/>
      <c r="FN160" s="256"/>
      <c r="FO160" s="250"/>
      <c r="FP160" s="256"/>
      <c r="FQ160" s="250"/>
      <c r="FR160" s="256"/>
      <c r="FS160" s="250"/>
      <c r="FT160" s="256"/>
      <c r="FU160" s="256"/>
      <c r="FV160" s="256"/>
      <c r="FW160" s="250"/>
      <c r="FX160" s="424"/>
      <c r="FY160" s="251"/>
      <c r="GC160" s="252"/>
      <c r="GF160" s="252"/>
      <c r="GG160" s="252"/>
      <c r="GH160" s="252"/>
      <c r="GI160" s="252"/>
      <c r="GJ160" s="252"/>
      <c r="GK160" s="251"/>
      <c r="GL160" s="250"/>
      <c r="GM160" s="250"/>
      <c r="GN160" s="250"/>
      <c r="GO160" s="250"/>
      <c r="GP160" s="250"/>
      <c r="GQ160" s="250"/>
      <c r="GR160" s="250"/>
      <c r="GS160" s="250"/>
      <c r="GT160" s="250"/>
      <c r="GU160" s="251"/>
      <c r="GV160" s="250"/>
      <c r="GW160" s="250"/>
      <c r="GX160" s="250"/>
      <c r="GY160" s="250"/>
      <c r="GZ160" s="250"/>
      <c r="HA160" s="250"/>
      <c r="HB160" s="250"/>
      <c r="HC160" s="250"/>
      <c r="HD160" s="250"/>
      <c r="HE160" s="250"/>
      <c r="HF160" s="250"/>
      <c r="HG160" s="250"/>
      <c r="HH160" s="251"/>
      <c r="HI160" s="424"/>
      <c r="HJ160" s="255"/>
      <c r="HK160" s="255"/>
      <c r="HL160" s="250"/>
      <c r="HM160" s="255"/>
      <c r="HN160" s="255"/>
      <c r="HO160" s="255"/>
      <c r="HP160" s="250"/>
      <c r="HQ160" s="250"/>
      <c r="HR160" s="250"/>
      <c r="HS160" s="250"/>
      <c r="HT160" s="250"/>
      <c r="HU160" s="251"/>
      <c r="HX160" s="252"/>
      <c r="HY160" s="252"/>
      <c r="HZ160" s="252"/>
      <c r="ID160" s="252"/>
      <c r="IE160" s="252"/>
      <c r="IF160" s="252"/>
      <c r="IJ160" s="252"/>
      <c r="IK160" s="252"/>
      <c r="IL160" s="252"/>
      <c r="IP160" s="252"/>
      <c r="IQ160" s="252"/>
      <c r="IR160" s="252"/>
      <c r="IY160" s="66"/>
      <c r="IZ160" s="66"/>
      <c r="JA160" s="66"/>
      <c r="JB160" s="250"/>
      <c r="JC160" s="66"/>
      <c r="JD160" s="66"/>
      <c r="JE160" s="66"/>
      <c r="JF160" s="66"/>
      <c r="JG160" s="66"/>
      <c r="JH160" s="66"/>
      <c r="JI160" s="66"/>
      <c r="JJ160" s="66"/>
      <c r="JK160" s="8"/>
      <c r="JN160" s="252"/>
      <c r="JO160" s="252"/>
      <c r="JP160" s="252"/>
      <c r="JT160" s="252"/>
      <c r="JU160" s="252"/>
      <c r="JV160" s="252"/>
      <c r="JZ160" s="252"/>
      <c r="KA160" s="252"/>
      <c r="KB160" s="252"/>
      <c r="KF160" s="252"/>
      <c r="KG160" s="252"/>
      <c r="KH160" s="252"/>
      <c r="KO160" s="66"/>
      <c r="KP160" s="66"/>
      <c r="KQ160" s="66"/>
      <c r="KR160" s="66"/>
      <c r="KS160" s="66"/>
      <c r="KT160" s="66"/>
      <c r="KU160" s="66"/>
      <c r="KV160" s="66"/>
      <c r="KW160" s="66"/>
      <c r="KX160" s="66"/>
      <c r="KY160" s="66"/>
      <c r="KZ160" s="66"/>
      <c r="LA160" s="8"/>
      <c r="LD160" s="252"/>
      <c r="LE160" s="252"/>
      <c r="LF160" s="252"/>
      <c r="LJ160" s="252"/>
      <c r="LK160" s="252"/>
      <c r="LN160" s="252"/>
      <c r="LO160" s="252"/>
      <c r="LP160" s="252"/>
      <c r="LT160" s="271"/>
      <c r="LU160" s="250"/>
      <c r="LV160" s="250"/>
      <c r="LW160" s="250"/>
      <c r="LX160" s="250"/>
      <c r="LY160" s="250"/>
      <c r="LZ160" s="250"/>
      <c r="MA160" s="250"/>
      <c r="MB160" s="250"/>
      <c r="MC160" s="250"/>
      <c r="MD160" s="250"/>
      <c r="ME160" s="250"/>
      <c r="MF160" s="250"/>
      <c r="MG160" s="250"/>
      <c r="MH160" s="250"/>
      <c r="MI160" s="250"/>
      <c r="MJ160" s="250"/>
      <c r="MK160" s="424"/>
      <c r="ML160" s="640"/>
      <c r="MM160" s="251"/>
      <c r="MN160" s="252"/>
      <c r="MO160" s="252"/>
      <c r="MP160" s="252"/>
      <c r="MQ160" s="252"/>
      <c r="MR160" s="252"/>
      <c r="MS160" s="252"/>
      <c r="MT160" s="252"/>
      <c r="MU160" s="252"/>
      <c r="MV160" s="252"/>
      <c r="MW160" s="252"/>
      <c r="MX160" s="252"/>
      <c r="MY160" s="252"/>
      <c r="MZ160" s="252"/>
      <c r="NA160" s="252"/>
      <c r="NB160" s="252"/>
      <c r="NC160" s="251"/>
      <c r="ND160" s="250"/>
      <c r="NE160" s="250"/>
      <c r="NF160" s="250"/>
      <c r="NG160" s="250"/>
      <c r="NH160" s="250"/>
      <c r="NI160" s="250"/>
      <c r="NJ160" s="250"/>
      <c r="NK160" s="250"/>
      <c r="NL160" s="250"/>
      <c r="NM160" s="250"/>
      <c r="NN160" s="250"/>
      <c r="NO160" s="250"/>
      <c r="NP160" s="250"/>
      <c r="NQ160" s="250"/>
      <c r="NR160" s="250"/>
      <c r="NS160" s="250"/>
      <c r="NT160" s="250"/>
      <c r="NU160" s="250"/>
      <c r="NV160" s="250"/>
      <c r="NW160" s="251"/>
      <c r="OT160" s="8"/>
      <c r="QG160" s="8"/>
      <c r="RT160" s="8"/>
    </row>
    <row r="161" spans="1:488" s="282" customFormat="1" x14ac:dyDescent="0.25">
      <c r="A161" s="66"/>
      <c r="B161" s="8"/>
      <c r="C161" s="66"/>
      <c r="D161" s="66"/>
      <c r="E161" s="66"/>
      <c r="F161" s="66"/>
      <c r="G161" s="66"/>
      <c r="H161" s="66"/>
      <c r="I161" s="66"/>
      <c r="J161" s="66"/>
      <c r="K161" s="66"/>
      <c r="L161" s="66"/>
      <c r="M161" s="66"/>
      <c r="N161" s="66"/>
      <c r="O161" s="66"/>
      <c r="P161" s="66"/>
      <c r="Q161" s="66"/>
      <c r="R161" s="66"/>
      <c r="S161" s="66"/>
      <c r="T161" s="68"/>
      <c r="AC161" s="66"/>
      <c r="AD161" s="66"/>
      <c r="AE161" s="68"/>
      <c r="AN161" s="66"/>
      <c r="AO161" s="66"/>
      <c r="AP161" s="68"/>
      <c r="AW161" s="66"/>
      <c r="AX161" s="68"/>
      <c r="BD161" s="66"/>
      <c r="BE161" s="68"/>
      <c r="BF161" s="66"/>
      <c r="BG161" s="66"/>
      <c r="BH161" s="66"/>
      <c r="BI161" s="66"/>
      <c r="BJ161" s="66"/>
      <c r="BK161" s="66"/>
      <c r="BL161" s="68"/>
      <c r="BO161" s="66"/>
      <c r="BP161" s="68"/>
      <c r="BV161" s="66"/>
      <c r="BW161" s="68"/>
      <c r="CB161" s="8"/>
      <c r="CH161" s="8"/>
      <c r="CK161" s="299"/>
      <c r="CL161" s="299"/>
      <c r="CM161" s="66"/>
      <c r="CN161" s="66"/>
      <c r="CO161" s="68"/>
      <c r="CR161" s="8"/>
      <c r="CX161" s="66"/>
      <c r="CY161" s="532"/>
      <c r="DE161" s="66"/>
      <c r="DF161" s="66"/>
      <c r="DG161" s="68"/>
      <c r="DH161" s="68"/>
      <c r="DK161" s="66"/>
      <c r="DL161" s="66"/>
      <c r="DM161" s="66"/>
      <c r="DN161" s="66"/>
      <c r="DO161" s="66"/>
      <c r="DP161" s="66"/>
      <c r="DQ161" s="66"/>
      <c r="DR161" s="66"/>
      <c r="DS161" s="66"/>
      <c r="DT161" s="68"/>
      <c r="DU161" s="66"/>
      <c r="DV161" s="296"/>
      <c r="DW161" s="330"/>
      <c r="DX161" s="631"/>
      <c r="DY161" s="631"/>
      <c r="DZ161" s="631"/>
      <c r="EA161" s="330"/>
      <c r="EC161" s="66"/>
      <c r="ED161" s="68"/>
      <c r="EH161" s="66"/>
      <c r="EI161" s="66"/>
      <c r="EJ161" s="68"/>
      <c r="EK161" s="252"/>
      <c r="EL161" s="252"/>
      <c r="EM161" s="252"/>
      <c r="EO161" s="252"/>
      <c r="EP161" s="252"/>
      <c r="EQ161" s="252"/>
      <c r="ES161" s="252"/>
      <c r="ET161" s="252"/>
      <c r="EU161" s="252"/>
      <c r="EW161" s="252"/>
      <c r="EX161" s="252"/>
      <c r="EY161" s="252"/>
      <c r="FA161" s="250"/>
      <c r="FB161" s="250"/>
      <c r="FC161" s="250"/>
      <c r="FD161" s="250"/>
      <c r="FE161" s="250"/>
      <c r="FF161" s="250"/>
      <c r="FG161" s="250"/>
      <c r="FH161" s="424"/>
      <c r="FI161" s="250"/>
      <c r="FJ161" s="250"/>
      <c r="FK161" s="250"/>
      <c r="FL161" s="256"/>
      <c r="FM161" s="250"/>
      <c r="FN161" s="256"/>
      <c r="FO161" s="250"/>
      <c r="FP161" s="256"/>
      <c r="FQ161" s="250"/>
      <c r="FR161" s="256"/>
      <c r="FS161" s="250"/>
      <c r="FT161" s="256"/>
      <c r="FU161" s="256"/>
      <c r="FV161" s="256"/>
      <c r="FW161" s="250"/>
      <c r="FX161" s="424"/>
      <c r="FY161" s="251"/>
      <c r="GC161" s="252"/>
      <c r="GF161" s="252"/>
      <c r="GG161" s="252"/>
      <c r="GH161" s="252"/>
      <c r="GI161" s="252"/>
      <c r="GJ161" s="252"/>
      <c r="GK161" s="251"/>
      <c r="GL161" s="250"/>
      <c r="GM161" s="250"/>
      <c r="GN161" s="250"/>
      <c r="GO161" s="250"/>
      <c r="GP161" s="250"/>
      <c r="GQ161" s="250"/>
      <c r="GR161" s="250"/>
      <c r="GS161" s="250"/>
      <c r="GT161" s="250"/>
      <c r="GU161" s="251"/>
      <c r="GV161" s="250"/>
      <c r="GW161" s="250"/>
      <c r="GX161" s="250"/>
      <c r="GY161" s="250"/>
      <c r="GZ161" s="250"/>
      <c r="HA161" s="250"/>
      <c r="HB161" s="250"/>
      <c r="HC161" s="250"/>
      <c r="HD161" s="250"/>
      <c r="HE161" s="250"/>
      <c r="HF161" s="250"/>
      <c r="HG161" s="250"/>
      <c r="HH161" s="251"/>
      <c r="HI161" s="424"/>
      <c r="HJ161" s="255"/>
      <c r="HK161" s="255"/>
      <c r="HL161" s="250"/>
      <c r="HM161" s="255"/>
      <c r="HN161" s="255"/>
      <c r="HO161" s="255"/>
      <c r="HP161" s="250"/>
      <c r="HQ161" s="250"/>
      <c r="HR161" s="250"/>
      <c r="HS161" s="250"/>
      <c r="HT161" s="250"/>
      <c r="HU161" s="251"/>
      <c r="HX161" s="252"/>
      <c r="HY161" s="252"/>
      <c r="HZ161" s="252"/>
      <c r="ID161" s="252"/>
      <c r="IE161" s="252"/>
      <c r="IF161" s="252"/>
      <c r="IJ161" s="252"/>
      <c r="IK161" s="252"/>
      <c r="IL161" s="252"/>
      <c r="IP161" s="252"/>
      <c r="IQ161" s="252"/>
      <c r="IR161" s="252"/>
      <c r="IY161" s="66"/>
      <c r="IZ161" s="66"/>
      <c r="JA161" s="66"/>
      <c r="JB161" s="250"/>
      <c r="JC161" s="66"/>
      <c r="JD161" s="66"/>
      <c r="JE161" s="66"/>
      <c r="JF161" s="66"/>
      <c r="JG161" s="66"/>
      <c r="JH161" s="66"/>
      <c r="JI161" s="66"/>
      <c r="JJ161" s="66"/>
      <c r="JK161" s="8"/>
      <c r="JN161" s="252"/>
      <c r="JO161" s="252"/>
      <c r="JP161" s="252"/>
      <c r="JT161" s="252"/>
      <c r="JU161" s="252"/>
      <c r="JV161" s="252"/>
      <c r="JZ161" s="252"/>
      <c r="KA161" s="252"/>
      <c r="KB161" s="252"/>
      <c r="KF161" s="252"/>
      <c r="KG161" s="252"/>
      <c r="KH161" s="252"/>
      <c r="KO161" s="66"/>
      <c r="KP161" s="66"/>
      <c r="KQ161" s="66"/>
      <c r="KR161" s="66"/>
      <c r="KS161" s="66"/>
      <c r="KT161" s="66"/>
      <c r="KU161" s="66"/>
      <c r="KV161" s="66"/>
      <c r="KW161" s="66"/>
      <c r="KX161" s="66"/>
      <c r="KY161" s="66"/>
      <c r="KZ161" s="66"/>
      <c r="LA161" s="8"/>
      <c r="LD161" s="252"/>
      <c r="LE161" s="252"/>
      <c r="LF161" s="252"/>
      <c r="LJ161" s="252"/>
      <c r="LK161" s="252"/>
      <c r="LN161" s="252"/>
      <c r="LO161" s="252"/>
      <c r="LP161" s="252"/>
      <c r="LT161" s="271"/>
      <c r="LU161" s="250"/>
      <c r="LV161" s="250"/>
      <c r="LW161" s="250"/>
      <c r="LX161" s="250"/>
      <c r="LY161" s="250"/>
      <c r="LZ161" s="250"/>
      <c r="MA161" s="250"/>
      <c r="MB161" s="250"/>
      <c r="MC161" s="250"/>
      <c r="MD161" s="250"/>
      <c r="ME161" s="250"/>
      <c r="MF161" s="250"/>
      <c r="MG161" s="250"/>
      <c r="MH161" s="250"/>
      <c r="MI161" s="250"/>
      <c r="MJ161" s="250"/>
      <c r="MK161" s="424"/>
      <c r="ML161" s="640"/>
      <c r="MM161" s="251"/>
      <c r="MN161" s="252"/>
      <c r="MO161" s="252"/>
      <c r="MP161" s="252"/>
      <c r="MQ161" s="252"/>
      <c r="MR161" s="252"/>
      <c r="MS161" s="252"/>
      <c r="MT161" s="252"/>
      <c r="MU161" s="252"/>
      <c r="MV161" s="252"/>
      <c r="MW161" s="252"/>
      <c r="MX161" s="252"/>
      <c r="MY161" s="252"/>
      <c r="MZ161" s="252"/>
      <c r="NA161" s="252"/>
      <c r="NB161" s="252"/>
      <c r="NC161" s="251"/>
      <c r="ND161" s="250"/>
      <c r="NE161" s="250"/>
      <c r="NF161" s="250"/>
      <c r="NG161" s="250"/>
      <c r="NH161" s="250"/>
      <c r="NI161" s="250"/>
      <c r="NJ161" s="250"/>
      <c r="NK161" s="250"/>
      <c r="NL161" s="250"/>
      <c r="NM161" s="250"/>
      <c r="NN161" s="250"/>
      <c r="NO161" s="250"/>
      <c r="NP161" s="250"/>
      <c r="NQ161" s="250"/>
      <c r="NR161" s="250"/>
      <c r="NS161" s="250"/>
      <c r="NT161" s="250"/>
      <c r="NU161" s="250"/>
      <c r="NV161" s="250"/>
      <c r="NW161" s="251"/>
      <c r="OT161" s="8"/>
      <c r="QG161" s="8"/>
      <c r="RT161" s="8"/>
    </row>
    <row r="162" spans="1:488" s="282" customFormat="1" x14ac:dyDescent="0.25">
      <c r="A162" s="66"/>
      <c r="B162" s="8"/>
      <c r="C162" s="66"/>
      <c r="D162" s="66"/>
      <c r="E162" s="66"/>
      <c r="F162" s="66"/>
      <c r="G162" s="66"/>
      <c r="H162" s="66"/>
      <c r="I162" s="66"/>
      <c r="J162" s="66"/>
      <c r="K162" s="66"/>
      <c r="L162" s="66"/>
      <c r="M162" s="66"/>
      <c r="N162" s="66"/>
      <c r="O162" s="66"/>
      <c r="P162" s="66"/>
      <c r="Q162" s="66"/>
      <c r="R162" s="66"/>
      <c r="S162" s="66"/>
      <c r="T162" s="68"/>
      <c r="AC162" s="66"/>
      <c r="AD162" s="66"/>
      <c r="AE162" s="68"/>
      <c r="AN162" s="66"/>
      <c r="AO162" s="66"/>
      <c r="AP162" s="68"/>
      <c r="AW162" s="66"/>
      <c r="AX162" s="68"/>
      <c r="BD162" s="66"/>
      <c r="BE162" s="68"/>
      <c r="BF162" s="66"/>
      <c r="BG162" s="66"/>
      <c r="BH162" s="66"/>
      <c r="BI162" s="66"/>
      <c r="BJ162" s="66"/>
      <c r="BK162" s="66"/>
      <c r="BL162" s="68"/>
      <c r="BO162" s="66"/>
      <c r="BP162" s="68"/>
      <c r="BV162" s="66"/>
      <c r="BW162" s="68"/>
      <c r="CB162" s="8"/>
      <c r="CH162" s="8"/>
      <c r="CK162" s="299"/>
      <c r="CL162" s="299"/>
      <c r="CM162" s="66"/>
      <c r="CN162" s="66"/>
      <c r="CO162" s="68"/>
      <c r="CR162" s="8"/>
      <c r="CX162" s="66"/>
      <c r="CY162" s="532"/>
      <c r="DE162" s="66"/>
      <c r="DF162" s="66"/>
      <c r="DG162" s="68"/>
      <c r="DH162" s="68"/>
      <c r="DK162" s="66"/>
      <c r="DL162" s="66"/>
      <c r="DM162" s="66"/>
      <c r="DN162" s="66"/>
      <c r="DO162" s="66"/>
      <c r="DP162" s="66"/>
      <c r="DQ162" s="66"/>
      <c r="DR162" s="66"/>
      <c r="DS162" s="66"/>
      <c r="DT162" s="68"/>
      <c r="DU162" s="66"/>
      <c r="DV162" s="296"/>
      <c r="DW162" s="330"/>
      <c r="DX162" s="631"/>
      <c r="DY162" s="631"/>
      <c r="DZ162" s="631"/>
      <c r="EA162" s="330"/>
      <c r="EC162" s="66"/>
      <c r="ED162" s="68"/>
      <c r="EH162" s="66"/>
      <c r="EI162" s="66"/>
      <c r="EJ162" s="68"/>
      <c r="EK162" s="252"/>
      <c r="EL162" s="252"/>
      <c r="EM162" s="252"/>
      <c r="EO162" s="252"/>
      <c r="EP162" s="252"/>
      <c r="EQ162" s="252"/>
      <c r="ES162" s="252"/>
      <c r="ET162" s="252"/>
      <c r="EU162" s="252"/>
      <c r="EW162" s="252"/>
      <c r="EX162" s="252"/>
      <c r="EY162" s="252"/>
      <c r="FA162" s="250"/>
      <c r="FB162" s="250"/>
      <c r="FC162" s="250"/>
      <c r="FD162" s="250"/>
      <c r="FE162" s="250"/>
      <c r="FF162" s="250"/>
      <c r="FG162" s="250"/>
      <c r="FH162" s="424"/>
      <c r="FI162" s="250"/>
      <c r="FJ162" s="250"/>
      <c r="FK162" s="250"/>
      <c r="FL162" s="256"/>
      <c r="FM162" s="250"/>
      <c r="FN162" s="256"/>
      <c r="FO162" s="250"/>
      <c r="FP162" s="256"/>
      <c r="FQ162" s="250"/>
      <c r="FR162" s="256"/>
      <c r="FS162" s="250"/>
      <c r="FT162" s="256"/>
      <c r="FU162" s="256"/>
      <c r="FV162" s="256"/>
      <c r="FW162" s="250"/>
      <c r="FX162" s="424"/>
      <c r="FY162" s="251"/>
      <c r="GC162" s="252"/>
      <c r="GF162" s="252"/>
      <c r="GG162" s="252"/>
      <c r="GH162" s="252"/>
      <c r="GI162" s="252"/>
      <c r="GJ162" s="252"/>
      <c r="GK162" s="251"/>
      <c r="GL162" s="250"/>
      <c r="GM162" s="250"/>
      <c r="GN162" s="250"/>
      <c r="GO162" s="250"/>
      <c r="GP162" s="250"/>
      <c r="GQ162" s="250"/>
      <c r="GR162" s="250"/>
      <c r="GS162" s="250"/>
      <c r="GT162" s="250"/>
      <c r="GU162" s="251"/>
      <c r="GV162" s="250"/>
      <c r="GW162" s="250"/>
      <c r="GX162" s="250"/>
      <c r="GY162" s="250"/>
      <c r="GZ162" s="250"/>
      <c r="HA162" s="250"/>
      <c r="HB162" s="250"/>
      <c r="HC162" s="250"/>
      <c r="HD162" s="250"/>
      <c r="HE162" s="250"/>
      <c r="HF162" s="250"/>
      <c r="HG162" s="250"/>
      <c r="HH162" s="251"/>
      <c r="HI162" s="424"/>
      <c r="HJ162" s="255"/>
      <c r="HK162" s="255"/>
      <c r="HL162" s="250"/>
      <c r="HM162" s="255"/>
      <c r="HN162" s="255"/>
      <c r="HO162" s="255"/>
      <c r="HP162" s="250"/>
      <c r="HQ162" s="250"/>
      <c r="HR162" s="250"/>
      <c r="HS162" s="250"/>
      <c r="HT162" s="250"/>
      <c r="HU162" s="251"/>
      <c r="HX162" s="252"/>
      <c r="HY162" s="252"/>
      <c r="HZ162" s="252"/>
      <c r="ID162" s="252"/>
      <c r="IE162" s="252"/>
      <c r="IF162" s="252"/>
      <c r="IJ162" s="252"/>
      <c r="IK162" s="252"/>
      <c r="IL162" s="252"/>
      <c r="IP162" s="252"/>
      <c r="IQ162" s="252"/>
      <c r="IR162" s="252"/>
      <c r="IY162" s="66"/>
      <c r="IZ162" s="66"/>
      <c r="JA162" s="66"/>
      <c r="JB162" s="250"/>
      <c r="JC162" s="66"/>
      <c r="JD162" s="66"/>
      <c r="JE162" s="66"/>
      <c r="JF162" s="66"/>
      <c r="JG162" s="66"/>
      <c r="JH162" s="66"/>
      <c r="JI162" s="66"/>
      <c r="JJ162" s="66"/>
      <c r="JK162" s="8"/>
      <c r="JN162" s="252"/>
      <c r="JO162" s="252"/>
      <c r="JP162" s="252"/>
      <c r="JT162" s="252"/>
      <c r="JU162" s="252"/>
      <c r="JV162" s="252"/>
      <c r="JZ162" s="252"/>
      <c r="KA162" s="252"/>
      <c r="KB162" s="252"/>
      <c r="KF162" s="252"/>
      <c r="KG162" s="252"/>
      <c r="KH162" s="252"/>
      <c r="KO162" s="66"/>
      <c r="KP162" s="66"/>
      <c r="KQ162" s="66"/>
      <c r="KR162" s="66"/>
      <c r="KS162" s="66"/>
      <c r="KT162" s="66"/>
      <c r="KU162" s="66"/>
      <c r="KV162" s="66"/>
      <c r="KW162" s="66"/>
      <c r="KX162" s="66"/>
      <c r="KY162" s="66"/>
      <c r="KZ162" s="66"/>
      <c r="LA162" s="8"/>
      <c r="LD162" s="252"/>
      <c r="LE162" s="252"/>
      <c r="LF162" s="252"/>
      <c r="LJ162" s="252"/>
      <c r="LK162" s="252"/>
      <c r="LN162" s="252"/>
      <c r="LO162" s="252"/>
      <c r="LP162" s="252"/>
      <c r="LT162" s="271"/>
      <c r="LU162" s="250"/>
      <c r="LV162" s="250"/>
      <c r="LW162" s="250"/>
      <c r="LX162" s="250"/>
      <c r="LY162" s="250"/>
      <c r="LZ162" s="250"/>
      <c r="MA162" s="250"/>
      <c r="MB162" s="250"/>
      <c r="MC162" s="250"/>
      <c r="MD162" s="250"/>
      <c r="ME162" s="250"/>
      <c r="MF162" s="250"/>
      <c r="MG162" s="250"/>
      <c r="MH162" s="250"/>
      <c r="MI162" s="250"/>
      <c r="MJ162" s="250"/>
      <c r="MK162" s="424"/>
      <c r="ML162" s="640"/>
      <c r="MM162" s="251"/>
      <c r="MN162" s="252"/>
      <c r="MO162" s="252"/>
      <c r="MP162" s="252"/>
      <c r="MQ162" s="252"/>
      <c r="MR162" s="252"/>
      <c r="MS162" s="252"/>
      <c r="MT162" s="252"/>
      <c r="MU162" s="252"/>
      <c r="MV162" s="252"/>
      <c r="MW162" s="252"/>
      <c r="MX162" s="252"/>
      <c r="MY162" s="252"/>
      <c r="MZ162" s="252"/>
      <c r="NA162" s="252"/>
      <c r="NB162" s="252"/>
      <c r="NC162" s="251"/>
      <c r="ND162" s="250"/>
      <c r="NE162" s="250"/>
      <c r="NF162" s="250"/>
      <c r="NG162" s="250"/>
      <c r="NH162" s="250"/>
      <c r="NI162" s="250"/>
      <c r="NJ162" s="250"/>
      <c r="NK162" s="250"/>
      <c r="NL162" s="250"/>
      <c r="NM162" s="250"/>
      <c r="NN162" s="250"/>
      <c r="NO162" s="250"/>
      <c r="NP162" s="250"/>
      <c r="NQ162" s="250"/>
      <c r="NR162" s="250"/>
      <c r="NS162" s="250"/>
      <c r="NT162" s="250"/>
      <c r="NU162" s="250"/>
      <c r="NV162" s="250"/>
      <c r="NW162" s="251"/>
      <c r="OT162" s="8"/>
      <c r="QG162" s="8"/>
      <c r="RT162" s="8"/>
    </row>
    <row r="163" spans="1:488" s="282" customFormat="1" x14ac:dyDescent="0.25">
      <c r="A163" s="66"/>
      <c r="B163" s="8"/>
      <c r="C163" s="66"/>
      <c r="D163" s="66"/>
      <c r="E163" s="66"/>
      <c r="F163" s="66"/>
      <c r="G163" s="66"/>
      <c r="H163" s="66"/>
      <c r="I163" s="66"/>
      <c r="J163" s="66"/>
      <c r="K163" s="66"/>
      <c r="L163" s="66"/>
      <c r="M163" s="66"/>
      <c r="N163" s="66"/>
      <c r="O163" s="66"/>
      <c r="P163" s="66"/>
      <c r="Q163" s="66"/>
      <c r="R163" s="66"/>
      <c r="S163" s="66"/>
      <c r="T163" s="68"/>
      <c r="AC163" s="66"/>
      <c r="AD163" s="66"/>
      <c r="AE163" s="68"/>
      <c r="AN163" s="66"/>
      <c r="AO163" s="66"/>
      <c r="AP163" s="68"/>
      <c r="AW163" s="66"/>
      <c r="AX163" s="68"/>
      <c r="BD163" s="66"/>
      <c r="BE163" s="68"/>
      <c r="BF163" s="66"/>
      <c r="BG163" s="66"/>
      <c r="BH163" s="66"/>
      <c r="BI163" s="66"/>
      <c r="BJ163" s="66"/>
      <c r="BK163" s="66"/>
      <c r="BL163" s="68"/>
      <c r="BO163" s="66"/>
      <c r="BP163" s="68"/>
      <c r="BV163" s="66"/>
      <c r="BW163" s="68"/>
      <c r="CB163" s="8"/>
      <c r="CH163" s="8"/>
      <c r="CK163" s="299"/>
      <c r="CL163" s="299"/>
      <c r="CM163" s="66"/>
      <c r="CN163" s="66"/>
      <c r="CO163" s="68"/>
      <c r="CR163" s="8"/>
      <c r="CX163" s="66"/>
      <c r="CY163" s="532"/>
      <c r="DE163" s="66"/>
      <c r="DF163" s="66"/>
      <c r="DG163" s="68"/>
      <c r="DH163" s="68"/>
      <c r="DK163" s="66"/>
      <c r="DL163" s="66"/>
      <c r="DM163" s="66"/>
      <c r="DN163" s="66"/>
      <c r="DO163" s="66"/>
      <c r="DP163" s="66"/>
      <c r="DQ163" s="66"/>
      <c r="DR163" s="66"/>
      <c r="DS163" s="66"/>
      <c r="DT163" s="68"/>
      <c r="DU163" s="66"/>
      <c r="DV163" s="296"/>
      <c r="DW163" s="330"/>
      <c r="DX163" s="631"/>
      <c r="DY163" s="631"/>
      <c r="DZ163" s="631"/>
      <c r="EA163" s="330"/>
      <c r="EC163" s="66"/>
      <c r="ED163" s="68"/>
      <c r="EH163" s="66"/>
      <c r="EI163" s="66"/>
      <c r="EJ163" s="68"/>
      <c r="EK163" s="252"/>
      <c r="EL163" s="252"/>
      <c r="EM163" s="252"/>
      <c r="EO163" s="252"/>
      <c r="EP163" s="252"/>
      <c r="EQ163" s="252"/>
      <c r="ES163" s="252"/>
      <c r="ET163" s="252"/>
      <c r="EU163" s="252"/>
      <c r="EW163" s="252"/>
      <c r="EX163" s="252"/>
      <c r="EY163" s="252"/>
      <c r="FA163" s="250"/>
      <c r="FB163" s="250"/>
      <c r="FC163" s="250"/>
      <c r="FD163" s="250"/>
      <c r="FE163" s="250"/>
      <c r="FF163" s="250"/>
      <c r="FG163" s="250"/>
      <c r="FH163" s="424"/>
      <c r="FI163" s="250"/>
      <c r="FJ163" s="250"/>
      <c r="FK163" s="250"/>
      <c r="FL163" s="256"/>
      <c r="FM163" s="250"/>
      <c r="FN163" s="256"/>
      <c r="FO163" s="250"/>
      <c r="FP163" s="256"/>
      <c r="FQ163" s="250"/>
      <c r="FR163" s="256"/>
      <c r="FS163" s="250"/>
      <c r="FT163" s="256"/>
      <c r="FU163" s="256"/>
      <c r="FV163" s="256"/>
      <c r="FW163" s="250"/>
      <c r="FX163" s="424"/>
      <c r="FY163" s="251"/>
      <c r="GC163" s="252"/>
      <c r="GF163" s="252"/>
      <c r="GG163" s="252"/>
      <c r="GH163" s="252"/>
      <c r="GI163" s="252"/>
      <c r="GJ163" s="252"/>
      <c r="GK163" s="251"/>
      <c r="GL163" s="250"/>
      <c r="GM163" s="250"/>
      <c r="GN163" s="250"/>
      <c r="GO163" s="250"/>
      <c r="GP163" s="250"/>
      <c r="GQ163" s="250"/>
      <c r="GR163" s="250"/>
      <c r="GS163" s="250"/>
      <c r="GT163" s="250"/>
      <c r="GU163" s="251"/>
      <c r="GV163" s="250"/>
      <c r="GW163" s="250"/>
      <c r="GX163" s="250"/>
      <c r="GY163" s="250"/>
      <c r="GZ163" s="250"/>
      <c r="HA163" s="250"/>
      <c r="HB163" s="250"/>
      <c r="HC163" s="250"/>
      <c r="HD163" s="250"/>
      <c r="HE163" s="250"/>
      <c r="HF163" s="250"/>
      <c r="HG163" s="250"/>
      <c r="HH163" s="251"/>
      <c r="HI163" s="424"/>
      <c r="HJ163" s="255"/>
      <c r="HK163" s="255"/>
      <c r="HL163" s="250"/>
      <c r="HM163" s="255"/>
      <c r="HN163" s="255"/>
      <c r="HO163" s="255"/>
      <c r="HP163" s="250"/>
      <c r="HQ163" s="250"/>
      <c r="HR163" s="250"/>
      <c r="HS163" s="250"/>
      <c r="HT163" s="250"/>
      <c r="HU163" s="251"/>
      <c r="HX163" s="252"/>
      <c r="HY163" s="252"/>
      <c r="HZ163" s="252"/>
      <c r="ID163" s="252"/>
      <c r="IE163" s="252"/>
      <c r="IF163" s="252"/>
      <c r="IJ163" s="252"/>
      <c r="IK163" s="252"/>
      <c r="IL163" s="252"/>
      <c r="IP163" s="252"/>
      <c r="IQ163" s="252"/>
      <c r="IR163" s="252"/>
      <c r="IY163" s="66"/>
      <c r="IZ163" s="66"/>
      <c r="JA163" s="66"/>
      <c r="JB163" s="250"/>
      <c r="JC163" s="66"/>
      <c r="JD163" s="66"/>
      <c r="JE163" s="66"/>
      <c r="JF163" s="66"/>
      <c r="JG163" s="66"/>
      <c r="JH163" s="66"/>
      <c r="JI163" s="66"/>
      <c r="JJ163" s="66"/>
      <c r="JK163" s="8"/>
      <c r="JN163" s="252"/>
      <c r="JO163" s="252"/>
      <c r="JP163" s="252"/>
      <c r="JT163" s="252"/>
      <c r="JU163" s="252"/>
      <c r="JV163" s="252"/>
      <c r="JZ163" s="252"/>
      <c r="KA163" s="252"/>
      <c r="KB163" s="252"/>
      <c r="KF163" s="252"/>
      <c r="KG163" s="252"/>
      <c r="KH163" s="252"/>
      <c r="KO163" s="66"/>
      <c r="KP163" s="66"/>
      <c r="KQ163" s="66"/>
      <c r="KR163" s="66"/>
      <c r="KS163" s="66"/>
      <c r="KT163" s="66"/>
      <c r="KU163" s="66"/>
      <c r="KV163" s="66"/>
      <c r="KW163" s="66"/>
      <c r="KX163" s="66"/>
      <c r="KY163" s="66"/>
      <c r="KZ163" s="66"/>
      <c r="LA163" s="8"/>
      <c r="LD163" s="252"/>
      <c r="LE163" s="252"/>
      <c r="LF163" s="252"/>
      <c r="LJ163" s="252"/>
      <c r="LK163" s="252"/>
      <c r="LN163" s="252"/>
      <c r="LO163" s="252"/>
      <c r="LP163" s="252"/>
      <c r="LT163" s="271"/>
      <c r="LU163" s="250"/>
      <c r="LV163" s="250"/>
      <c r="LW163" s="250"/>
      <c r="LX163" s="250"/>
      <c r="LY163" s="250"/>
      <c r="LZ163" s="250"/>
      <c r="MA163" s="250"/>
      <c r="MB163" s="250"/>
      <c r="MC163" s="250"/>
      <c r="MD163" s="250"/>
      <c r="ME163" s="250"/>
      <c r="MF163" s="250"/>
      <c r="MG163" s="250"/>
      <c r="MH163" s="250"/>
      <c r="MI163" s="250"/>
      <c r="MJ163" s="250"/>
      <c r="MK163" s="424"/>
      <c r="ML163" s="640"/>
      <c r="MM163" s="251"/>
      <c r="MN163" s="252"/>
      <c r="MO163" s="252"/>
      <c r="MP163" s="252"/>
      <c r="MQ163" s="252"/>
      <c r="MR163" s="252"/>
      <c r="MS163" s="252"/>
      <c r="MT163" s="252"/>
      <c r="MU163" s="252"/>
      <c r="MV163" s="252"/>
      <c r="MW163" s="252"/>
      <c r="MX163" s="252"/>
      <c r="MY163" s="252"/>
      <c r="MZ163" s="252"/>
      <c r="NA163" s="252"/>
      <c r="NB163" s="252"/>
      <c r="NC163" s="251"/>
      <c r="ND163" s="250"/>
      <c r="NE163" s="250"/>
      <c r="NF163" s="250"/>
      <c r="NG163" s="250"/>
      <c r="NH163" s="250"/>
      <c r="NI163" s="250"/>
      <c r="NJ163" s="250"/>
      <c r="NK163" s="250"/>
      <c r="NL163" s="250"/>
      <c r="NM163" s="250"/>
      <c r="NN163" s="250"/>
      <c r="NO163" s="250"/>
      <c r="NP163" s="250"/>
      <c r="NQ163" s="250"/>
      <c r="NR163" s="250"/>
      <c r="NS163" s="250"/>
      <c r="NT163" s="250"/>
      <c r="NU163" s="250"/>
      <c r="NV163" s="250"/>
      <c r="NW163" s="251"/>
      <c r="OT163" s="8"/>
      <c r="QG163" s="8"/>
      <c r="RT163" s="8"/>
    </row>
    <row r="164" spans="1:488" s="282" customFormat="1" x14ac:dyDescent="0.25">
      <c r="A164" s="66"/>
      <c r="B164" s="8"/>
      <c r="C164" s="66"/>
      <c r="D164" s="66"/>
      <c r="E164" s="66"/>
      <c r="F164" s="66"/>
      <c r="G164" s="66"/>
      <c r="H164" s="66"/>
      <c r="I164" s="66"/>
      <c r="J164" s="66"/>
      <c r="K164" s="66"/>
      <c r="L164" s="66"/>
      <c r="M164" s="66"/>
      <c r="N164" s="66"/>
      <c r="O164" s="66"/>
      <c r="P164" s="66"/>
      <c r="Q164" s="66"/>
      <c r="R164" s="66"/>
      <c r="S164" s="66"/>
      <c r="T164" s="68"/>
      <c r="AC164" s="66"/>
      <c r="AD164" s="66"/>
      <c r="AE164" s="68"/>
      <c r="AN164" s="66"/>
      <c r="AO164" s="66"/>
      <c r="AP164" s="68"/>
      <c r="AW164" s="66"/>
      <c r="AX164" s="68"/>
      <c r="BD164" s="66"/>
      <c r="BE164" s="68"/>
      <c r="BF164" s="66"/>
      <c r="BG164" s="66"/>
      <c r="BH164" s="66"/>
      <c r="BI164" s="66"/>
      <c r="BJ164" s="66"/>
      <c r="BK164" s="66"/>
      <c r="BL164" s="68"/>
      <c r="BO164" s="66"/>
      <c r="BP164" s="68"/>
      <c r="BV164" s="66"/>
      <c r="BW164" s="68"/>
      <c r="CB164" s="8"/>
      <c r="CH164" s="8"/>
      <c r="CK164" s="299"/>
      <c r="CL164" s="299"/>
      <c r="CM164" s="66"/>
      <c r="CN164" s="66"/>
      <c r="CO164" s="68"/>
      <c r="CR164" s="8"/>
      <c r="CX164" s="66"/>
      <c r="CY164" s="532"/>
      <c r="DE164" s="66"/>
      <c r="DF164" s="66"/>
      <c r="DG164" s="68"/>
      <c r="DH164" s="68"/>
      <c r="DK164" s="66"/>
      <c r="DL164" s="66"/>
      <c r="DM164" s="66"/>
      <c r="DN164" s="66"/>
      <c r="DO164" s="66"/>
      <c r="DP164" s="66"/>
      <c r="DQ164" s="66"/>
      <c r="DR164" s="66"/>
      <c r="DS164" s="66"/>
      <c r="DT164" s="68"/>
      <c r="DU164" s="66"/>
      <c r="DV164" s="296"/>
      <c r="DW164" s="330"/>
      <c r="DX164" s="631"/>
      <c r="DY164" s="631"/>
      <c r="DZ164" s="631"/>
      <c r="EA164" s="330"/>
      <c r="EC164" s="66"/>
      <c r="ED164" s="68"/>
      <c r="EH164" s="66"/>
      <c r="EI164" s="66"/>
      <c r="EJ164" s="68"/>
      <c r="EK164" s="252"/>
      <c r="EL164" s="252"/>
      <c r="EM164" s="252"/>
      <c r="EO164" s="252"/>
      <c r="EP164" s="252"/>
      <c r="EQ164" s="252"/>
      <c r="ES164" s="252"/>
      <c r="ET164" s="252"/>
      <c r="EU164" s="252"/>
      <c r="EW164" s="252"/>
      <c r="EX164" s="252"/>
      <c r="EY164" s="252"/>
      <c r="FA164" s="250"/>
      <c r="FB164" s="250"/>
      <c r="FC164" s="250"/>
      <c r="FD164" s="250"/>
      <c r="FE164" s="250"/>
      <c r="FF164" s="250"/>
      <c r="FG164" s="250"/>
      <c r="FH164" s="424"/>
      <c r="FI164" s="250"/>
      <c r="FJ164" s="250"/>
      <c r="FK164" s="250"/>
      <c r="FL164" s="256"/>
      <c r="FM164" s="250"/>
      <c r="FN164" s="256"/>
      <c r="FO164" s="250"/>
      <c r="FP164" s="256"/>
      <c r="FQ164" s="250"/>
      <c r="FR164" s="256"/>
      <c r="FS164" s="250"/>
      <c r="FT164" s="256"/>
      <c r="FU164" s="256"/>
      <c r="FV164" s="256"/>
      <c r="FW164" s="250"/>
      <c r="FX164" s="424"/>
      <c r="FY164" s="251"/>
      <c r="GC164" s="252"/>
      <c r="GF164" s="252"/>
      <c r="GG164" s="252"/>
      <c r="GH164" s="252"/>
      <c r="GI164" s="252"/>
      <c r="GJ164" s="252"/>
      <c r="GK164" s="251"/>
      <c r="GL164" s="250"/>
      <c r="GM164" s="250"/>
      <c r="GN164" s="250"/>
      <c r="GO164" s="250"/>
      <c r="GP164" s="250"/>
      <c r="GQ164" s="250"/>
      <c r="GR164" s="250"/>
      <c r="GS164" s="250"/>
      <c r="GT164" s="250"/>
      <c r="GU164" s="251"/>
      <c r="GV164" s="250"/>
      <c r="GW164" s="250"/>
      <c r="GX164" s="250"/>
      <c r="GY164" s="250"/>
      <c r="GZ164" s="250"/>
      <c r="HA164" s="250"/>
      <c r="HB164" s="250"/>
      <c r="HC164" s="250"/>
      <c r="HD164" s="250"/>
      <c r="HE164" s="250"/>
      <c r="HF164" s="250"/>
      <c r="HG164" s="250"/>
      <c r="HH164" s="251"/>
      <c r="HI164" s="424"/>
      <c r="HJ164" s="255"/>
      <c r="HK164" s="255"/>
      <c r="HL164" s="250"/>
      <c r="HM164" s="255"/>
      <c r="HN164" s="255"/>
      <c r="HO164" s="255"/>
      <c r="HP164" s="250"/>
      <c r="HQ164" s="250"/>
      <c r="HR164" s="250"/>
      <c r="HS164" s="250"/>
      <c r="HT164" s="250"/>
      <c r="HU164" s="251"/>
      <c r="HX164" s="252"/>
      <c r="HY164" s="252"/>
      <c r="HZ164" s="252"/>
      <c r="ID164" s="252"/>
      <c r="IE164" s="252"/>
      <c r="IF164" s="252"/>
      <c r="IJ164" s="252"/>
      <c r="IK164" s="252"/>
      <c r="IL164" s="252"/>
      <c r="IP164" s="252"/>
      <c r="IQ164" s="252"/>
      <c r="IR164" s="252"/>
      <c r="IY164" s="66"/>
      <c r="IZ164" s="66"/>
      <c r="JA164" s="66"/>
      <c r="JB164" s="250"/>
      <c r="JC164" s="66"/>
      <c r="JD164" s="66"/>
      <c r="JE164" s="66"/>
      <c r="JF164" s="66"/>
      <c r="JG164" s="66"/>
      <c r="JH164" s="66"/>
      <c r="JI164" s="66"/>
      <c r="JJ164" s="66"/>
      <c r="JK164" s="8"/>
      <c r="JN164" s="252"/>
      <c r="JO164" s="252"/>
      <c r="JP164" s="252"/>
      <c r="JT164" s="252"/>
      <c r="JU164" s="252"/>
      <c r="JV164" s="252"/>
      <c r="JZ164" s="252"/>
      <c r="KA164" s="252"/>
      <c r="KB164" s="252"/>
      <c r="KF164" s="252"/>
      <c r="KG164" s="252"/>
      <c r="KH164" s="252"/>
      <c r="KO164" s="66"/>
      <c r="KP164" s="66"/>
      <c r="KQ164" s="66"/>
      <c r="KR164" s="66"/>
      <c r="KS164" s="66"/>
      <c r="KT164" s="66"/>
      <c r="KU164" s="66"/>
      <c r="KV164" s="66"/>
      <c r="KW164" s="66"/>
      <c r="KX164" s="66"/>
      <c r="KY164" s="66"/>
      <c r="KZ164" s="66"/>
      <c r="LA164" s="8"/>
      <c r="LD164" s="252"/>
      <c r="LE164" s="252"/>
      <c r="LF164" s="252"/>
      <c r="LJ164" s="252"/>
      <c r="LK164" s="252"/>
      <c r="LN164" s="252"/>
      <c r="LO164" s="252"/>
      <c r="LP164" s="252"/>
      <c r="LT164" s="271"/>
      <c r="LU164" s="250"/>
      <c r="LV164" s="250"/>
      <c r="LW164" s="250"/>
      <c r="LX164" s="250"/>
      <c r="LY164" s="250"/>
      <c r="LZ164" s="250"/>
      <c r="MA164" s="250"/>
      <c r="MB164" s="250"/>
      <c r="MC164" s="250"/>
      <c r="MD164" s="250"/>
      <c r="ME164" s="250"/>
      <c r="MF164" s="250"/>
      <c r="MG164" s="250"/>
      <c r="MH164" s="250"/>
      <c r="MI164" s="250"/>
      <c r="MJ164" s="250"/>
      <c r="MK164" s="424"/>
      <c r="ML164" s="640"/>
      <c r="MM164" s="251"/>
      <c r="MN164" s="252"/>
      <c r="MO164" s="252"/>
      <c r="MP164" s="252"/>
      <c r="MQ164" s="252"/>
      <c r="MR164" s="252"/>
      <c r="MS164" s="252"/>
      <c r="MT164" s="252"/>
      <c r="MU164" s="252"/>
      <c r="MV164" s="252"/>
      <c r="MW164" s="252"/>
      <c r="MX164" s="252"/>
      <c r="MY164" s="252"/>
      <c r="MZ164" s="252"/>
      <c r="NA164" s="252"/>
      <c r="NB164" s="252"/>
      <c r="NC164" s="251"/>
      <c r="ND164" s="250"/>
      <c r="NE164" s="250"/>
      <c r="NF164" s="250"/>
      <c r="NG164" s="250"/>
      <c r="NH164" s="250"/>
      <c r="NI164" s="250"/>
      <c r="NJ164" s="250"/>
      <c r="NK164" s="250"/>
      <c r="NL164" s="250"/>
      <c r="NM164" s="250"/>
      <c r="NN164" s="250"/>
      <c r="NO164" s="250"/>
      <c r="NP164" s="250"/>
      <c r="NQ164" s="250"/>
      <c r="NR164" s="250"/>
      <c r="NS164" s="250"/>
      <c r="NT164" s="250"/>
      <c r="NU164" s="250"/>
      <c r="NV164" s="250"/>
      <c r="NW164" s="251"/>
      <c r="OT164" s="8"/>
      <c r="QG164" s="8"/>
      <c r="RT164" s="8"/>
    </row>
    <row r="165" spans="1:488" s="282" customFormat="1" x14ac:dyDescent="0.25">
      <c r="A165" s="66"/>
      <c r="B165" s="8"/>
      <c r="C165" s="66"/>
      <c r="D165" s="66"/>
      <c r="E165" s="66"/>
      <c r="F165" s="66"/>
      <c r="G165" s="66"/>
      <c r="H165" s="66"/>
      <c r="I165" s="66"/>
      <c r="J165" s="66"/>
      <c r="K165" s="66"/>
      <c r="L165" s="66"/>
      <c r="M165" s="66"/>
      <c r="N165" s="66"/>
      <c r="O165" s="66"/>
      <c r="P165" s="66"/>
      <c r="Q165" s="66"/>
      <c r="R165" s="66"/>
      <c r="S165" s="66"/>
      <c r="T165" s="68"/>
      <c r="AC165" s="66"/>
      <c r="AD165" s="66"/>
      <c r="AE165" s="68"/>
      <c r="AN165" s="66"/>
      <c r="AO165" s="66"/>
      <c r="AP165" s="68"/>
      <c r="AW165" s="66"/>
      <c r="AX165" s="68"/>
      <c r="BD165" s="66"/>
      <c r="BE165" s="68"/>
      <c r="BF165" s="66"/>
      <c r="BG165" s="66"/>
      <c r="BH165" s="66"/>
      <c r="BI165" s="66"/>
      <c r="BJ165" s="66"/>
      <c r="BK165" s="66"/>
      <c r="BL165" s="68"/>
      <c r="BO165" s="66"/>
      <c r="BP165" s="68"/>
      <c r="BV165" s="66"/>
      <c r="BW165" s="68"/>
      <c r="CB165" s="8"/>
      <c r="CH165" s="8"/>
      <c r="CK165" s="299"/>
      <c r="CL165" s="299"/>
      <c r="CM165" s="66"/>
      <c r="CN165" s="66"/>
      <c r="CO165" s="68"/>
      <c r="CR165" s="8"/>
      <c r="CX165" s="66"/>
      <c r="CY165" s="532"/>
      <c r="DE165" s="66"/>
      <c r="DF165" s="66"/>
      <c r="DG165" s="68"/>
      <c r="DH165" s="68"/>
      <c r="DK165" s="66"/>
      <c r="DL165" s="66"/>
      <c r="DM165" s="66"/>
      <c r="DN165" s="66"/>
      <c r="DO165" s="66"/>
      <c r="DP165" s="66"/>
      <c r="DQ165" s="66"/>
      <c r="DR165" s="66"/>
      <c r="DS165" s="66"/>
      <c r="DT165" s="68"/>
      <c r="DU165" s="66"/>
      <c r="DV165" s="296"/>
      <c r="DW165" s="330"/>
      <c r="DX165" s="631"/>
      <c r="DY165" s="631"/>
      <c r="DZ165" s="631"/>
      <c r="EA165" s="330"/>
      <c r="EC165" s="66"/>
      <c r="ED165" s="68"/>
      <c r="EH165" s="66"/>
      <c r="EI165" s="66"/>
      <c r="EJ165" s="68"/>
      <c r="EK165" s="252"/>
      <c r="EL165" s="252"/>
      <c r="EM165" s="252"/>
      <c r="EO165" s="252"/>
      <c r="EP165" s="252"/>
      <c r="EQ165" s="252"/>
      <c r="ES165" s="252"/>
      <c r="ET165" s="252"/>
      <c r="EU165" s="252"/>
      <c r="EW165" s="252"/>
      <c r="EX165" s="252"/>
      <c r="EY165" s="252"/>
      <c r="FA165" s="250"/>
      <c r="FB165" s="250"/>
      <c r="FC165" s="250"/>
      <c r="FD165" s="250"/>
      <c r="FE165" s="250"/>
      <c r="FF165" s="250"/>
      <c r="FG165" s="250"/>
      <c r="FH165" s="424"/>
      <c r="FI165" s="250"/>
      <c r="FJ165" s="250"/>
      <c r="FK165" s="250"/>
      <c r="FL165" s="256"/>
      <c r="FM165" s="250"/>
      <c r="FN165" s="256"/>
      <c r="FO165" s="250"/>
      <c r="FP165" s="256"/>
      <c r="FQ165" s="250"/>
      <c r="FR165" s="256"/>
      <c r="FS165" s="250"/>
      <c r="FT165" s="256"/>
      <c r="FU165" s="256"/>
      <c r="FV165" s="256"/>
      <c r="FW165" s="250"/>
      <c r="FX165" s="424"/>
      <c r="FY165" s="251"/>
      <c r="GC165" s="252"/>
      <c r="GF165" s="252"/>
      <c r="GG165" s="252"/>
      <c r="GH165" s="252"/>
      <c r="GI165" s="252"/>
      <c r="GJ165" s="252"/>
      <c r="GK165" s="251"/>
      <c r="GL165" s="250"/>
      <c r="GM165" s="250"/>
      <c r="GN165" s="250"/>
      <c r="GO165" s="250"/>
      <c r="GP165" s="250"/>
      <c r="GQ165" s="250"/>
      <c r="GR165" s="250"/>
      <c r="GS165" s="250"/>
      <c r="GT165" s="250"/>
      <c r="GU165" s="251"/>
      <c r="GV165" s="250"/>
      <c r="GW165" s="250"/>
      <c r="GX165" s="250"/>
      <c r="GY165" s="250"/>
      <c r="GZ165" s="250"/>
      <c r="HA165" s="250"/>
      <c r="HB165" s="250"/>
      <c r="HC165" s="250"/>
      <c r="HD165" s="250"/>
      <c r="HE165" s="250"/>
      <c r="HF165" s="250"/>
      <c r="HG165" s="250"/>
      <c r="HH165" s="251"/>
      <c r="HI165" s="424"/>
      <c r="HJ165" s="255"/>
      <c r="HK165" s="255"/>
      <c r="HL165" s="250"/>
      <c r="HM165" s="255"/>
      <c r="HN165" s="255"/>
      <c r="HO165" s="255"/>
      <c r="HP165" s="250"/>
      <c r="HQ165" s="250"/>
      <c r="HR165" s="250"/>
      <c r="HS165" s="250"/>
      <c r="HT165" s="250"/>
      <c r="HU165" s="251"/>
      <c r="HX165" s="252"/>
      <c r="HY165" s="252"/>
      <c r="HZ165" s="252"/>
      <c r="ID165" s="252"/>
      <c r="IE165" s="252"/>
      <c r="IF165" s="252"/>
      <c r="IJ165" s="252"/>
      <c r="IK165" s="252"/>
      <c r="IL165" s="252"/>
      <c r="IP165" s="252"/>
      <c r="IQ165" s="252"/>
      <c r="IR165" s="252"/>
      <c r="IY165" s="66"/>
      <c r="IZ165" s="66"/>
      <c r="JA165" s="66"/>
      <c r="JB165" s="250"/>
      <c r="JC165" s="66"/>
      <c r="JD165" s="66"/>
      <c r="JE165" s="66"/>
      <c r="JF165" s="66"/>
      <c r="JG165" s="66"/>
      <c r="JH165" s="66"/>
      <c r="JI165" s="66"/>
      <c r="JJ165" s="66"/>
      <c r="JK165" s="8"/>
      <c r="JN165" s="252"/>
      <c r="JO165" s="252"/>
      <c r="JP165" s="252"/>
      <c r="JT165" s="252"/>
      <c r="JU165" s="252"/>
      <c r="JV165" s="252"/>
      <c r="JZ165" s="252"/>
      <c r="KA165" s="252"/>
      <c r="KB165" s="252"/>
      <c r="KF165" s="252"/>
      <c r="KG165" s="252"/>
      <c r="KH165" s="252"/>
      <c r="KO165" s="66"/>
      <c r="KP165" s="66"/>
      <c r="KQ165" s="66"/>
      <c r="KR165" s="66"/>
      <c r="KS165" s="66"/>
      <c r="KT165" s="66"/>
      <c r="KU165" s="66"/>
      <c r="KV165" s="66"/>
      <c r="KW165" s="66"/>
      <c r="KX165" s="66"/>
      <c r="KY165" s="66"/>
      <c r="KZ165" s="66"/>
      <c r="LA165" s="8"/>
      <c r="LD165" s="252"/>
      <c r="LE165" s="252"/>
      <c r="LF165" s="252"/>
      <c r="LJ165" s="252"/>
      <c r="LK165" s="252"/>
      <c r="LN165" s="252"/>
      <c r="LO165" s="252"/>
      <c r="LP165" s="252"/>
      <c r="LT165" s="271"/>
      <c r="LU165" s="250"/>
      <c r="LV165" s="250"/>
      <c r="LW165" s="250"/>
      <c r="LX165" s="250"/>
      <c r="LY165" s="250"/>
      <c r="LZ165" s="250"/>
      <c r="MA165" s="250"/>
      <c r="MB165" s="250"/>
      <c r="MC165" s="250"/>
      <c r="MD165" s="250"/>
      <c r="ME165" s="250"/>
      <c r="MF165" s="250"/>
      <c r="MG165" s="250"/>
      <c r="MH165" s="250"/>
      <c r="MI165" s="250"/>
      <c r="MJ165" s="250"/>
      <c r="MK165" s="424"/>
      <c r="ML165" s="640"/>
      <c r="MM165" s="251"/>
      <c r="MN165" s="252"/>
      <c r="MO165" s="252"/>
      <c r="MP165" s="252"/>
      <c r="MQ165" s="252"/>
      <c r="MR165" s="252"/>
      <c r="MS165" s="252"/>
      <c r="MT165" s="252"/>
      <c r="MU165" s="252"/>
      <c r="MV165" s="252"/>
      <c r="MW165" s="252"/>
      <c r="MX165" s="252"/>
      <c r="MY165" s="252"/>
      <c r="MZ165" s="252"/>
      <c r="NA165" s="252"/>
      <c r="NB165" s="252"/>
      <c r="NC165" s="251"/>
      <c r="ND165" s="250"/>
      <c r="NE165" s="250"/>
      <c r="NF165" s="250"/>
      <c r="NG165" s="250"/>
      <c r="NH165" s="250"/>
      <c r="NI165" s="250"/>
      <c r="NJ165" s="250"/>
      <c r="NK165" s="250"/>
      <c r="NL165" s="250"/>
      <c r="NM165" s="250"/>
      <c r="NN165" s="250"/>
      <c r="NO165" s="250"/>
      <c r="NP165" s="250"/>
      <c r="NQ165" s="250"/>
      <c r="NR165" s="250"/>
      <c r="NS165" s="250"/>
      <c r="NT165" s="250"/>
      <c r="NU165" s="250"/>
      <c r="NV165" s="250"/>
      <c r="NW165" s="251"/>
      <c r="OT165" s="8"/>
      <c r="QG165" s="8"/>
      <c r="RT165" s="8"/>
    </row>
    <row r="166" spans="1:488" s="282" customFormat="1" x14ac:dyDescent="0.25">
      <c r="A166" s="66"/>
      <c r="B166" s="8"/>
      <c r="C166" s="66"/>
      <c r="D166" s="66"/>
      <c r="E166" s="66"/>
      <c r="F166" s="66"/>
      <c r="G166" s="66"/>
      <c r="H166" s="66"/>
      <c r="I166" s="66"/>
      <c r="J166" s="66"/>
      <c r="K166" s="66"/>
      <c r="L166" s="66"/>
      <c r="M166" s="66"/>
      <c r="N166" s="66"/>
      <c r="O166" s="66"/>
      <c r="P166" s="66"/>
      <c r="Q166" s="66"/>
      <c r="R166" s="66"/>
      <c r="S166" s="66"/>
      <c r="T166" s="68"/>
      <c r="AC166" s="66"/>
      <c r="AD166" s="66"/>
      <c r="AE166" s="68"/>
      <c r="AN166" s="66"/>
      <c r="AO166" s="66"/>
      <c r="AP166" s="68"/>
      <c r="AW166" s="66"/>
      <c r="AX166" s="68"/>
      <c r="BD166" s="66"/>
      <c r="BE166" s="68"/>
      <c r="BF166" s="66"/>
      <c r="BG166" s="66"/>
      <c r="BH166" s="66"/>
      <c r="BI166" s="66"/>
      <c r="BJ166" s="66"/>
      <c r="BK166" s="66"/>
      <c r="BL166" s="68"/>
      <c r="BO166" s="66"/>
      <c r="BP166" s="68"/>
      <c r="BV166" s="66"/>
      <c r="BW166" s="68"/>
      <c r="CB166" s="8"/>
      <c r="CH166" s="8"/>
      <c r="CK166" s="299"/>
      <c r="CL166" s="299"/>
      <c r="CM166" s="66"/>
      <c r="CN166" s="66"/>
      <c r="CO166" s="68"/>
      <c r="CR166" s="8"/>
      <c r="CX166" s="66"/>
      <c r="CY166" s="532"/>
      <c r="DE166" s="66"/>
      <c r="DF166" s="66"/>
      <c r="DG166" s="68"/>
      <c r="DH166" s="68"/>
      <c r="DK166" s="66"/>
      <c r="DL166" s="66"/>
      <c r="DM166" s="66"/>
      <c r="DN166" s="66"/>
      <c r="DO166" s="66"/>
      <c r="DP166" s="66"/>
      <c r="DQ166" s="66"/>
      <c r="DR166" s="66"/>
      <c r="DS166" s="66"/>
      <c r="DT166" s="68"/>
      <c r="DU166" s="66"/>
      <c r="DV166" s="296"/>
      <c r="DW166" s="330"/>
      <c r="DX166" s="631"/>
      <c r="DY166" s="631"/>
      <c r="DZ166" s="631"/>
      <c r="EA166" s="330"/>
      <c r="EC166" s="66"/>
      <c r="ED166" s="68"/>
      <c r="EH166" s="66"/>
      <c r="EI166" s="66"/>
      <c r="EJ166" s="68"/>
      <c r="EK166" s="252"/>
      <c r="EL166" s="252"/>
      <c r="EM166" s="252"/>
      <c r="EO166" s="252"/>
      <c r="EP166" s="252"/>
      <c r="EQ166" s="252"/>
      <c r="ES166" s="252"/>
      <c r="ET166" s="252"/>
      <c r="EU166" s="252"/>
      <c r="EW166" s="252"/>
      <c r="EX166" s="252"/>
      <c r="EY166" s="252"/>
      <c r="FA166" s="250"/>
      <c r="FB166" s="250"/>
      <c r="FC166" s="250"/>
      <c r="FD166" s="250"/>
      <c r="FE166" s="250"/>
      <c r="FF166" s="250"/>
      <c r="FG166" s="250"/>
      <c r="FH166" s="424"/>
      <c r="FI166" s="250"/>
      <c r="FJ166" s="250"/>
      <c r="FK166" s="250"/>
      <c r="FL166" s="256"/>
      <c r="FM166" s="250"/>
      <c r="FN166" s="256"/>
      <c r="FO166" s="250"/>
      <c r="FP166" s="256"/>
      <c r="FQ166" s="250"/>
      <c r="FR166" s="256"/>
      <c r="FS166" s="250"/>
      <c r="FT166" s="256"/>
      <c r="FU166" s="256"/>
      <c r="FV166" s="256"/>
      <c r="FW166" s="250"/>
      <c r="FX166" s="424"/>
      <c r="FY166" s="251"/>
      <c r="GC166" s="252"/>
      <c r="GF166" s="252"/>
      <c r="GG166" s="252"/>
      <c r="GH166" s="252"/>
      <c r="GI166" s="252"/>
      <c r="GJ166" s="252"/>
      <c r="GK166" s="251"/>
      <c r="GL166" s="250"/>
      <c r="GM166" s="250"/>
      <c r="GN166" s="250"/>
      <c r="GO166" s="250"/>
      <c r="GP166" s="250"/>
      <c r="GQ166" s="250"/>
      <c r="GR166" s="250"/>
      <c r="GS166" s="250"/>
      <c r="GT166" s="250"/>
      <c r="GU166" s="251"/>
      <c r="GV166" s="250"/>
      <c r="GW166" s="250"/>
      <c r="GX166" s="250"/>
      <c r="GY166" s="250"/>
      <c r="GZ166" s="250"/>
      <c r="HA166" s="250"/>
      <c r="HB166" s="250"/>
      <c r="HC166" s="250"/>
      <c r="HD166" s="250"/>
      <c r="HE166" s="250"/>
      <c r="HF166" s="250"/>
      <c r="HG166" s="250"/>
      <c r="HH166" s="251"/>
      <c r="HI166" s="424"/>
      <c r="HJ166" s="255"/>
      <c r="HK166" s="255"/>
      <c r="HL166" s="250"/>
      <c r="HM166" s="255"/>
      <c r="HN166" s="255"/>
      <c r="HO166" s="255"/>
      <c r="HP166" s="250"/>
      <c r="HQ166" s="250"/>
      <c r="HR166" s="250"/>
      <c r="HS166" s="250"/>
      <c r="HT166" s="250"/>
      <c r="HU166" s="251"/>
      <c r="HX166" s="252"/>
      <c r="HY166" s="252"/>
      <c r="HZ166" s="252"/>
      <c r="ID166" s="252"/>
      <c r="IE166" s="252"/>
      <c r="IF166" s="252"/>
      <c r="IJ166" s="252"/>
      <c r="IK166" s="252"/>
      <c r="IL166" s="252"/>
      <c r="IP166" s="252"/>
      <c r="IQ166" s="252"/>
      <c r="IR166" s="252"/>
      <c r="IY166" s="66"/>
      <c r="IZ166" s="66"/>
      <c r="JA166" s="66"/>
      <c r="JB166" s="250"/>
      <c r="JC166" s="66"/>
      <c r="JD166" s="66"/>
      <c r="JE166" s="66"/>
      <c r="JF166" s="66"/>
      <c r="JG166" s="66"/>
      <c r="JH166" s="66"/>
      <c r="JI166" s="66"/>
      <c r="JJ166" s="66"/>
      <c r="JK166" s="8"/>
      <c r="JN166" s="252"/>
      <c r="JO166" s="252"/>
      <c r="JP166" s="252"/>
      <c r="JT166" s="252"/>
      <c r="JU166" s="252"/>
      <c r="JV166" s="252"/>
      <c r="JZ166" s="252"/>
      <c r="KA166" s="252"/>
      <c r="KB166" s="252"/>
      <c r="KF166" s="252"/>
      <c r="KG166" s="252"/>
      <c r="KH166" s="252"/>
      <c r="KO166" s="66"/>
      <c r="KP166" s="66"/>
      <c r="KQ166" s="66"/>
      <c r="KR166" s="66"/>
      <c r="KS166" s="66"/>
      <c r="KT166" s="66"/>
      <c r="KU166" s="66"/>
      <c r="KV166" s="66"/>
      <c r="KW166" s="66"/>
      <c r="KX166" s="66"/>
      <c r="KY166" s="66"/>
      <c r="KZ166" s="66"/>
      <c r="LA166" s="8"/>
      <c r="LD166" s="252"/>
      <c r="LE166" s="252"/>
      <c r="LF166" s="252"/>
      <c r="LJ166" s="252"/>
      <c r="LK166" s="252"/>
      <c r="LN166" s="252"/>
      <c r="LO166" s="252"/>
      <c r="LP166" s="252"/>
      <c r="LT166" s="271"/>
      <c r="LU166" s="250"/>
      <c r="LV166" s="250"/>
      <c r="LW166" s="250"/>
      <c r="LX166" s="250"/>
      <c r="LY166" s="250"/>
      <c r="LZ166" s="250"/>
      <c r="MA166" s="250"/>
      <c r="MB166" s="250"/>
      <c r="MC166" s="250"/>
      <c r="MD166" s="250"/>
      <c r="ME166" s="250"/>
      <c r="MF166" s="250"/>
      <c r="MG166" s="250"/>
      <c r="MH166" s="250"/>
      <c r="MI166" s="250"/>
      <c r="MJ166" s="250"/>
      <c r="MK166" s="424"/>
      <c r="ML166" s="640"/>
      <c r="MM166" s="251"/>
      <c r="MN166" s="252"/>
      <c r="MO166" s="252"/>
      <c r="MP166" s="252"/>
      <c r="MQ166" s="252"/>
      <c r="MR166" s="252"/>
      <c r="MS166" s="252"/>
      <c r="MT166" s="252"/>
      <c r="MU166" s="252"/>
      <c r="MV166" s="252"/>
      <c r="MW166" s="252"/>
      <c r="MX166" s="252"/>
      <c r="MY166" s="252"/>
      <c r="MZ166" s="252"/>
      <c r="NA166" s="252"/>
      <c r="NB166" s="252"/>
      <c r="NC166" s="251"/>
      <c r="ND166" s="250"/>
      <c r="NE166" s="250"/>
      <c r="NF166" s="250"/>
      <c r="NG166" s="250"/>
      <c r="NH166" s="250"/>
      <c r="NI166" s="250"/>
      <c r="NJ166" s="250"/>
      <c r="NK166" s="250"/>
      <c r="NL166" s="250"/>
      <c r="NM166" s="250"/>
      <c r="NN166" s="250"/>
      <c r="NO166" s="250"/>
      <c r="NP166" s="250"/>
      <c r="NQ166" s="250"/>
      <c r="NR166" s="250"/>
      <c r="NS166" s="250"/>
      <c r="NT166" s="250"/>
      <c r="NU166" s="250"/>
      <c r="NV166" s="250"/>
      <c r="NW166" s="251"/>
      <c r="OT166" s="8"/>
      <c r="QG166" s="8"/>
      <c r="RT166" s="8"/>
    </row>
    <row r="167" spans="1:488" s="282" customFormat="1" x14ac:dyDescent="0.25">
      <c r="A167" s="66"/>
      <c r="B167" s="8"/>
      <c r="C167" s="66"/>
      <c r="D167" s="66"/>
      <c r="E167" s="66"/>
      <c r="F167" s="66"/>
      <c r="G167" s="66"/>
      <c r="H167" s="66"/>
      <c r="I167" s="66"/>
      <c r="J167" s="66"/>
      <c r="K167" s="66"/>
      <c r="L167" s="66"/>
      <c r="M167" s="66"/>
      <c r="N167" s="66"/>
      <c r="O167" s="66"/>
      <c r="P167" s="66"/>
      <c r="Q167" s="66"/>
      <c r="R167" s="66"/>
      <c r="S167" s="66"/>
      <c r="T167" s="68"/>
      <c r="AC167" s="66"/>
      <c r="AD167" s="66"/>
      <c r="AE167" s="68"/>
      <c r="AN167" s="66"/>
      <c r="AO167" s="66"/>
      <c r="AP167" s="68"/>
      <c r="AW167" s="66"/>
      <c r="AX167" s="68"/>
      <c r="BD167" s="66"/>
      <c r="BE167" s="68"/>
      <c r="BF167" s="66"/>
      <c r="BG167" s="66"/>
      <c r="BH167" s="66"/>
      <c r="BI167" s="66"/>
      <c r="BJ167" s="66"/>
      <c r="BK167" s="66"/>
      <c r="BL167" s="68"/>
      <c r="BO167" s="66"/>
      <c r="BP167" s="68"/>
      <c r="BV167" s="66"/>
      <c r="BW167" s="68"/>
      <c r="CB167" s="8"/>
      <c r="CH167" s="8"/>
      <c r="CK167" s="299"/>
      <c r="CL167" s="299"/>
      <c r="CM167" s="66"/>
      <c r="CN167" s="66"/>
      <c r="CO167" s="68"/>
      <c r="CR167" s="8"/>
      <c r="CX167" s="66"/>
      <c r="CY167" s="532"/>
      <c r="DE167" s="66"/>
      <c r="DF167" s="66"/>
      <c r="DG167" s="68"/>
      <c r="DH167" s="68"/>
      <c r="DK167" s="66"/>
      <c r="DL167" s="66"/>
      <c r="DM167" s="66"/>
      <c r="DN167" s="66"/>
      <c r="DO167" s="66"/>
      <c r="DP167" s="66"/>
      <c r="DQ167" s="66"/>
      <c r="DR167" s="66"/>
      <c r="DS167" s="66"/>
      <c r="DT167" s="68"/>
      <c r="DU167" s="66"/>
      <c r="DV167" s="296"/>
      <c r="DW167" s="330"/>
      <c r="DX167" s="631"/>
      <c r="DY167" s="631"/>
      <c r="DZ167" s="631"/>
      <c r="EA167" s="330"/>
      <c r="EC167" s="66"/>
      <c r="ED167" s="68"/>
      <c r="EH167" s="66"/>
      <c r="EI167" s="66"/>
      <c r="EJ167" s="68"/>
      <c r="EK167" s="252"/>
      <c r="EL167" s="252"/>
      <c r="EM167" s="252"/>
      <c r="EO167" s="252"/>
      <c r="EP167" s="252"/>
      <c r="EQ167" s="252"/>
      <c r="ES167" s="252"/>
      <c r="ET167" s="252"/>
      <c r="EU167" s="252"/>
      <c r="EW167" s="252"/>
      <c r="EX167" s="252"/>
      <c r="EY167" s="252"/>
      <c r="FA167" s="250"/>
      <c r="FB167" s="250"/>
      <c r="FC167" s="250"/>
      <c r="FD167" s="250"/>
      <c r="FE167" s="250"/>
      <c r="FF167" s="250"/>
      <c r="FG167" s="250"/>
      <c r="FH167" s="424"/>
      <c r="FI167" s="250"/>
      <c r="FJ167" s="250"/>
      <c r="FK167" s="250"/>
      <c r="FL167" s="256"/>
      <c r="FM167" s="250"/>
      <c r="FN167" s="256"/>
      <c r="FO167" s="250"/>
      <c r="FP167" s="256"/>
      <c r="FQ167" s="250"/>
      <c r="FR167" s="256"/>
      <c r="FS167" s="250"/>
      <c r="FT167" s="256"/>
      <c r="FU167" s="256"/>
      <c r="FV167" s="256"/>
      <c r="FW167" s="250"/>
      <c r="FX167" s="424"/>
      <c r="FY167" s="251"/>
      <c r="GC167" s="252"/>
      <c r="GF167" s="252"/>
      <c r="GG167" s="252"/>
      <c r="GH167" s="252"/>
      <c r="GI167" s="252"/>
      <c r="GJ167" s="252"/>
      <c r="GK167" s="251"/>
      <c r="GL167" s="250"/>
      <c r="GM167" s="250"/>
      <c r="GN167" s="250"/>
      <c r="GO167" s="250"/>
      <c r="GP167" s="250"/>
      <c r="GQ167" s="250"/>
      <c r="GR167" s="250"/>
      <c r="GS167" s="250"/>
      <c r="GT167" s="250"/>
      <c r="GU167" s="251"/>
      <c r="GV167" s="250"/>
      <c r="GW167" s="250"/>
      <c r="GX167" s="250"/>
      <c r="GY167" s="250"/>
      <c r="GZ167" s="250"/>
      <c r="HA167" s="250"/>
      <c r="HB167" s="250"/>
      <c r="HC167" s="250"/>
      <c r="HD167" s="250"/>
      <c r="HE167" s="250"/>
      <c r="HF167" s="250"/>
      <c r="HG167" s="250"/>
      <c r="HH167" s="251"/>
      <c r="HI167" s="424"/>
      <c r="HJ167" s="255"/>
      <c r="HK167" s="255"/>
      <c r="HL167" s="250"/>
      <c r="HM167" s="255"/>
      <c r="HN167" s="255"/>
      <c r="HO167" s="255"/>
      <c r="HP167" s="250"/>
      <c r="HQ167" s="250"/>
      <c r="HR167" s="250"/>
      <c r="HS167" s="250"/>
      <c r="HT167" s="250"/>
      <c r="HU167" s="251"/>
      <c r="HX167" s="252"/>
      <c r="HY167" s="252"/>
      <c r="HZ167" s="252"/>
      <c r="ID167" s="252"/>
      <c r="IE167" s="252"/>
      <c r="IF167" s="252"/>
      <c r="IJ167" s="252"/>
      <c r="IK167" s="252"/>
      <c r="IL167" s="252"/>
      <c r="IP167" s="252"/>
      <c r="IQ167" s="252"/>
      <c r="IR167" s="252"/>
      <c r="IY167" s="66"/>
      <c r="IZ167" s="66"/>
      <c r="JA167" s="66"/>
      <c r="JB167" s="250"/>
      <c r="JC167" s="66"/>
      <c r="JD167" s="66"/>
      <c r="JE167" s="66"/>
      <c r="JF167" s="66"/>
      <c r="JG167" s="66"/>
      <c r="JH167" s="66"/>
      <c r="JI167" s="66"/>
      <c r="JJ167" s="66"/>
      <c r="JK167" s="8"/>
      <c r="JN167" s="252"/>
      <c r="JO167" s="252"/>
      <c r="JP167" s="252"/>
      <c r="JT167" s="252"/>
      <c r="JU167" s="252"/>
      <c r="JV167" s="252"/>
      <c r="JZ167" s="252"/>
      <c r="KA167" s="252"/>
      <c r="KB167" s="252"/>
      <c r="KF167" s="252"/>
      <c r="KG167" s="252"/>
      <c r="KH167" s="252"/>
      <c r="KO167" s="66"/>
      <c r="KP167" s="66"/>
      <c r="KQ167" s="66"/>
      <c r="KR167" s="66"/>
      <c r="KS167" s="66"/>
      <c r="KT167" s="66"/>
      <c r="KU167" s="66"/>
      <c r="KV167" s="66"/>
      <c r="KW167" s="66"/>
      <c r="KX167" s="66"/>
      <c r="KY167" s="66"/>
      <c r="KZ167" s="66"/>
      <c r="LA167" s="8"/>
      <c r="LD167" s="252"/>
      <c r="LE167" s="252"/>
      <c r="LF167" s="252"/>
      <c r="LJ167" s="252"/>
      <c r="LK167" s="252"/>
      <c r="LN167" s="252"/>
      <c r="LO167" s="252"/>
      <c r="LP167" s="252"/>
      <c r="LT167" s="271"/>
      <c r="LU167" s="250"/>
      <c r="LV167" s="250"/>
      <c r="LW167" s="250"/>
      <c r="LX167" s="250"/>
      <c r="LY167" s="250"/>
      <c r="LZ167" s="250"/>
      <c r="MA167" s="250"/>
      <c r="MB167" s="250"/>
      <c r="MC167" s="250"/>
      <c r="MD167" s="250"/>
      <c r="ME167" s="250"/>
      <c r="MF167" s="250"/>
      <c r="MG167" s="250"/>
      <c r="MH167" s="250"/>
      <c r="MI167" s="250"/>
      <c r="MJ167" s="250"/>
      <c r="MK167" s="424"/>
      <c r="ML167" s="640"/>
      <c r="MM167" s="251"/>
      <c r="MN167" s="252"/>
      <c r="MO167" s="252"/>
      <c r="MP167" s="252"/>
      <c r="MQ167" s="252"/>
      <c r="MR167" s="252"/>
      <c r="MS167" s="252"/>
      <c r="MT167" s="252"/>
      <c r="MU167" s="252"/>
      <c r="MV167" s="252"/>
      <c r="MW167" s="252"/>
      <c r="MX167" s="252"/>
      <c r="MY167" s="252"/>
      <c r="MZ167" s="252"/>
      <c r="NA167" s="252"/>
      <c r="NB167" s="252"/>
      <c r="NC167" s="251"/>
      <c r="ND167" s="250"/>
      <c r="NE167" s="250"/>
      <c r="NF167" s="250"/>
      <c r="NG167" s="250"/>
      <c r="NH167" s="250"/>
      <c r="NI167" s="250"/>
      <c r="NJ167" s="250"/>
      <c r="NK167" s="250"/>
      <c r="NL167" s="250"/>
      <c r="NM167" s="250"/>
      <c r="NN167" s="250"/>
      <c r="NO167" s="250"/>
      <c r="NP167" s="250"/>
      <c r="NQ167" s="250"/>
      <c r="NR167" s="250"/>
      <c r="NS167" s="250"/>
      <c r="NT167" s="250"/>
      <c r="NU167" s="250"/>
      <c r="NV167" s="250"/>
      <c r="NW167" s="251"/>
      <c r="OT167" s="8"/>
      <c r="QG167" s="8"/>
      <c r="RT167" s="8"/>
    </row>
    <row r="168" spans="1:488" s="282" customFormat="1" x14ac:dyDescent="0.25">
      <c r="A168" s="66"/>
      <c r="B168" s="8"/>
      <c r="C168" s="66"/>
      <c r="D168" s="66"/>
      <c r="E168" s="66"/>
      <c r="F168" s="66"/>
      <c r="G168" s="66"/>
      <c r="H168" s="66"/>
      <c r="I168" s="66"/>
      <c r="J168" s="66"/>
      <c r="K168" s="66"/>
      <c r="L168" s="66"/>
      <c r="M168" s="66"/>
      <c r="N168" s="66"/>
      <c r="O168" s="66"/>
      <c r="P168" s="66"/>
      <c r="Q168" s="66"/>
      <c r="R168" s="66"/>
      <c r="S168" s="66"/>
      <c r="T168" s="68"/>
      <c r="AC168" s="66"/>
      <c r="AD168" s="66"/>
      <c r="AE168" s="68"/>
      <c r="AN168" s="66"/>
      <c r="AO168" s="66"/>
      <c r="AP168" s="68"/>
      <c r="AW168" s="66"/>
      <c r="AX168" s="68"/>
      <c r="BD168" s="66"/>
      <c r="BE168" s="68"/>
      <c r="BF168" s="66"/>
      <c r="BG168" s="66"/>
      <c r="BH168" s="66"/>
      <c r="BI168" s="66"/>
      <c r="BJ168" s="66"/>
      <c r="BK168" s="66"/>
      <c r="BL168" s="68"/>
      <c r="BO168" s="66"/>
      <c r="BP168" s="68"/>
      <c r="BV168" s="66"/>
      <c r="BW168" s="68"/>
      <c r="CB168" s="8"/>
      <c r="CH168" s="8"/>
      <c r="CK168" s="299"/>
      <c r="CL168" s="299"/>
      <c r="CM168" s="66"/>
      <c r="CN168" s="66"/>
      <c r="CO168" s="68"/>
      <c r="CR168" s="8"/>
      <c r="CX168" s="66"/>
      <c r="CY168" s="532"/>
      <c r="DE168" s="66"/>
      <c r="DF168" s="66"/>
      <c r="DG168" s="68"/>
      <c r="DH168" s="68"/>
      <c r="DK168" s="66"/>
      <c r="DL168" s="66"/>
      <c r="DM168" s="66"/>
      <c r="DN168" s="66"/>
      <c r="DO168" s="66"/>
      <c r="DP168" s="66"/>
      <c r="DQ168" s="66"/>
      <c r="DR168" s="66"/>
      <c r="DS168" s="66"/>
      <c r="DT168" s="68"/>
      <c r="DU168" s="66"/>
      <c r="DV168" s="296"/>
      <c r="DW168" s="330"/>
      <c r="DX168" s="631"/>
      <c r="DY168" s="631"/>
      <c r="DZ168" s="631"/>
      <c r="EA168" s="330"/>
      <c r="EC168" s="66"/>
      <c r="ED168" s="68"/>
      <c r="EH168" s="66"/>
      <c r="EI168" s="66"/>
      <c r="EJ168" s="68"/>
      <c r="EK168" s="252"/>
      <c r="EL168" s="252"/>
      <c r="EM168" s="252"/>
      <c r="EO168" s="252"/>
      <c r="EP168" s="252"/>
      <c r="EQ168" s="252"/>
      <c r="ES168" s="252"/>
      <c r="ET168" s="252"/>
      <c r="EU168" s="252"/>
      <c r="EW168" s="252"/>
      <c r="EX168" s="252"/>
      <c r="EY168" s="252"/>
      <c r="FA168" s="250"/>
      <c r="FB168" s="250"/>
      <c r="FC168" s="250"/>
      <c r="FD168" s="250"/>
      <c r="FE168" s="250"/>
      <c r="FF168" s="250"/>
      <c r="FG168" s="250"/>
      <c r="FH168" s="424"/>
      <c r="FI168" s="250"/>
      <c r="FJ168" s="250"/>
      <c r="FK168" s="250"/>
      <c r="FL168" s="256"/>
      <c r="FM168" s="250"/>
      <c r="FN168" s="256"/>
      <c r="FO168" s="250"/>
      <c r="FP168" s="256"/>
      <c r="FQ168" s="250"/>
      <c r="FR168" s="256"/>
      <c r="FS168" s="250"/>
      <c r="FT168" s="256"/>
      <c r="FU168" s="256"/>
      <c r="FV168" s="256"/>
      <c r="FW168" s="250"/>
      <c r="FX168" s="424"/>
      <c r="FY168" s="251"/>
      <c r="GC168" s="252"/>
      <c r="GF168" s="252"/>
      <c r="GG168" s="252"/>
      <c r="GH168" s="252"/>
      <c r="GI168" s="252"/>
      <c r="GJ168" s="252"/>
      <c r="GK168" s="251"/>
      <c r="GL168" s="250"/>
      <c r="GM168" s="250"/>
      <c r="GN168" s="250"/>
      <c r="GO168" s="250"/>
      <c r="GP168" s="250"/>
      <c r="GQ168" s="250"/>
      <c r="GR168" s="250"/>
      <c r="GS168" s="250"/>
      <c r="GT168" s="250"/>
      <c r="GU168" s="251"/>
      <c r="GV168" s="250"/>
      <c r="GW168" s="250"/>
      <c r="GX168" s="250"/>
      <c r="GY168" s="250"/>
      <c r="GZ168" s="250"/>
      <c r="HA168" s="250"/>
      <c r="HB168" s="250"/>
      <c r="HC168" s="250"/>
      <c r="HD168" s="250"/>
      <c r="HE168" s="250"/>
      <c r="HF168" s="250"/>
      <c r="HG168" s="250"/>
      <c r="HH168" s="251"/>
      <c r="HI168" s="424"/>
      <c r="HJ168" s="255"/>
      <c r="HK168" s="255"/>
      <c r="HL168" s="250"/>
      <c r="HM168" s="255"/>
      <c r="HN168" s="255"/>
      <c r="HO168" s="255"/>
      <c r="HP168" s="250"/>
      <c r="HQ168" s="250"/>
      <c r="HR168" s="250"/>
      <c r="HS168" s="250"/>
      <c r="HT168" s="250"/>
      <c r="HU168" s="251"/>
      <c r="HX168" s="252"/>
      <c r="HY168" s="252"/>
      <c r="HZ168" s="252"/>
      <c r="ID168" s="252"/>
      <c r="IE168" s="252"/>
      <c r="IF168" s="252"/>
      <c r="IJ168" s="252"/>
      <c r="IK168" s="252"/>
      <c r="IL168" s="252"/>
      <c r="IP168" s="252"/>
      <c r="IQ168" s="252"/>
      <c r="IR168" s="252"/>
      <c r="IY168" s="66"/>
      <c r="IZ168" s="66"/>
      <c r="JA168" s="66"/>
      <c r="JB168" s="250"/>
      <c r="JC168" s="66"/>
      <c r="JD168" s="66"/>
      <c r="JE168" s="66"/>
      <c r="JF168" s="66"/>
      <c r="JG168" s="66"/>
      <c r="JH168" s="66"/>
      <c r="JI168" s="66"/>
      <c r="JJ168" s="66"/>
      <c r="JK168" s="8"/>
      <c r="JN168" s="252"/>
      <c r="JO168" s="252"/>
      <c r="JP168" s="252"/>
      <c r="JT168" s="252"/>
      <c r="JU168" s="252"/>
      <c r="JV168" s="252"/>
      <c r="JZ168" s="252"/>
      <c r="KA168" s="252"/>
      <c r="KB168" s="252"/>
      <c r="KF168" s="252"/>
      <c r="KG168" s="252"/>
      <c r="KH168" s="252"/>
      <c r="KO168" s="66"/>
      <c r="KP168" s="66"/>
      <c r="KQ168" s="66"/>
      <c r="KR168" s="66"/>
      <c r="KS168" s="66"/>
      <c r="KT168" s="66"/>
      <c r="KU168" s="66"/>
      <c r="KV168" s="66"/>
      <c r="KW168" s="66"/>
      <c r="KX168" s="66"/>
      <c r="KY168" s="66"/>
      <c r="KZ168" s="66"/>
      <c r="LA168" s="8"/>
      <c r="LD168" s="252"/>
      <c r="LE168" s="252"/>
      <c r="LF168" s="252"/>
      <c r="LJ168" s="252"/>
      <c r="LK168" s="252"/>
      <c r="LN168" s="252"/>
      <c r="LO168" s="252"/>
      <c r="LP168" s="252"/>
      <c r="LT168" s="271"/>
      <c r="LU168" s="250"/>
      <c r="LV168" s="250"/>
      <c r="LW168" s="250"/>
      <c r="LX168" s="250"/>
      <c r="LY168" s="250"/>
      <c r="LZ168" s="250"/>
      <c r="MA168" s="250"/>
      <c r="MB168" s="250"/>
      <c r="MC168" s="250"/>
      <c r="MD168" s="250"/>
      <c r="ME168" s="250"/>
      <c r="MF168" s="250"/>
      <c r="MG168" s="250"/>
      <c r="MH168" s="250"/>
      <c r="MI168" s="250"/>
      <c r="MJ168" s="250"/>
      <c r="MK168" s="424"/>
      <c r="ML168" s="640"/>
      <c r="MM168" s="251"/>
      <c r="MN168" s="252"/>
      <c r="MO168" s="252"/>
      <c r="MP168" s="252"/>
      <c r="MQ168" s="252"/>
      <c r="MR168" s="252"/>
      <c r="MS168" s="252"/>
      <c r="MT168" s="252"/>
      <c r="MU168" s="252"/>
      <c r="MV168" s="252"/>
      <c r="MW168" s="252"/>
      <c r="MX168" s="252"/>
      <c r="MY168" s="252"/>
      <c r="MZ168" s="252"/>
      <c r="NA168" s="252"/>
      <c r="NB168" s="252"/>
      <c r="NC168" s="251"/>
      <c r="ND168" s="250"/>
      <c r="NE168" s="250"/>
      <c r="NF168" s="250"/>
      <c r="NG168" s="250"/>
      <c r="NH168" s="250"/>
      <c r="NI168" s="250"/>
      <c r="NJ168" s="250"/>
      <c r="NK168" s="250"/>
      <c r="NL168" s="250"/>
      <c r="NM168" s="250"/>
      <c r="NN168" s="250"/>
      <c r="NO168" s="250"/>
      <c r="NP168" s="250"/>
      <c r="NQ168" s="250"/>
      <c r="NR168" s="250"/>
      <c r="NS168" s="250"/>
      <c r="NT168" s="250"/>
      <c r="NU168" s="250"/>
      <c r="NV168" s="250"/>
      <c r="NW168" s="251"/>
      <c r="OT168" s="8"/>
      <c r="QG168" s="8"/>
      <c r="RT168" s="8"/>
    </row>
    <row r="169" spans="1:488" s="282" customFormat="1" x14ac:dyDescent="0.25">
      <c r="A169" s="66"/>
      <c r="B169" s="8"/>
      <c r="C169" s="66"/>
      <c r="D169" s="66"/>
      <c r="E169" s="66"/>
      <c r="F169" s="66"/>
      <c r="G169" s="66"/>
      <c r="H169" s="66"/>
      <c r="I169" s="66"/>
      <c r="J169" s="66"/>
      <c r="K169" s="66"/>
      <c r="L169" s="66"/>
      <c r="M169" s="66"/>
      <c r="N169" s="66"/>
      <c r="O169" s="66"/>
      <c r="P169" s="66"/>
      <c r="Q169" s="66"/>
      <c r="R169" s="66"/>
      <c r="S169" s="66"/>
      <c r="T169" s="68"/>
      <c r="AC169" s="66"/>
      <c r="AD169" s="66"/>
      <c r="AE169" s="68"/>
      <c r="AN169" s="66"/>
      <c r="AO169" s="66"/>
      <c r="AP169" s="68"/>
      <c r="AW169" s="66"/>
      <c r="AX169" s="68"/>
      <c r="BD169" s="66"/>
      <c r="BE169" s="68"/>
      <c r="BF169" s="66"/>
      <c r="BG169" s="66"/>
      <c r="BH169" s="66"/>
      <c r="BI169" s="66"/>
      <c r="BJ169" s="66"/>
      <c r="BK169" s="66"/>
      <c r="BL169" s="68"/>
      <c r="BO169" s="66"/>
      <c r="BP169" s="68"/>
      <c r="BV169" s="66"/>
      <c r="BW169" s="68"/>
      <c r="CB169" s="8"/>
      <c r="CH169" s="8"/>
      <c r="CK169" s="299"/>
      <c r="CL169" s="299"/>
      <c r="CM169" s="66"/>
      <c r="CN169" s="66"/>
      <c r="CO169" s="68"/>
      <c r="CR169" s="8"/>
      <c r="CX169" s="66"/>
      <c r="CY169" s="532"/>
      <c r="DE169" s="66"/>
      <c r="DF169" s="66"/>
      <c r="DG169" s="68"/>
      <c r="DH169" s="68"/>
      <c r="DK169" s="66"/>
      <c r="DL169" s="66"/>
      <c r="DM169" s="66"/>
      <c r="DN169" s="66"/>
      <c r="DO169" s="66"/>
      <c r="DP169" s="66"/>
      <c r="DQ169" s="66"/>
      <c r="DR169" s="66"/>
      <c r="DS169" s="66"/>
      <c r="DT169" s="68"/>
      <c r="DU169" s="66"/>
      <c r="DV169" s="296"/>
      <c r="DW169" s="330"/>
      <c r="DX169" s="631"/>
      <c r="DY169" s="631"/>
      <c r="DZ169" s="631"/>
      <c r="EA169" s="330"/>
      <c r="EC169" s="66"/>
      <c r="ED169" s="68"/>
      <c r="EH169" s="66"/>
      <c r="EI169" s="66"/>
      <c r="EJ169" s="68"/>
      <c r="EK169" s="252"/>
      <c r="EL169" s="252"/>
      <c r="EM169" s="252"/>
      <c r="EO169" s="252"/>
      <c r="EP169" s="252"/>
      <c r="EQ169" s="252"/>
      <c r="ES169" s="252"/>
      <c r="ET169" s="252"/>
      <c r="EU169" s="252"/>
      <c r="EW169" s="252"/>
      <c r="EX169" s="252"/>
      <c r="EY169" s="252"/>
      <c r="FA169" s="250"/>
      <c r="FB169" s="250"/>
      <c r="FC169" s="250"/>
      <c r="FD169" s="250"/>
      <c r="FE169" s="250"/>
      <c r="FF169" s="250"/>
      <c r="FG169" s="250"/>
      <c r="FH169" s="424"/>
      <c r="FI169" s="250"/>
      <c r="FJ169" s="250"/>
      <c r="FK169" s="250"/>
      <c r="FL169" s="256"/>
      <c r="FM169" s="250"/>
      <c r="FN169" s="256"/>
      <c r="FO169" s="250"/>
      <c r="FP169" s="256"/>
      <c r="FQ169" s="250"/>
      <c r="FR169" s="256"/>
      <c r="FS169" s="250"/>
      <c r="FT169" s="256"/>
      <c r="FU169" s="256"/>
      <c r="FV169" s="256"/>
      <c r="FW169" s="250"/>
      <c r="FX169" s="424"/>
      <c r="FY169" s="251"/>
      <c r="GC169" s="252"/>
      <c r="GF169" s="252"/>
      <c r="GG169" s="252"/>
      <c r="GH169" s="252"/>
      <c r="GI169" s="252"/>
      <c r="GJ169" s="252"/>
      <c r="GK169" s="251"/>
      <c r="GL169" s="250"/>
      <c r="GM169" s="250"/>
      <c r="GN169" s="250"/>
      <c r="GO169" s="250"/>
      <c r="GP169" s="250"/>
      <c r="GQ169" s="250"/>
      <c r="GR169" s="250"/>
      <c r="GS169" s="250"/>
      <c r="GT169" s="250"/>
      <c r="GU169" s="251"/>
      <c r="GV169" s="250"/>
      <c r="GW169" s="250"/>
      <c r="GX169" s="250"/>
      <c r="GY169" s="250"/>
      <c r="GZ169" s="250"/>
      <c r="HA169" s="250"/>
      <c r="HB169" s="250"/>
      <c r="HC169" s="250"/>
      <c r="HD169" s="250"/>
      <c r="HE169" s="250"/>
      <c r="HF169" s="250"/>
      <c r="HG169" s="250"/>
      <c r="HH169" s="251"/>
      <c r="HI169" s="424"/>
      <c r="HJ169" s="255"/>
      <c r="HK169" s="255"/>
      <c r="HL169" s="250"/>
      <c r="HM169" s="255"/>
      <c r="HN169" s="255"/>
      <c r="HO169" s="255"/>
      <c r="HP169" s="250"/>
      <c r="HQ169" s="250"/>
      <c r="HR169" s="250"/>
      <c r="HS169" s="250"/>
      <c r="HT169" s="250"/>
      <c r="HU169" s="251"/>
      <c r="HX169" s="252"/>
      <c r="HY169" s="252"/>
      <c r="HZ169" s="252"/>
      <c r="ID169" s="252"/>
      <c r="IE169" s="252"/>
      <c r="IF169" s="252"/>
      <c r="IJ169" s="252"/>
      <c r="IK169" s="252"/>
      <c r="IL169" s="252"/>
      <c r="IP169" s="252"/>
      <c r="IQ169" s="252"/>
      <c r="IR169" s="252"/>
      <c r="IY169" s="66"/>
      <c r="IZ169" s="66"/>
      <c r="JA169" s="66"/>
      <c r="JB169" s="250"/>
      <c r="JC169" s="66"/>
      <c r="JD169" s="66"/>
      <c r="JE169" s="66"/>
      <c r="JF169" s="66"/>
      <c r="JG169" s="66"/>
      <c r="JH169" s="66"/>
      <c r="JI169" s="66"/>
      <c r="JJ169" s="66"/>
      <c r="JK169" s="8"/>
      <c r="JN169" s="252"/>
      <c r="JO169" s="252"/>
      <c r="JP169" s="252"/>
      <c r="JT169" s="252"/>
      <c r="JU169" s="252"/>
      <c r="JV169" s="252"/>
      <c r="JZ169" s="252"/>
      <c r="KA169" s="252"/>
      <c r="KB169" s="252"/>
      <c r="KF169" s="252"/>
      <c r="KG169" s="252"/>
      <c r="KH169" s="252"/>
      <c r="KO169" s="66"/>
      <c r="KP169" s="66"/>
      <c r="KQ169" s="66"/>
      <c r="KR169" s="66"/>
      <c r="KS169" s="66"/>
      <c r="KT169" s="66"/>
      <c r="KU169" s="66"/>
      <c r="KV169" s="66"/>
      <c r="KW169" s="66"/>
      <c r="KX169" s="66"/>
      <c r="KY169" s="66"/>
      <c r="KZ169" s="66"/>
      <c r="LA169" s="8"/>
      <c r="LD169" s="252"/>
      <c r="LE169" s="252"/>
      <c r="LF169" s="252"/>
      <c r="LJ169" s="252"/>
      <c r="LK169" s="252"/>
      <c r="LN169" s="252"/>
      <c r="LO169" s="252"/>
      <c r="LP169" s="252"/>
      <c r="LT169" s="271"/>
      <c r="LU169" s="250"/>
      <c r="LV169" s="250"/>
      <c r="LW169" s="250"/>
      <c r="LX169" s="250"/>
      <c r="LY169" s="250"/>
      <c r="LZ169" s="250"/>
      <c r="MA169" s="250"/>
      <c r="MB169" s="250"/>
      <c r="MC169" s="250"/>
      <c r="MD169" s="250"/>
      <c r="ME169" s="250"/>
      <c r="MF169" s="250"/>
      <c r="MG169" s="250"/>
      <c r="MH169" s="250"/>
      <c r="MI169" s="250"/>
      <c r="MJ169" s="250"/>
      <c r="MK169" s="424"/>
      <c r="ML169" s="640"/>
      <c r="MM169" s="251"/>
      <c r="MN169" s="252"/>
      <c r="MO169" s="252"/>
      <c r="MP169" s="252"/>
      <c r="MQ169" s="252"/>
      <c r="MR169" s="252"/>
      <c r="MS169" s="252"/>
      <c r="MT169" s="252"/>
      <c r="MU169" s="252"/>
      <c r="MV169" s="252"/>
      <c r="MW169" s="252"/>
      <c r="MX169" s="252"/>
      <c r="MY169" s="252"/>
      <c r="MZ169" s="252"/>
      <c r="NA169" s="252"/>
      <c r="NB169" s="252"/>
      <c r="NC169" s="251"/>
      <c r="ND169" s="250"/>
      <c r="NE169" s="250"/>
      <c r="NF169" s="250"/>
      <c r="NG169" s="250"/>
      <c r="NH169" s="250"/>
      <c r="NI169" s="250"/>
      <c r="NJ169" s="250"/>
      <c r="NK169" s="250"/>
      <c r="NL169" s="250"/>
      <c r="NM169" s="250"/>
      <c r="NN169" s="250"/>
      <c r="NO169" s="250"/>
      <c r="NP169" s="250"/>
      <c r="NQ169" s="250"/>
      <c r="NR169" s="250"/>
      <c r="NS169" s="250"/>
      <c r="NT169" s="250"/>
      <c r="NU169" s="250"/>
      <c r="NV169" s="250"/>
      <c r="NW169" s="251"/>
      <c r="OT169" s="8"/>
      <c r="QG169" s="8"/>
      <c r="RT169" s="8"/>
    </row>
    <row r="170" spans="1:488" s="282" customFormat="1" x14ac:dyDescent="0.25">
      <c r="A170" s="66"/>
      <c r="B170" s="8"/>
      <c r="C170" s="66"/>
      <c r="D170" s="66"/>
      <c r="E170" s="66"/>
      <c r="F170" s="66"/>
      <c r="G170" s="66"/>
      <c r="H170" s="66"/>
      <c r="I170" s="66"/>
      <c r="J170" s="66"/>
      <c r="K170" s="66"/>
      <c r="L170" s="66"/>
      <c r="M170" s="66"/>
      <c r="N170" s="66"/>
      <c r="O170" s="66"/>
      <c r="P170" s="66"/>
      <c r="Q170" s="66"/>
      <c r="R170" s="66"/>
      <c r="S170" s="66"/>
      <c r="T170" s="68"/>
      <c r="AC170" s="66"/>
      <c r="AD170" s="66"/>
      <c r="AE170" s="68"/>
      <c r="AN170" s="66"/>
      <c r="AO170" s="66"/>
      <c r="AP170" s="68"/>
      <c r="AW170" s="66"/>
      <c r="AX170" s="68"/>
      <c r="BD170" s="66"/>
      <c r="BE170" s="68"/>
      <c r="BF170" s="66"/>
      <c r="BG170" s="66"/>
      <c r="BH170" s="66"/>
      <c r="BI170" s="66"/>
      <c r="BJ170" s="66"/>
      <c r="BK170" s="66"/>
      <c r="BL170" s="68"/>
      <c r="BO170" s="66"/>
      <c r="BP170" s="68"/>
      <c r="BV170" s="66"/>
      <c r="BW170" s="68"/>
      <c r="CB170" s="8"/>
      <c r="CH170" s="8"/>
      <c r="CK170" s="299"/>
      <c r="CL170" s="299"/>
      <c r="CM170" s="66"/>
      <c r="CN170" s="66"/>
      <c r="CO170" s="68"/>
      <c r="CR170" s="8"/>
      <c r="CX170" s="66"/>
      <c r="CY170" s="532"/>
      <c r="DE170" s="66"/>
      <c r="DF170" s="66"/>
      <c r="DG170" s="68"/>
      <c r="DH170" s="68"/>
      <c r="DK170" s="66"/>
      <c r="DL170" s="66"/>
      <c r="DM170" s="66"/>
      <c r="DN170" s="66"/>
      <c r="DO170" s="66"/>
      <c r="DP170" s="66"/>
      <c r="DQ170" s="66"/>
      <c r="DR170" s="66"/>
      <c r="DS170" s="66"/>
      <c r="DT170" s="68"/>
      <c r="DU170" s="66"/>
      <c r="DV170" s="296"/>
      <c r="DW170" s="330"/>
      <c r="DX170" s="631"/>
      <c r="DY170" s="631"/>
      <c r="DZ170" s="631"/>
      <c r="EA170" s="330"/>
      <c r="EC170" s="66"/>
      <c r="ED170" s="68"/>
      <c r="EH170" s="66"/>
      <c r="EI170" s="66"/>
      <c r="EJ170" s="68"/>
      <c r="EK170" s="252"/>
      <c r="EL170" s="252"/>
      <c r="EM170" s="252"/>
      <c r="EO170" s="252"/>
      <c r="EP170" s="252"/>
      <c r="EQ170" s="252"/>
      <c r="ES170" s="252"/>
      <c r="ET170" s="252"/>
      <c r="EU170" s="252"/>
      <c r="EW170" s="252"/>
      <c r="EX170" s="252"/>
      <c r="EY170" s="252"/>
      <c r="FA170" s="250"/>
      <c r="FB170" s="250"/>
      <c r="FC170" s="250"/>
      <c r="FD170" s="250"/>
      <c r="FE170" s="250"/>
      <c r="FF170" s="250"/>
      <c r="FG170" s="250"/>
      <c r="FH170" s="424"/>
      <c r="FI170" s="250"/>
      <c r="FJ170" s="250"/>
      <c r="FK170" s="250"/>
      <c r="FL170" s="256"/>
      <c r="FM170" s="250"/>
      <c r="FN170" s="256"/>
      <c r="FO170" s="250"/>
      <c r="FP170" s="256"/>
      <c r="FQ170" s="250"/>
      <c r="FR170" s="256"/>
      <c r="FS170" s="250"/>
      <c r="FT170" s="256"/>
      <c r="FU170" s="256"/>
      <c r="FV170" s="256"/>
      <c r="FW170" s="250"/>
      <c r="FX170" s="424"/>
      <c r="FY170" s="251"/>
      <c r="GC170" s="252"/>
      <c r="GF170" s="252"/>
      <c r="GG170" s="252"/>
      <c r="GH170" s="252"/>
      <c r="GI170" s="252"/>
      <c r="GJ170" s="252"/>
      <c r="GK170" s="251"/>
      <c r="GL170" s="250"/>
      <c r="GM170" s="250"/>
      <c r="GN170" s="250"/>
      <c r="GO170" s="250"/>
      <c r="GP170" s="250"/>
      <c r="GQ170" s="250"/>
      <c r="GR170" s="250"/>
      <c r="GS170" s="250"/>
      <c r="GT170" s="250"/>
      <c r="GU170" s="251"/>
      <c r="GV170" s="250"/>
      <c r="GW170" s="250"/>
      <c r="GX170" s="250"/>
      <c r="GY170" s="250"/>
      <c r="GZ170" s="250"/>
      <c r="HA170" s="250"/>
      <c r="HB170" s="250"/>
      <c r="HC170" s="250"/>
      <c r="HD170" s="250"/>
      <c r="HE170" s="250"/>
      <c r="HF170" s="250"/>
      <c r="HG170" s="250"/>
      <c r="HH170" s="251"/>
      <c r="HI170" s="424"/>
      <c r="HJ170" s="255"/>
      <c r="HK170" s="255"/>
      <c r="HL170" s="250"/>
      <c r="HM170" s="255"/>
      <c r="HN170" s="255"/>
      <c r="HO170" s="255"/>
      <c r="HP170" s="250"/>
      <c r="HQ170" s="250"/>
      <c r="HR170" s="250"/>
      <c r="HS170" s="250"/>
      <c r="HT170" s="250"/>
      <c r="HU170" s="251"/>
      <c r="HX170" s="252"/>
      <c r="HY170" s="252"/>
      <c r="HZ170" s="252"/>
      <c r="ID170" s="252"/>
      <c r="IE170" s="252"/>
      <c r="IF170" s="252"/>
      <c r="IJ170" s="252"/>
      <c r="IK170" s="252"/>
      <c r="IL170" s="252"/>
      <c r="IP170" s="252"/>
      <c r="IQ170" s="252"/>
      <c r="IR170" s="252"/>
      <c r="IY170" s="66"/>
      <c r="IZ170" s="66"/>
      <c r="JA170" s="66"/>
      <c r="JB170" s="250"/>
      <c r="JC170" s="66"/>
      <c r="JD170" s="66"/>
      <c r="JE170" s="66"/>
      <c r="JF170" s="66"/>
      <c r="JG170" s="66"/>
      <c r="JH170" s="66"/>
      <c r="JI170" s="66"/>
      <c r="JJ170" s="66"/>
      <c r="JK170" s="8"/>
      <c r="JN170" s="252"/>
      <c r="JO170" s="252"/>
      <c r="JP170" s="252"/>
      <c r="JT170" s="252"/>
      <c r="JU170" s="252"/>
      <c r="JV170" s="252"/>
      <c r="JZ170" s="252"/>
      <c r="KA170" s="252"/>
      <c r="KB170" s="252"/>
      <c r="KF170" s="252"/>
      <c r="KG170" s="252"/>
      <c r="KH170" s="252"/>
      <c r="KO170" s="66"/>
      <c r="KP170" s="66"/>
      <c r="KQ170" s="66"/>
      <c r="KR170" s="66"/>
      <c r="KS170" s="66"/>
      <c r="KT170" s="66"/>
      <c r="KU170" s="66"/>
      <c r="KV170" s="66"/>
      <c r="KW170" s="66"/>
      <c r="KX170" s="66"/>
      <c r="KY170" s="66"/>
      <c r="KZ170" s="66"/>
      <c r="LA170" s="8"/>
      <c r="LD170" s="252"/>
      <c r="LE170" s="252"/>
      <c r="LF170" s="252"/>
      <c r="LJ170" s="252"/>
      <c r="LK170" s="252"/>
      <c r="LN170" s="252"/>
      <c r="LO170" s="252"/>
      <c r="LP170" s="252"/>
      <c r="LT170" s="271"/>
      <c r="LU170" s="250"/>
      <c r="LV170" s="250"/>
      <c r="LW170" s="250"/>
      <c r="LX170" s="250"/>
      <c r="LY170" s="250"/>
      <c r="LZ170" s="250"/>
      <c r="MA170" s="250"/>
      <c r="MB170" s="250"/>
      <c r="MC170" s="250"/>
      <c r="MD170" s="250"/>
      <c r="ME170" s="250"/>
      <c r="MF170" s="250"/>
      <c r="MG170" s="250"/>
      <c r="MH170" s="250"/>
      <c r="MI170" s="250"/>
      <c r="MJ170" s="250"/>
      <c r="MK170" s="424"/>
      <c r="ML170" s="640"/>
      <c r="MM170" s="251"/>
      <c r="MN170" s="252"/>
      <c r="MO170" s="252"/>
      <c r="MP170" s="252"/>
      <c r="MQ170" s="252"/>
      <c r="MR170" s="252"/>
      <c r="MS170" s="252"/>
      <c r="MT170" s="252"/>
      <c r="MU170" s="252"/>
      <c r="MV170" s="252"/>
      <c r="MW170" s="252"/>
      <c r="MX170" s="252"/>
      <c r="MY170" s="252"/>
      <c r="MZ170" s="252"/>
      <c r="NA170" s="252"/>
      <c r="NB170" s="252"/>
      <c r="NC170" s="251"/>
      <c r="ND170" s="250"/>
      <c r="NE170" s="250"/>
      <c r="NF170" s="250"/>
      <c r="NG170" s="250"/>
      <c r="NH170" s="250"/>
      <c r="NI170" s="250"/>
      <c r="NJ170" s="250"/>
      <c r="NK170" s="250"/>
      <c r="NL170" s="250"/>
      <c r="NM170" s="250"/>
      <c r="NN170" s="250"/>
      <c r="NO170" s="250"/>
      <c r="NP170" s="250"/>
      <c r="NQ170" s="250"/>
      <c r="NR170" s="250"/>
      <c r="NS170" s="250"/>
      <c r="NT170" s="250"/>
      <c r="NU170" s="250"/>
      <c r="NV170" s="250"/>
      <c r="NW170" s="251"/>
      <c r="OT170" s="8"/>
      <c r="QG170" s="8"/>
      <c r="RT170" s="8"/>
    </row>
    <row r="171" spans="1:488" s="282" customFormat="1" x14ac:dyDescent="0.25">
      <c r="A171" s="66"/>
      <c r="B171" s="8"/>
      <c r="C171" s="66"/>
      <c r="D171" s="66"/>
      <c r="E171" s="66"/>
      <c r="F171" s="66"/>
      <c r="G171" s="66"/>
      <c r="H171" s="66"/>
      <c r="I171" s="66"/>
      <c r="J171" s="66"/>
      <c r="K171" s="66"/>
      <c r="L171" s="66"/>
      <c r="M171" s="66"/>
      <c r="N171" s="66"/>
      <c r="O171" s="66"/>
      <c r="P171" s="66"/>
      <c r="Q171" s="66"/>
      <c r="R171" s="66"/>
      <c r="S171" s="66"/>
      <c r="T171" s="68"/>
      <c r="AC171" s="66"/>
      <c r="AD171" s="66"/>
      <c r="AE171" s="68"/>
      <c r="AN171" s="66"/>
      <c r="AO171" s="66"/>
      <c r="AP171" s="68"/>
      <c r="AW171" s="66"/>
      <c r="AX171" s="68"/>
      <c r="BD171" s="66"/>
      <c r="BE171" s="68"/>
      <c r="BF171" s="66"/>
      <c r="BG171" s="66"/>
      <c r="BH171" s="66"/>
      <c r="BI171" s="66"/>
      <c r="BJ171" s="66"/>
      <c r="BK171" s="66"/>
      <c r="BL171" s="68"/>
      <c r="BO171" s="66"/>
      <c r="BP171" s="68"/>
      <c r="BV171" s="66"/>
      <c r="BW171" s="68"/>
      <c r="CB171" s="8"/>
      <c r="CH171" s="8"/>
      <c r="CK171" s="299"/>
      <c r="CL171" s="299"/>
      <c r="CM171" s="66"/>
      <c r="CN171" s="66"/>
      <c r="CO171" s="68"/>
      <c r="CR171" s="8"/>
      <c r="CX171" s="66"/>
      <c r="CY171" s="532"/>
      <c r="DE171" s="66"/>
      <c r="DF171" s="66"/>
      <c r="DG171" s="68"/>
      <c r="DH171" s="68"/>
      <c r="DK171" s="66"/>
      <c r="DL171" s="66"/>
      <c r="DM171" s="66"/>
      <c r="DN171" s="66"/>
      <c r="DO171" s="66"/>
      <c r="DP171" s="66"/>
      <c r="DQ171" s="66"/>
      <c r="DR171" s="66"/>
      <c r="DS171" s="66"/>
      <c r="DT171" s="68"/>
      <c r="DU171" s="66"/>
      <c r="DV171" s="296"/>
      <c r="DW171" s="330"/>
      <c r="DX171" s="631"/>
      <c r="DY171" s="631"/>
      <c r="DZ171" s="631"/>
      <c r="EA171" s="330"/>
      <c r="EC171" s="66"/>
      <c r="ED171" s="68"/>
      <c r="EH171" s="66"/>
      <c r="EI171" s="66"/>
      <c r="EJ171" s="68"/>
      <c r="EK171" s="252"/>
      <c r="EL171" s="252"/>
      <c r="EM171" s="252"/>
      <c r="EO171" s="252"/>
      <c r="EP171" s="252"/>
      <c r="EQ171" s="252"/>
      <c r="ES171" s="252"/>
      <c r="ET171" s="252"/>
      <c r="EU171" s="252"/>
      <c r="EW171" s="252"/>
      <c r="EX171" s="252"/>
      <c r="EY171" s="252"/>
      <c r="FA171" s="250"/>
      <c r="FB171" s="250"/>
      <c r="FC171" s="250"/>
      <c r="FD171" s="250"/>
      <c r="FE171" s="250"/>
      <c r="FF171" s="250"/>
      <c r="FG171" s="250"/>
      <c r="FH171" s="424"/>
      <c r="FI171" s="250"/>
      <c r="FJ171" s="250"/>
      <c r="FK171" s="250"/>
      <c r="FL171" s="256"/>
      <c r="FM171" s="250"/>
      <c r="FN171" s="256"/>
      <c r="FO171" s="250"/>
      <c r="FP171" s="256"/>
      <c r="FQ171" s="250"/>
      <c r="FR171" s="256"/>
      <c r="FS171" s="250"/>
      <c r="FT171" s="256"/>
      <c r="FU171" s="256"/>
      <c r="FV171" s="256"/>
      <c r="FW171" s="250"/>
      <c r="FX171" s="424"/>
      <c r="FY171" s="251"/>
      <c r="GC171" s="252"/>
      <c r="GF171" s="252"/>
      <c r="GG171" s="252"/>
      <c r="GH171" s="252"/>
      <c r="GI171" s="252"/>
      <c r="GJ171" s="252"/>
      <c r="GK171" s="251"/>
      <c r="GL171" s="250"/>
      <c r="GM171" s="250"/>
      <c r="GN171" s="250"/>
      <c r="GO171" s="250"/>
      <c r="GP171" s="250"/>
      <c r="GQ171" s="250"/>
      <c r="GR171" s="250"/>
      <c r="GS171" s="250"/>
      <c r="GT171" s="250"/>
      <c r="GU171" s="251"/>
      <c r="GV171" s="250"/>
      <c r="GW171" s="250"/>
      <c r="GX171" s="250"/>
      <c r="GY171" s="250"/>
      <c r="GZ171" s="250"/>
      <c r="HA171" s="250"/>
      <c r="HB171" s="250"/>
      <c r="HC171" s="250"/>
      <c r="HD171" s="250"/>
      <c r="HE171" s="250"/>
      <c r="HF171" s="250"/>
      <c r="HG171" s="250"/>
      <c r="HH171" s="251"/>
      <c r="HI171" s="424"/>
      <c r="HJ171" s="255"/>
      <c r="HK171" s="255"/>
      <c r="HL171" s="250"/>
      <c r="HM171" s="255"/>
      <c r="HN171" s="255"/>
      <c r="HO171" s="255"/>
      <c r="HP171" s="250"/>
      <c r="HQ171" s="250"/>
      <c r="HR171" s="250"/>
      <c r="HS171" s="250"/>
      <c r="HT171" s="250"/>
      <c r="HU171" s="251"/>
      <c r="HX171" s="252"/>
      <c r="HY171" s="252"/>
      <c r="HZ171" s="252"/>
      <c r="ID171" s="252"/>
      <c r="IE171" s="252"/>
      <c r="IF171" s="252"/>
      <c r="IJ171" s="252"/>
      <c r="IK171" s="252"/>
      <c r="IL171" s="252"/>
      <c r="IP171" s="252"/>
      <c r="IQ171" s="252"/>
      <c r="IR171" s="252"/>
      <c r="IY171" s="66"/>
      <c r="IZ171" s="66"/>
      <c r="JA171" s="66"/>
      <c r="JB171" s="250"/>
      <c r="JC171" s="66"/>
      <c r="JD171" s="66"/>
      <c r="JE171" s="66"/>
      <c r="JF171" s="66"/>
      <c r="JG171" s="66"/>
      <c r="JH171" s="66"/>
      <c r="JI171" s="66"/>
      <c r="JJ171" s="66"/>
      <c r="JK171" s="8"/>
      <c r="JN171" s="252"/>
      <c r="JO171" s="252"/>
      <c r="JP171" s="252"/>
      <c r="JT171" s="252"/>
      <c r="JU171" s="252"/>
      <c r="JV171" s="252"/>
      <c r="JZ171" s="252"/>
      <c r="KA171" s="252"/>
      <c r="KB171" s="252"/>
      <c r="KF171" s="252"/>
      <c r="KG171" s="252"/>
      <c r="KH171" s="252"/>
      <c r="KO171" s="66"/>
      <c r="KP171" s="66"/>
      <c r="KQ171" s="66"/>
      <c r="KR171" s="66"/>
      <c r="KS171" s="66"/>
      <c r="KT171" s="66"/>
      <c r="KU171" s="66"/>
      <c r="KV171" s="66"/>
      <c r="KW171" s="66"/>
      <c r="KX171" s="66"/>
      <c r="KY171" s="66"/>
      <c r="KZ171" s="66"/>
      <c r="LA171" s="8"/>
      <c r="LD171" s="252"/>
      <c r="LE171" s="252"/>
      <c r="LF171" s="252"/>
      <c r="LJ171" s="252"/>
      <c r="LK171" s="252"/>
      <c r="LN171" s="252"/>
      <c r="LO171" s="252"/>
      <c r="LP171" s="252"/>
      <c r="LT171" s="271"/>
      <c r="LU171" s="250"/>
      <c r="LV171" s="250"/>
      <c r="LW171" s="250"/>
      <c r="LX171" s="250"/>
      <c r="LY171" s="250"/>
      <c r="LZ171" s="250"/>
      <c r="MA171" s="250"/>
      <c r="MB171" s="250"/>
      <c r="MC171" s="250"/>
      <c r="MD171" s="250"/>
      <c r="ME171" s="250"/>
      <c r="MF171" s="250"/>
      <c r="MG171" s="250"/>
      <c r="MH171" s="250"/>
      <c r="MI171" s="250"/>
      <c r="MJ171" s="250"/>
      <c r="MK171" s="424"/>
      <c r="ML171" s="640"/>
      <c r="MM171" s="251"/>
      <c r="MN171" s="252"/>
      <c r="MO171" s="252"/>
      <c r="MP171" s="252"/>
      <c r="MQ171" s="252"/>
      <c r="MR171" s="252"/>
      <c r="MS171" s="252"/>
      <c r="MT171" s="252"/>
      <c r="MU171" s="252"/>
      <c r="MV171" s="252"/>
      <c r="MW171" s="252"/>
      <c r="MX171" s="252"/>
      <c r="MY171" s="252"/>
      <c r="MZ171" s="252"/>
      <c r="NA171" s="252"/>
      <c r="NB171" s="252"/>
      <c r="NC171" s="251"/>
      <c r="ND171" s="250"/>
      <c r="NE171" s="250"/>
      <c r="NF171" s="250"/>
      <c r="NG171" s="250"/>
      <c r="NH171" s="250"/>
      <c r="NI171" s="250"/>
      <c r="NJ171" s="250"/>
      <c r="NK171" s="250"/>
      <c r="NL171" s="250"/>
      <c r="NM171" s="250"/>
      <c r="NN171" s="250"/>
      <c r="NO171" s="250"/>
      <c r="NP171" s="250"/>
      <c r="NQ171" s="250"/>
      <c r="NR171" s="250"/>
      <c r="NS171" s="250"/>
      <c r="NT171" s="250"/>
      <c r="NU171" s="250"/>
      <c r="NV171" s="250"/>
      <c r="NW171" s="251"/>
      <c r="OT171" s="8"/>
      <c r="QG171" s="8"/>
      <c r="RT171" s="8"/>
    </row>
    <row r="172" spans="1:488" s="282" customFormat="1" x14ac:dyDescent="0.25">
      <c r="A172" s="66"/>
      <c r="B172" s="8"/>
      <c r="C172" s="66"/>
      <c r="D172" s="66"/>
      <c r="E172" s="66"/>
      <c r="F172" s="66"/>
      <c r="G172" s="66"/>
      <c r="H172" s="66"/>
      <c r="I172" s="66"/>
      <c r="J172" s="66"/>
      <c r="K172" s="66"/>
      <c r="L172" s="66"/>
      <c r="M172" s="66"/>
      <c r="N172" s="66"/>
      <c r="O172" s="66"/>
      <c r="P172" s="66"/>
      <c r="Q172" s="66"/>
      <c r="R172" s="66"/>
      <c r="S172" s="66"/>
      <c r="T172" s="68"/>
      <c r="AC172" s="66"/>
      <c r="AD172" s="66"/>
      <c r="AE172" s="68"/>
      <c r="AN172" s="66"/>
      <c r="AO172" s="66"/>
      <c r="AP172" s="68"/>
      <c r="AW172" s="66"/>
      <c r="AX172" s="68"/>
      <c r="BD172" s="66"/>
      <c r="BE172" s="68"/>
      <c r="BF172" s="66"/>
      <c r="BG172" s="66"/>
      <c r="BH172" s="66"/>
      <c r="BI172" s="66"/>
      <c r="BJ172" s="66"/>
      <c r="BK172" s="66"/>
      <c r="BL172" s="68"/>
      <c r="BO172" s="66"/>
      <c r="BP172" s="68"/>
      <c r="BV172" s="66"/>
      <c r="BW172" s="68"/>
      <c r="CB172" s="8"/>
      <c r="CH172" s="8"/>
      <c r="CK172" s="299"/>
      <c r="CL172" s="299"/>
      <c r="CM172" s="66"/>
      <c r="CN172" s="66"/>
      <c r="CO172" s="68"/>
      <c r="CR172" s="8"/>
      <c r="CX172" s="66"/>
      <c r="CY172" s="532"/>
      <c r="DE172" s="66"/>
      <c r="DF172" s="66"/>
      <c r="DG172" s="68"/>
      <c r="DH172" s="68"/>
      <c r="DK172" s="66"/>
      <c r="DL172" s="66"/>
      <c r="DM172" s="66"/>
      <c r="DN172" s="66"/>
      <c r="DO172" s="66"/>
      <c r="DP172" s="66"/>
      <c r="DQ172" s="66"/>
      <c r="DR172" s="66"/>
      <c r="DS172" s="66"/>
      <c r="DT172" s="68"/>
      <c r="DU172" s="66"/>
      <c r="DV172" s="296"/>
      <c r="DW172" s="330"/>
      <c r="DX172" s="631"/>
      <c r="DY172" s="631"/>
      <c r="DZ172" s="631"/>
      <c r="EA172" s="330"/>
      <c r="EC172" s="66"/>
      <c r="ED172" s="68"/>
      <c r="EH172" s="66"/>
      <c r="EI172" s="66"/>
      <c r="EJ172" s="68"/>
      <c r="EK172" s="252"/>
      <c r="EL172" s="252"/>
      <c r="EM172" s="252"/>
      <c r="EO172" s="252"/>
      <c r="EP172" s="252"/>
      <c r="EQ172" s="252"/>
      <c r="ES172" s="252"/>
      <c r="ET172" s="252"/>
      <c r="EU172" s="252"/>
      <c r="EW172" s="252"/>
      <c r="EX172" s="252"/>
      <c r="EY172" s="252"/>
      <c r="FA172" s="250"/>
      <c r="FB172" s="250"/>
      <c r="FC172" s="250"/>
      <c r="FD172" s="250"/>
      <c r="FE172" s="250"/>
      <c r="FF172" s="250"/>
      <c r="FG172" s="250"/>
      <c r="FH172" s="424"/>
      <c r="FI172" s="250"/>
      <c r="FJ172" s="250"/>
      <c r="FK172" s="250"/>
      <c r="FL172" s="256"/>
      <c r="FM172" s="250"/>
      <c r="FN172" s="256"/>
      <c r="FO172" s="250"/>
      <c r="FP172" s="256"/>
      <c r="FQ172" s="250"/>
      <c r="FR172" s="256"/>
      <c r="FS172" s="250"/>
      <c r="FT172" s="256"/>
      <c r="FU172" s="256"/>
      <c r="FV172" s="256"/>
      <c r="FW172" s="250"/>
      <c r="FX172" s="424"/>
      <c r="FY172" s="251"/>
      <c r="GC172" s="252"/>
      <c r="GF172" s="252"/>
      <c r="GG172" s="252"/>
      <c r="GH172" s="252"/>
      <c r="GI172" s="252"/>
      <c r="GJ172" s="252"/>
      <c r="GK172" s="251"/>
      <c r="GL172" s="250"/>
      <c r="GM172" s="250"/>
      <c r="GN172" s="250"/>
      <c r="GO172" s="250"/>
      <c r="GP172" s="250"/>
      <c r="GQ172" s="250"/>
      <c r="GR172" s="250"/>
      <c r="GS172" s="250"/>
      <c r="GT172" s="250"/>
      <c r="GU172" s="251"/>
      <c r="GV172" s="250"/>
      <c r="GW172" s="250"/>
      <c r="GX172" s="250"/>
      <c r="GY172" s="250"/>
      <c r="GZ172" s="250"/>
      <c r="HA172" s="250"/>
      <c r="HB172" s="250"/>
      <c r="HC172" s="250"/>
      <c r="HD172" s="250"/>
      <c r="HE172" s="250"/>
      <c r="HF172" s="250"/>
      <c r="HG172" s="250"/>
      <c r="HH172" s="251"/>
      <c r="HI172" s="424"/>
      <c r="HJ172" s="255"/>
      <c r="HK172" s="255"/>
      <c r="HL172" s="250"/>
      <c r="HM172" s="255"/>
      <c r="HN172" s="255"/>
      <c r="HO172" s="255"/>
      <c r="HP172" s="250"/>
      <c r="HQ172" s="250"/>
      <c r="HR172" s="250"/>
      <c r="HS172" s="250"/>
      <c r="HT172" s="250"/>
      <c r="HU172" s="251"/>
      <c r="HX172" s="252"/>
      <c r="HY172" s="252"/>
      <c r="HZ172" s="252"/>
      <c r="ID172" s="252"/>
      <c r="IE172" s="252"/>
      <c r="IF172" s="252"/>
      <c r="IJ172" s="252"/>
      <c r="IK172" s="252"/>
      <c r="IL172" s="252"/>
      <c r="IP172" s="252"/>
      <c r="IQ172" s="252"/>
      <c r="IR172" s="252"/>
      <c r="IY172" s="66"/>
      <c r="IZ172" s="66"/>
      <c r="JA172" s="66"/>
      <c r="JB172" s="250"/>
      <c r="JC172" s="66"/>
      <c r="JD172" s="66"/>
      <c r="JE172" s="66"/>
      <c r="JF172" s="66"/>
      <c r="JG172" s="66"/>
      <c r="JH172" s="66"/>
      <c r="JI172" s="66"/>
      <c r="JJ172" s="66"/>
      <c r="JK172" s="8"/>
      <c r="JN172" s="252"/>
      <c r="JO172" s="252"/>
      <c r="JP172" s="252"/>
      <c r="JT172" s="252"/>
      <c r="JU172" s="252"/>
      <c r="JV172" s="252"/>
      <c r="JZ172" s="252"/>
      <c r="KA172" s="252"/>
      <c r="KB172" s="252"/>
      <c r="KF172" s="252"/>
      <c r="KG172" s="252"/>
      <c r="KH172" s="252"/>
      <c r="KO172" s="66"/>
      <c r="KP172" s="66"/>
      <c r="KQ172" s="66"/>
      <c r="KR172" s="66"/>
      <c r="KS172" s="66"/>
      <c r="KT172" s="66"/>
      <c r="KU172" s="66"/>
      <c r="KV172" s="66"/>
      <c r="KW172" s="66"/>
      <c r="KX172" s="66"/>
      <c r="KY172" s="66"/>
      <c r="KZ172" s="66"/>
      <c r="LA172" s="8"/>
      <c r="LD172" s="252"/>
      <c r="LE172" s="252"/>
      <c r="LF172" s="252"/>
      <c r="LJ172" s="252"/>
      <c r="LK172" s="252"/>
      <c r="LN172" s="252"/>
      <c r="LO172" s="252"/>
      <c r="LP172" s="252"/>
      <c r="LT172" s="271"/>
      <c r="LU172" s="250"/>
      <c r="LV172" s="250"/>
      <c r="LW172" s="250"/>
      <c r="LX172" s="250"/>
      <c r="LY172" s="250"/>
      <c r="LZ172" s="250"/>
      <c r="MA172" s="250"/>
      <c r="MB172" s="250"/>
      <c r="MC172" s="250"/>
      <c r="MD172" s="250"/>
      <c r="ME172" s="250"/>
      <c r="MF172" s="250"/>
      <c r="MG172" s="250"/>
      <c r="MH172" s="250"/>
      <c r="MI172" s="250"/>
      <c r="MJ172" s="250"/>
      <c r="MK172" s="424"/>
      <c r="ML172" s="640"/>
      <c r="MM172" s="251"/>
      <c r="MN172" s="252"/>
      <c r="MO172" s="252"/>
      <c r="MP172" s="252"/>
      <c r="MQ172" s="252"/>
      <c r="MR172" s="252"/>
      <c r="MS172" s="252"/>
      <c r="MT172" s="252"/>
      <c r="MU172" s="252"/>
      <c r="MV172" s="252"/>
      <c r="MW172" s="252"/>
      <c r="MX172" s="252"/>
      <c r="MY172" s="252"/>
      <c r="MZ172" s="252"/>
      <c r="NA172" s="252"/>
      <c r="NB172" s="252"/>
      <c r="NC172" s="251"/>
      <c r="ND172" s="250"/>
      <c r="NE172" s="250"/>
      <c r="NF172" s="250"/>
      <c r="NG172" s="250"/>
      <c r="NH172" s="250"/>
      <c r="NI172" s="250"/>
      <c r="NJ172" s="250"/>
      <c r="NK172" s="250"/>
      <c r="NL172" s="250"/>
      <c r="NM172" s="250"/>
      <c r="NN172" s="250"/>
      <c r="NO172" s="250"/>
      <c r="NP172" s="250"/>
      <c r="NQ172" s="250"/>
      <c r="NR172" s="250"/>
      <c r="NS172" s="250"/>
      <c r="NT172" s="250"/>
      <c r="NU172" s="250"/>
      <c r="NV172" s="250"/>
      <c r="NW172" s="251"/>
      <c r="OT172" s="8"/>
      <c r="QG172" s="8"/>
      <c r="RT172" s="8"/>
    </row>
    <row r="173" spans="1:488" s="282" customFormat="1" x14ac:dyDescent="0.25">
      <c r="A173" s="66"/>
      <c r="B173" s="8"/>
      <c r="C173" s="66"/>
      <c r="D173" s="66"/>
      <c r="E173" s="66"/>
      <c r="F173" s="66"/>
      <c r="G173" s="66"/>
      <c r="H173" s="66"/>
      <c r="I173" s="66"/>
      <c r="J173" s="66"/>
      <c r="K173" s="66"/>
      <c r="L173" s="66"/>
      <c r="M173" s="66"/>
      <c r="N173" s="66"/>
      <c r="O173" s="66"/>
      <c r="P173" s="66"/>
      <c r="Q173" s="66"/>
      <c r="R173" s="66"/>
      <c r="S173" s="66"/>
      <c r="T173" s="68"/>
      <c r="AC173" s="66"/>
      <c r="AD173" s="66"/>
      <c r="AE173" s="68"/>
      <c r="AN173" s="66"/>
      <c r="AO173" s="66"/>
      <c r="AP173" s="68"/>
      <c r="AW173" s="66"/>
      <c r="AX173" s="68"/>
      <c r="BD173" s="66"/>
      <c r="BE173" s="68"/>
      <c r="BF173" s="66"/>
      <c r="BG173" s="66"/>
      <c r="BH173" s="66"/>
      <c r="BI173" s="66"/>
      <c r="BJ173" s="66"/>
      <c r="BK173" s="66"/>
      <c r="BL173" s="68"/>
      <c r="BO173" s="66"/>
      <c r="BP173" s="68"/>
      <c r="BV173" s="66"/>
      <c r="BW173" s="68"/>
      <c r="CB173" s="8"/>
      <c r="CH173" s="8"/>
      <c r="CK173" s="299"/>
      <c r="CL173" s="299"/>
      <c r="CM173" s="66"/>
      <c r="CN173" s="66"/>
      <c r="CO173" s="68"/>
      <c r="CR173" s="8"/>
      <c r="CX173" s="66"/>
      <c r="CY173" s="532"/>
      <c r="DE173" s="66"/>
      <c r="DF173" s="66"/>
      <c r="DG173" s="68"/>
      <c r="DH173" s="68"/>
      <c r="DK173" s="66"/>
      <c r="DL173" s="66"/>
      <c r="DM173" s="66"/>
      <c r="DN173" s="66"/>
      <c r="DO173" s="66"/>
      <c r="DP173" s="66"/>
      <c r="DQ173" s="66"/>
      <c r="DR173" s="66"/>
      <c r="DS173" s="66"/>
      <c r="DT173" s="68"/>
      <c r="DU173" s="66"/>
      <c r="DV173" s="296"/>
      <c r="DW173" s="330"/>
      <c r="DX173" s="631"/>
      <c r="DY173" s="631"/>
      <c r="DZ173" s="631"/>
      <c r="EA173" s="330"/>
      <c r="EC173" s="66"/>
      <c r="ED173" s="68"/>
      <c r="EH173" s="66"/>
      <c r="EI173" s="66"/>
      <c r="EJ173" s="68"/>
      <c r="EK173" s="252"/>
      <c r="EL173" s="252"/>
      <c r="EM173" s="252"/>
      <c r="EO173" s="252"/>
      <c r="EP173" s="252"/>
      <c r="EQ173" s="252"/>
      <c r="ES173" s="252"/>
      <c r="ET173" s="252"/>
      <c r="EU173" s="252"/>
      <c r="EW173" s="252"/>
      <c r="EX173" s="252"/>
      <c r="EY173" s="252"/>
      <c r="FA173" s="250"/>
      <c r="FB173" s="250"/>
      <c r="FC173" s="250"/>
      <c r="FD173" s="250"/>
      <c r="FE173" s="250"/>
      <c r="FF173" s="250"/>
      <c r="FG173" s="250"/>
      <c r="FH173" s="424"/>
      <c r="FI173" s="250"/>
      <c r="FJ173" s="250"/>
      <c r="FK173" s="250"/>
      <c r="FL173" s="256"/>
      <c r="FM173" s="250"/>
      <c r="FN173" s="256"/>
      <c r="FO173" s="250"/>
      <c r="FP173" s="256"/>
      <c r="FQ173" s="250"/>
      <c r="FR173" s="256"/>
      <c r="FS173" s="250"/>
      <c r="FT173" s="256"/>
      <c r="FU173" s="256"/>
      <c r="FV173" s="256"/>
      <c r="FW173" s="250"/>
      <c r="FX173" s="424"/>
      <c r="FY173" s="251"/>
      <c r="GC173" s="252"/>
      <c r="GF173" s="252"/>
      <c r="GG173" s="252"/>
      <c r="GH173" s="252"/>
      <c r="GI173" s="252"/>
      <c r="GJ173" s="252"/>
      <c r="GK173" s="251"/>
      <c r="GL173" s="250"/>
      <c r="GM173" s="250"/>
      <c r="GN173" s="250"/>
      <c r="GO173" s="250"/>
      <c r="GP173" s="250"/>
      <c r="GQ173" s="250"/>
      <c r="GR173" s="250"/>
      <c r="GS173" s="250"/>
      <c r="GT173" s="250"/>
      <c r="GU173" s="251"/>
      <c r="GV173" s="250"/>
      <c r="GW173" s="250"/>
      <c r="GX173" s="250"/>
      <c r="GY173" s="250"/>
      <c r="GZ173" s="250"/>
      <c r="HA173" s="250"/>
      <c r="HB173" s="250"/>
      <c r="HC173" s="250"/>
      <c r="HD173" s="250"/>
      <c r="HE173" s="250"/>
      <c r="HF173" s="250"/>
      <c r="HG173" s="250"/>
      <c r="HH173" s="251"/>
      <c r="HI173" s="424"/>
      <c r="HJ173" s="255"/>
      <c r="HK173" s="255"/>
      <c r="HL173" s="250"/>
      <c r="HM173" s="255"/>
      <c r="HN173" s="255"/>
      <c r="HO173" s="255"/>
      <c r="HP173" s="250"/>
      <c r="HQ173" s="250"/>
      <c r="HR173" s="250"/>
      <c r="HS173" s="250"/>
      <c r="HT173" s="250"/>
      <c r="HU173" s="251"/>
      <c r="HX173" s="252"/>
      <c r="HY173" s="252"/>
      <c r="HZ173" s="252"/>
      <c r="ID173" s="252"/>
      <c r="IE173" s="252"/>
      <c r="IF173" s="252"/>
      <c r="IJ173" s="252"/>
      <c r="IK173" s="252"/>
      <c r="IL173" s="252"/>
      <c r="IP173" s="252"/>
      <c r="IQ173" s="252"/>
      <c r="IR173" s="252"/>
      <c r="IY173" s="66"/>
      <c r="IZ173" s="66"/>
      <c r="JA173" s="66"/>
      <c r="JB173" s="250"/>
      <c r="JC173" s="66"/>
      <c r="JD173" s="66"/>
      <c r="JE173" s="66"/>
      <c r="JF173" s="66"/>
      <c r="JG173" s="66"/>
      <c r="JH173" s="66"/>
      <c r="JI173" s="66"/>
      <c r="JJ173" s="66"/>
      <c r="JK173" s="8"/>
      <c r="JN173" s="252"/>
      <c r="JO173" s="252"/>
      <c r="JP173" s="252"/>
      <c r="JT173" s="252"/>
      <c r="JU173" s="252"/>
      <c r="JV173" s="252"/>
      <c r="JZ173" s="252"/>
      <c r="KA173" s="252"/>
      <c r="KB173" s="252"/>
      <c r="KF173" s="252"/>
      <c r="KG173" s="252"/>
      <c r="KH173" s="252"/>
      <c r="KO173" s="66"/>
      <c r="KP173" s="66"/>
      <c r="KQ173" s="66"/>
      <c r="KR173" s="66"/>
      <c r="KS173" s="66"/>
      <c r="KT173" s="66"/>
      <c r="KU173" s="66"/>
      <c r="KV173" s="66"/>
      <c r="KW173" s="66"/>
      <c r="KX173" s="66"/>
      <c r="KY173" s="66"/>
      <c r="KZ173" s="66"/>
      <c r="LA173" s="8"/>
      <c r="LD173" s="252"/>
      <c r="LE173" s="252"/>
      <c r="LF173" s="252"/>
      <c r="LJ173" s="252"/>
      <c r="LK173" s="252"/>
      <c r="LN173" s="252"/>
      <c r="LO173" s="252"/>
      <c r="LP173" s="252"/>
      <c r="LT173" s="271"/>
      <c r="LU173" s="250"/>
      <c r="LV173" s="250"/>
      <c r="LW173" s="250"/>
      <c r="LX173" s="250"/>
      <c r="LY173" s="250"/>
      <c r="LZ173" s="250"/>
      <c r="MA173" s="250"/>
      <c r="MB173" s="250"/>
      <c r="MC173" s="250"/>
      <c r="MD173" s="250"/>
      <c r="ME173" s="250"/>
      <c r="MF173" s="250"/>
      <c r="MG173" s="250"/>
      <c r="MH173" s="250"/>
      <c r="MI173" s="250"/>
      <c r="MJ173" s="250"/>
      <c r="MK173" s="424"/>
      <c r="ML173" s="640"/>
      <c r="MM173" s="251"/>
      <c r="MN173" s="252"/>
      <c r="MO173" s="252"/>
      <c r="MP173" s="252"/>
      <c r="MQ173" s="252"/>
      <c r="MR173" s="252"/>
      <c r="MS173" s="252"/>
      <c r="MT173" s="252"/>
      <c r="MU173" s="252"/>
      <c r="MV173" s="252"/>
      <c r="MW173" s="252"/>
      <c r="MX173" s="252"/>
      <c r="MY173" s="252"/>
      <c r="MZ173" s="252"/>
      <c r="NA173" s="252"/>
      <c r="NB173" s="252"/>
      <c r="NC173" s="251"/>
      <c r="ND173" s="250"/>
      <c r="NE173" s="250"/>
      <c r="NF173" s="250"/>
      <c r="NG173" s="250"/>
      <c r="NH173" s="250"/>
      <c r="NI173" s="250"/>
      <c r="NJ173" s="250"/>
      <c r="NK173" s="250"/>
      <c r="NL173" s="250"/>
      <c r="NM173" s="250"/>
      <c r="NN173" s="250"/>
      <c r="NO173" s="250"/>
      <c r="NP173" s="250"/>
      <c r="NQ173" s="250"/>
      <c r="NR173" s="250"/>
      <c r="NS173" s="250"/>
      <c r="NT173" s="250"/>
      <c r="NU173" s="250"/>
      <c r="NV173" s="250"/>
      <c r="NW173" s="251"/>
      <c r="OT173" s="8"/>
      <c r="QG173" s="8"/>
      <c r="RT173" s="8"/>
    </row>
    <row r="174" spans="1:488" s="282" customFormat="1" x14ac:dyDescent="0.25">
      <c r="A174" s="66"/>
      <c r="B174" s="8"/>
      <c r="C174" s="66"/>
      <c r="D174" s="66"/>
      <c r="E174" s="66"/>
      <c r="F174" s="66"/>
      <c r="G174" s="66"/>
      <c r="H174" s="66"/>
      <c r="I174" s="66"/>
      <c r="J174" s="66"/>
      <c r="K174" s="66"/>
      <c r="L174" s="66"/>
      <c r="M174" s="66"/>
      <c r="N174" s="66"/>
      <c r="O174" s="66"/>
      <c r="P174" s="66"/>
      <c r="Q174" s="66"/>
      <c r="R174" s="66"/>
      <c r="S174" s="66"/>
      <c r="T174" s="68"/>
      <c r="AC174" s="66"/>
      <c r="AD174" s="66"/>
      <c r="AE174" s="68"/>
      <c r="AN174" s="66"/>
      <c r="AO174" s="66"/>
      <c r="AP174" s="68"/>
      <c r="AW174" s="66"/>
      <c r="AX174" s="68"/>
      <c r="BD174" s="66"/>
      <c r="BE174" s="68"/>
      <c r="BF174" s="66"/>
      <c r="BG174" s="66"/>
      <c r="BH174" s="66"/>
      <c r="BI174" s="66"/>
      <c r="BJ174" s="66"/>
      <c r="BK174" s="66"/>
      <c r="BL174" s="68"/>
      <c r="BO174" s="66"/>
      <c r="BP174" s="68"/>
      <c r="BV174" s="66"/>
      <c r="BW174" s="68"/>
      <c r="CB174" s="8"/>
      <c r="CH174" s="8"/>
      <c r="CK174" s="299"/>
      <c r="CL174" s="299"/>
      <c r="CM174" s="66"/>
      <c r="CN174" s="66"/>
      <c r="CO174" s="68"/>
      <c r="CR174" s="8"/>
      <c r="CX174" s="66"/>
      <c r="CY174" s="532"/>
      <c r="DE174" s="66"/>
      <c r="DF174" s="66"/>
      <c r="DG174" s="68"/>
      <c r="DH174" s="68"/>
      <c r="DK174" s="66"/>
      <c r="DL174" s="66"/>
      <c r="DM174" s="66"/>
      <c r="DN174" s="66"/>
      <c r="DO174" s="66"/>
      <c r="DP174" s="66"/>
      <c r="DQ174" s="66"/>
      <c r="DR174" s="66"/>
      <c r="DS174" s="66"/>
      <c r="DT174" s="68"/>
      <c r="DU174" s="66"/>
      <c r="DV174" s="296"/>
      <c r="DW174" s="330"/>
      <c r="DX174" s="631"/>
      <c r="DY174" s="631"/>
      <c r="DZ174" s="631"/>
      <c r="EA174" s="330"/>
      <c r="EC174" s="66"/>
      <c r="ED174" s="68"/>
      <c r="EH174" s="66"/>
      <c r="EI174" s="66"/>
      <c r="EJ174" s="68"/>
      <c r="EK174" s="252"/>
      <c r="EL174" s="252"/>
      <c r="EM174" s="252"/>
      <c r="EO174" s="252"/>
      <c r="EP174" s="252"/>
      <c r="EQ174" s="252"/>
      <c r="ES174" s="252"/>
      <c r="ET174" s="252"/>
      <c r="EU174" s="252"/>
      <c r="EW174" s="252"/>
      <c r="EX174" s="252"/>
      <c r="EY174" s="252"/>
      <c r="FA174" s="250"/>
      <c r="FB174" s="250"/>
      <c r="FC174" s="250"/>
      <c r="FD174" s="250"/>
      <c r="FE174" s="250"/>
      <c r="FF174" s="250"/>
      <c r="FG174" s="250"/>
      <c r="FH174" s="424"/>
      <c r="FI174" s="250"/>
      <c r="FJ174" s="250"/>
      <c r="FK174" s="250"/>
      <c r="FL174" s="256"/>
      <c r="FM174" s="250"/>
      <c r="FN174" s="256"/>
      <c r="FO174" s="250"/>
      <c r="FP174" s="256"/>
      <c r="FQ174" s="250"/>
      <c r="FR174" s="256"/>
      <c r="FS174" s="250"/>
      <c r="FT174" s="256"/>
      <c r="FU174" s="256"/>
      <c r="FV174" s="256"/>
      <c r="FW174" s="250"/>
      <c r="FX174" s="424"/>
      <c r="FY174" s="251"/>
      <c r="GC174" s="252"/>
      <c r="GF174" s="252"/>
      <c r="GG174" s="252"/>
      <c r="GH174" s="252"/>
      <c r="GI174" s="252"/>
      <c r="GJ174" s="252"/>
      <c r="GK174" s="251"/>
      <c r="GL174" s="250"/>
      <c r="GM174" s="250"/>
      <c r="GN174" s="250"/>
      <c r="GO174" s="250"/>
      <c r="GP174" s="250"/>
      <c r="GQ174" s="250"/>
      <c r="GR174" s="250"/>
      <c r="GS174" s="250"/>
      <c r="GT174" s="250"/>
      <c r="GU174" s="251"/>
      <c r="GV174" s="250"/>
      <c r="GW174" s="250"/>
      <c r="GX174" s="250"/>
      <c r="GY174" s="250"/>
      <c r="GZ174" s="250"/>
      <c r="HA174" s="250"/>
      <c r="HB174" s="250"/>
      <c r="HC174" s="250"/>
      <c r="HD174" s="250"/>
      <c r="HE174" s="250"/>
      <c r="HF174" s="250"/>
      <c r="HG174" s="250"/>
      <c r="HH174" s="251"/>
      <c r="HI174" s="424"/>
      <c r="HJ174" s="255"/>
      <c r="HK174" s="255"/>
      <c r="HL174" s="250"/>
      <c r="HM174" s="255"/>
      <c r="HN174" s="255"/>
      <c r="HO174" s="255"/>
      <c r="HP174" s="250"/>
      <c r="HQ174" s="250"/>
      <c r="HR174" s="250"/>
      <c r="HS174" s="250"/>
      <c r="HT174" s="250"/>
      <c r="HU174" s="251"/>
      <c r="HX174" s="252"/>
      <c r="HY174" s="252"/>
      <c r="HZ174" s="252"/>
      <c r="ID174" s="252"/>
      <c r="IE174" s="252"/>
      <c r="IF174" s="252"/>
      <c r="IJ174" s="252"/>
      <c r="IK174" s="252"/>
      <c r="IL174" s="252"/>
      <c r="IP174" s="252"/>
      <c r="IQ174" s="252"/>
      <c r="IR174" s="252"/>
      <c r="IY174" s="66"/>
      <c r="IZ174" s="66"/>
      <c r="JA174" s="66"/>
      <c r="JB174" s="250"/>
      <c r="JC174" s="66"/>
      <c r="JD174" s="66"/>
      <c r="JE174" s="66"/>
      <c r="JF174" s="66"/>
      <c r="JG174" s="66"/>
      <c r="JH174" s="66"/>
      <c r="JI174" s="66"/>
      <c r="JJ174" s="66"/>
      <c r="JK174" s="8"/>
      <c r="JN174" s="252"/>
      <c r="JO174" s="252"/>
      <c r="JP174" s="252"/>
      <c r="JT174" s="252"/>
      <c r="JU174" s="252"/>
      <c r="JV174" s="252"/>
      <c r="JZ174" s="252"/>
      <c r="KA174" s="252"/>
      <c r="KB174" s="252"/>
      <c r="KF174" s="252"/>
      <c r="KG174" s="252"/>
      <c r="KH174" s="252"/>
      <c r="KO174" s="66"/>
      <c r="KP174" s="66"/>
      <c r="KQ174" s="66"/>
      <c r="KR174" s="66"/>
      <c r="KS174" s="66"/>
      <c r="KT174" s="66"/>
      <c r="KU174" s="66"/>
      <c r="KV174" s="66"/>
      <c r="KW174" s="66"/>
      <c r="KX174" s="66"/>
      <c r="KY174" s="66"/>
      <c r="KZ174" s="66"/>
      <c r="LA174" s="8"/>
      <c r="LD174" s="252"/>
      <c r="LE174" s="252"/>
      <c r="LF174" s="252"/>
      <c r="LJ174" s="252"/>
      <c r="LK174" s="252"/>
      <c r="LN174" s="252"/>
      <c r="LO174" s="252"/>
      <c r="LP174" s="252"/>
      <c r="LT174" s="271"/>
      <c r="LU174" s="250"/>
      <c r="LV174" s="250"/>
      <c r="LW174" s="250"/>
      <c r="LX174" s="250"/>
      <c r="LY174" s="250"/>
      <c r="LZ174" s="250"/>
      <c r="MA174" s="250"/>
      <c r="MB174" s="250"/>
      <c r="MC174" s="250"/>
      <c r="MD174" s="250"/>
      <c r="ME174" s="250"/>
      <c r="MF174" s="250"/>
      <c r="MG174" s="250"/>
      <c r="MH174" s="250"/>
      <c r="MI174" s="250"/>
      <c r="MJ174" s="250"/>
      <c r="MK174" s="424"/>
      <c r="ML174" s="640"/>
      <c r="MM174" s="251"/>
      <c r="MN174" s="252"/>
      <c r="MO174" s="252"/>
      <c r="MP174" s="252"/>
      <c r="MQ174" s="252"/>
      <c r="MR174" s="252"/>
      <c r="MS174" s="252"/>
      <c r="MT174" s="252"/>
      <c r="MU174" s="252"/>
      <c r="MV174" s="252"/>
      <c r="MW174" s="252"/>
      <c r="MX174" s="252"/>
      <c r="MY174" s="252"/>
      <c r="MZ174" s="252"/>
      <c r="NA174" s="252"/>
      <c r="NB174" s="252"/>
      <c r="NC174" s="251"/>
      <c r="ND174" s="250"/>
      <c r="NE174" s="250"/>
      <c r="NF174" s="250"/>
      <c r="NG174" s="250"/>
      <c r="NH174" s="250"/>
      <c r="NI174" s="250"/>
      <c r="NJ174" s="250"/>
      <c r="NK174" s="250"/>
      <c r="NL174" s="250"/>
      <c r="NM174" s="250"/>
      <c r="NN174" s="250"/>
      <c r="NO174" s="250"/>
      <c r="NP174" s="250"/>
      <c r="NQ174" s="250"/>
      <c r="NR174" s="250"/>
      <c r="NS174" s="250"/>
      <c r="NT174" s="250"/>
      <c r="NU174" s="250"/>
      <c r="NV174" s="250"/>
      <c r="NW174" s="251"/>
      <c r="OT174" s="8"/>
      <c r="QG174" s="8"/>
      <c r="RT174" s="8"/>
    </row>
    <row r="175" spans="1:488" s="282" customFormat="1" x14ac:dyDescent="0.25">
      <c r="A175" s="66"/>
      <c r="B175" s="8"/>
      <c r="C175" s="66"/>
      <c r="D175" s="66"/>
      <c r="E175" s="66"/>
      <c r="F175" s="66"/>
      <c r="G175" s="66"/>
      <c r="H175" s="66"/>
      <c r="I175" s="66"/>
      <c r="J175" s="66"/>
      <c r="K175" s="66"/>
      <c r="L175" s="66"/>
      <c r="M175" s="66"/>
      <c r="N175" s="66"/>
      <c r="O175" s="66"/>
      <c r="P175" s="66"/>
      <c r="Q175" s="66"/>
      <c r="R175" s="66"/>
      <c r="S175" s="66"/>
      <c r="T175" s="68"/>
      <c r="AC175" s="66"/>
      <c r="AD175" s="66"/>
      <c r="AE175" s="68"/>
      <c r="AN175" s="66"/>
      <c r="AO175" s="66"/>
      <c r="AP175" s="68"/>
      <c r="AW175" s="66"/>
      <c r="AX175" s="68"/>
      <c r="BD175" s="66"/>
      <c r="BE175" s="68"/>
      <c r="BF175" s="66"/>
      <c r="BG175" s="66"/>
      <c r="BH175" s="66"/>
      <c r="BI175" s="66"/>
      <c r="BJ175" s="66"/>
      <c r="BK175" s="66"/>
      <c r="BL175" s="68"/>
      <c r="BO175" s="66"/>
      <c r="BP175" s="68"/>
      <c r="BV175" s="66"/>
      <c r="BW175" s="68"/>
      <c r="CB175" s="8"/>
      <c r="CH175" s="8"/>
      <c r="CK175" s="299"/>
      <c r="CL175" s="299"/>
      <c r="CM175" s="66"/>
      <c r="CN175" s="66"/>
      <c r="CO175" s="68"/>
      <c r="CR175" s="8"/>
      <c r="CX175" s="66"/>
      <c r="CY175" s="532"/>
      <c r="DE175" s="66"/>
      <c r="DF175" s="66"/>
      <c r="DG175" s="68"/>
      <c r="DH175" s="68"/>
      <c r="DK175" s="66"/>
      <c r="DL175" s="66"/>
      <c r="DM175" s="66"/>
      <c r="DN175" s="66"/>
      <c r="DO175" s="66"/>
      <c r="DP175" s="66"/>
      <c r="DQ175" s="66"/>
      <c r="DR175" s="66"/>
      <c r="DS175" s="66"/>
      <c r="DT175" s="68"/>
      <c r="DU175" s="66"/>
      <c r="DV175" s="296"/>
      <c r="DW175" s="330"/>
      <c r="DX175" s="631"/>
      <c r="DY175" s="631"/>
      <c r="DZ175" s="631"/>
      <c r="EA175" s="330"/>
      <c r="EC175" s="66"/>
      <c r="ED175" s="68"/>
      <c r="EH175" s="66"/>
      <c r="EI175" s="66"/>
      <c r="EJ175" s="68"/>
      <c r="EK175" s="252"/>
      <c r="EL175" s="252"/>
      <c r="EM175" s="252"/>
      <c r="EO175" s="252"/>
      <c r="EP175" s="252"/>
      <c r="EQ175" s="252"/>
      <c r="ES175" s="252"/>
      <c r="ET175" s="252"/>
      <c r="EU175" s="252"/>
      <c r="EW175" s="252"/>
      <c r="EX175" s="252"/>
      <c r="EY175" s="252"/>
      <c r="FA175" s="250"/>
      <c r="FB175" s="250"/>
      <c r="FC175" s="250"/>
      <c r="FD175" s="250"/>
      <c r="FE175" s="250"/>
      <c r="FF175" s="250"/>
      <c r="FG175" s="250"/>
      <c r="FH175" s="424"/>
      <c r="FI175" s="250"/>
      <c r="FJ175" s="250"/>
      <c r="FK175" s="250"/>
      <c r="FL175" s="256"/>
      <c r="FM175" s="250"/>
      <c r="FN175" s="256"/>
      <c r="FO175" s="250"/>
      <c r="FP175" s="256"/>
      <c r="FQ175" s="250"/>
      <c r="FR175" s="256"/>
      <c r="FS175" s="250"/>
      <c r="FT175" s="256"/>
      <c r="FU175" s="256"/>
      <c r="FV175" s="256"/>
      <c r="FW175" s="250"/>
      <c r="FX175" s="424"/>
      <c r="FY175" s="251"/>
      <c r="GC175" s="252"/>
      <c r="GF175" s="252"/>
      <c r="GG175" s="252"/>
      <c r="GH175" s="252"/>
      <c r="GI175" s="252"/>
      <c r="GJ175" s="252"/>
      <c r="GK175" s="251"/>
      <c r="GL175" s="250"/>
      <c r="GM175" s="250"/>
      <c r="GN175" s="250"/>
      <c r="GO175" s="250"/>
      <c r="GP175" s="250"/>
      <c r="GQ175" s="250"/>
      <c r="GR175" s="250"/>
      <c r="GS175" s="250"/>
      <c r="GT175" s="250"/>
      <c r="GU175" s="251"/>
      <c r="GV175" s="250"/>
      <c r="GW175" s="250"/>
      <c r="GX175" s="250"/>
      <c r="GY175" s="250"/>
      <c r="GZ175" s="250"/>
      <c r="HA175" s="250"/>
      <c r="HB175" s="250"/>
      <c r="HC175" s="250"/>
      <c r="HD175" s="250"/>
      <c r="HE175" s="250"/>
      <c r="HF175" s="250"/>
      <c r="HG175" s="250"/>
      <c r="HH175" s="251"/>
      <c r="HI175" s="424"/>
      <c r="HJ175" s="255"/>
      <c r="HK175" s="255"/>
      <c r="HL175" s="250"/>
      <c r="HM175" s="255"/>
      <c r="HN175" s="255"/>
      <c r="HO175" s="255"/>
      <c r="HP175" s="250"/>
      <c r="HQ175" s="250"/>
      <c r="HR175" s="250"/>
      <c r="HS175" s="250"/>
      <c r="HT175" s="250"/>
      <c r="HU175" s="251"/>
      <c r="HX175" s="252"/>
      <c r="HY175" s="252"/>
      <c r="HZ175" s="252"/>
      <c r="ID175" s="252"/>
      <c r="IE175" s="252"/>
      <c r="IF175" s="252"/>
      <c r="IJ175" s="252"/>
      <c r="IK175" s="252"/>
      <c r="IL175" s="252"/>
      <c r="IP175" s="252"/>
      <c r="IQ175" s="252"/>
      <c r="IR175" s="252"/>
      <c r="IY175" s="66"/>
      <c r="IZ175" s="66"/>
      <c r="JA175" s="66"/>
      <c r="JB175" s="250"/>
      <c r="JC175" s="66"/>
      <c r="JD175" s="66"/>
      <c r="JE175" s="66"/>
      <c r="JF175" s="66"/>
      <c r="JG175" s="66"/>
      <c r="JH175" s="66"/>
      <c r="JI175" s="66"/>
      <c r="JJ175" s="66"/>
      <c r="JK175" s="8"/>
      <c r="JN175" s="252"/>
      <c r="JO175" s="252"/>
      <c r="JP175" s="252"/>
      <c r="JT175" s="252"/>
      <c r="JU175" s="252"/>
      <c r="JV175" s="252"/>
      <c r="JZ175" s="252"/>
      <c r="KA175" s="252"/>
      <c r="KB175" s="252"/>
      <c r="KF175" s="252"/>
      <c r="KG175" s="252"/>
      <c r="KH175" s="252"/>
      <c r="KO175" s="66"/>
      <c r="KP175" s="66"/>
      <c r="KQ175" s="66"/>
      <c r="KR175" s="66"/>
      <c r="KS175" s="66"/>
      <c r="KT175" s="66"/>
      <c r="KU175" s="66"/>
      <c r="KV175" s="66"/>
      <c r="KW175" s="66"/>
      <c r="KX175" s="66"/>
      <c r="KY175" s="66"/>
      <c r="KZ175" s="66"/>
      <c r="LA175" s="8"/>
      <c r="LD175" s="252"/>
      <c r="LE175" s="252"/>
      <c r="LF175" s="252"/>
      <c r="LJ175" s="252"/>
      <c r="LK175" s="252"/>
      <c r="LN175" s="252"/>
      <c r="LO175" s="252"/>
      <c r="LP175" s="252"/>
      <c r="LT175" s="271"/>
      <c r="LU175" s="250"/>
      <c r="LV175" s="250"/>
      <c r="LW175" s="250"/>
      <c r="LX175" s="250"/>
      <c r="LY175" s="250"/>
      <c r="LZ175" s="250"/>
      <c r="MA175" s="250"/>
      <c r="MB175" s="250"/>
      <c r="MC175" s="250"/>
      <c r="MD175" s="250"/>
      <c r="ME175" s="250"/>
      <c r="MF175" s="250"/>
      <c r="MG175" s="250"/>
      <c r="MH175" s="250"/>
      <c r="MI175" s="250"/>
      <c r="MJ175" s="250"/>
      <c r="MK175" s="424"/>
      <c r="ML175" s="640"/>
      <c r="MM175" s="251"/>
      <c r="MN175" s="252"/>
      <c r="MO175" s="252"/>
      <c r="MP175" s="252"/>
      <c r="MQ175" s="252"/>
      <c r="MR175" s="252"/>
      <c r="MS175" s="252"/>
      <c r="MT175" s="252"/>
      <c r="MU175" s="252"/>
      <c r="MV175" s="252"/>
      <c r="MW175" s="252"/>
      <c r="MX175" s="252"/>
      <c r="MY175" s="252"/>
      <c r="MZ175" s="252"/>
      <c r="NA175" s="252"/>
      <c r="NB175" s="252"/>
      <c r="NC175" s="251"/>
      <c r="ND175" s="250"/>
      <c r="NE175" s="250"/>
      <c r="NF175" s="250"/>
      <c r="NG175" s="250"/>
      <c r="NH175" s="250"/>
      <c r="NI175" s="250"/>
      <c r="NJ175" s="250"/>
      <c r="NK175" s="250"/>
      <c r="NL175" s="250"/>
      <c r="NM175" s="250"/>
      <c r="NN175" s="250"/>
      <c r="NO175" s="250"/>
      <c r="NP175" s="250"/>
      <c r="NQ175" s="250"/>
      <c r="NR175" s="250"/>
      <c r="NS175" s="250"/>
      <c r="NT175" s="250"/>
      <c r="NU175" s="250"/>
      <c r="NV175" s="250"/>
      <c r="NW175" s="251"/>
      <c r="OT175" s="8"/>
      <c r="QG175" s="8"/>
      <c r="RT175" s="8"/>
    </row>
    <row r="176" spans="1:488" s="282" customFormat="1" x14ac:dyDescent="0.25">
      <c r="A176" s="66"/>
      <c r="B176" s="8"/>
      <c r="C176" s="66"/>
      <c r="D176" s="66"/>
      <c r="E176" s="66"/>
      <c r="F176" s="66"/>
      <c r="G176" s="66"/>
      <c r="H176" s="66"/>
      <c r="I176" s="66"/>
      <c r="J176" s="66"/>
      <c r="K176" s="66"/>
      <c r="L176" s="66"/>
      <c r="M176" s="66"/>
      <c r="N176" s="66"/>
      <c r="O176" s="66"/>
      <c r="P176" s="66"/>
      <c r="Q176" s="66"/>
      <c r="R176" s="66"/>
      <c r="S176" s="66"/>
      <c r="T176" s="68"/>
      <c r="AC176" s="66"/>
      <c r="AD176" s="66"/>
      <c r="AE176" s="68"/>
      <c r="AN176" s="66"/>
      <c r="AO176" s="66"/>
      <c r="AP176" s="68"/>
      <c r="AW176" s="66"/>
      <c r="AX176" s="68"/>
      <c r="BD176" s="66"/>
      <c r="BE176" s="68"/>
      <c r="BF176" s="66"/>
      <c r="BG176" s="66"/>
      <c r="BH176" s="66"/>
      <c r="BI176" s="66"/>
      <c r="BJ176" s="66"/>
      <c r="BK176" s="66"/>
      <c r="BL176" s="68"/>
      <c r="BO176" s="66"/>
      <c r="BP176" s="68"/>
      <c r="BV176" s="66"/>
      <c r="BW176" s="68"/>
      <c r="CB176" s="8"/>
      <c r="CH176" s="8"/>
      <c r="CK176" s="299"/>
      <c r="CL176" s="299"/>
      <c r="CM176" s="66"/>
      <c r="CN176" s="66"/>
      <c r="CO176" s="68"/>
      <c r="CR176" s="8"/>
      <c r="CX176" s="66"/>
      <c r="CY176" s="532"/>
      <c r="DE176" s="66"/>
      <c r="DF176" s="66"/>
      <c r="DG176" s="68"/>
      <c r="DH176" s="68"/>
      <c r="DK176" s="66"/>
      <c r="DL176" s="66"/>
      <c r="DM176" s="66"/>
      <c r="DN176" s="66"/>
      <c r="DO176" s="66"/>
      <c r="DP176" s="66"/>
      <c r="DQ176" s="66"/>
      <c r="DR176" s="66"/>
      <c r="DS176" s="66"/>
      <c r="DT176" s="68"/>
      <c r="DU176" s="66"/>
      <c r="DV176" s="296"/>
      <c r="DW176" s="330"/>
      <c r="DX176" s="631"/>
      <c r="DY176" s="631"/>
      <c r="DZ176" s="631"/>
      <c r="EA176" s="330"/>
      <c r="EC176" s="66"/>
      <c r="ED176" s="68"/>
      <c r="EH176" s="66"/>
      <c r="EI176" s="66"/>
      <c r="EJ176" s="68"/>
      <c r="EK176" s="252"/>
      <c r="EL176" s="252"/>
      <c r="EM176" s="252"/>
      <c r="EO176" s="252"/>
      <c r="EP176" s="252"/>
      <c r="EQ176" s="252"/>
      <c r="ES176" s="252"/>
      <c r="ET176" s="252"/>
      <c r="EU176" s="252"/>
      <c r="EW176" s="252"/>
      <c r="EX176" s="252"/>
      <c r="EY176" s="252"/>
      <c r="FA176" s="250"/>
      <c r="FB176" s="250"/>
      <c r="FC176" s="250"/>
      <c r="FD176" s="250"/>
      <c r="FE176" s="250"/>
      <c r="FF176" s="250"/>
      <c r="FG176" s="250"/>
      <c r="FH176" s="424"/>
      <c r="FI176" s="250"/>
      <c r="FJ176" s="250"/>
      <c r="FK176" s="250"/>
      <c r="FL176" s="256"/>
      <c r="FM176" s="250"/>
      <c r="FN176" s="256"/>
      <c r="FO176" s="250"/>
      <c r="FP176" s="256"/>
      <c r="FQ176" s="250"/>
      <c r="FR176" s="256"/>
      <c r="FS176" s="250"/>
      <c r="FT176" s="256"/>
      <c r="FU176" s="256"/>
      <c r="FV176" s="256"/>
      <c r="FW176" s="250"/>
      <c r="FX176" s="424"/>
      <c r="FY176" s="251"/>
      <c r="GC176" s="252"/>
      <c r="GF176" s="252"/>
      <c r="GG176" s="252"/>
      <c r="GH176" s="252"/>
      <c r="GI176" s="252"/>
      <c r="GJ176" s="252"/>
      <c r="GK176" s="251"/>
      <c r="GL176" s="250"/>
      <c r="GM176" s="250"/>
      <c r="GN176" s="250"/>
      <c r="GO176" s="250"/>
      <c r="GP176" s="250"/>
      <c r="GQ176" s="250"/>
      <c r="GR176" s="250"/>
      <c r="GS176" s="250"/>
      <c r="GT176" s="250"/>
      <c r="GU176" s="251"/>
      <c r="GV176" s="250"/>
      <c r="GW176" s="250"/>
      <c r="GX176" s="250"/>
      <c r="GY176" s="250"/>
      <c r="GZ176" s="250"/>
      <c r="HA176" s="250"/>
      <c r="HB176" s="250"/>
      <c r="HC176" s="250"/>
      <c r="HD176" s="250"/>
      <c r="HE176" s="250"/>
      <c r="HF176" s="250"/>
      <c r="HG176" s="250"/>
      <c r="HH176" s="251"/>
      <c r="HI176" s="424"/>
      <c r="HJ176" s="255"/>
      <c r="HK176" s="255"/>
      <c r="HL176" s="250"/>
      <c r="HM176" s="255"/>
      <c r="HN176" s="255"/>
      <c r="HO176" s="255"/>
      <c r="HP176" s="250"/>
      <c r="HQ176" s="250"/>
      <c r="HR176" s="250"/>
      <c r="HS176" s="250"/>
      <c r="HT176" s="250"/>
      <c r="HU176" s="251"/>
      <c r="HX176" s="252"/>
      <c r="HY176" s="252"/>
      <c r="HZ176" s="252"/>
      <c r="ID176" s="252"/>
      <c r="IE176" s="252"/>
      <c r="IF176" s="252"/>
      <c r="IJ176" s="252"/>
      <c r="IK176" s="252"/>
      <c r="IL176" s="252"/>
      <c r="IP176" s="252"/>
      <c r="IQ176" s="252"/>
      <c r="IR176" s="252"/>
      <c r="IY176" s="66"/>
      <c r="IZ176" s="66"/>
      <c r="JA176" s="66"/>
      <c r="JB176" s="250"/>
      <c r="JC176" s="66"/>
      <c r="JD176" s="66"/>
      <c r="JE176" s="66"/>
      <c r="JF176" s="66"/>
      <c r="JG176" s="66"/>
      <c r="JH176" s="66"/>
      <c r="JI176" s="66"/>
      <c r="JJ176" s="66"/>
      <c r="JK176" s="8"/>
      <c r="JN176" s="252"/>
      <c r="JO176" s="252"/>
      <c r="JP176" s="252"/>
      <c r="JT176" s="252"/>
      <c r="JU176" s="252"/>
      <c r="JV176" s="252"/>
      <c r="JZ176" s="252"/>
      <c r="KA176" s="252"/>
      <c r="KB176" s="252"/>
      <c r="KF176" s="252"/>
      <c r="KG176" s="252"/>
      <c r="KH176" s="252"/>
      <c r="KO176" s="66"/>
      <c r="KP176" s="66"/>
      <c r="KQ176" s="66"/>
      <c r="KR176" s="66"/>
      <c r="KS176" s="66"/>
      <c r="KT176" s="66"/>
      <c r="KU176" s="66"/>
      <c r="KV176" s="66"/>
      <c r="KW176" s="66"/>
      <c r="KX176" s="66"/>
      <c r="KY176" s="66"/>
      <c r="KZ176" s="66"/>
      <c r="LA176" s="8"/>
      <c r="LD176" s="252"/>
      <c r="LE176" s="252"/>
      <c r="LF176" s="252"/>
      <c r="LJ176" s="252"/>
      <c r="LK176" s="252"/>
      <c r="LN176" s="252"/>
      <c r="LO176" s="252"/>
      <c r="LP176" s="252"/>
      <c r="LT176" s="271"/>
      <c r="LU176" s="250"/>
      <c r="LV176" s="250"/>
      <c r="LW176" s="250"/>
      <c r="LX176" s="250"/>
      <c r="LY176" s="250"/>
      <c r="LZ176" s="250"/>
      <c r="MA176" s="250"/>
      <c r="MB176" s="250"/>
      <c r="MC176" s="250"/>
      <c r="MD176" s="250"/>
      <c r="ME176" s="250"/>
      <c r="MF176" s="250"/>
      <c r="MG176" s="250"/>
      <c r="MH176" s="250"/>
      <c r="MI176" s="250"/>
      <c r="MJ176" s="250"/>
      <c r="MK176" s="424"/>
      <c r="ML176" s="640"/>
      <c r="MM176" s="251"/>
      <c r="MN176" s="252"/>
      <c r="MO176" s="252"/>
      <c r="MP176" s="252"/>
      <c r="MQ176" s="252"/>
      <c r="MR176" s="252"/>
      <c r="MS176" s="252"/>
      <c r="MT176" s="252"/>
      <c r="MU176" s="252"/>
      <c r="MV176" s="252"/>
      <c r="MW176" s="252"/>
      <c r="MX176" s="252"/>
      <c r="MY176" s="252"/>
      <c r="MZ176" s="252"/>
      <c r="NA176" s="252"/>
      <c r="NB176" s="252"/>
      <c r="NC176" s="251"/>
      <c r="ND176" s="250"/>
      <c r="NE176" s="250"/>
      <c r="NF176" s="250"/>
      <c r="NG176" s="250"/>
      <c r="NH176" s="250"/>
      <c r="NI176" s="250"/>
      <c r="NJ176" s="250"/>
      <c r="NK176" s="250"/>
      <c r="NL176" s="250"/>
      <c r="NM176" s="250"/>
      <c r="NN176" s="250"/>
      <c r="NO176" s="250"/>
      <c r="NP176" s="250"/>
      <c r="NQ176" s="250"/>
      <c r="NR176" s="250"/>
      <c r="NS176" s="250"/>
      <c r="NT176" s="250"/>
      <c r="NU176" s="250"/>
      <c r="NV176" s="250"/>
      <c r="NW176" s="251"/>
      <c r="OT176" s="8"/>
      <c r="QG176" s="8"/>
      <c r="RT176" s="8"/>
    </row>
    <row r="177" spans="1:488" s="282" customFormat="1" x14ac:dyDescent="0.25">
      <c r="A177" s="66"/>
      <c r="B177" s="8"/>
      <c r="C177" s="66"/>
      <c r="D177" s="66"/>
      <c r="E177" s="66"/>
      <c r="F177" s="66"/>
      <c r="G177" s="66"/>
      <c r="H177" s="66"/>
      <c r="I177" s="66"/>
      <c r="J177" s="66"/>
      <c r="K177" s="66"/>
      <c r="L177" s="66"/>
      <c r="M177" s="66"/>
      <c r="N177" s="66"/>
      <c r="O177" s="66"/>
      <c r="P177" s="66"/>
      <c r="Q177" s="66"/>
      <c r="R177" s="66"/>
      <c r="S177" s="66"/>
      <c r="T177" s="68"/>
      <c r="AC177" s="66"/>
      <c r="AD177" s="66"/>
      <c r="AE177" s="68"/>
      <c r="AN177" s="66"/>
      <c r="AO177" s="66"/>
      <c r="AP177" s="68"/>
      <c r="AW177" s="66"/>
      <c r="AX177" s="68"/>
      <c r="BD177" s="66"/>
      <c r="BE177" s="68"/>
      <c r="BF177" s="66"/>
      <c r="BG177" s="66"/>
      <c r="BH177" s="66"/>
      <c r="BI177" s="66"/>
      <c r="BJ177" s="66"/>
      <c r="BK177" s="66"/>
      <c r="BL177" s="68"/>
      <c r="BO177" s="66"/>
      <c r="BP177" s="68"/>
      <c r="BV177" s="66"/>
      <c r="BW177" s="68"/>
      <c r="CB177" s="8"/>
      <c r="CH177" s="8"/>
      <c r="CK177" s="299"/>
      <c r="CL177" s="299"/>
      <c r="CM177" s="66"/>
      <c r="CN177" s="66"/>
      <c r="CO177" s="68"/>
      <c r="CR177" s="8"/>
      <c r="CX177" s="66"/>
      <c r="CY177" s="532"/>
      <c r="DE177" s="66"/>
      <c r="DF177" s="66"/>
      <c r="DG177" s="68"/>
      <c r="DH177" s="68"/>
      <c r="DK177" s="66"/>
      <c r="DL177" s="66"/>
      <c r="DM177" s="66"/>
      <c r="DN177" s="66"/>
      <c r="DO177" s="66"/>
      <c r="DP177" s="66"/>
      <c r="DQ177" s="66"/>
      <c r="DR177" s="66"/>
      <c r="DS177" s="66"/>
      <c r="DT177" s="68"/>
      <c r="DU177" s="66"/>
      <c r="DV177" s="296"/>
      <c r="DW177" s="330"/>
      <c r="DX177" s="631"/>
      <c r="DY177" s="631"/>
      <c r="DZ177" s="631"/>
      <c r="EA177" s="330"/>
      <c r="EC177" s="66"/>
      <c r="ED177" s="68"/>
      <c r="EH177" s="66"/>
      <c r="EI177" s="66"/>
      <c r="EJ177" s="68"/>
      <c r="EK177" s="252"/>
      <c r="EL177" s="252"/>
      <c r="EM177" s="252"/>
      <c r="EO177" s="252"/>
      <c r="EP177" s="252"/>
      <c r="EQ177" s="252"/>
      <c r="ES177" s="252"/>
      <c r="ET177" s="252"/>
      <c r="EU177" s="252"/>
      <c r="EW177" s="252"/>
      <c r="EX177" s="252"/>
      <c r="EY177" s="252"/>
      <c r="FA177" s="250"/>
      <c r="FB177" s="250"/>
      <c r="FC177" s="250"/>
      <c r="FD177" s="250"/>
      <c r="FE177" s="250"/>
      <c r="FF177" s="250"/>
      <c r="FG177" s="250"/>
      <c r="FH177" s="424"/>
      <c r="FI177" s="250"/>
      <c r="FJ177" s="250"/>
      <c r="FK177" s="250"/>
      <c r="FL177" s="256"/>
      <c r="FM177" s="250"/>
      <c r="FN177" s="256"/>
      <c r="FO177" s="250"/>
      <c r="FP177" s="256"/>
      <c r="FQ177" s="250"/>
      <c r="FR177" s="256"/>
      <c r="FS177" s="250"/>
      <c r="FT177" s="256"/>
      <c r="FU177" s="256"/>
      <c r="FV177" s="256"/>
      <c r="FW177" s="250"/>
      <c r="FX177" s="424"/>
      <c r="FY177" s="251"/>
      <c r="GC177" s="252"/>
      <c r="GF177" s="252"/>
      <c r="GG177" s="252"/>
      <c r="GH177" s="252"/>
      <c r="GI177" s="252"/>
      <c r="GJ177" s="252"/>
      <c r="GK177" s="251"/>
      <c r="GL177" s="250"/>
      <c r="GM177" s="250"/>
      <c r="GN177" s="250"/>
      <c r="GO177" s="250"/>
      <c r="GP177" s="250"/>
      <c r="GQ177" s="250"/>
      <c r="GR177" s="250"/>
      <c r="GS177" s="250"/>
      <c r="GT177" s="250"/>
      <c r="GU177" s="251"/>
      <c r="GV177" s="250"/>
      <c r="GW177" s="250"/>
      <c r="GX177" s="250"/>
      <c r="GY177" s="250"/>
      <c r="GZ177" s="250"/>
      <c r="HA177" s="250"/>
      <c r="HB177" s="250"/>
      <c r="HC177" s="250"/>
      <c r="HD177" s="250"/>
      <c r="HE177" s="250"/>
      <c r="HF177" s="250"/>
      <c r="HG177" s="250"/>
      <c r="HH177" s="251"/>
      <c r="HI177" s="424"/>
      <c r="HJ177" s="255"/>
      <c r="HK177" s="255"/>
      <c r="HL177" s="250"/>
      <c r="HM177" s="255"/>
      <c r="HN177" s="255"/>
      <c r="HO177" s="255"/>
      <c r="HP177" s="250"/>
      <c r="HQ177" s="250"/>
      <c r="HR177" s="250"/>
      <c r="HS177" s="250"/>
      <c r="HT177" s="250"/>
      <c r="HU177" s="251"/>
      <c r="HX177" s="252"/>
      <c r="HY177" s="252"/>
      <c r="HZ177" s="252"/>
      <c r="ID177" s="252"/>
      <c r="IE177" s="252"/>
      <c r="IF177" s="252"/>
      <c r="IJ177" s="252"/>
      <c r="IK177" s="252"/>
      <c r="IL177" s="252"/>
      <c r="IP177" s="252"/>
      <c r="IQ177" s="252"/>
      <c r="IR177" s="252"/>
      <c r="IY177" s="66"/>
      <c r="IZ177" s="66"/>
      <c r="JA177" s="66"/>
      <c r="JB177" s="250"/>
      <c r="JC177" s="66"/>
      <c r="JD177" s="66"/>
      <c r="JE177" s="66"/>
      <c r="JF177" s="66"/>
      <c r="JG177" s="66"/>
      <c r="JH177" s="66"/>
      <c r="JI177" s="66"/>
      <c r="JJ177" s="66"/>
      <c r="JK177" s="8"/>
      <c r="JN177" s="252"/>
      <c r="JO177" s="252"/>
      <c r="JP177" s="252"/>
      <c r="JT177" s="252"/>
      <c r="JU177" s="252"/>
      <c r="JV177" s="252"/>
      <c r="JZ177" s="252"/>
      <c r="KA177" s="252"/>
      <c r="KB177" s="252"/>
      <c r="KF177" s="252"/>
      <c r="KG177" s="252"/>
      <c r="KH177" s="252"/>
      <c r="KO177" s="66"/>
      <c r="KP177" s="66"/>
      <c r="KQ177" s="66"/>
      <c r="KR177" s="66"/>
      <c r="KS177" s="66"/>
      <c r="KT177" s="66"/>
      <c r="KU177" s="66"/>
      <c r="KV177" s="66"/>
      <c r="KW177" s="66"/>
      <c r="KX177" s="66"/>
      <c r="KY177" s="66"/>
      <c r="KZ177" s="66"/>
      <c r="LA177" s="8"/>
      <c r="LD177" s="252"/>
      <c r="LE177" s="252"/>
      <c r="LF177" s="252"/>
      <c r="LJ177" s="252"/>
      <c r="LK177" s="252"/>
      <c r="LN177" s="252"/>
      <c r="LO177" s="252"/>
      <c r="LP177" s="252"/>
      <c r="LT177" s="271"/>
      <c r="LU177" s="250"/>
      <c r="LV177" s="250"/>
      <c r="LW177" s="250"/>
      <c r="LX177" s="250"/>
      <c r="LY177" s="250"/>
      <c r="LZ177" s="250"/>
      <c r="MA177" s="250"/>
      <c r="MB177" s="250"/>
      <c r="MC177" s="250"/>
      <c r="MD177" s="250"/>
      <c r="ME177" s="250"/>
      <c r="MF177" s="250"/>
      <c r="MG177" s="250"/>
      <c r="MH177" s="250"/>
      <c r="MI177" s="250"/>
      <c r="MJ177" s="250"/>
      <c r="MK177" s="424"/>
      <c r="ML177" s="640"/>
      <c r="MM177" s="251"/>
      <c r="MN177" s="252"/>
      <c r="MO177" s="252"/>
      <c r="MP177" s="252"/>
      <c r="MQ177" s="252"/>
      <c r="MR177" s="252"/>
      <c r="MS177" s="252"/>
      <c r="MT177" s="252"/>
      <c r="MU177" s="252"/>
      <c r="MV177" s="252"/>
      <c r="MW177" s="252"/>
      <c r="MX177" s="252"/>
      <c r="MY177" s="252"/>
      <c r="MZ177" s="252"/>
      <c r="NA177" s="252"/>
      <c r="NB177" s="252"/>
      <c r="NC177" s="251"/>
      <c r="ND177" s="250"/>
      <c r="NE177" s="250"/>
      <c r="NF177" s="250"/>
      <c r="NG177" s="250"/>
      <c r="NH177" s="250"/>
      <c r="NI177" s="250"/>
      <c r="NJ177" s="250"/>
      <c r="NK177" s="250"/>
      <c r="NL177" s="250"/>
      <c r="NM177" s="250"/>
      <c r="NN177" s="250"/>
      <c r="NO177" s="250"/>
      <c r="NP177" s="250"/>
      <c r="NQ177" s="250"/>
      <c r="NR177" s="250"/>
      <c r="NS177" s="250"/>
      <c r="NT177" s="250"/>
      <c r="NU177" s="250"/>
      <c r="NV177" s="250"/>
      <c r="NW177" s="251"/>
      <c r="OT177" s="8"/>
      <c r="QG177" s="8"/>
      <c r="RT177" s="8"/>
    </row>
    <row r="178" spans="1:488" s="282" customFormat="1" x14ac:dyDescent="0.25">
      <c r="A178" s="66"/>
      <c r="B178" s="8"/>
      <c r="C178" s="66"/>
      <c r="D178" s="66"/>
      <c r="E178" s="66"/>
      <c r="F178" s="66"/>
      <c r="G178" s="66"/>
      <c r="H178" s="66"/>
      <c r="I178" s="66"/>
      <c r="J178" s="66"/>
      <c r="K178" s="66"/>
      <c r="L178" s="66"/>
      <c r="M178" s="66"/>
      <c r="N178" s="66"/>
      <c r="O178" s="66"/>
      <c r="P178" s="66"/>
      <c r="Q178" s="66"/>
      <c r="R178" s="66"/>
      <c r="S178" s="66"/>
      <c r="T178" s="68"/>
      <c r="AC178" s="66"/>
      <c r="AD178" s="66"/>
      <c r="AE178" s="68"/>
      <c r="AN178" s="66"/>
      <c r="AO178" s="66"/>
      <c r="AP178" s="68"/>
      <c r="AW178" s="66"/>
      <c r="AX178" s="68"/>
      <c r="BD178" s="66"/>
      <c r="BE178" s="68"/>
      <c r="BF178" s="66"/>
      <c r="BG178" s="66"/>
      <c r="BH178" s="66"/>
      <c r="BI178" s="66"/>
      <c r="BJ178" s="66"/>
      <c r="BK178" s="66"/>
      <c r="BL178" s="68"/>
      <c r="BO178" s="66"/>
      <c r="BP178" s="68"/>
      <c r="BV178" s="66"/>
      <c r="BW178" s="68"/>
      <c r="CB178" s="8"/>
      <c r="CH178" s="8"/>
      <c r="CK178" s="299"/>
      <c r="CL178" s="299"/>
      <c r="CM178" s="66"/>
      <c r="CN178" s="66"/>
      <c r="CO178" s="68"/>
      <c r="CR178" s="8"/>
      <c r="CX178" s="66"/>
      <c r="CY178" s="532"/>
      <c r="DE178" s="66"/>
      <c r="DF178" s="66"/>
      <c r="DG178" s="68"/>
      <c r="DH178" s="68"/>
      <c r="DK178" s="66"/>
      <c r="DL178" s="66"/>
      <c r="DM178" s="66"/>
      <c r="DN178" s="66"/>
      <c r="DO178" s="66"/>
      <c r="DP178" s="66"/>
      <c r="DQ178" s="66"/>
      <c r="DR178" s="66"/>
      <c r="DS178" s="66"/>
      <c r="DT178" s="68"/>
      <c r="DU178" s="66"/>
      <c r="DV178" s="296"/>
      <c r="DW178" s="330"/>
      <c r="DX178" s="631"/>
      <c r="DY178" s="631"/>
      <c r="DZ178" s="631"/>
      <c r="EA178" s="330"/>
      <c r="EC178" s="66"/>
      <c r="ED178" s="68"/>
      <c r="EH178" s="66"/>
      <c r="EI178" s="66"/>
      <c r="EJ178" s="68"/>
      <c r="EK178" s="252"/>
      <c r="EL178" s="252"/>
      <c r="EM178" s="252"/>
      <c r="EO178" s="252"/>
      <c r="EP178" s="252"/>
      <c r="EQ178" s="252"/>
      <c r="ES178" s="252"/>
      <c r="ET178" s="252"/>
      <c r="EU178" s="252"/>
      <c r="EW178" s="252"/>
      <c r="EX178" s="252"/>
      <c r="EY178" s="252"/>
      <c r="FA178" s="250"/>
      <c r="FB178" s="250"/>
      <c r="FC178" s="250"/>
      <c r="FD178" s="250"/>
      <c r="FE178" s="250"/>
      <c r="FF178" s="250"/>
      <c r="FG178" s="250"/>
      <c r="FH178" s="424"/>
      <c r="FI178" s="250"/>
      <c r="FJ178" s="250"/>
      <c r="FK178" s="250"/>
      <c r="FL178" s="256"/>
      <c r="FM178" s="250"/>
      <c r="FN178" s="256"/>
      <c r="FO178" s="250"/>
      <c r="FP178" s="256"/>
      <c r="FQ178" s="250"/>
      <c r="FR178" s="256"/>
      <c r="FS178" s="250"/>
      <c r="FT178" s="256"/>
      <c r="FU178" s="256"/>
      <c r="FV178" s="256"/>
      <c r="FW178" s="250"/>
      <c r="FX178" s="424"/>
      <c r="FY178" s="251"/>
      <c r="GC178" s="252"/>
      <c r="GF178" s="252"/>
      <c r="GG178" s="252"/>
      <c r="GH178" s="252"/>
      <c r="GI178" s="252"/>
      <c r="GJ178" s="252"/>
      <c r="GK178" s="251"/>
      <c r="GL178" s="250"/>
      <c r="GM178" s="250"/>
      <c r="GN178" s="250"/>
      <c r="GO178" s="250"/>
      <c r="GP178" s="250"/>
      <c r="GQ178" s="250"/>
      <c r="GR178" s="250"/>
      <c r="GS178" s="250"/>
      <c r="GT178" s="250"/>
      <c r="GU178" s="251"/>
      <c r="GV178" s="250"/>
      <c r="GW178" s="250"/>
      <c r="GX178" s="250"/>
      <c r="GY178" s="250"/>
      <c r="GZ178" s="250"/>
      <c r="HA178" s="250"/>
      <c r="HB178" s="250"/>
      <c r="HC178" s="250"/>
      <c r="HD178" s="250"/>
      <c r="HE178" s="250"/>
      <c r="HF178" s="250"/>
      <c r="HG178" s="250"/>
      <c r="HH178" s="251"/>
      <c r="HI178" s="424"/>
      <c r="HJ178" s="255"/>
      <c r="HK178" s="255"/>
      <c r="HL178" s="250"/>
      <c r="HM178" s="255"/>
      <c r="HN178" s="255"/>
      <c r="HO178" s="255"/>
      <c r="HP178" s="250"/>
      <c r="HQ178" s="250"/>
      <c r="HR178" s="250"/>
      <c r="HS178" s="250"/>
      <c r="HT178" s="250"/>
      <c r="HU178" s="251"/>
      <c r="HX178" s="252"/>
      <c r="HY178" s="252"/>
      <c r="HZ178" s="252"/>
      <c r="ID178" s="252"/>
      <c r="IE178" s="252"/>
      <c r="IF178" s="252"/>
      <c r="IJ178" s="252"/>
      <c r="IK178" s="252"/>
      <c r="IL178" s="252"/>
      <c r="IP178" s="252"/>
      <c r="IQ178" s="252"/>
      <c r="IR178" s="252"/>
      <c r="IY178" s="66"/>
      <c r="IZ178" s="66"/>
      <c r="JA178" s="66"/>
      <c r="JB178" s="250"/>
      <c r="JC178" s="66"/>
      <c r="JD178" s="66"/>
      <c r="JE178" s="66"/>
      <c r="JF178" s="66"/>
      <c r="JG178" s="66"/>
      <c r="JH178" s="66"/>
      <c r="JI178" s="66"/>
      <c r="JJ178" s="66"/>
      <c r="JK178" s="8"/>
      <c r="JN178" s="252"/>
      <c r="JO178" s="252"/>
      <c r="JP178" s="252"/>
      <c r="JT178" s="252"/>
      <c r="JU178" s="252"/>
      <c r="JV178" s="252"/>
      <c r="JZ178" s="252"/>
      <c r="KA178" s="252"/>
      <c r="KB178" s="252"/>
      <c r="KF178" s="252"/>
      <c r="KG178" s="252"/>
      <c r="KH178" s="252"/>
      <c r="KO178" s="66"/>
      <c r="KP178" s="66"/>
      <c r="KQ178" s="66"/>
      <c r="KR178" s="66"/>
      <c r="KS178" s="66"/>
      <c r="KT178" s="66"/>
      <c r="KU178" s="66"/>
      <c r="KV178" s="66"/>
      <c r="KW178" s="66"/>
      <c r="KX178" s="66"/>
      <c r="KY178" s="66"/>
      <c r="KZ178" s="66"/>
      <c r="LA178" s="8"/>
      <c r="LD178" s="252"/>
      <c r="LE178" s="252"/>
      <c r="LF178" s="252"/>
      <c r="LJ178" s="252"/>
      <c r="LK178" s="252"/>
      <c r="LN178" s="252"/>
      <c r="LO178" s="252"/>
      <c r="LP178" s="252"/>
      <c r="LT178" s="271"/>
      <c r="LU178" s="250"/>
      <c r="LV178" s="250"/>
      <c r="LW178" s="250"/>
      <c r="LX178" s="250"/>
      <c r="LY178" s="250"/>
      <c r="LZ178" s="250"/>
      <c r="MA178" s="250"/>
      <c r="MB178" s="250"/>
      <c r="MC178" s="250"/>
      <c r="MD178" s="250"/>
      <c r="ME178" s="250"/>
      <c r="MF178" s="250"/>
      <c r="MG178" s="250"/>
      <c r="MH178" s="250"/>
      <c r="MI178" s="250"/>
      <c r="MJ178" s="250"/>
      <c r="MK178" s="424"/>
      <c r="ML178" s="640"/>
      <c r="MM178" s="251"/>
      <c r="MN178" s="252"/>
      <c r="MO178" s="252"/>
      <c r="MP178" s="252"/>
      <c r="MQ178" s="252"/>
      <c r="MR178" s="252"/>
      <c r="MS178" s="252"/>
      <c r="MT178" s="252"/>
      <c r="MU178" s="252"/>
      <c r="MV178" s="252"/>
      <c r="MW178" s="252"/>
      <c r="MX178" s="252"/>
      <c r="MY178" s="252"/>
      <c r="MZ178" s="252"/>
      <c r="NA178" s="252"/>
      <c r="NB178" s="252"/>
      <c r="NC178" s="251"/>
      <c r="ND178" s="250"/>
      <c r="NE178" s="250"/>
      <c r="NF178" s="250"/>
      <c r="NG178" s="250"/>
      <c r="NH178" s="250"/>
      <c r="NI178" s="250"/>
      <c r="NJ178" s="250"/>
      <c r="NK178" s="250"/>
      <c r="NL178" s="250"/>
      <c r="NM178" s="250"/>
      <c r="NN178" s="250"/>
      <c r="NO178" s="250"/>
      <c r="NP178" s="250"/>
      <c r="NQ178" s="250"/>
      <c r="NR178" s="250"/>
      <c r="NS178" s="250"/>
      <c r="NT178" s="250"/>
      <c r="NU178" s="250"/>
      <c r="NV178" s="250"/>
      <c r="NW178" s="251"/>
      <c r="OT178" s="8"/>
      <c r="QG178" s="8"/>
      <c r="RT178" s="8"/>
    </row>
    <row r="179" spans="1:488" s="282" customFormat="1" x14ac:dyDescent="0.25">
      <c r="A179" s="66"/>
      <c r="B179" s="8"/>
      <c r="C179" s="66"/>
      <c r="D179" s="66"/>
      <c r="E179" s="66"/>
      <c r="F179" s="66"/>
      <c r="G179" s="66"/>
      <c r="H179" s="66"/>
      <c r="I179" s="66"/>
      <c r="J179" s="66"/>
      <c r="K179" s="66"/>
      <c r="L179" s="66"/>
      <c r="M179" s="66"/>
      <c r="N179" s="66"/>
      <c r="O179" s="66"/>
      <c r="P179" s="66"/>
      <c r="Q179" s="66"/>
      <c r="R179" s="66"/>
      <c r="S179" s="66"/>
      <c r="T179" s="68"/>
      <c r="AC179" s="66"/>
      <c r="AD179" s="66"/>
      <c r="AE179" s="68"/>
      <c r="AN179" s="66"/>
      <c r="AO179" s="66"/>
      <c r="AP179" s="68"/>
      <c r="AW179" s="66"/>
      <c r="AX179" s="68"/>
      <c r="BD179" s="66"/>
      <c r="BE179" s="68"/>
      <c r="BF179" s="66"/>
      <c r="BG179" s="66"/>
      <c r="BH179" s="66"/>
      <c r="BI179" s="66"/>
      <c r="BJ179" s="66"/>
      <c r="BK179" s="66"/>
      <c r="BL179" s="68"/>
      <c r="BO179" s="66"/>
      <c r="BP179" s="68"/>
      <c r="BV179" s="66"/>
      <c r="BW179" s="68"/>
      <c r="CB179" s="8"/>
      <c r="CH179" s="8"/>
      <c r="CK179" s="299"/>
      <c r="CL179" s="299"/>
      <c r="CM179" s="66"/>
      <c r="CN179" s="66"/>
      <c r="CO179" s="68"/>
      <c r="CR179" s="8"/>
      <c r="CX179" s="66"/>
      <c r="CY179" s="532"/>
      <c r="DE179" s="66"/>
      <c r="DF179" s="66"/>
      <c r="DG179" s="68"/>
      <c r="DH179" s="68"/>
      <c r="DK179" s="66"/>
      <c r="DL179" s="66"/>
      <c r="DM179" s="66"/>
      <c r="DN179" s="66"/>
      <c r="DO179" s="66"/>
      <c r="DP179" s="66"/>
      <c r="DQ179" s="66"/>
      <c r="DR179" s="66"/>
      <c r="DS179" s="66"/>
      <c r="DT179" s="68"/>
      <c r="DU179" s="66"/>
      <c r="DV179" s="296"/>
      <c r="DW179" s="330"/>
      <c r="DX179" s="631"/>
      <c r="DY179" s="631"/>
      <c r="DZ179" s="631"/>
      <c r="EA179" s="330"/>
      <c r="EC179" s="66"/>
      <c r="ED179" s="68"/>
      <c r="EH179" s="66"/>
      <c r="EI179" s="66"/>
      <c r="EJ179" s="68"/>
      <c r="EK179" s="252"/>
      <c r="EL179" s="252"/>
      <c r="EM179" s="252"/>
      <c r="EO179" s="252"/>
      <c r="EP179" s="252"/>
      <c r="EQ179" s="252"/>
      <c r="ES179" s="252"/>
      <c r="ET179" s="252"/>
      <c r="EU179" s="252"/>
      <c r="EW179" s="252"/>
      <c r="EX179" s="252"/>
      <c r="EY179" s="252"/>
      <c r="FA179" s="250"/>
      <c r="FB179" s="250"/>
      <c r="FC179" s="250"/>
      <c r="FD179" s="250"/>
      <c r="FE179" s="250"/>
      <c r="FF179" s="250"/>
      <c r="FG179" s="250"/>
      <c r="FH179" s="424"/>
      <c r="FI179" s="250"/>
      <c r="FJ179" s="250"/>
      <c r="FK179" s="250"/>
      <c r="FL179" s="256"/>
      <c r="FM179" s="250"/>
      <c r="FN179" s="256"/>
      <c r="FO179" s="250"/>
      <c r="FP179" s="256"/>
      <c r="FQ179" s="250"/>
      <c r="FR179" s="256"/>
      <c r="FS179" s="250"/>
      <c r="FT179" s="256"/>
      <c r="FU179" s="256"/>
      <c r="FV179" s="256"/>
      <c r="FW179" s="250"/>
      <c r="FX179" s="424"/>
      <c r="FY179" s="251"/>
      <c r="GC179" s="252"/>
      <c r="GF179" s="252"/>
      <c r="GG179" s="252"/>
      <c r="GH179" s="252"/>
      <c r="GI179" s="252"/>
      <c r="GJ179" s="252"/>
      <c r="GK179" s="251"/>
      <c r="GL179" s="250"/>
      <c r="GM179" s="250"/>
      <c r="GN179" s="250"/>
      <c r="GO179" s="250"/>
      <c r="GP179" s="250"/>
      <c r="GQ179" s="250"/>
      <c r="GR179" s="250"/>
      <c r="GS179" s="250"/>
      <c r="GT179" s="250"/>
      <c r="GU179" s="251"/>
      <c r="GV179" s="250"/>
      <c r="GW179" s="250"/>
      <c r="GX179" s="250"/>
      <c r="GY179" s="250"/>
      <c r="GZ179" s="250"/>
      <c r="HA179" s="250"/>
      <c r="HB179" s="250"/>
      <c r="HC179" s="250"/>
      <c r="HD179" s="250"/>
      <c r="HE179" s="250"/>
      <c r="HF179" s="250"/>
      <c r="HG179" s="250"/>
      <c r="HH179" s="251"/>
      <c r="HI179" s="424"/>
      <c r="HJ179" s="255"/>
      <c r="HK179" s="255"/>
      <c r="HL179" s="250"/>
      <c r="HM179" s="255"/>
      <c r="HN179" s="255"/>
      <c r="HO179" s="255"/>
      <c r="HP179" s="250"/>
      <c r="HQ179" s="250"/>
      <c r="HR179" s="250"/>
      <c r="HS179" s="250"/>
      <c r="HT179" s="250"/>
      <c r="HU179" s="251"/>
      <c r="HX179" s="252"/>
      <c r="HY179" s="252"/>
      <c r="HZ179" s="252"/>
      <c r="ID179" s="252"/>
      <c r="IE179" s="252"/>
      <c r="IF179" s="252"/>
      <c r="IJ179" s="252"/>
      <c r="IK179" s="252"/>
      <c r="IL179" s="252"/>
      <c r="IP179" s="252"/>
      <c r="IQ179" s="252"/>
      <c r="IR179" s="252"/>
      <c r="IY179" s="66"/>
      <c r="IZ179" s="66"/>
      <c r="JA179" s="66"/>
      <c r="JB179" s="250"/>
      <c r="JC179" s="66"/>
      <c r="JD179" s="66"/>
      <c r="JE179" s="66"/>
      <c r="JF179" s="66"/>
      <c r="JG179" s="66"/>
      <c r="JH179" s="66"/>
      <c r="JI179" s="66"/>
      <c r="JJ179" s="66"/>
      <c r="JK179" s="8"/>
      <c r="JN179" s="252"/>
      <c r="JO179" s="252"/>
      <c r="JP179" s="252"/>
      <c r="JT179" s="252"/>
      <c r="JU179" s="252"/>
      <c r="JV179" s="252"/>
      <c r="JZ179" s="252"/>
      <c r="KA179" s="252"/>
      <c r="KB179" s="252"/>
      <c r="KF179" s="252"/>
      <c r="KG179" s="252"/>
      <c r="KH179" s="252"/>
      <c r="KO179" s="66"/>
      <c r="KP179" s="66"/>
      <c r="KQ179" s="66"/>
      <c r="KR179" s="66"/>
      <c r="KS179" s="66"/>
      <c r="KT179" s="66"/>
      <c r="KU179" s="66"/>
      <c r="KV179" s="66"/>
      <c r="KW179" s="66"/>
      <c r="KX179" s="66"/>
      <c r="KY179" s="66"/>
      <c r="KZ179" s="66"/>
      <c r="LA179" s="8"/>
      <c r="LD179" s="252"/>
      <c r="LE179" s="252"/>
      <c r="LF179" s="252"/>
      <c r="LJ179" s="252"/>
      <c r="LK179" s="252"/>
      <c r="LN179" s="252"/>
      <c r="LO179" s="252"/>
      <c r="LP179" s="252"/>
      <c r="LT179" s="271"/>
      <c r="LU179" s="250"/>
      <c r="LV179" s="250"/>
      <c r="LW179" s="250"/>
      <c r="LX179" s="250"/>
      <c r="LY179" s="250"/>
      <c r="LZ179" s="250"/>
      <c r="MA179" s="250"/>
      <c r="MB179" s="250"/>
      <c r="MC179" s="250"/>
      <c r="MD179" s="250"/>
      <c r="ME179" s="250"/>
      <c r="MF179" s="250"/>
      <c r="MG179" s="250"/>
      <c r="MH179" s="250"/>
      <c r="MI179" s="250"/>
      <c r="MJ179" s="250"/>
      <c r="MK179" s="424"/>
      <c r="ML179" s="640"/>
      <c r="MM179" s="251"/>
      <c r="MN179" s="252"/>
      <c r="MO179" s="252"/>
      <c r="MP179" s="252"/>
      <c r="MQ179" s="252"/>
      <c r="MR179" s="252"/>
      <c r="MS179" s="252"/>
      <c r="MT179" s="252"/>
      <c r="MU179" s="252"/>
      <c r="MV179" s="252"/>
      <c r="MW179" s="252"/>
      <c r="MX179" s="252"/>
      <c r="MY179" s="252"/>
      <c r="MZ179" s="252"/>
      <c r="NA179" s="252"/>
      <c r="NB179" s="252"/>
      <c r="NC179" s="251"/>
      <c r="ND179" s="250"/>
      <c r="NE179" s="250"/>
      <c r="NF179" s="250"/>
      <c r="NG179" s="250"/>
      <c r="NH179" s="250"/>
      <c r="NI179" s="250"/>
      <c r="NJ179" s="250"/>
      <c r="NK179" s="250"/>
      <c r="NL179" s="250"/>
      <c r="NM179" s="250"/>
      <c r="NN179" s="250"/>
      <c r="NO179" s="250"/>
      <c r="NP179" s="250"/>
      <c r="NQ179" s="250"/>
      <c r="NR179" s="250"/>
      <c r="NS179" s="250"/>
      <c r="NT179" s="250"/>
      <c r="NU179" s="250"/>
      <c r="NV179" s="250"/>
      <c r="NW179" s="251"/>
      <c r="OT179" s="8"/>
      <c r="QG179" s="8"/>
      <c r="RT179" s="8"/>
    </row>
    <row r="180" spans="1:488" s="282" customFormat="1" x14ac:dyDescent="0.25">
      <c r="A180" s="66"/>
      <c r="B180" s="8"/>
      <c r="C180" s="66"/>
      <c r="D180" s="66"/>
      <c r="E180" s="66"/>
      <c r="F180" s="66"/>
      <c r="G180" s="66"/>
      <c r="H180" s="66"/>
      <c r="I180" s="66"/>
      <c r="J180" s="66"/>
      <c r="K180" s="66"/>
      <c r="L180" s="66"/>
      <c r="M180" s="66"/>
      <c r="N180" s="66"/>
      <c r="O180" s="66"/>
      <c r="P180" s="66"/>
      <c r="Q180" s="66"/>
      <c r="R180" s="66"/>
      <c r="S180" s="66"/>
      <c r="T180" s="68"/>
      <c r="AC180" s="66"/>
      <c r="AD180" s="66"/>
      <c r="AE180" s="68"/>
      <c r="AN180" s="66"/>
      <c r="AO180" s="66"/>
      <c r="AP180" s="68"/>
      <c r="AW180" s="66"/>
      <c r="AX180" s="68"/>
      <c r="BD180" s="66"/>
      <c r="BE180" s="68"/>
      <c r="BF180" s="66"/>
      <c r="BG180" s="66"/>
      <c r="BH180" s="66"/>
      <c r="BI180" s="66"/>
      <c r="BJ180" s="66"/>
      <c r="BK180" s="66"/>
      <c r="BL180" s="68"/>
      <c r="BO180" s="66"/>
      <c r="BP180" s="68"/>
      <c r="BV180" s="66"/>
      <c r="BW180" s="68"/>
      <c r="CB180" s="8"/>
      <c r="CH180" s="8"/>
      <c r="CK180" s="299"/>
      <c r="CL180" s="299"/>
      <c r="CM180" s="66"/>
      <c r="CN180" s="66"/>
      <c r="CO180" s="68"/>
      <c r="CR180" s="8"/>
      <c r="CX180" s="66"/>
      <c r="CY180" s="532"/>
      <c r="DE180" s="66"/>
      <c r="DF180" s="66"/>
      <c r="DG180" s="68"/>
      <c r="DH180" s="68"/>
      <c r="DK180" s="66"/>
      <c r="DL180" s="66"/>
      <c r="DM180" s="66"/>
      <c r="DN180" s="66"/>
      <c r="DO180" s="66"/>
      <c r="DP180" s="66"/>
      <c r="DQ180" s="66"/>
      <c r="DR180" s="66"/>
      <c r="DS180" s="66"/>
      <c r="DT180" s="68"/>
      <c r="DU180" s="66"/>
      <c r="DV180" s="296"/>
      <c r="DW180" s="330"/>
      <c r="DX180" s="631"/>
      <c r="DY180" s="631"/>
      <c r="DZ180" s="631"/>
      <c r="EA180" s="330"/>
      <c r="EC180" s="66"/>
      <c r="ED180" s="68"/>
      <c r="EH180" s="66"/>
      <c r="EI180" s="66"/>
      <c r="EJ180" s="68"/>
      <c r="EK180" s="252"/>
      <c r="EL180" s="252"/>
      <c r="EM180" s="252"/>
      <c r="EO180" s="252"/>
      <c r="EP180" s="252"/>
      <c r="EQ180" s="252"/>
      <c r="ES180" s="252"/>
      <c r="ET180" s="252"/>
      <c r="EU180" s="252"/>
      <c r="EW180" s="252"/>
      <c r="EX180" s="252"/>
      <c r="EY180" s="252"/>
      <c r="FA180" s="250"/>
      <c r="FB180" s="250"/>
      <c r="FC180" s="250"/>
      <c r="FD180" s="250"/>
      <c r="FE180" s="250"/>
      <c r="FF180" s="250"/>
      <c r="FG180" s="250"/>
      <c r="FH180" s="424"/>
      <c r="FI180" s="250"/>
      <c r="FJ180" s="250"/>
      <c r="FK180" s="250"/>
      <c r="FL180" s="256"/>
      <c r="FM180" s="250"/>
      <c r="FN180" s="256"/>
      <c r="FO180" s="250"/>
      <c r="FP180" s="256"/>
      <c r="FQ180" s="250"/>
      <c r="FR180" s="256"/>
      <c r="FS180" s="250"/>
      <c r="FT180" s="256"/>
      <c r="FU180" s="256"/>
      <c r="FV180" s="256"/>
      <c r="FW180" s="250"/>
      <c r="FX180" s="424"/>
      <c r="FY180" s="251"/>
      <c r="GC180" s="252"/>
      <c r="GF180" s="252"/>
      <c r="GG180" s="252"/>
      <c r="GH180" s="252"/>
      <c r="GI180" s="252"/>
      <c r="GJ180" s="252"/>
      <c r="GK180" s="251"/>
      <c r="GL180" s="250"/>
      <c r="GM180" s="250"/>
      <c r="GN180" s="250"/>
      <c r="GO180" s="250"/>
      <c r="GP180" s="250"/>
      <c r="GQ180" s="250"/>
      <c r="GR180" s="250"/>
      <c r="GS180" s="250"/>
      <c r="GT180" s="250"/>
      <c r="GU180" s="251"/>
      <c r="GV180" s="250"/>
      <c r="GW180" s="250"/>
      <c r="GX180" s="250"/>
      <c r="GY180" s="250"/>
      <c r="GZ180" s="250"/>
      <c r="HA180" s="250"/>
      <c r="HB180" s="250"/>
      <c r="HC180" s="250"/>
      <c r="HD180" s="250"/>
      <c r="HE180" s="250"/>
      <c r="HF180" s="250"/>
      <c r="HG180" s="250"/>
      <c r="HH180" s="251"/>
      <c r="HI180" s="424"/>
      <c r="HJ180" s="255"/>
      <c r="HK180" s="255"/>
      <c r="HL180" s="250"/>
      <c r="HM180" s="255"/>
      <c r="HN180" s="255"/>
      <c r="HO180" s="255"/>
      <c r="HP180" s="250"/>
      <c r="HQ180" s="250"/>
      <c r="HR180" s="250"/>
      <c r="HS180" s="250"/>
      <c r="HT180" s="250"/>
      <c r="HU180" s="251"/>
      <c r="HX180" s="252"/>
      <c r="HY180" s="252"/>
      <c r="HZ180" s="252"/>
      <c r="ID180" s="252"/>
      <c r="IE180" s="252"/>
      <c r="IF180" s="252"/>
      <c r="IJ180" s="252"/>
      <c r="IK180" s="252"/>
      <c r="IL180" s="252"/>
      <c r="IP180" s="252"/>
      <c r="IQ180" s="252"/>
      <c r="IR180" s="252"/>
      <c r="IY180" s="66"/>
      <c r="IZ180" s="66"/>
      <c r="JA180" s="66"/>
      <c r="JB180" s="250"/>
      <c r="JC180" s="66"/>
      <c r="JD180" s="66"/>
      <c r="JE180" s="66"/>
      <c r="JF180" s="66"/>
      <c r="JG180" s="66"/>
      <c r="JH180" s="66"/>
      <c r="JI180" s="66"/>
      <c r="JJ180" s="66"/>
      <c r="JK180" s="8"/>
      <c r="JN180" s="252"/>
      <c r="JO180" s="252"/>
      <c r="JP180" s="252"/>
      <c r="JT180" s="252"/>
      <c r="JU180" s="252"/>
      <c r="JV180" s="252"/>
      <c r="JZ180" s="252"/>
      <c r="KA180" s="252"/>
      <c r="KB180" s="252"/>
      <c r="KF180" s="252"/>
      <c r="KG180" s="252"/>
      <c r="KH180" s="252"/>
      <c r="KO180" s="66"/>
      <c r="KP180" s="66"/>
      <c r="KQ180" s="66"/>
      <c r="KR180" s="66"/>
      <c r="KS180" s="66"/>
      <c r="KT180" s="66"/>
      <c r="KU180" s="66"/>
      <c r="KV180" s="66"/>
      <c r="KW180" s="66"/>
      <c r="KX180" s="66"/>
      <c r="KY180" s="66"/>
      <c r="KZ180" s="66"/>
      <c r="LA180" s="8"/>
      <c r="LD180" s="252"/>
      <c r="LE180" s="252"/>
      <c r="LF180" s="252"/>
      <c r="LJ180" s="252"/>
      <c r="LK180" s="252"/>
      <c r="LN180" s="252"/>
      <c r="LO180" s="252"/>
      <c r="LP180" s="252"/>
      <c r="LT180" s="271"/>
      <c r="LU180" s="250"/>
      <c r="LV180" s="250"/>
      <c r="LW180" s="250"/>
      <c r="LX180" s="250"/>
      <c r="LY180" s="250"/>
      <c r="LZ180" s="250"/>
      <c r="MA180" s="250"/>
      <c r="MB180" s="250"/>
      <c r="MC180" s="250"/>
      <c r="MD180" s="250"/>
      <c r="ME180" s="250"/>
      <c r="MF180" s="250"/>
      <c r="MG180" s="250"/>
      <c r="MH180" s="250"/>
      <c r="MI180" s="250"/>
      <c r="MJ180" s="250"/>
      <c r="MK180" s="424"/>
      <c r="ML180" s="640"/>
      <c r="MM180" s="251"/>
      <c r="MN180" s="252"/>
      <c r="MO180" s="252"/>
      <c r="MP180" s="252"/>
      <c r="MQ180" s="252"/>
      <c r="MR180" s="252"/>
      <c r="MS180" s="252"/>
      <c r="MT180" s="252"/>
      <c r="MU180" s="252"/>
      <c r="MV180" s="252"/>
      <c r="MW180" s="252"/>
      <c r="MX180" s="252"/>
      <c r="MY180" s="252"/>
      <c r="MZ180" s="252"/>
      <c r="NA180" s="252"/>
      <c r="NB180" s="252"/>
      <c r="NC180" s="251"/>
      <c r="ND180" s="250"/>
      <c r="NE180" s="250"/>
      <c r="NF180" s="250"/>
      <c r="NG180" s="250"/>
      <c r="NH180" s="250"/>
      <c r="NI180" s="250"/>
      <c r="NJ180" s="250"/>
      <c r="NK180" s="250"/>
      <c r="NL180" s="250"/>
      <c r="NM180" s="250"/>
      <c r="NN180" s="250"/>
      <c r="NO180" s="250"/>
      <c r="NP180" s="250"/>
      <c r="NQ180" s="250"/>
      <c r="NR180" s="250"/>
      <c r="NS180" s="250"/>
      <c r="NT180" s="250"/>
      <c r="NU180" s="250"/>
      <c r="NV180" s="250"/>
      <c r="NW180" s="251"/>
      <c r="OT180" s="8"/>
      <c r="QG180" s="8"/>
      <c r="RT180" s="8"/>
    </row>
    <row r="181" spans="1:488" s="282" customFormat="1" x14ac:dyDescent="0.25">
      <c r="A181" s="66"/>
      <c r="B181" s="8"/>
      <c r="C181" s="66"/>
      <c r="D181" s="66"/>
      <c r="E181" s="66"/>
      <c r="F181" s="66"/>
      <c r="G181" s="66"/>
      <c r="H181" s="66"/>
      <c r="I181" s="66"/>
      <c r="J181" s="66"/>
      <c r="K181" s="66"/>
      <c r="L181" s="66"/>
      <c r="M181" s="66"/>
      <c r="N181" s="66"/>
      <c r="O181" s="66"/>
      <c r="P181" s="66"/>
      <c r="Q181" s="66"/>
      <c r="R181" s="66"/>
      <c r="S181" s="66"/>
      <c r="T181" s="68"/>
      <c r="AC181" s="66"/>
      <c r="AD181" s="66"/>
      <c r="AE181" s="68"/>
      <c r="AN181" s="66"/>
      <c r="AO181" s="66"/>
      <c r="AP181" s="68"/>
      <c r="AW181" s="66"/>
      <c r="AX181" s="68"/>
      <c r="BD181" s="66"/>
      <c r="BE181" s="68"/>
      <c r="BF181" s="66"/>
      <c r="BG181" s="66"/>
      <c r="BH181" s="66"/>
      <c r="BI181" s="66"/>
      <c r="BJ181" s="66"/>
      <c r="BK181" s="66"/>
      <c r="BL181" s="68"/>
      <c r="BO181" s="66"/>
      <c r="BP181" s="68"/>
      <c r="BV181" s="66"/>
      <c r="BW181" s="68"/>
      <c r="CB181" s="8"/>
      <c r="CH181" s="8"/>
      <c r="CK181" s="299"/>
      <c r="CL181" s="299"/>
      <c r="CM181" s="66"/>
      <c r="CN181" s="66"/>
      <c r="CO181" s="68"/>
      <c r="CR181" s="8"/>
      <c r="CX181" s="66"/>
      <c r="CY181" s="532"/>
      <c r="DE181" s="66"/>
      <c r="DF181" s="66"/>
      <c r="DG181" s="68"/>
      <c r="DH181" s="68"/>
      <c r="DK181" s="66"/>
      <c r="DL181" s="66"/>
      <c r="DM181" s="66"/>
      <c r="DN181" s="66"/>
      <c r="DO181" s="66"/>
      <c r="DP181" s="66"/>
      <c r="DQ181" s="66"/>
      <c r="DR181" s="66"/>
      <c r="DS181" s="66"/>
      <c r="DT181" s="68"/>
      <c r="DU181" s="66"/>
      <c r="DV181" s="296"/>
      <c r="DW181" s="330"/>
      <c r="DX181" s="631"/>
      <c r="DY181" s="631"/>
      <c r="DZ181" s="631"/>
      <c r="EA181" s="330"/>
      <c r="EC181" s="66"/>
      <c r="ED181" s="68"/>
      <c r="EH181" s="66"/>
      <c r="EI181" s="66"/>
      <c r="EJ181" s="68"/>
      <c r="EK181" s="252"/>
      <c r="EL181" s="252"/>
      <c r="EM181" s="252"/>
      <c r="EO181" s="252"/>
      <c r="EP181" s="252"/>
      <c r="EQ181" s="252"/>
      <c r="ES181" s="252"/>
      <c r="ET181" s="252"/>
      <c r="EU181" s="252"/>
      <c r="EW181" s="252"/>
      <c r="EX181" s="252"/>
      <c r="EY181" s="252"/>
      <c r="FA181" s="250"/>
      <c r="FB181" s="250"/>
      <c r="FC181" s="250"/>
      <c r="FD181" s="250"/>
      <c r="FE181" s="250"/>
      <c r="FF181" s="250"/>
      <c r="FG181" s="250"/>
      <c r="FH181" s="424"/>
      <c r="FI181" s="250"/>
      <c r="FJ181" s="250"/>
      <c r="FK181" s="250"/>
      <c r="FL181" s="256"/>
      <c r="FM181" s="250"/>
      <c r="FN181" s="256"/>
      <c r="FO181" s="250"/>
      <c r="FP181" s="256"/>
      <c r="FQ181" s="250"/>
      <c r="FR181" s="256"/>
      <c r="FS181" s="250"/>
      <c r="FT181" s="256"/>
      <c r="FU181" s="256"/>
      <c r="FV181" s="256"/>
      <c r="FW181" s="250"/>
      <c r="FX181" s="424"/>
      <c r="FY181" s="251"/>
      <c r="GC181" s="252"/>
      <c r="GF181" s="252"/>
      <c r="GG181" s="252"/>
      <c r="GH181" s="252"/>
      <c r="GI181" s="252"/>
      <c r="GJ181" s="252"/>
      <c r="GK181" s="251"/>
      <c r="GL181" s="250"/>
      <c r="GM181" s="250"/>
      <c r="GN181" s="250"/>
      <c r="GO181" s="250"/>
      <c r="GP181" s="250"/>
      <c r="GQ181" s="250"/>
      <c r="GR181" s="250"/>
      <c r="GS181" s="250"/>
      <c r="GT181" s="250"/>
      <c r="GU181" s="251"/>
      <c r="GV181" s="250"/>
      <c r="GW181" s="250"/>
      <c r="GX181" s="250"/>
      <c r="GY181" s="250"/>
      <c r="GZ181" s="250"/>
      <c r="HA181" s="250"/>
      <c r="HB181" s="250"/>
      <c r="HC181" s="250"/>
      <c r="HD181" s="250"/>
      <c r="HE181" s="250"/>
      <c r="HF181" s="250"/>
      <c r="HG181" s="250"/>
      <c r="HH181" s="251"/>
      <c r="HI181" s="424"/>
      <c r="HJ181" s="255"/>
      <c r="HK181" s="255"/>
      <c r="HL181" s="250"/>
      <c r="HM181" s="255"/>
      <c r="HN181" s="255"/>
      <c r="HO181" s="255"/>
      <c r="HP181" s="250"/>
      <c r="HQ181" s="250"/>
      <c r="HR181" s="250"/>
      <c r="HS181" s="250"/>
      <c r="HT181" s="250"/>
      <c r="HU181" s="251"/>
      <c r="HX181" s="252"/>
      <c r="HY181" s="252"/>
      <c r="HZ181" s="252"/>
      <c r="ID181" s="252"/>
      <c r="IE181" s="252"/>
      <c r="IF181" s="252"/>
      <c r="IJ181" s="252"/>
      <c r="IK181" s="252"/>
      <c r="IL181" s="252"/>
      <c r="IP181" s="252"/>
      <c r="IQ181" s="252"/>
      <c r="IR181" s="252"/>
      <c r="IY181" s="66"/>
      <c r="IZ181" s="66"/>
      <c r="JA181" s="66"/>
      <c r="JB181" s="250"/>
      <c r="JC181" s="66"/>
      <c r="JD181" s="66"/>
      <c r="JE181" s="66"/>
      <c r="JF181" s="66"/>
      <c r="JG181" s="66"/>
      <c r="JH181" s="66"/>
      <c r="JI181" s="66"/>
      <c r="JJ181" s="66"/>
      <c r="JK181" s="8"/>
      <c r="JN181" s="252"/>
      <c r="JO181" s="252"/>
      <c r="JP181" s="252"/>
      <c r="JT181" s="252"/>
      <c r="JU181" s="252"/>
      <c r="JV181" s="252"/>
      <c r="JZ181" s="252"/>
      <c r="KA181" s="252"/>
      <c r="KB181" s="252"/>
      <c r="KF181" s="252"/>
      <c r="KG181" s="252"/>
      <c r="KH181" s="252"/>
      <c r="KO181" s="66"/>
      <c r="KP181" s="66"/>
      <c r="KQ181" s="66"/>
      <c r="KR181" s="66"/>
      <c r="KS181" s="66"/>
      <c r="KT181" s="66"/>
      <c r="KU181" s="66"/>
      <c r="KV181" s="66"/>
      <c r="KW181" s="66"/>
      <c r="KX181" s="66"/>
      <c r="KY181" s="66"/>
      <c r="KZ181" s="66"/>
      <c r="LA181" s="8"/>
      <c r="LD181" s="252"/>
      <c r="LE181" s="252"/>
      <c r="LF181" s="252"/>
      <c r="LJ181" s="252"/>
      <c r="LK181" s="252"/>
      <c r="LN181" s="252"/>
      <c r="LO181" s="252"/>
      <c r="LP181" s="252"/>
      <c r="LT181" s="271"/>
      <c r="LU181" s="250"/>
      <c r="LV181" s="250"/>
      <c r="LW181" s="250"/>
      <c r="LX181" s="250"/>
      <c r="LY181" s="250"/>
      <c r="LZ181" s="250"/>
      <c r="MA181" s="250"/>
      <c r="MB181" s="250"/>
      <c r="MC181" s="250"/>
      <c r="MD181" s="250"/>
      <c r="ME181" s="250"/>
      <c r="MF181" s="250"/>
      <c r="MG181" s="250"/>
      <c r="MH181" s="250"/>
      <c r="MI181" s="250"/>
      <c r="MJ181" s="250"/>
      <c r="MK181" s="424"/>
      <c r="ML181" s="640"/>
      <c r="MM181" s="251"/>
      <c r="MN181" s="252"/>
      <c r="MO181" s="252"/>
      <c r="MP181" s="252"/>
      <c r="MQ181" s="252"/>
      <c r="MR181" s="252"/>
      <c r="MS181" s="252"/>
      <c r="MT181" s="252"/>
      <c r="MU181" s="252"/>
      <c r="MV181" s="252"/>
      <c r="MW181" s="252"/>
      <c r="MX181" s="252"/>
      <c r="MY181" s="252"/>
      <c r="MZ181" s="252"/>
      <c r="NA181" s="252"/>
      <c r="NB181" s="252"/>
      <c r="NC181" s="251"/>
      <c r="ND181" s="250"/>
      <c r="NE181" s="250"/>
      <c r="NF181" s="250"/>
      <c r="NG181" s="250"/>
      <c r="NH181" s="250"/>
      <c r="NI181" s="250"/>
      <c r="NJ181" s="250"/>
      <c r="NK181" s="250"/>
      <c r="NL181" s="250"/>
      <c r="NM181" s="250"/>
      <c r="NN181" s="250"/>
      <c r="NO181" s="250"/>
      <c r="NP181" s="250"/>
      <c r="NQ181" s="250"/>
      <c r="NR181" s="250"/>
      <c r="NS181" s="250"/>
      <c r="NT181" s="250"/>
      <c r="NU181" s="250"/>
      <c r="NV181" s="250"/>
      <c r="NW181" s="251"/>
      <c r="OT181" s="8"/>
      <c r="QG181" s="8"/>
      <c r="RT181" s="8"/>
    </row>
    <row r="182" spans="1:488" s="282" customFormat="1" x14ac:dyDescent="0.25">
      <c r="A182" s="66"/>
      <c r="B182" s="8"/>
      <c r="C182" s="66"/>
      <c r="D182" s="66"/>
      <c r="E182" s="66"/>
      <c r="F182" s="66"/>
      <c r="G182" s="66"/>
      <c r="H182" s="66"/>
      <c r="I182" s="66"/>
      <c r="J182" s="66"/>
      <c r="K182" s="66"/>
      <c r="L182" s="66"/>
      <c r="M182" s="66"/>
      <c r="N182" s="66"/>
      <c r="O182" s="66"/>
      <c r="P182" s="66"/>
      <c r="Q182" s="66"/>
      <c r="R182" s="66"/>
      <c r="S182" s="66"/>
      <c r="T182" s="68"/>
      <c r="AC182" s="66"/>
      <c r="AD182" s="66"/>
      <c r="AE182" s="68"/>
      <c r="AN182" s="66"/>
      <c r="AO182" s="66"/>
      <c r="AP182" s="68"/>
      <c r="AW182" s="66"/>
      <c r="AX182" s="68"/>
      <c r="BD182" s="66"/>
      <c r="BE182" s="68"/>
      <c r="BF182" s="66"/>
      <c r="BG182" s="66"/>
      <c r="BH182" s="66"/>
      <c r="BI182" s="66"/>
      <c r="BJ182" s="66"/>
      <c r="BK182" s="66"/>
      <c r="BL182" s="68"/>
      <c r="BO182" s="66"/>
      <c r="BP182" s="68"/>
      <c r="BV182" s="66"/>
      <c r="BW182" s="68"/>
      <c r="CB182" s="8"/>
      <c r="CH182" s="8"/>
      <c r="CK182" s="299"/>
      <c r="CL182" s="299"/>
      <c r="CM182" s="66"/>
      <c r="CN182" s="66"/>
      <c r="CO182" s="68"/>
      <c r="CR182" s="8"/>
      <c r="CX182" s="66"/>
      <c r="CY182" s="532"/>
      <c r="DE182" s="66"/>
      <c r="DF182" s="66"/>
      <c r="DG182" s="68"/>
      <c r="DH182" s="68"/>
      <c r="DK182" s="66"/>
      <c r="DL182" s="66"/>
      <c r="DM182" s="66"/>
      <c r="DN182" s="66"/>
      <c r="DO182" s="66"/>
      <c r="DP182" s="66"/>
      <c r="DQ182" s="66"/>
      <c r="DR182" s="66"/>
      <c r="DS182" s="66"/>
      <c r="DT182" s="68"/>
      <c r="DU182" s="66"/>
      <c r="DV182" s="296"/>
      <c r="DW182" s="330"/>
      <c r="DX182" s="631"/>
      <c r="DY182" s="631"/>
      <c r="DZ182" s="631"/>
      <c r="EA182" s="330"/>
      <c r="EC182" s="66"/>
      <c r="ED182" s="68"/>
      <c r="EH182" s="66"/>
      <c r="EI182" s="66"/>
      <c r="EJ182" s="68"/>
      <c r="EK182" s="252"/>
      <c r="EL182" s="252"/>
      <c r="EM182" s="252"/>
      <c r="EO182" s="252"/>
      <c r="EP182" s="252"/>
      <c r="EQ182" s="252"/>
      <c r="ES182" s="252"/>
      <c r="ET182" s="252"/>
      <c r="EU182" s="252"/>
      <c r="EW182" s="252"/>
      <c r="EX182" s="252"/>
      <c r="EY182" s="252"/>
      <c r="FA182" s="250"/>
      <c r="FB182" s="250"/>
      <c r="FC182" s="250"/>
      <c r="FD182" s="250"/>
      <c r="FE182" s="250"/>
      <c r="FF182" s="250"/>
      <c r="FG182" s="250"/>
      <c r="FH182" s="424"/>
      <c r="FI182" s="250"/>
      <c r="FJ182" s="250"/>
      <c r="FK182" s="250"/>
      <c r="FL182" s="256"/>
      <c r="FM182" s="250"/>
      <c r="FN182" s="256"/>
      <c r="FO182" s="250"/>
      <c r="FP182" s="256"/>
      <c r="FQ182" s="250"/>
      <c r="FR182" s="256"/>
      <c r="FS182" s="250"/>
      <c r="FT182" s="256"/>
      <c r="FU182" s="256"/>
      <c r="FV182" s="256"/>
      <c r="FW182" s="250"/>
      <c r="FX182" s="424"/>
      <c r="FY182" s="251"/>
      <c r="GC182" s="252"/>
      <c r="GF182" s="252"/>
      <c r="GG182" s="252"/>
      <c r="GH182" s="252"/>
      <c r="GI182" s="252"/>
      <c r="GJ182" s="252"/>
      <c r="GK182" s="251"/>
      <c r="GL182" s="250"/>
      <c r="GM182" s="250"/>
      <c r="GN182" s="250"/>
      <c r="GO182" s="250"/>
      <c r="GP182" s="250"/>
      <c r="GQ182" s="250"/>
      <c r="GR182" s="250"/>
      <c r="GS182" s="250"/>
      <c r="GT182" s="250"/>
      <c r="GU182" s="251"/>
      <c r="GV182" s="250"/>
      <c r="GW182" s="250"/>
      <c r="GX182" s="250"/>
      <c r="GY182" s="250"/>
      <c r="GZ182" s="250"/>
      <c r="HA182" s="250"/>
      <c r="HB182" s="250"/>
      <c r="HC182" s="250"/>
      <c r="HD182" s="250"/>
      <c r="HE182" s="250"/>
      <c r="HF182" s="250"/>
      <c r="HG182" s="250"/>
      <c r="HH182" s="251"/>
      <c r="HI182" s="424"/>
      <c r="HJ182" s="255"/>
      <c r="HK182" s="255"/>
      <c r="HL182" s="250"/>
      <c r="HM182" s="255"/>
      <c r="HN182" s="255"/>
      <c r="HO182" s="255"/>
      <c r="HP182" s="250"/>
      <c r="HQ182" s="250"/>
      <c r="HR182" s="250"/>
      <c r="HS182" s="250"/>
      <c r="HT182" s="250"/>
      <c r="HU182" s="251"/>
      <c r="HX182" s="252"/>
      <c r="HY182" s="252"/>
      <c r="HZ182" s="252"/>
      <c r="ID182" s="252"/>
      <c r="IE182" s="252"/>
      <c r="IF182" s="252"/>
      <c r="IJ182" s="252"/>
      <c r="IK182" s="252"/>
      <c r="IL182" s="252"/>
      <c r="IP182" s="252"/>
      <c r="IQ182" s="252"/>
      <c r="IR182" s="252"/>
      <c r="IY182" s="66"/>
      <c r="IZ182" s="66"/>
      <c r="JA182" s="66"/>
      <c r="JB182" s="250"/>
      <c r="JC182" s="66"/>
      <c r="JD182" s="66"/>
      <c r="JE182" s="66"/>
      <c r="JF182" s="66"/>
      <c r="JG182" s="66"/>
      <c r="JH182" s="66"/>
      <c r="JI182" s="66"/>
      <c r="JJ182" s="66"/>
      <c r="JK182" s="8"/>
      <c r="JN182" s="252"/>
      <c r="JO182" s="252"/>
      <c r="JP182" s="252"/>
      <c r="JT182" s="252"/>
      <c r="JU182" s="252"/>
      <c r="JV182" s="252"/>
      <c r="JZ182" s="252"/>
      <c r="KA182" s="252"/>
      <c r="KB182" s="252"/>
      <c r="KF182" s="252"/>
      <c r="KG182" s="252"/>
      <c r="KH182" s="252"/>
      <c r="KO182" s="66"/>
      <c r="KP182" s="66"/>
      <c r="KQ182" s="66"/>
      <c r="KR182" s="66"/>
      <c r="KS182" s="66"/>
      <c r="KT182" s="66"/>
      <c r="KU182" s="66"/>
      <c r="KV182" s="66"/>
      <c r="KW182" s="66"/>
      <c r="KX182" s="66"/>
      <c r="KY182" s="66"/>
      <c r="KZ182" s="66"/>
      <c r="LA182" s="8"/>
      <c r="LD182" s="252"/>
      <c r="LE182" s="252"/>
      <c r="LF182" s="252"/>
      <c r="LJ182" s="252"/>
      <c r="LK182" s="252"/>
      <c r="LN182" s="252"/>
      <c r="LO182" s="252"/>
      <c r="LP182" s="252"/>
      <c r="LT182" s="271"/>
      <c r="LU182" s="250"/>
      <c r="LV182" s="250"/>
      <c r="LW182" s="250"/>
      <c r="LX182" s="250"/>
      <c r="LY182" s="250"/>
      <c r="LZ182" s="250"/>
      <c r="MA182" s="250"/>
      <c r="MB182" s="250"/>
      <c r="MC182" s="250"/>
      <c r="MD182" s="250"/>
      <c r="ME182" s="250"/>
      <c r="MF182" s="250"/>
      <c r="MG182" s="250"/>
      <c r="MH182" s="250"/>
      <c r="MI182" s="250"/>
      <c r="MJ182" s="250"/>
      <c r="MK182" s="424"/>
      <c r="ML182" s="640"/>
      <c r="MM182" s="251"/>
      <c r="MN182" s="252"/>
      <c r="MO182" s="252"/>
      <c r="MP182" s="252"/>
      <c r="MQ182" s="252"/>
      <c r="MR182" s="252"/>
      <c r="MS182" s="252"/>
      <c r="MT182" s="252"/>
      <c r="MU182" s="252"/>
      <c r="MV182" s="252"/>
      <c r="MW182" s="252"/>
      <c r="MX182" s="252"/>
      <c r="MY182" s="252"/>
      <c r="MZ182" s="252"/>
      <c r="NA182" s="252"/>
      <c r="NB182" s="252"/>
      <c r="NC182" s="251"/>
      <c r="ND182" s="250"/>
      <c r="NE182" s="250"/>
      <c r="NF182" s="250"/>
      <c r="NG182" s="250"/>
      <c r="NH182" s="250"/>
      <c r="NI182" s="250"/>
      <c r="NJ182" s="250"/>
      <c r="NK182" s="250"/>
      <c r="NL182" s="250"/>
      <c r="NM182" s="250"/>
      <c r="NN182" s="250"/>
      <c r="NO182" s="250"/>
      <c r="NP182" s="250"/>
      <c r="NQ182" s="250"/>
      <c r="NR182" s="250"/>
      <c r="NS182" s="250"/>
      <c r="NT182" s="250"/>
      <c r="NU182" s="250"/>
      <c r="NV182" s="250"/>
      <c r="NW182" s="251"/>
      <c r="OT182" s="8"/>
      <c r="QG182" s="8"/>
      <c r="RT182" s="8"/>
    </row>
    <row r="183" spans="1:488" s="282" customFormat="1" x14ac:dyDescent="0.25">
      <c r="A183" s="66"/>
      <c r="B183" s="8"/>
      <c r="C183" s="66"/>
      <c r="D183" s="66"/>
      <c r="E183" s="66"/>
      <c r="F183" s="66"/>
      <c r="G183" s="66"/>
      <c r="H183" s="66"/>
      <c r="I183" s="66"/>
      <c r="J183" s="66"/>
      <c r="K183" s="66"/>
      <c r="L183" s="66"/>
      <c r="M183" s="66"/>
      <c r="N183" s="66"/>
      <c r="O183" s="66"/>
      <c r="P183" s="66"/>
      <c r="Q183" s="66"/>
      <c r="R183" s="66"/>
      <c r="S183" s="66"/>
      <c r="T183" s="68"/>
      <c r="AC183" s="66"/>
      <c r="AD183" s="66"/>
      <c r="AE183" s="68"/>
      <c r="AN183" s="66"/>
      <c r="AO183" s="66"/>
      <c r="AP183" s="68"/>
      <c r="AW183" s="66"/>
      <c r="AX183" s="68"/>
      <c r="BD183" s="66"/>
      <c r="BE183" s="68"/>
      <c r="BF183" s="66"/>
      <c r="BG183" s="66"/>
      <c r="BH183" s="66"/>
      <c r="BI183" s="66"/>
      <c r="BJ183" s="66"/>
      <c r="BK183" s="66"/>
      <c r="BL183" s="68"/>
      <c r="BO183" s="66"/>
      <c r="BP183" s="68"/>
      <c r="BV183" s="66"/>
      <c r="BW183" s="68"/>
      <c r="CB183" s="8"/>
      <c r="CH183" s="8"/>
      <c r="CK183" s="299"/>
      <c r="CL183" s="299"/>
      <c r="CM183" s="66"/>
      <c r="CN183" s="66"/>
      <c r="CO183" s="68"/>
      <c r="CR183" s="8"/>
      <c r="CX183" s="66"/>
      <c r="CY183" s="532"/>
      <c r="DE183" s="66"/>
      <c r="DF183" s="66"/>
      <c r="DG183" s="68"/>
      <c r="DH183" s="68"/>
      <c r="DK183" s="66"/>
      <c r="DL183" s="66"/>
      <c r="DM183" s="66"/>
      <c r="DN183" s="66"/>
      <c r="DO183" s="66"/>
      <c r="DP183" s="66"/>
      <c r="DQ183" s="66"/>
      <c r="DR183" s="66"/>
      <c r="DS183" s="66"/>
      <c r="DT183" s="68"/>
      <c r="DU183" s="66"/>
      <c r="DV183" s="296"/>
      <c r="DW183" s="330"/>
      <c r="DX183" s="631"/>
      <c r="DY183" s="631"/>
      <c r="DZ183" s="631"/>
      <c r="EA183" s="330"/>
      <c r="EC183" s="66"/>
      <c r="ED183" s="68"/>
      <c r="EH183" s="66"/>
      <c r="EI183" s="66"/>
      <c r="EJ183" s="68"/>
      <c r="EK183" s="252"/>
      <c r="EL183" s="252"/>
      <c r="EM183" s="252"/>
      <c r="EO183" s="252"/>
      <c r="EP183" s="252"/>
      <c r="EQ183" s="252"/>
      <c r="ES183" s="252"/>
      <c r="ET183" s="252"/>
      <c r="EU183" s="252"/>
      <c r="EW183" s="252"/>
      <c r="EX183" s="252"/>
      <c r="EY183" s="252"/>
      <c r="FA183" s="250"/>
      <c r="FB183" s="250"/>
      <c r="FC183" s="250"/>
      <c r="FD183" s="250"/>
      <c r="FE183" s="250"/>
      <c r="FF183" s="250"/>
      <c r="FG183" s="250"/>
      <c r="FH183" s="424"/>
      <c r="FI183" s="250"/>
      <c r="FJ183" s="250"/>
      <c r="FK183" s="250"/>
      <c r="FL183" s="256"/>
      <c r="FM183" s="250"/>
      <c r="FN183" s="256"/>
      <c r="FO183" s="250"/>
      <c r="FP183" s="256"/>
      <c r="FQ183" s="250"/>
      <c r="FR183" s="256"/>
      <c r="FS183" s="250"/>
      <c r="FT183" s="256"/>
      <c r="FU183" s="256"/>
      <c r="FV183" s="256"/>
      <c r="FW183" s="250"/>
      <c r="FX183" s="424"/>
      <c r="FY183" s="251"/>
      <c r="GC183" s="252"/>
      <c r="GF183" s="252"/>
      <c r="GG183" s="252"/>
      <c r="GH183" s="252"/>
      <c r="GI183" s="252"/>
      <c r="GJ183" s="252"/>
      <c r="GK183" s="251"/>
      <c r="GL183" s="250"/>
      <c r="GM183" s="250"/>
      <c r="GN183" s="250"/>
      <c r="GO183" s="250"/>
      <c r="GP183" s="250"/>
      <c r="GQ183" s="250"/>
      <c r="GR183" s="250"/>
      <c r="GS183" s="250"/>
      <c r="GT183" s="250"/>
      <c r="GU183" s="251"/>
      <c r="GV183" s="250"/>
      <c r="GW183" s="250"/>
      <c r="GX183" s="250"/>
      <c r="GY183" s="250"/>
      <c r="GZ183" s="250"/>
      <c r="HA183" s="250"/>
      <c r="HB183" s="250"/>
      <c r="HC183" s="250"/>
      <c r="HD183" s="250"/>
      <c r="HE183" s="250"/>
      <c r="HF183" s="250"/>
      <c r="HG183" s="250"/>
      <c r="HH183" s="251"/>
      <c r="HI183" s="424"/>
      <c r="HJ183" s="255"/>
      <c r="HK183" s="255"/>
      <c r="HL183" s="250"/>
      <c r="HM183" s="255"/>
      <c r="HN183" s="255"/>
      <c r="HO183" s="255"/>
      <c r="HP183" s="250"/>
      <c r="HQ183" s="250"/>
      <c r="HR183" s="250"/>
      <c r="HS183" s="250"/>
      <c r="HT183" s="250"/>
      <c r="HU183" s="251"/>
      <c r="HX183" s="252"/>
      <c r="HY183" s="252"/>
      <c r="HZ183" s="252"/>
      <c r="ID183" s="252"/>
      <c r="IE183" s="252"/>
      <c r="IF183" s="252"/>
      <c r="IJ183" s="252"/>
      <c r="IK183" s="252"/>
      <c r="IL183" s="252"/>
      <c r="IP183" s="252"/>
      <c r="IQ183" s="252"/>
      <c r="IR183" s="252"/>
      <c r="IY183" s="66"/>
      <c r="IZ183" s="66"/>
      <c r="JA183" s="66"/>
      <c r="JB183" s="250"/>
      <c r="JC183" s="66"/>
      <c r="JD183" s="66"/>
      <c r="JE183" s="66"/>
      <c r="JF183" s="66"/>
      <c r="JG183" s="66"/>
      <c r="JH183" s="66"/>
      <c r="JI183" s="66"/>
      <c r="JJ183" s="66"/>
      <c r="JK183" s="8"/>
      <c r="JN183" s="252"/>
      <c r="JO183" s="252"/>
      <c r="JP183" s="252"/>
      <c r="JT183" s="252"/>
      <c r="JU183" s="252"/>
      <c r="JV183" s="252"/>
      <c r="JZ183" s="252"/>
      <c r="KA183" s="252"/>
      <c r="KB183" s="252"/>
      <c r="KF183" s="252"/>
      <c r="KG183" s="252"/>
      <c r="KH183" s="252"/>
      <c r="KO183" s="66"/>
      <c r="KP183" s="66"/>
      <c r="KQ183" s="66"/>
      <c r="KR183" s="66"/>
      <c r="KS183" s="66"/>
      <c r="KT183" s="66"/>
      <c r="KU183" s="66"/>
      <c r="KV183" s="66"/>
      <c r="KW183" s="66"/>
      <c r="KX183" s="66"/>
      <c r="KY183" s="66"/>
      <c r="KZ183" s="66"/>
      <c r="LA183" s="8"/>
      <c r="LD183" s="252"/>
      <c r="LE183" s="252"/>
      <c r="LF183" s="252"/>
      <c r="LJ183" s="252"/>
      <c r="LK183" s="252"/>
      <c r="LN183" s="252"/>
      <c r="LO183" s="252"/>
      <c r="LP183" s="252"/>
      <c r="LT183" s="271"/>
      <c r="LU183" s="250"/>
      <c r="LV183" s="250"/>
      <c r="LW183" s="250"/>
      <c r="LX183" s="250"/>
      <c r="LY183" s="250"/>
      <c r="LZ183" s="250"/>
      <c r="MA183" s="250"/>
      <c r="MB183" s="250"/>
      <c r="MC183" s="250"/>
      <c r="MD183" s="250"/>
      <c r="ME183" s="250"/>
      <c r="MF183" s="250"/>
      <c r="MG183" s="250"/>
      <c r="MH183" s="250"/>
      <c r="MI183" s="250"/>
      <c r="MJ183" s="250"/>
      <c r="MK183" s="424"/>
      <c r="ML183" s="640"/>
      <c r="MM183" s="251"/>
      <c r="MN183" s="252"/>
      <c r="MO183" s="252"/>
      <c r="MP183" s="252"/>
      <c r="MQ183" s="252"/>
      <c r="MR183" s="252"/>
      <c r="MS183" s="252"/>
      <c r="MT183" s="252"/>
      <c r="MU183" s="252"/>
      <c r="MV183" s="252"/>
      <c r="MW183" s="252"/>
      <c r="MX183" s="252"/>
      <c r="MY183" s="252"/>
      <c r="MZ183" s="252"/>
      <c r="NA183" s="252"/>
      <c r="NB183" s="252"/>
      <c r="NC183" s="251"/>
      <c r="ND183" s="250"/>
      <c r="NE183" s="250"/>
      <c r="NF183" s="250"/>
      <c r="NG183" s="250"/>
      <c r="NH183" s="250"/>
      <c r="NI183" s="250"/>
      <c r="NJ183" s="250"/>
      <c r="NK183" s="250"/>
      <c r="NL183" s="250"/>
      <c r="NM183" s="250"/>
      <c r="NN183" s="250"/>
      <c r="NO183" s="250"/>
      <c r="NP183" s="250"/>
      <c r="NQ183" s="250"/>
      <c r="NR183" s="250"/>
      <c r="NS183" s="250"/>
      <c r="NT183" s="250"/>
      <c r="NU183" s="250"/>
      <c r="NV183" s="250"/>
      <c r="NW183" s="251"/>
      <c r="OT183" s="8"/>
      <c r="QG183" s="8"/>
      <c r="RT183" s="8"/>
    </row>
    <row r="184" spans="1:488" s="282" customFormat="1" x14ac:dyDescent="0.25">
      <c r="A184" s="66"/>
      <c r="B184" s="8"/>
      <c r="C184" s="66"/>
      <c r="D184" s="66"/>
      <c r="E184" s="66"/>
      <c r="F184" s="66"/>
      <c r="G184" s="66"/>
      <c r="H184" s="66"/>
      <c r="I184" s="66"/>
      <c r="J184" s="66"/>
      <c r="K184" s="66"/>
      <c r="L184" s="66"/>
      <c r="M184" s="66"/>
      <c r="N184" s="66"/>
      <c r="O184" s="66"/>
      <c r="P184" s="66"/>
      <c r="Q184" s="66"/>
      <c r="R184" s="66"/>
      <c r="S184" s="66"/>
      <c r="T184" s="68"/>
      <c r="AC184" s="66"/>
      <c r="AD184" s="66"/>
      <c r="AE184" s="68"/>
      <c r="AN184" s="66"/>
      <c r="AO184" s="66"/>
      <c r="AP184" s="68"/>
      <c r="AW184" s="66"/>
      <c r="AX184" s="68"/>
      <c r="BD184" s="66"/>
      <c r="BE184" s="68"/>
      <c r="BF184" s="66"/>
      <c r="BG184" s="66"/>
      <c r="BH184" s="66"/>
      <c r="BI184" s="66"/>
      <c r="BJ184" s="66"/>
      <c r="BK184" s="66"/>
      <c r="BL184" s="68"/>
      <c r="BO184" s="66"/>
      <c r="BP184" s="68"/>
      <c r="BV184" s="66"/>
      <c r="BW184" s="68"/>
      <c r="CB184" s="8"/>
      <c r="CH184" s="8"/>
      <c r="CK184" s="299"/>
      <c r="CL184" s="299"/>
      <c r="CM184" s="66"/>
      <c r="CN184" s="66"/>
      <c r="CO184" s="68"/>
      <c r="CR184" s="8"/>
      <c r="CX184" s="66"/>
      <c r="CY184" s="532"/>
      <c r="DE184" s="66"/>
      <c r="DF184" s="66"/>
      <c r="DG184" s="68"/>
      <c r="DH184" s="68"/>
      <c r="DK184" s="66"/>
      <c r="DL184" s="66"/>
      <c r="DM184" s="66"/>
      <c r="DN184" s="66"/>
      <c r="DO184" s="66"/>
      <c r="DP184" s="66"/>
      <c r="DQ184" s="66"/>
      <c r="DR184" s="66"/>
      <c r="DS184" s="66"/>
      <c r="DT184" s="68"/>
      <c r="DU184" s="66"/>
      <c r="DV184" s="296"/>
      <c r="DW184" s="330"/>
      <c r="DX184" s="631"/>
      <c r="DY184" s="631"/>
      <c r="DZ184" s="631"/>
      <c r="EA184" s="330"/>
      <c r="EC184" s="66"/>
      <c r="ED184" s="68"/>
      <c r="EH184" s="66"/>
      <c r="EI184" s="66"/>
      <c r="EJ184" s="68"/>
      <c r="EK184" s="252"/>
      <c r="EL184" s="252"/>
      <c r="EM184" s="252"/>
      <c r="EO184" s="252"/>
      <c r="EP184" s="252"/>
      <c r="EQ184" s="252"/>
      <c r="ES184" s="252"/>
      <c r="ET184" s="252"/>
      <c r="EU184" s="252"/>
      <c r="EW184" s="252"/>
      <c r="EX184" s="252"/>
      <c r="EY184" s="252"/>
      <c r="FA184" s="250"/>
      <c r="FB184" s="250"/>
      <c r="FC184" s="250"/>
      <c r="FD184" s="250"/>
      <c r="FE184" s="250"/>
      <c r="FF184" s="250"/>
      <c r="FG184" s="250"/>
      <c r="FH184" s="424"/>
      <c r="FI184" s="250"/>
      <c r="FJ184" s="250"/>
      <c r="FK184" s="250"/>
      <c r="FL184" s="256"/>
      <c r="FM184" s="250"/>
      <c r="FN184" s="256"/>
      <c r="FO184" s="250"/>
      <c r="FP184" s="256"/>
      <c r="FQ184" s="250"/>
      <c r="FR184" s="256"/>
      <c r="FS184" s="250"/>
      <c r="FT184" s="256"/>
      <c r="FU184" s="256"/>
      <c r="FV184" s="256"/>
      <c r="FW184" s="250"/>
      <c r="FX184" s="424"/>
      <c r="FY184" s="251"/>
      <c r="GC184" s="252"/>
      <c r="GF184" s="252"/>
      <c r="GG184" s="252"/>
      <c r="GH184" s="252"/>
      <c r="GI184" s="252"/>
      <c r="GJ184" s="252"/>
      <c r="GK184" s="251"/>
      <c r="GL184" s="250"/>
      <c r="GM184" s="250"/>
      <c r="GN184" s="250"/>
      <c r="GO184" s="250"/>
      <c r="GP184" s="250"/>
      <c r="GQ184" s="250"/>
      <c r="GR184" s="250"/>
      <c r="GS184" s="250"/>
      <c r="GT184" s="250"/>
      <c r="GU184" s="251"/>
      <c r="GV184" s="250"/>
      <c r="GW184" s="250"/>
      <c r="GX184" s="250"/>
      <c r="GY184" s="250"/>
      <c r="GZ184" s="250"/>
      <c r="HA184" s="250"/>
      <c r="HB184" s="250"/>
      <c r="HC184" s="250"/>
      <c r="HD184" s="250"/>
      <c r="HE184" s="250"/>
      <c r="HF184" s="250"/>
      <c r="HG184" s="250"/>
      <c r="HH184" s="251"/>
      <c r="HI184" s="424"/>
      <c r="HJ184" s="255"/>
      <c r="HK184" s="255"/>
      <c r="HL184" s="250"/>
      <c r="HM184" s="255"/>
      <c r="HN184" s="255"/>
      <c r="HO184" s="255"/>
      <c r="HP184" s="250"/>
      <c r="HQ184" s="250"/>
      <c r="HR184" s="250"/>
      <c r="HS184" s="250"/>
      <c r="HT184" s="250"/>
      <c r="HU184" s="251"/>
      <c r="HX184" s="252"/>
      <c r="HY184" s="252"/>
      <c r="HZ184" s="252"/>
      <c r="ID184" s="252"/>
      <c r="IE184" s="252"/>
      <c r="IF184" s="252"/>
      <c r="IJ184" s="252"/>
      <c r="IK184" s="252"/>
      <c r="IL184" s="252"/>
      <c r="IP184" s="252"/>
      <c r="IQ184" s="252"/>
      <c r="IR184" s="252"/>
      <c r="IY184" s="66"/>
      <c r="IZ184" s="66"/>
      <c r="JA184" s="66"/>
      <c r="JB184" s="250"/>
      <c r="JC184" s="66"/>
      <c r="JD184" s="66"/>
      <c r="JE184" s="66"/>
      <c r="JF184" s="66"/>
      <c r="JG184" s="66"/>
      <c r="JH184" s="66"/>
      <c r="JI184" s="66"/>
      <c r="JJ184" s="66"/>
      <c r="JK184" s="8"/>
      <c r="JN184" s="252"/>
      <c r="JO184" s="252"/>
      <c r="JP184" s="252"/>
      <c r="JT184" s="252"/>
      <c r="JU184" s="252"/>
      <c r="JV184" s="252"/>
      <c r="JZ184" s="252"/>
      <c r="KA184" s="252"/>
      <c r="KB184" s="252"/>
      <c r="KF184" s="252"/>
      <c r="KG184" s="252"/>
      <c r="KH184" s="252"/>
      <c r="KO184" s="66"/>
      <c r="KP184" s="66"/>
      <c r="KQ184" s="66"/>
      <c r="KR184" s="66"/>
      <c r="KS184" s="66"/>
      <c r="KT184" s="66"/>
      <c r="KU184" s="66"/>
      <c r="KV184" s="66"/>
      <c r="KW184" s="66"/>
      <c r="KX184" s="66"/>
      <c r="KY184" s="66"/>
      <c r="KZ184" s="66"/>
      <c r="LA184" s="8"/>
      <c r="LD184" s="252"/>
      <c r="LE184" s="252"/>
      <c r="LF184" s="252"/>
      <c r="LJ184" s="252"/>
      <c r="LK184" s="252"/>
      <c r="LN184" s="252"/>
      <c r="LO184" s="252"/>
      <c r="LP184" s="252"/>
      <c r="LT184" s="271"/>
      <c r="LU184" s="250"/>
      <c r="LV184" s="250"/>
      <c r="LW184" s="250"/>
      <c r="LX184" s="250"/>
      <c r="LY184" s="250"/>
      <c r="LZ184" s="250"/>
      <c r="MA184" s="250"/>
      <c r="MB184" s="250"/>
      <c r="MC184" s="250"/>
      <c r="MD184" s="250"/>
      <c r="ME184" s="250"/>
      <c r="MF184" s="250"/>
      <c r="MG184" s="250"/>
      <c r="MH184" s="250"/>
      <c r="MI184" s="250"/>
      <c r="MJ184" s="250"/>
      <c r="MK184" s="424"/>
      <c r="ML184" s="640"/>
      <c r="MM184" s="251"/>
      <c r="MN184" s="252"/>
      <c r="MO184" s="252"/>
      <c r="MP184" s="252"/>
      <c r="MQ184" s="252"/>
      <c r="MR184" s="252"/>
      <c r="MS184" s="252"/>
      <c r="MT184" s="252"/>
      <c r="MU184" s="252"/>
      <c r="MV184" s="252"/>
      <c r="MW184" s="252"/>
      <c r="MX184" s="252"/>
      <c r="MY184" s="252"/>
      <c r="MZ184" s="252"/>
      <c r="NA184" s="252"/>
      <c r="NB184" s="252"/>
      <c r="NC184" s="251"/>
      <c r="ND184" s="250"/>
      <c r="NE184" s="250"/>
      <c r="NF184" s="250"/>
      <c r="NG184" s="250"/>
      <c r="NH184" s="250"/>
      <c r="NI184" s="250"/>
      <c r="NJ184" s="250"/>
      <c r="NK184" s="250"/>
      <c r="NL184" s="250"/>
      <c r="NM184" s="250"/>
      <c r="NN184" s="250"/>
      <c r="NO184" s="250"/>
      <c r="NP184" s="250"/>
      <c r="NQ184" s="250"/>
      <c r="NR184" s="250"/>
      <c r="NS184" s="250"/>
      <c r="NT184" s="250"/>
      <c r="NU184" s="250"/>
      <c r="NV184" s="250"/>
      <c r="NW184" s="251"/>
      <c r="OT184" s="8"/>
      <c r="QG184" s="8"/>
      <c r="RT184" s="8"/>
    </row>
    <row r="185" spans="1:488" s="282" customFormat="1" x14ac:dyDescent="0.25">
      <c r="A185" s="66"/>
      <c r="B185" s="8"/>
      <c r="C185" s="66"/>
      <c r="D185" s="66"/>
      <c r="E185" s="66"/>
      <c r="F185" s="66"/>
      <c r="G185" s="66"/>
      <c r="H185" s="66"/>
      <c r="I185" s="66"/>
      <c r="J185" s="66"/>
      <c r="K185" s="66"/>
      <c r="L185" s="66"/>
      <c r="M185" s="66"/>
      <c r="N185" s="66"/>
      <c r="O185" s="66"/>
      <c r="P185" s="66"/>
      <c r="Q185" s="66"/>
      <c r="R185" s="66"/>
      <c r="S185" s="66"/>
      <c r="T185" s="68"/>
      <c r="AC185" s="66"/>
      <c r="AD185" s="66"/>
      <c r="AE185" s="68"/>
      <c r="AN185" s="66"/>
      <c r="AO185" s="66"/>
      <c r="AP185" s="68"/>
      <c r="AW185" s="66"/>
      <c r="AX185" s="68"/>
      <c r="BD185" s="66"/>
      <c r="BE185" s="68"/>
      <c r="BF185" s="66"/>
      <c r="BG185" s="66"/>
      <c r="BH185" s="66"/>
      <c r="BI185" s="66"/>
      <c r="BJ185" s="66"/>
      <c r="BK185" s="66"/>
      <c r="BL185" s="68"/>
      <c r="BO185" s="66"/>
      <c r="BP185" s="68"/>
      <c r="BV185" s="66"/>
      <c r="BW185" s="68"/>
      <c r="CB185" s="8"/>
      <c r="CH185" s="8"/>
      <c r="CK185" s="299"/>
      <c r="CL185" s="299"/>
      <c r="CM185" s="66"/>
      <c r="CN185" s="66"/>
      <c r="CO185" s="68"/>
      <c r="CR185" s="8"/>
      <c r="CX185" s="66"/>
      <c r="CY185" s="532"/>
      <c r="DE185" s="66"/>
      <c r="DF185" s="66"/>
      <c r="DG185" s="68"/>
      <c r="DH185" s="68"/>
      <c r="DK185" s="66"/>
      <c r="DL185" s="66"/>
      <c r="DM185" s="66"/>
      <c r="DN185" s="66"/>
      <c r="DO185" s="66"/>
      <c r="DP185" s="66"/>
      <c r="DQ185" s="66"/>
      <c r="DR185" s="66"/>
      <c r="DS185" s="66"/>
      <c r="DT185" s="68"/>
      <c r="DU185" s="66"/>
      <c r="DV185" s="296"/>
      <c r="DW185" s="330"/>
      <c r="DX185" s="631"/>
      <c r="DY185" s="631"/>
      <c r="DZ185" s="631"/>
      <c r="EA185" s="330"/>
      <c r="EC185" s="66"/>
      <c r="ED185" s="68"/>
      <c r="EH185" s="66"/>
      <c r="EI185" s="66"/>
      <c r="EJ185" s="68"/>
      <c r="EK185" s="252"/>
      <c r="EL185" s="252"/>
      <c r="EM185" s="252"/>
      <c r="EO185" s="252"/>
      <c r="EP185" s="252"/>
      <c r="EQ185" s="252"/>
      <c r="ES185" s="252"/>
      <c r="ET185" s="252"/>
      <c r="EU185" s="252"/>
      <c r="EW185" s="252"/>
      <c r="EX185" s="252"/>
      <c r="EY185" s="252"/>
      <c r="FA185" s="250"/>
      <c r="FB185" s="250"/>
      <c r="FC185" s="250"/>
      <c r="FD185" s="250"/>
      <c r="FE185" s="250"/>
      <c r="FF185" s="250"/>
      <c r="FG185" s="250"/>
      <c r="FH185" s="424"/>
      <c r="FI185" s="250"/>
      <c r="FJ185" s="250"/>
      <c r="FK185" s="250"/>
      <c r="FL185" s="256"/>
      <c r="FM185" s="250"/>
      <c r="FN185" s="256"/>
      <c r="FO185" s="250"/>
      <c r="FP185" s="256"/>
      <c r="FQ185" s="250"/>
      <c r="FR185" s="256"/>
      <c r="FS185" s="250"/>
      <c r="FT185" s="256"/>
      <c r="FU185" s="256"/>
      <c r="FV185" s="256"/>
      <c r="FW185" s="250"/>
      <c r="FX185" s="424"/>
      <c r="FY185" s="251"/>
      <c r="GC185" s="252"/>
      <c r="GF185" s="252"/>
      <c r="GG185" s="252"/>
      <c r="GH185" s="252"/>
      <c r="GI185" s="252"/>
      <c r="GJ185" s="252"/>
      <c r="GK185" s="251"/>
      <c r="GL185" s="250"/>
      <c r="GM185" s="250"/>
      <c r="GN185" s="250"/>
      <c r="GO185" s="250"/>
      <c r="GP185" s="250"/>
      <c r="GQ185" s="250"/>
      <c r="GR185" s="250"/>
      <c r="GS185" s="250"/>
      <c r="GT185" s="250"/>
      <c r="GU185" s="251"/>
      <c r="GV185" s="250"/>
      <c r="GW185" s="250"/>
      <c r="GX185" s="250"/>
      <c r="GY185" s="250"/>
      <c r="GZ185" s="250"/>
      <c r="HA185" s="250"/>
      <c r="HB185" s="250"/>
      <c r="HC185" s="250"/>
      <c r="HD185" s="250"/>
      <c r="HE185" s="250"/>
      <c r="HF185" s="250"/>
      <c r="HG185" s="250"/>
      <c r="HH185" s="251"/>
      <c r="HI185" s="424"/>
      <c r="HJ185" s="255"/>
      <c r="HK185" s="255"/>
      <c r="HL185" s="250"/>
      <c r="HM185" s="255"/>
      <c r="HN185" s="255"/>
      <c r="HO185" s="255"/>
      <c r="HP185" s="250"/>
      <c r="HQ185" s="250"/>
      <c r="HR185" s="250"/>
      <c r="HS185" s="250"/>
      <c r="HT185" s="250"/>
      <c r="HU185" s="251"/>
      <c r="HX185" s="252"/>
      <c r="HY185" s="252"/>
      <c r="HZ185" s="252"/>
      <c r="ID185" s="252"/>
      <c r="IE185" s="252"/>
      <c r="IF185" s="252"/>
      <c r="IJ185" s="252"/>
      <c r="IK185" s="252"/>
      <c r="IL185" s="252"/>
      <c r="IP185" s="252"/>
      <c r="IQ185" s="252"/>
      <c r="IR185" s="252"/>
      <c r="IY185" s="66"/>
      <c r="IZ185" s="66"/>
      <c r="JA185" s="66"/>
      <c r="JB185" s="250"/>
      <c r="JC185" s="66"/>
      <c r="JD185" s="66"/>
      <c r="JE185" s="66"/>
      <c r="JF185" s="66"/>
      <c r="JG185" s="66"/>
      <c r="JH185" s="66"/>
      <c r="JI185" s="66"/>
      <c r="JJ185" s="66"/>
      <c r="JK185" s="8"/>
      <c r="JN185" s="252"/>
      <c r="JO185" s="252"/>
      <c r="JP185" s="252"/>
      <c r="JT185" s="252"/>
      <c r="JU185" s="252"/>
      <c r="JV185" s="252"/>
      <c r="JZ185" s="252"/>
      <c r="KA185" s="252"/>
      <c r="KB185" s="252"/>
      <c r="KF185" s="252"/>
      <c r="KG185" s="252"/>
      <c r="KH185" s="252"/>
      <c r="KO185" s="66"/>
      <c r="KP185" s="66"/>
      <c r="KQ185" s="66"/>
      <c r="KR185" s="66"/>
      <c r="KS185" s="66"/>
      <c r="KT185" s="66"/>
      <c r="KU185" s="66"/>
      <c r="KV185" s="66"/>
      <c r="KW185" s="66"/>
      <c r="KX185" s="66"/>
      <c r="KY185" s="66"/>
      <c r="KZ185" s="66"/>
      <c r="LA185" s="8"/>
      <c r="LD185" s="252"/>
      <c r="LE185" s="252"/>
      <c r="LF185" s="252"/>
      <c r="LJ185" s="252"/>
      <c r="LK185" s="252"/>
      <c r="LN185" s="252"/>
      <c r="LO185" s="252"/>
      <c r="LP185" s="252"/>
      <c r="LT185" s="271"/>
      <c r="LU185" s="250"/>
      <c r="LV185" s="250"/>
      <c r="LW185" s="250"/>
      <c r="LX185" s="250"/>
      <c r="LY185" s="250"/>
      <c r="LZ185" s="250"/>
      <c r="MA185" s="250"/>
      <c r="MB185" s="250"/>
      <c r="MC185" s="250"/>
      <c r="MD185" s="250"/>
      <c r="ME185" s="250"/>
      <c r="MF185" s="250"/>
      <c r="MG185" s="250"/>
      <c r="MH185" s="250"/>
      <c r="MI185" s="250"/>
      <c r="MJ185" s="250"/>
      <c r="MK185" s="424"/>
      <c r="ML185" s="640"/>
      <c r="MM185" s="251"/>
      <c r="MN185" s="252"/>
      <c r="MO185" s="252"/>
      <c r="MP185" s="252"/>
      <c r="MQ185" s="252"/>
      <c r="MR185" s="252"/>
      <c r="MS185" s="252"/>
      <c r="MT185" s="252"/>
      <c r="MU185" s="252"/>
      <c r="MV185" s="252"/>
      <c r="MW185" s="252"/>
      <c r="MX185" s="252"/>
      <c r="MY185" s="252"/>
      <c r="MZ185" s="252"/>
      <c r="NA185" s="252"/>
      <c r="NB185" s="252"/>
      <c r="NC185" s="251"/>
      <c r="ND185" s="250"/>
      <c r="NE185" s="250"/>
      <c r="NF185" s="250"/>
      <c r="NG185" s="250"/>
      <c r="NH185" s="250"/>
      <c r="NI185" s="250"/>
      <c r="NJ185" s="250"/>
      <c r="NK185" s="250"/>
      <c r="NL185" s="250"/>
      <c r="NM185" s="250"/>
      <c r="NN185" s="250"/>
      <c r="NO185" s="250"/>
      <c r="NP185" s="250"/>
      <c r="NQ185" s="250"/>
      <c r="NR185" s="250"/>
      <c r="NS185" s="250"/>
      <c r="NT185" s="250"/>
      <c r="NU185" s="250"/>
      <c r="NV185" s="250"/>
      <c r="NW185" s="251"/>
      <c r="OT185" s="8"/>
      <c r="QG185" s="8"/>
      <c r="RT185" s="8"/>
    </row>
    <row r="186" spans="1:488" s="282" customFormat="1" x14ac:dyDescent="0.25">
      <c r="A186" s="66"/>
      <c r="B186" s="8"/>
      <c r="C186" s="66"/>
      <c r="D186" s="66"/>
      <c r="E186" s="66"/>
      <c r="F186" s="66"/>
      <c r="G186" s="66"/>
      <c r="H186" s="66"/>
      <c r="I186" s="66"/>
      <c r="J186" s="66"/>
      <c r="K186" s="66"/>
      <c r="L186" s="66"/>
      <c r="M186" s="66"/>
      <c r="N186" s="66"/>
      <c r="O186" s="66"/>
      <c r="P186" s="66"/>
      <c r="Q186" s="66"/>
      <c r="R186" s="66"/>
      <c r="S186" s="66"/>
      <c r="T186" s="68"/>
      <c r="AC186" s="66"/>
      <c r="AD186" s="66"/>
      <c r="AE186" s="68"/>
      <c r="AN186" s="66"/>
      <c r="AO186" s="66"/>
      <c r="AP186" s="68"/>
      <c r="AW186" s="66"/>
      <c r="AX186" s="68"/>
      <c r="BD186" s="66"/>
      <c r="BE186" s="68"/>
      <c r="BF186" s="66"/>
      <c r="BG186" s="66"/>
      <c r="BH186" s="66"/>
      <c r="BI186" s="66"/>
      <c r="BJ186" s="66"/>
      <c r="BK186" s="66"/>
      <c r="BL186" s="68"/>
      <c r="BO186" s="66"/>
      <c r="BP186" s="68"/>
      <c r="BV186" s="66"/>
      <c r="BW186" s="68"/>
      <c r="CB186" s="8"/>
      <c r="CH186" s="8"/>
      <c r="CK186" s="299"/>
      <c r="CL186" s="299"/>
      <c r="CM186" s="66"/>
      <c r="CN186" s="66"/>
      <c r="CO186" s="68"/>
      <c r="CR186" s="8"/>
      <c r="CX186" s="66"/>
      <c r="CY186" s="532"/>
      <c r="DE186" s="66"/>
      <c r="DF186" s="66"/>
      <c r="DG186" s="68"/>
      <c r="DH186" s="68"/>
      <c r="DK186" s="66"/>
      <c r="DL186" s="66"/>
      <c r="DM186" s="66"/>
      <c r="DN186" s="66"/>
      <c r="DO186" s="66"/>
      <c r="DP186" s="66"/>
      <c r="DQ186" s="66"/>
      <c r="DR186" s="66"/>
      <c r="DS186" s="66"/>
      <c r="DT186" s="68"/>
      <c r="DU186" s="66"/>
      <c r="DV186" s="296"/>
      <c r="DW186" s="330"/>
      <c r="DX186" s="631"/>
      <c r="DY186" s="631"/>
      <c r="DZ186" s="631"/>
      <c r="EA186" s="330"/>
      <c r="EC186" s="66"/>
      <c r="ED186" s="68"/>
      <c r="EH186" s="66"/>
      <c r="EI186" s="66"/>
      <c r="EJ186" s="68"/>
      <c r="EK186" s="252"/>
      <c r="EL186" s="252"/>
      <c r="EM186" s="252"/>
      <c r="EO186" s="252"/>
      <c r="EP186" s="252"/>
      <c r="EQ186" s="252"/>
      <c r="ES186" s="252"/>
      <c r="ET186" s="252"/>
      <c r="EU186" s="252"/>
      <c r="EW186" s="252"/>
      <c r="EX186" s="252"/>
      <c r="EY186" s="252"/>
      <c r="FA186" s="250"/>
      <c r="FB186" s="250"/>
      <c r="FC186" s="250"/>
      <c r="FD186" s="250"/>
      <c r="FE186" s="250"/>
      <c r="FF186" s="250"/>
      <c r="FG186" s="250"/>
      <c r="FH186" s="424"/>
      <c r="FI186" s="250"/>
      <c r="FJ186" s="250"/>
      <c r="FK186" s="250"/>
      <c r="FL186" s="256"/>
      <c r="FM186" s="250"/>
      <c r="FN186" s="256"/>
      <c r="FO186" s="250"/>
      <c r="FP186" s="256"/>
      <c r="FQ186" s="250"/>
      <c r="FR186" s="256"/>
      <c r="FS186" s="250"/>
      <c r="FT186" s="256"/>
      <c r="FU186" s="256"/>
      <c r="FV186" s="256"/>
      <c r="FW186" s="250"/>
      <c r="FX186" s="424"/>
      <c r="FY186" s="251"/>
      <c r="GC186" s="252"/>
      <c r="GF186" s="252"/>
      <c r="GG186" s="252"/>
      <c r="GH186" s="252"/>
      <c r="GI186" s="252"/>
      <c r="GJ186" s="252"/>
      <c r="GK186" s="251"/>
      <c r="GL186" s="250"/>
      <c r="GM186" s="250"/>
      <c r="GN186" s="250"/>
      <c r="GO186" s="250"/>
      <c r="GP186" s="250"/>
      <c r="GQ186" s="250"/>
      <c r="GR186" s="250"/>
      <c r="GS186" s="250"/>
      <c r="GT186" s="250"/>
      <c r="GU186" s="251"/>
      <c r="GV186" s="250"/>
      <c r="GW186" s="250"/>
      <c r="GX186" s="250"/>
      <c r="GY186" s="250"/>
      <c r="GZ186" s="250"/>
      <c r="HA186" s="250"/>
      <c r="HB186" s="250"/>
      <c r="HC186" s="250"/>
      <c r="HD186" s="250"/>
      <c r="HE186" s="250"/>
      <c r="HF186" s="250"/>
      <c r="HG186" s="250"/>
      <c r="HH186" s="251"/>
      <c r="HI186" s="424"/>
      <c r="HJ186" s="255"/>
      <c r="HK186" s="255"/>
      <c r="HL186" s="250"/>
      <c r="HM186" s="255"/>
      <c r="HN186" s="255"/>
      <c r="HO186" s="255"/>
      <c r="HP186" s="250"/>
      <c r="HQ186" s="250"/>
      <c r="HR186" s="250"/>
      <c r="HS186" s="250"/>
      <c r="HT186" s="250"/>
      <c r="HU186" s="251"/>
      <c r="HX186" s="252"/>
      <c r="HY186" s="252"/>
      <c r="HZ186" s="252"/>
      <c r="ID186" s="252"/>
      <c r="IE186" s="252"/>
      <c r="IF186" s="252"/>
      <c r="IJ186" s="252"/>
      <c r="IK186" s="252"/>
      <c r="IL186" s="252"/>
      <c r="IP186" s="252"/>
      <c r="IQ186" s="252"/>
      <c r="IR186" s="252"/>
      <c r="IY186" s="66"/>
      <c r="IZ186" s="66"/>
      <c r="JA186" s="66"/>
      <c r="JB186" s="250"/>
      <c r="JC186" s="66"/>
      <c r="JD186" s="66"/>
      <c r="JE186" s="66"/>
      <c r="JF186" s="66"/>
      <c r="JG186" s="66"/>
      <c r="JH186" s="66"/>
      <c r="JI186" s="66"/>
      <c r="JJ186" s="66"/>
      <c r="JK186" s="8"/>
      <c r="JN186" s="252"/>
      <c r="JO186" s="252"/>
      <c r="JP186" s="252"/>
      <c r="JT186" s="252"/>
      <c r="JU186" s="252"/>
      <c r="JV186" s="252"/>
      <c r="JZ186" s="252"/>
      <c r="KA186" s="252"/>
      <c r="KB186" s="252"/>
      <c r="KF186" s="252"/>
      <c r="KG186" s="252"/>
      <c r="KH186" s="252"/>
      <c r="KO186" s="66"/>
      <c r="KP186" s="66"/>
      <c r="KQ186" s="66"/>
      <c r="KR186" s="66"/>
      <c r="KS186" s="66"/>
      <c r="KT186" s="66"/>
      <c r="KU186" s="66"/>
      <c r="KV186" s="66"/>
      <c r="KW186" s="66"/>
      <c r="KX186" s="66"/>
      <c r="KY186" s="66"/>
      <c r="KZ186" s="66"/>
      <c r="LA186" s="8"/>
      <c r="LD186" s="252"/>
      <c r="LE186" s="252"/>
      <c r="LF186" s="252"/>
      <c r="LJ186" s="252"/>
      <c r="LK186" s="252"/>
      <c r="LN186" s="252"/>
      <c r="LO186" s="252"/>
      <c r="LP186" s="252"/>
      <c r="LT186" s="271"/>
      <c r="LU186" s="250"/>
      <c r="LV186" s="250"/>
      <c r="LW186" s="250"/>
      <c r="LX186" s="250"/>
      <c r="LY186" s="250"/>
      <c r="LZ186" s="250"/>
      <c r="MA186" s="250"/>
      <c r="MB186" s="250"/>
      <c r="MC186" s="250"/>
      <c r="MD186" s="250"/>
      <c r="ME186" s="250"/>
      <c r="MF186" s="250"/>
      <c r="MG186" s="250"/>
      <c r="MH186" s="250"/>
      <c r="MI186" s="250"/>
      <c r="MJ186" s="250"/>
      <c r="MK186" s="424"/>
      <c r="ML186" s="640"/>
      <c r="MM186" s="251"/>
      <c r="MN186" s="252"/>
      <c r="MO186" s="252"/>
      <c r="MP186" s="252"/>
      <c r="MQ186" s="252"/>
      <c r="MR186" s="252"/>
      <c r="MS186" s="252"/>
      <c r="MT186" s="252"/>
      <c r="MU186" s="252"/>
      <c r="MV186" s="252"/>
      <c r="MW186" s="252"/>
      <c r="MX186" s="252"/>
      <c r="MY186" s="252"/>
      <c r="MZ186" s="252"/>
      <c r="NA186" s="252"/>
      <c r="NB186" s="252"/>
      <c r="NC186" s="251"/>
      <c r="ND186" s="250"/>
      <c r="NE186" s="250"/>
      <c r="NF186" s="250"/>
      <c r="NG186" s="250"/>
      <c r="NH186" s="250"/>
      <c r="NI186" s="250"/>
      <c r="NJ186" s="250"/>
      <c r="NK186" s="250"/>
      <c r="NL186" s="250"/>
      <c r="NM186" s="250"/>
      <c r="NN186" s="250"/>
      <c r="NO186" s="250"/>
      <c r="NP186" s="250"/>
      <c r="NQ186" s="250"/>
      <c r="NR186" s="250"/>
      <c r="NS186" s="250"/>
      <c r="NT186" s="250"/>
      <c r="NU186" s="250"/>
      <c r="NV186" s="250"/>
      <c r="NW186" s="251"/>
      <c r="OT186" s="8"/>
      <c r="QG186" s="8"/>
      <c r="RT186" s="8"/>
    </row>
    <row r="187" spans="1:488" s="282" customFormat="1" x14ac:dyDescent="0.25">
      <c r="A187" s="66"/>
      <c r="B187" s="8"/>
      <c r="C187" s="66"/>
      <c r="D187" s="66"/>
      <c r="E187" s="66"/>
      <c r="F187" s="66"/>
      <c r="G187" s="66"/>
      <c r="H187" s="66"/>
      <c r="I187" s="66"/>
      <c r="J187" s="66"/>
      <c r="K187" s="66"/>
      <c r="L187" s="66"/>
      <c r="M187" s="66"/>
      <c r="N187" s="66"/>
      <c r="O187" s="66"/>
      <c r="P187" s="66"/>
      <c r="Q187" s="66"/>
      <c r="R187" s="66"/>
      <c r="S187" s="66"/>
      <c r="T187" s="68"/>
      <c r="AC187" s="66"/>
      <c r="AD187" s="66"/>
      <c r="AE187" s="68"/>
      <c r="AN187" s="66"/>
      <c r="AO187" s="66"/>
      <c r="AP187" s="68"/>
      <c r="AW187" s="66"/>
      <c r="AX187" s="68"/>
      <c r="BD187" s="66"/>
      <c r="BE187" s="68"/>
      <c r="BF187" s="66"/>
      <c r="BG187" s="66"/>
      <c r="BH187" s="66"/>
      <c r="BI187" s="66"/>
      <c r="BJ187" s="66"/>
      <c r="BK187" s="66"/>
      <c r="BL187" s="68"/>
      <c r="BO187" s="66"/>
      <c r="BP187" s="68"/>
      <c r="BV187" s="66"/>
      <c r="BW187" s="68"/>
      <c r="CB187" s="8"/>
      <c r="CH187" s="8"/>
      <c r="CK187" s="299"/>
      <c r="CL187" s="299"/>
      <c r="CM187" s="66"/>
      <c r="CN187" s="66"/>
      <c r="CO187" s="68"/>
      <c r="CR187" s="8"/>
      <c r="CX187" s="66"/>
      <c r="CY187" s="532"/>
      <c r="DE187" s="66"/>
      <c r="DF187" s="66"/>
      <c r="DG187" s="68"/>
      <c r="DH187" s="68"/>
      <c r="DK187" s="66"/>
      <c r="DL187" s="66"/>
      <c r="DM187" s="66"/>
      <c r="DN187" s="66"/>
      <c r="DO187" s="66"/>
      <c r="DP187" s="66"/>
      <c r="DQ187" s="66"/>
      <c r="DR187" s="66"/>
      <c r="DS187" s="66"/>
      <c r="DT187" s="68"/>
      <c r="DU187" s="66"/>
      <c r="DV187" s="296"/>
      <c r="DW187" s="330"/>
      <c r="DX187" s="631"/>
      <c r="DY187" s="631"/>
      <c r="DZ187" s="631"/>
      <c r="EA187" s="330"/>
      <c r="EC187" s="66"/>
      <c r="ED187" s="68"/>
      <c r="EH187" s="66"/>
      <c r="EI187" s="66"/>
      <c r="EJ187" s="68"/>
      <c r="EK187" s="252"/>
      <c r="EL187" s="252"/>
      <c r="EM187" s="252"/>
      <c r="EO187" s="252"/>
      <c r="EP187" s="252"/>
      <c r="EQ187" s="252"/>
      <c r="ES187" s="252"/>
      <c r="ET187" s="252"/>
      <c r="EU187" s="252"/>
      <c r="EW187" s="252"/>
      <c r="EX187" s="252"/>
      <c r="EY187" s="252"/>
      <c r="FA187" s="250"/>
      <c r="FB187" s="250"/>
      <c r="FC187" s="250"/>
      <c r="FD187" s="250"/>
      <c r="FE187" s="250"/>
      <c r="FF187" s="250"/>
      <c r="FG187" s="250"/>
      <c r="FH187" s="424"/>
      <c r="FI187" s="250"/>
      <c r="FJ187" s="250"/>
      <c r="FK187" s="250"/>
      <c r="FL187" s="256"/>
      <c r="FM187" s="250"/>
      <c r="FN187" s="256"/>
      <c r="FO187" s="250"/>
      <c r="FP187" s="256"/>
      <c r="FQ187" s="250"/>
      <c r="FR187" s="256"/>
      <c r="FS187" s="250"/>
      <c r="FT187" s="256"/>
      <c r="FU187" s="256"/>
      <c r="FV187" s="256"/>
      <c r="FW187" s="250"/>
      <c r="FX187" s="424"/>
      <c r="FY187" s="251"/>
      <c r="GC187" s="252"/>
      <c r="GF187" s="252"/>
      <c r="GG187" s="252"/>
      <c r="GH187" s="252"/>
      <c r="GI187" s="252"/>
      <c r="GJ187" s="252"/>
      <c r="GK187" s="251"/>
      <c r="GL187" s="250"/>
      <c r="GM187" s="250"/>
      <c r="GN187" s="250"/>
      <c r="GO187" s="250"/>
      <c r="GP187" s="250"/>
      <c r="GQ187" s="250"/>
      <c r="GR187" s="250"/>
      <c r="GS187" s="250"/>
      <c r="GT187" s="250"/>
      <c r="GU187" s="251"/>
      <c r="GV187" s="250"/>
      <c r="GW187" s="250"/>
      <c r="GX187" s="250"/>
      <c r="GY187" s="250"/>
      <c r="GZ187" s="250"/>
      <c r="HA187" s="250"/>
      <c r="HB187" s="250"/>
      <c r="HC187" s="250"/>
      <c r="HD187" s="250"/>
      <c r="HE187" s="250"/>
      <c r="HF187" s="250"/>
      <c r="HG187" s="250"/>
      <c r="HH187" s="251"/>
      <c r="HI187" s="424"/>
      <c r="HJ187" s="255"/>
      <c r="HK187" s="255"/>
      <c r="HL187" s="250"/>
      <c r="HM187" s="255"/>
      <c r="HN187" s="255"/>
      <c r="HO187" s="255"/>
      <c r="HP187" s="250"/>
      <c r="HQ187" s="250"/>
      <c r="HR187" s="250"/>
      <c r="HS187" s="250"/>
      <c r="HT187" s="250"/>
      <c r="HU187" s="251"/>
      <c r="HX187" s="252"/>
      <c r="HY187" s="252"/>
      <c r="HZ187" s="252"/>
      <c r="ID187" s="252"/>
      <c r="IE187" s="252"/>
      <c r="IF187" s="252"/>
      <c r="IJ187" s="252"/>
      <c r="IK187" s="252"/>
      <c r="IL187" s="252"/>
      <c r="IP187" s="252"/>
      <c r="IQ187" s="252"/>
      <c r="IR187" s="252"/>
      <c r="IY187" s="66"/>
      <c r="IZ187" s="66"/>
      <c r="JA187" s="66"/>
      <c r="JB187" s="250"/>
      <c r="JC187" s="66"/>
      <c r="JD187" s="66"/>
      <c r="JE187" s="66"/>
      <c r="JF187" s="66"/>
      <c r="JG187" s="66"/>
      <c r="JH187" s="66"/>
      <c r="JI187" s="66"/>
      <c r="JJ187" s="66"/>
      <c r="JK187" s="8"/>
      <c r="JN187" s="252"/>
      <c r="JO187" s="252"/>
      <c r="JP187" s="252"/>
      <c r="JT187" s="252"/>
      <c r="JU187" s="252"/>
      <c r="JV187" s="252"/>
      <c r="JZ187" s="252"/>
      <c r="KA187" s="252"/>
      <c r="KB187" s="252"/>
      <c r="KF187" s="252"/>
      <c r="KG187" s="252"/>
      <c r="KH187" s="252"/>
      <c r="KO187" s="66"/>
      <c r="KP187" s="66"/>
      <c r="KQ187" s="66"/>
      <c r="KR187" s="66"/>
      <c r="KS187" s="66"/>
      <c r="KT187" s="66"/>
      <c r="KU187" s="66"/>
      <c r="KV187" s="66"/>
      <c r="KW187" s="66"/>
      <c r="KX187" s="66"/>
      <c r="KY187" s="66"/>
      <c r="KZ187" s="66"/>
      <c r="LA187" s="8"/>
      <c r="LD187" s="252"/>
      <c r="LE187" s="252"/>
      <c r="LF187" s="252"/>
      <c r="LJ187" s="252"/>
      <c r="LK187" s="252"/>
      <c r="LN187" s="252"/>
      <c r="LO187" s="252"/>
      <c r="LP187" s="252"/>
      <c r="LT187" s="271"/>
      <c r="LU187" s="250"/>
      <c r="LV187" s="250"/>
      <c r="LW187" s="250"/>
      <c r="LX187" s="250"/>
      <c r="LY187" s="250"/>
      <c r="LZ187" s="250"/>
      <c r="MA187" s="250"/>
      <c r="MB187" s="250"/>
      <c r="MC187" s="250"/>
      <c r="MD187" s="250"/>
      <c r="ME187" s="250"/>
      <c r="MF187" s="250"/>
      <c r="MG187" s="250"/>
      <c r="MH187" s="250"/>
      <c r="MI187" s="250"/>
      <c r="MJ187" s="250"/>
      <c r="MK187" s="424"/>
      <c r="ML187" s="640"/>
      <c r="MM187" s="251"/>
      <c r="MN187" s="252"/>
      <c r="MO187" s="252"/>
      <c r="MP187" s="252"/>
      <c r="MQ187" s="252"/>
      <c r="MR187" s="252"/>
      <c r="MS187" s="252"/>
      <c r="MT187" s="252"/>
      <c r="MU187" s="252"/>
      <c r="MV187" s="252"/>
      <c r="MW187" s="252"/>
      <c r="MX187" s="252"/>
      <c r="MY187" s="252"/>
      <c r="MZ187" s="252"/>
      <c r="NA187" s="252"/>
      <c r="NB187" s="252"/>
      <c r="NC187" s="251"/>
      <c r="ND187" s="250"/>
      <c r="NE187" s="250"/>
      <c r="NF187" s="250"/>
      <c r="NG187" s="250"/>
      <c r="NH187" s="250"/>
      <c r="NI187" s="250"/>
      <c r="NJ187" s="250"/>
      <c r="NK187" s="250"/>
      <c r="NL187" s="250"/>
      <c r="NM187" s="250"/>
      <c r="NN187" s="250"/>
      <c r="NO187" s="250"/>
      <c r="NP187" s="250"/>
      <c r="NQ187" s="250"/>
      <c r="NR187" s="250"/>
      <c r="NS187" s="250"/>
      <c r="NT187" s="250"/>
      <c r="NU187" s="250"/>
      <c r="NV187" s="250"/>
      <c r="NW187" s="251"/>
      <c r="OT187" s="8"/>
      <c r="QG187" s="8"/>
      <c r="RT187" s="8"/>
    </row>
    <row r="188" spans="1:488" s="282" customFormat="1" x14ac:dyDescent="0.25">
      <c r="A188" s="66"/>
      <c r="B188" s="8"/>
      <c r="C188" s="66"/>
      <c r="D188" s="66"/>
      <c r="E188" s="66"/>
      <c r="F188" s="66"/>
      <c r="G188" s="66"/>
      <c r="H188" s="66"/>
      <c r="I188" s="66"/>
      <c r="J188" s="66"/>
      <c r="K188" s="66"/>
      <c r="L188" s="66"/>
      <c r="M188" s="66"/>
      <c r="N188" s="66"/>
      <c r="O188" s="66"/>
      <c r="P188" s="66"/>
      <c r="Q188" s="66"/>
      <c r="R188" s="66"/>
      <c r="S188" s="66"/>
      <c r="T188" s="68"/>
      <c r="AC188" s="66"/>
      <c r="AD188" s="66"/>
      <c r="AE188" s="68"/>
      <c r="AN188" s="66"/>
      <c r="AO188" s="66"/>
      <c r="AP188" s="68"/>
      <c r="AW188" s="66"/>
      <c r="AX188" s="68"/>
      <c r="BD188" s="66"/>
      <c r="BE188" s="68"/>
      <c r="BF188" s="66"/>
      <c r="BG188" s="66"/>
      <c r="BH188" s="66"/>
      <c r="BI188" s="66"/>
      <c r="BJ188" s="66"/>
      <c r="BK188" s="66"/>
      <c r="BL188" s="68"/>
      <c r="BO188" s="66"/>
      <c r="BP188" s="68"/>
      <c r="BV188" s="66"/>
      <c r="BW188" s="68"/>
      <c r="CB188" s="8"/>
      <c r="CH188" s="8"/>
      <c r="CK188" s="299"/>
      <c r="CL188" s="299"/>
      <c r="CM188" s="66"/>
      <c r="CN188" s="66"/>
      <c r="CO188" s="68"/>
      <c r="CR188" s="8"/>
      <c r="CX188" s="66"/>
      <c r="CY188" s="532"/>
      <c r="DE188" s="66"/>
      <c r="DF188" s="66"/>
      <c r="DG188" s="68"/>
      <c r="DH188" s="68"/>
      <c r="DK188" s="66"/>
      <c r="DL188" s="66"/>
      <c r="DM188" s="66"/>
      <c r="DN188" s="66"/>
      <c r="DO188" s="66"/>
      <c r="DP188" s="66"/>
      <c r="DQ188" s="66"/>
      <c r="DR188" s="66"/>
      <c r="DS188" s="66"/>
      <c r="DT188" s="68"/>
      <c r="DU188" s="66"/>
      <c r="DV188" s="296"/>
      <c r="DW188" s="330"/>
      <c r="DX188" s="631"/>
      <c r="DY188" s="631"/>
      <c r="DZ188" s="631"/>
      <c r="EA188" s="330"/>
      <c r="EC188" s="66"/>
      <c r="ED188" s="68"/>
      <c r="EH188" s="66"/>
      <c r="EI188" s="66"/>
      <c r="EJ188" s="68"/>
      <c r="EK188" s="252"/>
      <c r="EL188" s="252"/>
      <c r="EM188" s="252"/>
      <c r="EO188" s="252"/>
      <c r="EP188" s="252"/>
      <c r="EQ188" s="252"/>
      <c r="ES188" s="252"/>
      <c r="ET188" s="252"/>
      <c r="EU188" s="252"/>
      <c r="EW188" s="252"/>
      <c r="EX188" s="252"/>
      <c r="EY188" s="252"/>
      <c r="FA188" s="250"/>
      <c r="FB188" s="250"/>
      <c r="FC188" s="250"/>
      <c r="FD188" s="250"/>
      <c r="FE188" s="250"/>
      <c r="FF188" s="250"/>
      <c r="FG188" s="250"/>
      <c r="FH188" s="424"/>
      <c r="FI188" s="250"/>
      <c r="FJ188" s="250"/>
      <c r="FK188" s="250"/>
      <c r="FL188" s="256"/>
      <c r="FM188" s="250"/>
      <c r="FN188" s="256"/>
      <c r="FO188" s="250"/>
      <c r="FP188" s="256"/>
      <c r="FQ188" s="250"/>
      <c r="FR188" s="256"/>
      <c r="FS188" s="250"/>
      <c r="FT188" s="256"/>
      <c r="FU188" s="256"/>
      <c r="FV188" s="256"/>
      <c r="FW188" s="250"/>
      <c r="FX188" s="424"/>
      <c r="FY188" s="251"/>
      <c r="GC188" s="252"/>
      <c r="GF188" s="252"/>
      <c r="GG188" s="252"/>
      <c r="GH188" s="252"/>
      <c r="GI188" s="252"/>
      <c r="GJ188" s="252"/>
      <c r="GK188" s="251"/>
      <c r="GL188" s="250"/>
      <c r="GM188" s="250"/>
      <c r="GN188" s="250"/>
      <c r="GO188" s="250"/>
      <c r="GP188" s="250"/>
      <c r="GQ188" s="250"/>
      <c r="GR188" s="250"/>
      <c r="GS188" s="250"/>
      <c r="GT188" s="250"/>
      <c r="GU188" s="251"/>
      <c r="GV188" s="250"/>
      <c r="GW188" s="250"/>
      <c r="GX188" s="250"/>
      <c r="GY188" s="250"/>
      <c r="GZ188" s="250"/>
      <c r="HA188" s="250"/>
      <c r="HB188" s="250"/>
      <c r="HC188" s="250"/>
      <c r="HD188" s="250"/>
      <c r="HE188" s="250"/>
      <c r="HF188" s="250"/>
      <c r="HG188" s="250"/>
      <c r="HH188" s="251"/>
      <c r="HI188" s="424"/>
      <c r="HJ188" s="255"/>
      <c r="HK188" s="255"/>
      <c r="HL188" s="250"/>
      <c r="HM188" s="255"/>
      <c r="HN188" s="255"/>
      <c r="HO188" s="255"/>
      <c r="HP188" s="250"/>
      <c r="HQ188" s="250"/>
      <c r="HR188" s="250"/>
      <c r="HS188" s="250"/>
      <c r="HT188" s="250"/>
      <c r="HU188" s="251"/>
      <c r="HX188" s="252"/>
      <c r="HY188" s="252"/>
      <c r="HZ188" s="252"/>
      <c r="ID188" s="252"/>
      <c r="IE188" s="252"/>
      <c r="IF188" s="252"/>
      <c r="IJ188" s="252"/>
      <c r="IK188" s="252"/>
      <c r="IL188" s="252"/>
      <c r="IP188" s="252"/>
      <c r="IQ188" s="252"/>
      <c r="IR188" s="252"/>
      <c r="IY188" s="66"/>
      <c r="IZ188" s="66"/>
      <c r="JA188" s="66"/>
      <c r="JB188" s="250"/>
      <c r="JC188" s="66"/>
      <c r="JD188" s="66"/>
      <c r="JE188" s="66"/>
      <c r="JF188" s="66"/>
      <c r="JG188" s="66"/>
      <c r="JH188" s="66"/>
      <c r="JI188" s="66"/>
      <c r="JJ188" s="66"/>
      <c r="JK188" s="8"/>
      <c r="JN188" s="252"/>
      <c r="JO188" s="252"/>
      <c r="JP188" s="252"/>
      <c r="JT188" s="252"/>
      <c r="JU188" s="252"/>
      <c r="JV188" s="252"/>
      <c r="JZ188" s="252"/>
      <c r="KA188" s="252"/>
      <c r="KB188" s="252"/>
      <c r="KF188" s="252"/>
      <c r="KG188" s="252"/>
      <c r="KH188" s="252"/>
      <c r="KO188" s="66"/>
      <c r="KP188" s="66"/>
      <c r="KQ188" s="66"/>
      <c r="KR188" s="66"/>
      <c r="KS188" s="66"/>
      <c r="KT188" s="66"/>
      <c r="KU188" s="66"/>
      <c r="KV188" s="66"/>
      <c r="KW188" s="66"/>
      <c r="KX188" s="66"/>
      <c r="KY188" s="66"/>
      <c r="KZ188" s="66"/>
      <c r="LA188" s="8"/>
      <c r="LD188" s="252"/>
      <c r="LE188" s="252"/>
      <c r="LF188" s="252"/>
      <c r="LJ188" s="252"/>
      <c r="LK188" s="252"/>
      <c r="LN188" s="252"/>
      <c r="LO188" s="252"/>
      <c r="LP188" s="252"/>
      <c r="LT188" s="271"/>
      <c r="LU188" s="250"/>
      <c r="LV188" s="250"/>
      <c r="LW188" s="250"/>
      <c r="LX188" s="250"/>
      <c r="LY188" s="250"/>
      <c r="LZ188" s="250"/>
      <c r="MA188" s="250"/>
      <c r="MB188" s="250"/>
      <c r="MC188" s="250"/>
      <c r="MD188" s="250"/>
      <c r="ME188" s="250"/>
      <c r="MF188" s="250"/>
      <c r="MG188" s="250"/>
      <c r="MH188" s="250"/>
      <c r="MI188" s="250"/>
      <c r="MJ188" s="250"/>
      <c r="MK188" s="424"/>
      <c r="ML188" s="640"/>
      <c r="MM188" s="251"/>
      <c r="MN188" s="252"/>
      <c r="MO188" s="252"/>
      <c r="MP188" s="252"/>
      <c r="MQ188" s="252"/>
      <c r="MR188" s="252"/>
      <c r="MS188" s="252"/>
      <c r="MT188" s="252"/>
      <c r="MU188" s="252"/>
      <c r="MV188" s="252"/>
      <c r="MW188" s="252"/>
      <c r="MX188" s="252"/>
      <c r="MY188" s="252"/>
      <c r="MZ188" s="252"/>
      <c r="NA188" s="252"/>
      <c r="NB188" s="252"/>
      <c r="NC188" s="251"/>
      <c r="ND188" s="250"/>
      <c r="NE188" s="250"/>
      <c r="NF188" s="250"/>
      <c r="NG188" s="250"/>
      <c r="NH188" s="250"/>
      <c r="NI188" s="250"/>
      <c r="NJ188" s="250"/>
      <c r="NK188" s="250"/>
      <c r="NL188" s="250"/>
      <c r="NM188" s="250"/>
      <c r="NN188" s="250"/>
      <c r="NO188" s="250"/>
      <c r="NP188" s="250"/>
      <c r="NQ188" s="250"/>
      <c r="NR188" s="250"/>
      <c r="NS188" s="250"/>
      <c r="NT188" s="250"/>
      <c r="NU188" s="250"/>
      <c r="NV188" s="250"/>
      <c r="NW188" s="251"/>
      <c r="OT188" s="8"/>
      <c r="QG188" s="8"/>
      <c r="RT188" s="8"/>
    </row>
    <row r="189" spans="1:488" s="282" customFormat="1" x14ac:dyDescent="0.25">
      <c r="A189" s="66"/>
      <c r="B189" s="8"/>
      <c r="C189" s="66"/>
      <c r="D189" s="66"/>
      <c r="E189" s="66"/>
      <c r="F189" s="66"/>
      <c r="G189" s="66"/>
      <c r="H189" s="66"/>
      <c r="I189" s="66"/>
      <c r="J189" s="66"/>
      <c r="K189" s="66"/>
      <c r="L189" s="66"/>
      <c r="M189" s="66"/>
      <c r="N189" s="66"/>
      <c r="O189" s="66"/>
      <c r="P189" s="66"/>
      <c r="Q189" s="66"/>
      <c r="R189" s="66"/>
      <c r="S189" s="66"/>
      <c r="T189" s="68"/>
      <c r="AC189" s="66"/>
      <c r="AD189" s="66"/>
      <c r="AE189" s="68"/>
      <c r="AN189" s="66"/>
      <c r="AO189" s="66"/>
      <c r="AP189" s="68"/>
      <c r="AW189" s="66"/>
      <c r="AX189" s="68"/>
      <c r="BD189" s="66"/>
      <c r="BE189" s="68"/>
      <c r="BF189" s="66"/>
      <c r="BG189" s="66"/>
      <c r="BH189" s="66"/>
      <c r="BI189" s="66"/>
      <c r="BJ189" s="66"/>
      <c r="BK189" s="66"/>
      <c r="BL189" s="68"/>
      <c r="BO189" s="66"/>
      <c r="BP189" s="68"/>
      <c r="BV189" s="66"/>
      <c r="BW189" s="68"/>
      <c r="CB189" s="8"/>
      <c r="CH189" s="8"/>
      <c r="CK189" s="299"/>
      <c r="CL189" s="299"/>
      <c r="CM189" s="66"/>
      <c r="CN189" s="66"/>
      <c r="CO189" s="68"/>
      <c r="CR189" s="8"/>
      <c r="CX189" s="66"/>
      <c r="CY189" s="532"/>
      <c r="DE189" s="66"/>
      <c r="DF189" s="66"/>
      <c r="DG189" s="68"/>
      <c r="DH189" s="68"/>
      <c r="DK189" s="66"/>
      <c r="DL189" s="66"/>
      <c r="DM189" s="66"/>
      <c r="DN189" s="66"/>
      <c r="DO189" s="66"/>
      <c r="DP189" s="66"/>
      <c r="DQ189" s="66"/>
      <c r="DR189" s="66"/>
      <c r="DS189" s="66"/>
      <c r="DT189" s="68"/>
      <c r="DU189" s="66"/>
      <c r="DV189" s="296"/>
      <c r="DW189" s="330"/>
      <c r="DX189" s="631"/>
      <c r="DY189" s="631"/>
      <c r="DZ189" s="631"/>
      <c r="EA189" s="330"/>
      <c r="EC189" s="66"/>
      <c r="ED189" s="68"/>
      <c r="EH189" s="66"/>
      <c r="EI189" s="66"/>
      <c r="EJ189" s="68"/>
      <c r="EK189" s="252"/>
      <c r="EL189" s="252"/>
      <c r="EM189" s="252"/>
      <c r="EO189" s="252"/>
      <c r="EP189" s="252"/>
      <c r="EQ189" s="252"/>
      <c r="ES189" s="252"/>
      <c r="ET189" s="252"/>
      <c r="EU189" s="252"/>
      <c r="EW189" s="252"/>
      <c r="EX189" s="252"/>
      <c r="EY189" s="252"/>
      <c r="FA189" s="250"/>
      <c r="FB189" s="250"/>
      <c r="FC189" s="250"/>
      <c r="FD189" s="250"/>
      <c r="FE189" s="250"/>
      <c r="FF189" s="250"/>
      <c r="FG189" s="250"/>
      <c r="FH189" s="424"/>
      <c r="FI189" s="250"/>
      <c r="FJ189" s="250"/>
      <c r="FK189" s="250"/>
      <c r="FL189" s="256"/>
      <c r="FM189" s="250"/>
      <c r="FN189" s="256"/>
      <c r="FO189" s="250"/>
      <c r="FP189" s="256"/>
      <c r="FQ189" s="250"/>
      <c r="FR189" s="256"/>
      <c r="FS189" s="250"/>
      <c r="FT189" s="256"/>
      <c r="FU189" s="256"/>
      <c r="FV189" s="256"/>
      <c r="FW189" s="250"/>
      <c r="FX189" s="424"/>
      <c r="FY189" s="251"/>
      <c r="GC189" s="252"/>
      <c r="GF189" s="252"/>
      <c r="GG189" s="252"/>
      <c r="GH189" s="252"/>
      <c r="GI189" s="252"/>
      <c r="GJ189" s="252"/>
      <c r="GK189" s="251"/>
      <c r="GL189" s="250"/>
      <c r="GM189" s="250"/>
      <c r="GN189" s="250"/>
      <c r="GO189" s="250"/>
      <c r="GP189" s="250"/>
      <c r="GQ189" s="250"/>
      <c r="GR189" s="250"/>
      <c r="GS189" s="250"/>
      <c r="GT189" s="250"/>
      <c r="GU189" s="251"/>
      <c r="GV189" s="250"/>
      <c r="GW189" s="250"/>
      <c r="GX189" s="250"/>
      <c r="GY189" s="250"/>
      <c r="GZ189" s="250"/>
      <c r="HA189" s="250"/>
      <c r="HB189" s="250"/>
      <c r="HC189" s="250"/>
      <c r="HD189" s="250"/>
      <c r="HE189" s="250"/>
      <c r="HF189" s="250"/>
      <c r="HG189" s="250"/>
      <c r="HH189" s="251"/>
      <c r="HI189" s="424"/>
      <c r="HJ189" s="255"/>
      <c r="HK189" s="255"/>
      <c r="HL189" s="250"/>
      <c r="HM189" s="255"/>
      <c r="HN189" s="255"/>
      <c r="HO189" s="255"/>
      <c r="HP189" s="250"/>
      <c r="HQ189" s="250"/>
      <c r="HR189" s="250"/>
      <c r="HS189" s="250"/>
      <c r="HT189" s="250"/>
      <c r="HU189" s="251"/>
      <c r="HX189" s="252"/>
      <c r="HY189" s="252"/>
      <c r="HZ189" s="252"/>
      <c r="ID189" s="252"/>
      <c r="IE189" s="252"/>
      <c r="IF189" s="252"/>
      <c r="IJ189" s="252"/>
      <c r="IK189" s="252"/>
      <c r="IL189" s="252"/>
      <c r="IP189" s="252"/>
      <c r="IQ189" s="252"/>
      <c r="IR189" s="252"/>
      <c r="IY189" s="66"/>
      <c r="IZ189" s="66"/>
      <c r="JA189" s="66"/>
      <c r="JB189" s="250"/>
      <c r="JC189" s="66"/>
      <c r="JD189" s="66"/>
      <c r="JE189" s="66"/>
      <c r="JF189" s="66"/>
      <c r="JG189" s="66"/>
      <c r="JH189" s="66"/>
      <c r="JI189" s="66"/>
      <c r="JJ189" s="66"/>
      <c r="JK189" s="8"/>
      <c r="JN189" s="252"/>
      <c r="JO189" s="252"/>
      <c r="JP189" s="252"/>
      <c r="JT189" s="252"/>
      <c r="JU189" s="252"/>
      <c r="JV189" s="252"/>
      <c r="JZ189" s="252"/>
      <c r="KA189" s="252"/>
      <c r="KB189" s="252"/>
      <c r="KF189" s="252"/>
      <c r="KG189" s="252"/>
      <c r="KH189" s="252"/>
      <c r="KO189" s="66"/>
      <c r="KP189" s="66"/>
      <c r="KQ189" s="66"/>
      <c r="KR189" s="66"/>
      <c r="KS189" s="66"/>
      <c r="KT189" s="66"/>
      <c r="KU189" s="66"/>
      <c r="KV189" s="66"/>
      <c r="KW189" s="66"/>
      <c r="KX189" s="66"/>
      <c r="KY189" s="66"/>
      <c r="KZ189" s="66"/>
      <c r="LA189" s="8"/>
      <c r="LD189" s="252"/>
      <c r="LE189" s="252"/>
      <c r="LF189" s="252"/>
      <c r="LJ189" s="252"/>
      <c r="LK189" s="252"/>
      <c r="LN189" s="252"/>
      <c r="LO189" s="252"/>
      <c r="LP189" s="252"/>
      <c r="LT189" s="271"/>
      <c r="LU189" s="250"/>
      <c r="LV189" s="250"/>
      <c r="LW189" s="250"/>
      <c r="LX189" s="250"/>
      <c r="LY189" s="250"/>
      <c r="LZ189" s="250"/>
      <c r="MA189" s="250"/>
      <c r="MB189" s="250"/>
      <c r="MC189" s="250"/>
      <c r="MD189" s="250"/>
      <c r="ME189" s="250"/>
      <c r="MF189" s="250"/>
      <c r="MG189" s="250"/>
      <c r="MH189" s="250"/>
      <c r="MI189" s="250"/>
      <c r="MJ189" s="250"/>
      <c r="MK189" s="424"/>
      <c r="ML189" s="640"/>
      <c r="MM189" s="251"/>
      <c r="MN189" s="252"/>
      <c r="MO189" s="252"/>
      <c r="MP189" s="252"/>
      <c r="MQ189" s="252"/>
      <c r="MR189" s="252"/>
      <c r="MS189" s="252"/>
      <c r="MT189" s="252"/>
      <c r="MU189" s="252"/>
      <c r="MV189" s="252"/>
      <c r="MW189" s="252"/>
      <c r="MX189" s="252"/>
      <c r="MY189" s="252"/>
      <c r="MZ189" s="252"/>
      <c r="NA189" s="252"/>
      <c r="NB189" s="252"/>
      <c r="NC189" s="251"/>
      <c r="ND189" s="250"/>
      <c r="NE189" s="250"/>
      <c r="NF189" s="250"/>
      <c r="NG189" s="250"/>
      <c r="NH189" s="250"/>
      <c r="NI189" s="250"/>
      <c r="NJ189" s="250"/>
      <c r="NK189" s="250"/>
      <c r="NL189" s="250"/>
      <c r="NM189" s="250"/>
      <c r="NN189" s="250"/>
      <c r="NO189" s="250"/>
      <c r="NP189" s="250"/>
      <c r="NQ189" s="250"/>
      <c r="NR189" s="250"/>
      <c r="NS189" s="250"/>
      <c r="NT189" s="250"/>
      <c r="NU189" s="250"/>
      <c r="NV189" s="250"/>
      <c r="NW189" s="251"/>
      <c r="OT189" s="8"/>
      <c r="QG189" s="8"/>
      <c r="RT189" s="8"/>
    </row>
    <row r="190" spans="1:488" s="282" customFormat="1" x14ac:dyDescent="0.25">
      <c r="A190" s="66"/>
      <c r="B190" s="8"/>
      <c r="C190" s="66"/>
      <c r="D190" s="66"/>
      <c r="E190" s="66"/>
      <c r="F190" s="66"/>
      <c r="G190" s="66"/>
      <c r="H190" s="66"/>
      <c r="I190" s="66"/>
      <c r="J190" s="66"/>
      <c r="K190" s="66"/>
      <c r="L190" s="66"/>
      <c r="M190" s="66"/>
      <c r="N190" s="66"/>
      <c r="O190" s="66"/>
      <c r="P190" s="66"/>
      <c r="Q190" s="66"/>
      <c r="R190" s="66"/>
      <c r="S190" s="66"/>
      <c r="T190" s="68"/>
      <c r="AC190" s="66"/>
      <c r="AD190" s="66"/>
      <c r="AE190" s="68"/>
      <c r="AN190" s="66"/>
      <c r="AO190" s="66"/>
      <c r="AP190" s="68"/>
      <c r="AW190" s="66"/>
      <c r="AX190" s="68"/>
      <c r="BD190" s="66"/>
      <c r="BE190" s="68"/>
      <c r="BF190" s="66"/>
      <c r="BG190" s="66"/>
      <c r="BH190" s="66"/>
      <c r="BI190" s="66"/>
      <c r="BJ190" s="66"/>
      <c r="BK190" s="66"/>
      <c r="BL190" s="68"/>
      <c r="BO190" s="66"/>
      <c r="BP190" s="68"/>
      <c r="BV190" s="66"/>
      <c r="BW190" s="68"/>
      <c r="CB190" s="8"/>
      <c r="CH190" s="8"/>
      <c r="CK190" s="299"/>
      <c r="CL190" s="299"/>
      <c r="CM190" s="66"/>
      <c r="CN190" s="66"/>
      <c r="CO190" s="68"/>
      <c r="CR190" s="8"/>
      <c r="CX190" s="66"/>
      <c r="CY190" s="532"/>
      <c r="DE190" s="66"/>
      <c r="DF190" s="66"/>
      <c r="DG190" s="68"/>
      <c r="DH190" s="68"/>
      <c r="DK190" s="66"/>
      <c r="DL190" s="66"/>
      <c r="DM190" s="66"/>
      <c r="DN190" s="66"/>
      <c r="DO190" s="66"/>
      <c r="DP190" s="66"/>
      <c r="DQ190" s="66"/>
      <c r="DR190" s="66"/>
      <c r="DS190" s="66"/>
      <c r="DT190" s="68"/>
      <c r="DU190" s="66"/>
      <c r="DV190" s="296"/>
      <c r="DW190" s="330"/>
      <c r="DX190" s="631"/>
      <c r="DY190" s="631"/>
      <c r="DZ190" s="631"/>
      <c r="EA190" s="330"/>
      <c r="EC190" s="66"/>
      <c r="ED190" s="68"/>
      <c r="EH190" s="66"/>
      <c r="EI190" s="66"/>
      <c r="EJ190" s="68"/>
      <c r="EK190" s="252"/>
      <c r="EL190" s="252"/>
      <c r="EM190" s="252"/>
      <c r="EO190" s="252"/>
      <c r="EP190" s="252"/>
      <c r="EQ190" s="252"/>
      <c r="ES190" s="252"/>
      <c r="ET190" s="252"/>
      <c r="EU190" s="252"/>
      <c r="EW190" s="252"/>
      <c r="EX190" s="252"/>
      <c r="EY190" s="252"/>
      <c r="FA190" s="250"/>
      <c r="FB190" s="250"/>
      <c r="FC190" s="250"/>
      <c r="FD190" s="250"/>
      <c r="FE190" s="250"/>
      <c r="FF190" s="250"/>
      <c r="FG190" s="250"/>
      <c r="FH190" s="424"/>
      <c r="FI190" s="250"/>
      <c r="FJ190" s="250"/>
      <c r="FK190" s="250"/>
      <c r="FL190" s="256"/>
      <c r="FM190" s="250"/>
      <c r="FN190" s="256"/>
      <c r="FO190" s="250"/>
      <c r="FP190" s="256"/>
      <c r="FQ190" s="250"/>
      <c r="FR190" s="256"/>
      <c r="FS190" s="250"/>
      <c r="FT190" s="256"/>
      <c r="FU190" s="256"/>
      <c r="FV190" s="256"/>
      <c r="FW190" s="250"/>
      <c r="FX190" s="424"/>
      <c r="FY190" s="251"/>
      <c r="GC190" s="252"/>
      <c r="GF190" s="252"/>
      <c r="GG190" s="252"/>
      <c r="GH190" s="252"/>
      <c r="GI190" s="252"/>
      <c r="GJ190" s="252"/>
      <c r="GK190" s="251"/>
      <c r="GL190" s="250"/>
      <c r="GM190" s="250"/>
      <c r="GN190" s="250"/>
      <c r="GO190" s="250"/>
      <c r="GP190" s="250"/>
      <c r="GQ190" s="250"/>
      <c r="GR190" s="250"/>
      <c r="GS190" s="250"/>
      <c r="GT190" s="250"/>
      <c r="GU190" s="251"/>
      <c r="GV190" s="250"/>
      <c r="GW190" s="250"/>
      <c r="GX190" s="250"/>
      <c r="GY190" s="250"/>
      <c r="GZ190" s="250"/>
      <c r="HA190" s="250"/>
      <c r="HB190" s="250"/>
      <c r="HC190" s="250"/>
      <c r="HD190" s="250"/>
      <c r="HE190" s="250"/>
      <c r="HF190" s="250"/>
      <c r="HG190" s="250"/>
      <c r="HH190" s="251"/>
      <c r="HI190" s="424"/>
      <c r="HJ190" s="255"/>
      <c r="HK190" s="255"/>
      <c r="HL190" s="250"/>
      <c r="HM190" s="255"/>
      <c r="HN190" s="255"/>
      <c r="HO190" s="255"/>
      <c r="HP190" s="250"/>
      <c r="HQ190" s="250"/>
      <c r="HR190" s="250"/>
      <c r="HS190" s="250"/>
      <c r="HT190" s="250"/>
      <c r="HU190" s="251"/>
      <c r="HX190" s="252"/>
      <c r="HY190" s="252"/>
      <c r="HZ190" s="252"/>
      <c r="ID190" s="252"/>
      <c r="IE190" s="252"/>
      <c r="IF190" s="252"/>
      <c r="IJ190" s="252"/>
      <c r="IK190" s="252"/>
      <c r="IL190" s="252"/>
      <c r="IP190" s="252"/>
      <c r="IQ190" s="252"/>
      <c r="IR190" s="252"/>
      <c r="IY190" s="66"/>
      <c r="IZ190" s="66"/>
      <c r="JA190" s="66"/>
      <c r="JB190" s="250"/>
      <c r="JC190" s="66"/>
      <c r="JD190" s="66"/>
      <c r="JE190" s="66"/>
      <c r="JF190" s="66"/>
      <c r="JG190" s="66"/>
      <c r="JH190" s="66"/>
      <c r="JI190" s="66"/>
      <c r="JJ190" s="66"/>
      <c r="JK190" s="8"/>
      <c r="JN190" s="252"/>
      <c r="JO190" s="252"/>
      <c r="JP190" s="252"/>
      <c r="JT190" s="252"/>
      <c r="JU190" s="252"/>
      <c r="JV190" s="252"/>
      <c r="JZ190" s="252"/>
      <c r="KA190" s="252"/>
      <c r="KB190" s="252"/>
      <c r="KF190" s="252"/>
      <c r="KG190" s="252"/>
      <c r="KH190" s="252"/>
      <c r="KO190" s="66"/>
      <c r="KP190" s="66"/>
      <c r="KQ190" s="66"/>
      <c r="KR190" s="66"/>
      <c r="KS190" s="66"/>
      <c r="KT190" s="66"/>
      <c r="KU190" s="66"/>
      <c r="KV190" s="66"/>
      <c r="KW190" s="66"/>
      <c r="KX190" s="66"/>
      <c r="KY190" s="66"/>
      <c r="KZ190" s="66"/>
      <c r="LA190" s="8"/>
      <c r="LD190" s="252"/>
      <c r="LE190" s="252"/>
      <c r="LF190" s="252"/>
      <c r="LJ190" s="252"/>
      <c r="LK190" s="252"/>
      <c r="LN190" s="252"/>
      <c r="LO190" s="252"/>
      <c r="LP190" s="252"/>
      <c r="LT190" s="271"/>
      <c r="LU190" s="250"/>
      <c r="LV190" s="250"/>
      <c r="LW190" s="250"/>
      <c r="LX190" s="250"/>
      <c r="LY190" s="250"/>
      <c r="LZ190" s="250"/>
      <c r="MA190" s="250"/>
      <c r="MB190" s="250"/>
      <c r="MC190" s="250"/>
      <c r="MD190" s="250"/>
      <c r="ME190" s="250"/>
      <c r="MF190" s="250"/>
      <c r="MG190" s="250"/>
      <c r="MH190" s="250"/>
      <c r="MI190" s="250"/>
      <c r="MJ190" s="250"/>
      <c r="MK190" s="424"/>
      <c r="ML190" s="640"/>
      <c r="MM190" s="251"/>
      <c r="MN190" s="252"/>
      <c r="MO190" s="252"/>
      <c r="MP190" s="252"/>
      <c r="MQ190" s="252"/>
      <c r="MR190" s="252"/>
      <c r="MS190" s="252"/>
      <c r="MT190" s="252"/>
      <c r="MU190" s="252"/>
      <c r="MV190" s="252"/>
      <c r="MW190" s="252"/>
      <c r="MX190" s="252"/>
      <c r="MY190" s="252"/>
      <c r="MZ190" s="252"/>
      <c r="NA190" s="252"/>
      <c r="NB190" s="252"/>
      <c r="NC190" s="251"/>
      <c r="ND190" s="250"/>
      <c r="NE190" s="250"/>
      <c r="NF190" s="250"/>
      <c r="NG190" s="250"/>
      <c r="NH190" s="250"/>
      <c r="NI190" s="250"/>
      <c r="NJ190" s="250"/>
      <c r="NK190" s="250"/>
      <c r="NL190" s="250"/>
      <c r="NM190" s="250"/>
      <c r="NN190" s="250"/>
      <c r="NO190" s="250"/>
      <c r="NP190" s="250"/>
      <c r="NQ190" s="250"/>
      <c r="NR190" s="250"/>
      <c r="NS190" s="250"/>
      <c r="NT190" s="250"/>
      <c r="NU190" s="250"/>
      <c r="NV190" s="250"/>
      <c r="NW190" s="251"/>
      <c r="OT190" s="8"/>
      <c r="QG190" s="8"/>
      <c r="RT190" s="8"/>
    </row>
    <row r="191" spans="1:488" s="282" customFormat="1" x14ac:dyDescent="0.25">
      <c r="A191" s="66"/>
      <c r="B191" s="8"/>
      <c r="C191" s="66"/>
      <c r="D191" s="66"/>
      <c r="E191" s="66"/>
      <c r="F191" s="66"/>
      <c r="G191" s="66"/>
      <c r="H191" s="66"/>
      <c r="I191" s="66"/>
      <c r="J191" s="66"/>
      <c r="K191" s="66"/>
      <c r="L191" s="66"/>
      <c r="M191" s="66"/>
      <c r="N191" s="66"/>
      <c r="O191" s="66"/>
      <c r="P191" s="66"/>
      <c r="Q191" s="66"/>
      <c r="R191" s="66"/>
      <c r="S191" s="66"/>
      <c r="T191" s="68"/>
      <c r="AC191" s="66"/>
      <c r="AD191" s="66"/>
      <c r="AE191" s="68"/>
      <c r="AN191" s="66"/>
      <c r="AO191" s="66"/>
      <c r="AP191" s="68"/>
      <c r="AW191" s="66"/>
      <c r="AX191" s="68"/>
      <c r="BD191" s="66"/>
      <c r="BE191" s="68"/>
      <c r="BF191" s="66"/>
      <c r="BG191" s="66"/>
      <c r="BH191" s="66"/>
      <c r="BI191" s="66"/>
      <c r="BJ191" s="66"/>
      <c r="BK191" s="66"/>
      <c r="BL191" s="68"/>
      <c r="BO191" s="66"/>
      <c r="BP191" s="68"/>
      <c r="BV191" s="66"/>
      <c r="BW191" s="68"/>
      <c r="CB191" s="8"/>
      <c r="CH191" s="8"/>
      <c r="CK191" s="299"/>
      <c r="CL191" s="299"/>
      <c r="CM191" s="66"/>
      <c r="CN191" s="66"/>
      <c r="CO191" s="68"/>
      <c r="CR191" s="8"/>
      <c r="CX191" s="66"/>
      <c r="CY191" s="532"/>
      <c r="DE191" s="66"/>
      <c r="DF191" s="66"/>
      <c r="DG191" s="68"/>
      <c r="DH191" s="68"/>
      <c r="DK191" s="66"/>
      <c r="DL191" s="66"/>
      <c r="DM191" s="66"/>
      <c r="DN191" s="66"/>
      <c r="DO191" s="66"/>
      <c r="DP191" s="66"/>
      <c r="DQ191" s="66"/>
      <c r="DR191" s="66"/>
      <c r="DS191" s="66"/>
      <c r="DT191" s="68"/>
      <c r="DU191" s="66"/>
      <c r="DV191" s="296"/>
      <c r="DW191" s="330"/>
      <c r="DX191" s="631"/>
      <c r="DY191" s="631"/>
      <c r="DZ191" s="631"/>
      <c r="EA191" s="330"/>
      <c r="EC191" s="66"/>
      <c r="ED191" s="68"/>
      <c r="EH191" s="66"/>
      <c r="EI191" s="66"/>
      <c r="EJ191" s="68"/>
      <c r="EK191" s="252"/>
      <c r="EL191" s="252"/>
      <c r="EM191" s="252"/>
      <c r="EO191" s="252"/>
      <c r="EP191" s="252"/>
      <c r="EQ191" s="252"/>
      <c r="ES191" s="252"/>
      <c r="ET191" s="252"/>
      <c r="EU191" s="252"/>
      <c r="EW191" s="252"/>
      <c r="EX191" s="252"/>
      <c r="EY191" s="252"/>
      <c r="FA191" s="250"/>
      <c r="FB191" s="250"/>
      <c r="FC191" s="250"/>
      <c r="FD191" s="250"/>
      <c r="FE191" s="250"/>
      <c r="FF191" s="250"/>
      <c r="FG191" s="250"/>
      <c r="FH191" s="424"/>
      <c r="FI191" s="250"/>
      <c r="FJ191" s="250"/>
      <c r="FK191" s="250"/>
      <c r="FL191" s="256"/>
      <c r="FM191" s="250"/>
      <c r="FN191" s="256"/>
      <c r="FO191" s="250"/>
      <c r="FP191" s="256"/>
      <c r="FQ191" s="250"/>
      <c r="FR191" s="256"/>
      <c r="FS191" s="250"/>
      <c r="FT191" s="256"/>
      <c r="FU191" s="256"/>
      <c r="FV191" s="256"/>
      <c r="FW191" s="250"/>
      <c r="FX191" s="424"/>
      <c r="FY191" s="251"/>
      <c r="GC191" s="252"/>
      <c r="GF191" s="252"/>
      <c r="GG191" s="252"/>
      <c r="GH191" s="252"/>
      <c r="GI191" s="252"/>
      <c r="GJ191" s="252"/>
      <c r="GK191" s="251"/>
      <c r="GL191" s="250"/>
      <c r="GM191" s="250"/>
      <c r="GN191" s="250"/>
      <c r="GO191" s="250"/>
      <c r="GP191" s="250"/>
      <c r="GQ191" s="250"/>
      <c r="GR191" s="250"/>
      <c r="GS191" s="250"/>
      <c r="GT191" s="250"/>
      <c r="GU191" s="251"/>
      <c r="GV191" s="250"/>
      <c r="GW191" s="250"/>
      <c r="GX191" s="250"/>
      <c r="GY191" s="250"/>
      <c r="GZ191" s="250"/>
      <c r="HA191" s="250"/>
      <c r="HB191" s="250"/>
      <c r="HC191" s="250"/>
      <c r="HD191" s="250"/>
      <c r="HE191" s="250"/>
      <c r="HF191" s="250"/>
      <c r="HG191" s="250"/>
      <c r="HH191" s="251"/>
      <c r="HI191" s="424"/>
      <c r="HJ191" s="255"/>
      <c r="HK191" s="255"/>
      <c r="HL191" s="250"/>
      <c r="HM191" s="255"/>
      <c r="HN191" s="255"/>
      <c r="HO191" s="255"/>
      <c r="HP191" s="250"/>
      <c r="HQ191" s="250"/>
      <c r="HR191" s="250"/>
      <c r="HS191" s="250"/>
      <c r="HT191" s="250"/>
      <c r="HU191" s="251"/>
      <c r="HX191" s="252"/>
      <c r="HY191" s="252"/>
      <c r="HZ191" s="252"/>
      <c r="ID191" s="252"/>
      <c r="IE191" s="252"/>
      <c r="IF191" s="252"/>
      <c r="IJ191" s="252"/>
      <c r="IK191" s="252"/>
      <c r="IL191" s="252"/>
      <c r="IP191" s="252"/>
      <c r="IQ191" s="252"/>
      <c r="IR191" s="252"/>
      <c r="IY191" s="66"/>
      <c r="IZ191" s="66"/>
      <c r="JA191" s="66"/>
      <c r="JB191" s="250"/>
      <c r="JC191" s="66"/>
      <c r="JD191" s="66"/>
      <c r="JE191" s="66"/>
      <c r="JF191" s="66"/>
      <c r="JG191" s="66"/>
      <c r="JH191" s="66"/>
      <c r="JI191" s="66"/>
      <c r="JJ191" s="66"/>
      <c r="JK191" s="8"/>
      <c r="JN191" s="252"/>
      <c r="JO191" s="252"/>
      <c r="JP191" s="252"/>
      <c r="JT191" s="252"/>
      <c r="JU191" s="252"/>
      <c r="JV191" s="252"/>
      <c r="JZ191" s="252"/>
      <c r="KA191" s="252"/>
      <c r="KB191" s="252"/>
      <c r="KF191" s="252"/>
      <c r="KG191" s="252"/>
      <c r="KH191" s="252"/>
      <c r="KO191" s="66"/>
      <c r="KP191" s="66"/>
      <c r="KQ191" s="66"/>
      <c r="KR191" s="66"/>
      <c r="KS191" s="66"/>
      <c r="KT191" s="66"/>
      <c r="KU191" s="66"/>
      <c r="KV191" s="66"/>
      <c r="KW191" s="66"/>
      <c r="KX191" s="66"/>
      <c r="KY191" s="66"/>
      <c r="KZ191" s="66"/>
      <c r="LA191" s="8"/>
      <c r="LD191" s="252"/>
      <c r="LE191" s="252"/>
      <c r="LF191" s="252"/>
      <c r="LJ191" s="252"/>
      <c r="LK191" s="252"/>
      <c r="LN191" s="252"/>
      <c r="LO191" s="252"/>
      <c r="LP191" s="252"/>
      <c r="LT191" s="271"/>
      <c r="LU191" s="250"/>
      <c r="LV191" s="250"/>
      <c r="LW191" s="250"/>
      <c r="LX191" s="250"/>
      <c r="LY191" s="250"/>
      <c r="LZ191" s="250"/>
      <c r="MA191" s="250"/>
      <c r="MB191" s="250"/>
      <c r="MC191" s="250"/>
      <c r="MD191" s="250"/>
      <c r="ME191" s="250"/>
      <c r="MF191" s="250"/>
      <c r="MG191" s="250"/>
      <c r="MH191" s="250"/>
      <c r="MI191" s="250"/>
      <c r="MJ191" s="250"/>
      <c r="MK191" s="424"/>
      <c r="ML191" s="640"/>
      <c r="MM191" s="251"/>
      <c r="MN191" s="252"/>
      <c r="MO191" s="252"/>
      <c r="MP191" s="252"/>
      <c r="MQ191" s="252"/>
      <c r="MR191" s="252"/>
      <c r="MS191" s="252"/>
      <c r="MT191" s="252"/>
      <c r="MU191" s="252"/>
      <c r="MV191" s="252"/>
      <c r="MW191" s="252"/>
      <c r="MX191" s="252"/>
      <c r="MY191" s="252"/>
      <c r="MZ191" s="252"/>
      <c r="NA191" s="252"/>
      <c r="NB191" s="252"/>
      <c r="NC191" s="251"/>
      <c r="ND191" s="250"/>
      <c r="NE191" s="250"/>
      <c r="NF191" s="250"/>
      <c r="NG191" s="250"/>
      <c r="NH191" s="250"/>
      <c r="NI191" s="250"/>
      <c r="NJ191" s="250"/>
      <c r="NK191" s="250"/>
      <c r="NL191" s="250"/>
      <c r="NM191" s="250"/>
      <c r="NN191" s="250"/>
      <c r="NO191" s="250"/>
      <c r="NP191" s="250"/>
      <c r="NQ191" s="250"/>
      <c r="NR191" s="250"/>
      <c r="NS191" s="250"/>
      <c r="NT191" s="250"/>
      <c r="NU191" s="250"/>
      <c r="NV191" s="250"/>
      <c r="NW191" s="251"/>
      <c r="OT191" s="8"/>
      <c r="QG191" s="8"/>
      <c r="RT191" s="8"/>
    </row>
    <row r="192" spans="1:488" s="282" customFormat="1" x14ac:dyDescent="0.25">
      <c r="A192" s="66"/>
      <c r="B192" s="8"/>
      <c r="C192" s="66"/>
      <c r="D192" s="66"/>
      <c r="E192" s="66"/>
      <c r="F192" s="66"/>
      <c r="G192" s="66"/>
      <c r="H192" s="66"/>
      <c r="I192" s="66"/>
      <c r="J192" s="66"/>
      <c r="K192" s="66"/>
      <c r="L192" s="66"/>
      <c r="M192" s="66"/>
      <c r="N192" s="66"/>
      <c r="O192" s="66"/>
      <c r="P192" s="66"/>
      <c r="Q192" s="66"/>
      <c r="R192" s="66"/>
      <c r="S192" s="66"/>
      <c r="T192" s="68"/>
      <c r="AC192" s="66"/>
      <c r="AD192" s="66"/>
      <c r="AE192" s="68"/>
      <c r="AN192" s="66"/>
      <c r="AO192" s="66"/>
      <c r="AP192" s="68"/>
      <c r="AW192" s="66"/>
      <c r="AX192" s="68"/>
      <c r="BD192" s="66"/>
      <c r="BE192" s="68"/>
      <c r="BF192" s="66"/>
      <c r="BG192" s="66"/>
      <c r="BH192" s="66"/>
      <c r="BI192" s="66"/>
      <c r="BJ192" s="66"/>
      <c r="BK192" s="66"/>
      <c r="BL192" s="68"/>
      <c r="BO192" s="66"/>
      <c r="BP192" s="68"/>
      <c r="BV192" s="66"/>
      <c r="BW192" s="68"/>
      <c r="CB192" s="8"/>
      <c r="CH192" s="8"/>
      <c r="CK192" s="299"/>
      <c r="CL192" s="299"/>
      <c r="CM192" s="66"/>
      <c r="CN192" s="66"/>
      <c r="CO192" s="68"/>
      <c r="CR192" s="8"/>
      <c r="CX192" s="66"/>
      <c r="CY192" s="532"/>
      <c r="DE192" s="66"/>
      <c r="DF192" s="66"/>
      <c r="DG192" s="68"/>
      <c r="DH192" s="68"/>
      <c r="DK192" s="66"/>
      <c r="DL192" s="66"/>
      <c r="DM192" s="66"/>
      <c r="DN192" s="66"/>
      <c r="DO192" s="66"/>
      <c r="DP192" s="66"/>
      <c r="DQ192" s="66"/>
      <c r="DR192" s="66"/>
      <c r="DS192" s="66"/>
      <c r="DT192" s="68"/>
      <c r="DU192" s="66"/>
      <c r="DV192" s="296"/>
      <c r="DW192" s="330"/>
      <c r="DX192" s="631"/>
      <c r="DY192" s="631"/>
      <c r="DZ192" s="631"/>
      <c r="EA192" s="330"/>
      <c r="EC192" s="66"/>
      <c r="ED192" s="68"/>
      <c r="EH192" s="66"/>
      <c r="EI192" s="66"/>
      <c r="EJ192" s="68"/>
      <c r="EK192" s="252"/>
      <c r="EL192" s="252"/>
      <c r="EM192" s="252"/>
      <c r="EO192" s="252"/>
      <c r="EP192" s="252"/>
      <c r="EQ192" s="252"/>
      <c r="ES192" s="252"/>
      <c r="ET192" s="252"/>
      <c r="EU192" s="252"/>
      <c r="EW192" s="252"/>
      <c r="EX192" s="252"/>
      <c r="EY192" s="252"/>
      <c r="FA192" s="250"/>
      <c r="FB192" s="250"/>
      <c r="FC192" s="250"/>
      <c r="FD192" s="250"/>
      <c r="FE192" s="250"/>
      <c r="FF192" s="250"/>
      <c r="FG192" s="250"/>
      <c r="FH192" s="424"/>
      <c r="FI192" s="250"/>
      <c r="FJ192" s="250"/>
      <c r="FK192" s="250"/>
      <c r="FL192" s="256"/>
      <c r="FM192" s="250"/>
      <c r="FN192" s="256"/>
      <c r="FO192" s="250"/>
      <c r="FP192" s="256"/>
      <c r="FQ192" s="250"/>
      <c r="FR192" s="256"/>
      <c r="FS192" s="250"/>
      <c r="FT192" s="256"/>
      <c r="FU192" s="256"/>
      <c r="FV192" s="256"/>
      <c r="FW192" s="250"/>
      <c r="FX192" s="424"/>
      <c r="FY192" s="251"/>
      <c r="GC192" s="252"/>
      <c r="GF192" s="252"/>
      <c r="GG192" s="252"/>
      <c r="GH192" s="252"/>
      <c r="GI192" s="252"/>
      <c r="GJ192" s="252"/>
      <c r="GK192" s="251"/>
      <c r="GL192" s="250"/>
      <c r="GM192" s="250"/>
      <c r="GN192" s="250"/>
      <c r="GO192" s="250"/>
      <c r="GP192" s="250"/>
      <c r="GQ192" s="250"/>
      <c r="GR192" s="250"/>
      <c r="GS192" s="250"/>
      <c r="GT192" s="250"/>
      <c r="GU192" s="251"/>
      <c r="GV192" s="250"/>
      <c r="GW192" s="250"/>
      <c r="GX192" s="250"/>
      <c r="GY192" s="250"/>
      <c r="GZ192" s="250"/>
      <c r="HA192" s="250"/>
      <c r="HB192" s="250"/>
      <c r="HC192" s="250"/>
      <c r="HD192" s="250"/>
      <c r="HE192" s="250"/>
      <c r="HF192" s="250"/>
      <c r="HG192" s="250"/>
      <c r="HH192" s="251"/>
      <c r="HI192" s="424"/>
      <c r="HJ192" s="255"/>
      <c r="HK192" s="255"/>
      <c r="HL192" s="250"/>
      <c r="HM192" s="255"/>
      <c r="HN192" s="255"/>
      <c r="HO192" s="255"/>
      <c r="HP192" s="250"/>
      <c r="HQ192" s="250"/>
      <c r="HR192" s="250"/>
      <c r="HS192" s="250"/>
      <c r="HT192" s="250"/>
      <c r="HU192" s="251"/>
      <c r="HX192" s="252"/>
      <c r="HY192" s="252"/>
      <c r="HZ192" s="252"/>
      <c r="ID192" s="252"/>
      <c r="IE192" s="252"/>
      <c r="IF192" s="252"/>
      <c r="IJ192" s="252"/>
      <c r="IK192" s="252"/>
      <c r="IL192" s="252"/>
      <c r="IP192" s="252"/>
      <c r="IQ192" s="252"/>
      <c r="IR192" s="252"/>
      <c r="IY192" s="66"/>
      <c r="IZ192" s="66"/>
      <c r="JA192" s="66"/>
      <c r="JB192" s="250"/>
      <c r="JC192" s="66"/>
      <c r="JD192" s="66"/>
      <c r="JE192" s="66"/>
      <c r="JF192" s="66"/>
      <c r="JG192" s="66"/>
      <c r="JH192" s="66"/>
      <c r="JI192" s="66"/>
      <c r="JJ192" s="66"/>
      <c r="JK192" s="8"/>
      <c r="JN192" s="252"/>
      <c r="JO192" s="252"/>
      <c r="JP192" s="252"/>
      <c r="JT192" s="252"/>
      <c r="JU192" s="252"/>
      <c r="JV192" s="252"/>
      <c r="JZ192" s="252"/>
      <c r="KA192" s="252"/>
      <c r="KB192" s="252"/>
      <c r="KF192" s="252"/>
      <c r="KG192" s="252"/>
      <c r="KH192" s="252"/>
      <c r="KO192" s="66"/>
      <c r="KP192" s="66"/>
      <c r="KQ192" s="66"/>
      <c r="KR192" s="66"/>
      <c r="KS192" s="66"/>
      <c r="KT192" s="66"/>
      <c r="KU192" s="66"/>
      <c r="KV192" s="66"/>
      <c r="KW192" s="66"/>
      <c r="KX192" s="66"/>
      <c r="KY192" s="66"/>
      <c r="KZ192" s="66"/>
      <c r="LA192" s="8"/>
      <c r="LD192" s="252"/>
      <c r="LE192" s="252"/>
      <c r="LF192" s="252"/>
      <c r="LJ192" s="252"/>
      <c r="LK192" s="252"/>
      <c r="LN192" s="252"/>
      <c r="LO192" s="252"/>
      <c r="LP192" s="252"/>
      <c r="LT192" s="271"/>
      <c r="LU192" s="250"/>
      <c r="LV192" s="250"/>
      <c r="LW192" s="250"/>
      <c r="LX192" s="250"/>
      <c r="LY192" s="250"/>
      <c r="LZ192" s="250"/>
      <c r="MA192" s="250"/>
      <c r="MB192" s="250"/>
      <c r="MC192" s="250"/>
      <c r="MD192" s="250"/>
      <c r="ME192" s="250"/>
      <c r="MF192" s="250"/>
      <c r="MG192" s="250"/>
      <c r="MH192" s="250"/>
      <c r="MI192" s="250"/>
      <c r="MJ192" s="250"/>
      <c r="MK192" s="424"/>
      <c r="ML192" s="640"/>
      <c r="MM192" s="251"/>
      <c r="MN192" s="252"/>
      <c r="MO192" s="252"/>
      <c r="MP192" s="252"/>
      <c r="MQ192" s="252"/>
      <c r="MR192" s="252"/>
      <c r="MS192" s="252"/>
      <c r="MT192" s="252"/>
      <c r="MU192" s="252"/>
      <c r="MV192" s="252"/>
      <c r="MW192" s="252"/>
      <c r="MX192" s="252"/>
      <c r="MY192" s="252"/>
      <c r="MZ192" s="252"/>
      <c r="NA192" s="252"/>
      <c r="NB192" s="252"/>
      <c r="NC192" s="251"/>
      <c r="ND192" s="250"/>
      <c r="NE192" s="250"/>
      <c r="NF192" s="250"/>
      <c r="NG192" s="250"/>
      <c r="NH192" s="250"/>
      <c r="NI192" s="250"/>
      <c r="NJ192" s="250"/>
      <c r="NK192" s="250"/>
      <c r="NL192" s="250"/>
      <c r="NM192" s="250"/>
      <c r="NN192" s="250"/>
      <c r="NO192" s="250"/>
      <c r="NP192" s="250"/>
      <c r="NQ192" s="250"/>
      <c r="NR192" s="250"/>
      <c r="NS192" s="250"/>
      <c r="NT192" s="250"/>
      <c r="NU192" s="250"/>
      <c r="NV192" s="250"/>
      <c r="NW192" s="251"/>
      <c r="OT192" s="8"/>
      <c r="QG192" s="8"/>
      <c r="RT192" s="8"/>
    </row>
    <row r="193" spans="1:488" s="282" customFormat="1" x14ac:dyDescent="0.25">
      <c r="A193" s="66"/>
      <c r="B193" s="8"/>
      <c r="C193" s="66"/>
      <c r="D193" s="66"/>
      <c r="E193" s="66"/>
      <c r="F193" s="66"/>
      <c r="G193" s="66"/>
      <c r="H193" s="66"/>
      <c r="I193" s="66"/>
      <c r="J193" s="66"/>
      <c r="K193" s="66"/>
      <c r="L193" s="66"/>
      <c r="M193" s="66"/>
      <c r="N193" s="66"/>
      <c r="O193" s="66"/>
      <c r="P193" s="66"/>
      <c r="Q193" s="66"/>
      <c r="R193" s="66"/>
      <c r="S193" s="66"/>
      <c r="T193" s="68"/>
      <c r="AC193" s="66"/>
      <c r="AD193" s="66"/>
      <c r="AE193" s="68"/>
      <c r="AN193" s="66"/>
      <c r="AO193" s="66"/>
      <c r="AP193" s="68"/>
      <c r="AW193" s="66"/>
      <c r="AX193" s="68"/>
      <c r="BD193" s="66"/>
      <c r="BE193" s="68"/>
      <c r="BF193" s="66"/>
      <c r="BG193" s="66"/>
      <c r="BH193" s="66"/>
      <c r="BI193" s="66"/>
      <c r="BJ193" s="66"/>
      <c r="BK193" s="66"/>
      <c r="BL193" s="68"/>
      <c r="BO193" s="66"/>
      <c r="BP193" s="68"/>
      <c r="BV193" s="66"/>
      <c r="BW193" s="68"/>
      <c r="CB193" s="8"/>
      <c r="CH193" s="8"/>
      <c r="CK193" s="299"/>
      <c r="CL193" s="299"/>
      <c r="CM193" s="66"/>
      <c r="CN193" s="66"/>
      <c r="CO193" s="68"/>
      <c r="CR193" s="8"/>
      <c r="CX193" s="66"/>
      <c r="CY193" s="532"/>
      <c r="DE193" s="66"/>
      <c r="DF193" s="66"/>
      <c r="DG193" s="68"/>
      <c r="DH193" s="68"/>
      <c r="DK193" s="66"/>
      <c r="DL193" s="66"/>
      <c r="DM193" s="66"/>
      <c r="DN193" s="66"/>
      <c r="DO193" s="66"/>
      <c r="DP193" s="66"/>
      <c r="DQ193" s="66"/>
      <c r="DR193" s="66"/>
      <c r="DS193" s="66"/>
      <c r="DT193" s="68"/>
      <c r="DU193" s="66"/>
      <c r="DV193" s="296"/>
      <c r="DW193" s="330"/>
      <c r="DX193" s="631"/>
      <c r="DY193" s="631"/>
      <c r="DZ193" s="631"/>
      <c r="EA193" s="330"/>
      <c r="EC193" s="66"/>
      <c r="ED193" s="68"/>
      <c r="EH193" s="66"/>
      <c r="EI193" s="66"/>
      <c r="EJ193" s="68"/>
      <c r="EK193" s="252"/>
      <c r="EL193" s="252"/>
      <c r="EM193" s="252"/>
      <c r="EO193" s="252"/>
      <c r="EP193" s="252"/>
      <c r="EQ193" s="252"/>
      <c r="ES193" s="252"/>
      <c r="ET193" s="252"/>
      <c r="EU193" s="252"/>
      <c r="EW193" s="252"/>
      <c r="EX193" s="252"/>
      <c r="EY193" s="252"/>
      <c r="FA193" s="250"/>
      <c r="FB193" s="250"/>
      <c r="FC193" s="250"/>
      <c r="FD193" s="250"/>
      <c r="FE193" s="250"/>
      <c r="FF193" s="250"/>
      <c r="FG193" s="250"/>
      <c r="FH193" s="424"/>
      <c r="FI193" s="250"/>
      <c r="FJ193" s="250"/>
      <c r="FK193" s="250"/>
      <c r="FL193" s="256"/>
      <c r="FM193" s="250"/>
      <c r="FN193" s="256"/>
      <c r="FO193" s="250"/>
      <c r="FP193" s="256"/>
      <c r="FQ193" s="250"/>
      <c r="FR193" s="256"/>
      <c r="FS193" s="250"/>
      <c r="FT193" s="256"/>
      <c r="FU193" s="256"/>
      <c r="FV193" s="256"/>
      <c r="FW193" s="250"/>
      <c r="FX193" s="424"/>
      <c r="FY193" s="251"/>
      <c r="GC193" s="252"/>
      <c r="GF193" s="252"/>
      <c r="GG193" s="252"/>
      <c r="GH193" s="252"/>
      <c r="GI193" s="252"/>
      <c r="GJ193" s="252"/>
      <c r="GK193" s="251"/>
      <c r="GL193" s="250"/>
      <c r="GM193" s="250"/>
      <c r="GN193" s="250"/>
      <c r="GO193" s="250"/>
      <c r="GP193" s="250"/>
      <c r="GQ193" s="250"/>
      <c r="GR193" s="250"/>
      <c r="GS193" s="250"/>
      <c r="GT193" s="250"/>
      <c r="GU193" s="251"/>
      <c r="GV193" s="250"/>
      <c r="GW193" s="250"/>
      <c r="GX193" s="250"/>
      <c r="GY193" s="250"/>
      <c r="GZ193" s="250"/>
      <c r="HA193" s="250"/>
      <c r="HB193" s="250"/>
      <c r="HC193" s="250"/>
      <c r="HD193" s="250"/>
      <c r="HE193" s="250"/>
      <c r="HF193" s="250"/>
      <c r="HG193" s="250"/>
      <c r="HH193" s="251"/>
      <c r="HI193" s="424"/>
      <c r="HJ193" s="255"/>
      <c r="HK193" s="255"/>
      <c r="HL193" s="250"/>
      <c r="HM193" s="255"/>
      <c r="HN193" s="255"/>
      <c r="HO193" s="255"/>
      <c r="HP193" s="250"/>
      <c r="HQ193" s="250"/>
      <c r="HR193" s="250"/>
      <c r="HS193" s="250"/>
      <c r="HT193" s="250"/>
      <c r="HU193" s="251"/>
      <c r="HX193" s="252"/>
      <c r="HY193" s="252"/>
      <c r="HZ193" s="252"/>
      <c r="ID193" s="252"/>
      <c r="IE193" s="252"/>
      <c r="IF193" s="252"/>
      <c r="IJ193" s="252"/>
      <c r="IK193" s="252"/>
      <c r="IL193" s="252"/>
      <c r="IP193" s="252"/>
      <c r="IQ193" s="252"/>
      <c r="IR193" s="252"/>
      <c r="IY193" s="66"/>
      <c r="IZ193" s="66"/>
      <c r="JA193" s="66"/>
      <c r="JB193" s="250"/>
      <c r="JC193" s="66"/>
      <c r="JD193" s="66"/>
      <c r="JE193" s="66"/>
      <c r="JF193" s="66"/>
      <c r="JG193" s="66"/>
      <c r="JH193" s="66"/>
      <c r="JI193" s="66"/>
      <c r="JJ193" s="66"/>
      <c r="JK193" s="8"/>
      <c r="JN193" s="252"/>
      <c r="JO193" s="252"/>
      <c r="JP193" s="252"/>
      <c r="JT193" s="252"/>
      <c r="JU193" s="252"/>
      <c r="JV193" s="252"/>
      <c r="JZ193" s="252"/>
      <c r="KA193" s="252"/>
      <c r="KB193" s="252"/>
      <c r="KF193" s="252"/>
      <c r="KG193" s="252"/>
      <c r="KH193" s="252"/>
      <c r="KO193" s="66"/>
      <c r="KP193" s="66"/>
      <c r="KQ193" s="66"/>
      <c r="KR193" s="66"/>
      <c r="KS193" s="66"/>
      <c r="KT193" s="66"/>
      <c r="KU193" s="66"/>
      <c r="KV193" s="66"/>
      <c r="KW193" s="66"/>
      <c r="KX193" s="66"/>
      <c r="KY193" s="66"/>
      <c r="KZ193" s="66"/>
      <c r="LA193" s="8"/>
      <c r="LD193" s="252"/>
      <c r="LE193" s="252"/>
      <c r="LF193" s="252"/>
      <c r="LJ193" s="252"/>
      <c r="LK193" s="252"/>
      <c r="LN193" s="252"/>
      <c r="LO193" s="252"/>
      <c r="LP193" s="252"/>
      <c r="LT193" s="271"/>
      <c r="LU193" s="250"/>
      <c r="LV193" s="250"/>
      <c r="LW193" s="250"/>
      <c r="LX193" s="250"/>
      <c r="LY193" s="250"/>
      <c r="LZ193" s="250"/>
      <c r="MA193" s="250"/>
      <c r="MB193" s="250"/>
      <c r="MC193" s="250"/>
      <c r="MD193" s="250"/>
      <c r="ME193" s="250"/>
      <c r="MF193" s="250"/>
      <c r="MG193" s="250"/>
      <c r="MH193" s="250"/>
      <c r="MI193" s="250"/>
      <c r="MJ193" s="250"/>
      <c r="MK193" s="424"/>
      <c r="ML193" s="640"/>
      <c r="MM193" s="251"/>
      <c r="MN193" s="252"/>
      <c r="MO193" s="252"/>
      <c r="MP193" s="252"/>
      <c r="MQ193" s="252"/>
      <c r="MR193" s="252"/>
      <c r="MS193" s="252"/>
      <c r="MT193" s="252"/>
      <c r="MU193" s="252"/>
      <c r="MV193" s="252"/>
      <c r="MW193" s="252"/>
      <c r="MX193" s="252"/>
      <c r="MY193" s="252"/>
      <c r="MZ193" s="252"/>
      <c r="NA193" s="252"/>
      <c r="NB193" s="252"/>
      <c r="NC193" s="251"/>
      <c r="ND193" s="250"/>
      <c r="NE193" s="250"/>
      <c r="NF193" s="250"/>
      <c r="NG193" s="250"/>
      <c r="NH193" s="250"/>
      <c r="NI193" s="250"/>
      <c r="NJ193" s="250"/>
      <c r="NK193" s="250"/>
      <c r="NL193" s="250"/>
      <c r="NM193" s="250"/>
      <c r="NN193" s="250"/>
      <c r="NO193" s="250"/>
      <c r="NP193" s="250"/>
      <c r="NQ193" s="250"/>
      <c r="NR193" s="250"/>
      <c r="NS193" s="250"/>
      <c r="NT193" s="250"/>
      <c r="NU193" s="250"/>
      <c r="NV193" s="250"/>
      <c r="NW193" s="251"/>
      <c r="OT193" s="8"/>
      <c r="QG193" s="8"/>
      <c r="RT193" s="8"/>
    </row>
    <row r="194" spans="1:488" s="282" customFormat="1" x14ac:dyDescent="0.25">
      <c r="A194" s="66"/>
      <c r="B194" s="8"/>
      <c r="C194" s="66"/>
      <c r="D194" s="66"/>
      <c r="E194" s="66"/>
      <c r="F194" s="66"/>
      <c r="G194" s="66"/>
      <c r="H194" s="66"/>
      <c r="I194" s="66"/>
      <c r="J194" s="66"/>
      <c r="K194" s="66"/>
      <c r="L194" s="66"/>
      <c r="M194" s="66"/>
      <c r="N194" s="66"/>
      <c r="O194" s="66"/>
      <c r="P194" s="66"/>
      <c r="Q194" s="66"/>
      <c r="R194" s="66"/>
      <c r="S194" s="66"/>
      <c r="T194" s="68"/>
      <c r="AC194" s="66"/>
      <c r="AD194" s="66"/>
      <c r="AE194" s="68"/>
      <c r="AN194" s="66"/>
      <c r="AO194" s="66"/>
      <c r="AP194" s="68"/>
      <c r="AW194" s="66"/>
      <c r="AX194" s="68"/>
      <c r="BD194" s="66"/>
      <c r="BE194" s="68"/>
      <c r="BF194" s="66"/>
      <c r="BG194" s="66"/>
      <c r="BH194" s="66"/>
      <c r="BI194" s="66"/>
      <c r="BJ194" s="66"/>
      <c r="BK194" s="66"/>
      <c r="BL194" s="68"/>
      <c r="BO194" s="66"/>
      <c r="BP194" s="68"/>
      <c r="BV194" s="66"/>
      <c r="BW194" s="68"/>
      <c r="CB194" s="8"/>
      <c r="CH194" s="8"/>
      <c r="CK194" s="299"/>
      <c r="CL194" s="299"/>
      <c r="CM194" s="66"/>
      <c r="CN194" s="66"/>
      <c r="CO194" s="68"/>
      <c r="CR194" s="8"/>
      <c r="CX194" s="66"/>
      <c r="CY194" s="532"/>
      <c r="DE194" s="66"/>
      <c r="DF194" s="66"/>
      <c r="DG194" s="68"/>
      <c r="DH194" s="68"/>
      <c r="DK194" s="66"/>
      <c r="DL194" s="66"/>
      <c r="DM194" s="66"/>
      <c r="DN194" s="66"/>
      <c r="DO194" s="66"/>
      <c r="DP194" s="66"/>
      <c r="DQ194" s="66"/>
      <c r="DR194" s="66"/>
      <c r="DS194" s="66"/>
      <c r="DT194" s="68"/>
      <c r="DU194" s="66"/>
      <c r="DV194" s="296"/>
      <c r="DW194" s="330"/>
      <c r="DX194" s="631"/>
      <c r="DY194" s="631"/>
      <c r="DZ194" s="631"/>
      <c r="EA194" s="330"/>
      <c r="EC194" s="66"/>
      <c r="ED194" s="68"/>
      <c r="EH194" s="66"/>
      <c r="EI194" s="66"/>
      <c r="EJ194" s="68"/>
      <c r="EK194" s="252"/>
      <c r="EL194" s="252"/>
      <c r="EM194" s="252"/>
      <c r="EO194" s="252"/>
      <c r="EP194" s="252"/>
      <c r="EQ194" s="252"/>
      <c r="ES194" s="252"/>
      <c r="ET194" s="252"/>
      <c r="EU194" s="252"/>
      <c r="EW194" s="252"/>
      <c r="EX194" s="252"/>
      <c r="EY194" s="252"/>
      <c r="FA194" s="250"/>
      <c r="FB194" s="250"/>
      <c r="FC194" s="250"/>
      <c r="FD194" s="250"/>
      <c r="FE194" s="250"/>
      <c r="FF194" s="250"/>
      <c r="FG194" s="250"/>
      <c r="FH194" s="424"/>
      <c r="FI194" s="250"/>
      <c r="FJ194" s="250"/>
      <c r="FK194" s="250"/>
      <c r="FL194" s="256"/>
      <c r="FM194" s="250"/>
      <c r="FN194" s="256"/>
      <c r="FO194" s="250"/>
      <c r="FP194" s="256"/>
      <c r="FQ194" s="250"/>
      <c r="FR194" s="256"/>
      <c r="FS194" s="250"/>
      <c r="FT194" s="256"/>
      <c r="FU194" s="256"/>
      <c r="FV194" s="256"/>
      <c r="FW194" s="250"/>
      <c r="FX194" s="424"/>
      <c r="FY194" s="251"/>
      <c r="GC194" s="252"/>
      <c r="GF194" s="252"/>
      <c r="GG194" s="252"/>
      <c r="GH194" s="252"/>
      <c r="GI194" s="252"/>
      <c r="GJ194" s="252"/>
      <c r="GK194" s="251"/>
      <c r="GL194" s="250"/>
      <c r="GM194" s="250"/>
      <c r="GN194" s="250"/>
      <c r="GO194" s="250"/>
      <c r="GP194" s="250"/>
      <c r="GQ194" s="250"/>
      <c r="GR194" s="250"/>
      <c r="GS194" s="250"/>
      <c r="GT194" s="250"/>
      <c r="GU194" s="251"/>
      <c r="GV194" s="250"/>
      <c r="GW194" s="250"/>
      <c r="GX194" s="250"/>
      <c r="GY194" s="250"/>
      <c r="GZ194" s="250"/>
      <c r="HA194" s="250"/>
      <c r="HB194" s="250"/>
      <c r="HC194" s="250"/>
      <c r="HD194" s="250"/>
      <c r="HE194" s="250"/>
      <c r="HF194" s="250"/>
      <c r="HG194" s="250"/>
      <c r="HH194" s="251"/>
      <c r="HI194" s="424"/>
      <c r="HJ194" s="255"/>
      <c r="HK194" s="255"/>
      <c r="HL194" s="250"/>
      <c r="HM194" s="255"/>
      <c r="HN194" s="255"/>
      <c r="HO194" s="255"/>
      <c r="HP194" s="250"/>
      <c r="HQ194" s="250"/>
      <c r="HR194" s="250"/>
      <c r="HS194" s="250"/>
      <c r="HT194" s="250"/>
      <c r="HU194" s="251"/>
      <c r="HX194" s="252"/>
      <c r="HY194" s="252"/>
      <c r="HZ194" s="252"/>
      <c r="ID194" s="252"/>
      <c r="IE194" s="252"/>
      <c r="IF194" s="252"/>
      <c r="IJ194" s="252"/>
      <c r="IK194" s="252"/>
      <c r="IL194" s="252"/>
      <c r="IP194" s="252"/>
      <c r="IQ194" s="252"/>
      <c r="IR194" s="252"/>
      <c r="IY194" s="66"/>
      <c r="IZ194" s="66"/>
      <c r="JA194" s="66"/>
      <c r="JB194" s="250"/>
      <c r="JC194" s="66"/>
      <c r="JD194" s="66"/>
      <c r="JE194" s="66"/>
      <c r="JF194" s="66"/>
      <c r="JG194" s="66"/>
      <c r="JH194" s="66"/>
      <c r="JI194" s="66"/>
      <c r="JJ194" s="66"/>
      <c r="JK194" s="8"/>
      <c r="JN194" s="252"/>
      <c r="JO194" s="252"/>
      <c r="JP194" s="252"/>
      <c r="JT194" s="252"/>
      <c r="JU194" s="252"/>
      <c r="JV194" s="252"/>
      <c r="JZ194" s="252"/>
      <c r="KA194" s="252"/>
      <c r="KB194" s="252"/>
      <c r="KF194" s="252"/>
      <c r="KG194" s="252"/>
      <c r="KH194" s="252"/>
      <c r="KO194" s="66"/>
      <c r="KP194" s="66"/>
      <c r="KQ194" s="66"/>
      <c r="KR194" s="66"/>
      <c r="KS194" s="66"/>
      <c r="KT194" s="66"/>
      <c r="KU194" s="66"/>
      <c r="KV194" s="66"/>
      <c r="KW194" s="66"/>
      <c r="KX194" s="66"/>
      <c r="KY194" s="66"/>
      <c r="KZ194" s="66"/>
      <c r="LA194" s="8"/>
      <c r="LD194" s="252"/>
      <c r="LE194" s="252"/>
      <c r="LF194" s="252"/>
      <c r="LJ194" s="252"/>
      <c r="LK194" s="252"/>
      <c r="LN194" s="252"/>
      <c r="LO194" s="252"/>
      <c r="LP194" s="252"/>
      <c r="LT194" s="271"/>
      <c r="LU194" s="250"/>
      <c r="LV194" s="250"/>
      <c r="LW194" s="250"/>
      <c r="LX194" s="250"/>
      <c r="LY194" s="250"/>
      <c r="LZ194" s="250"/>
      <c r="MA194" s="250"/>
      <c r="MB194" s="250"/>
      <c r="MC194" s="250"/>
      <c r="MD194" s="250"/>
      <c r="ME194" s="250"/>
      <c r="MF194" s="250"/>
      <c r="MG194" s="250"/>
      <c r="MH194" s="250"/>
      <c r="MI194" s="250"/>
      <c r="MJ194" s="250"/>
      <c r="MK194" s="424"/>
      <c r="ML194" s="640"/>
      <c r="MM194" s="251"/>
      <c r="MN194" s="252"/>
      <c r="MO194" s="252"/>
      <c r="MP194" s="252"/>
      <c r="MQ194" s="252"/>
      <c r="MR194" s="252"/>
      <c r="MS194" s="252"/>
      <c r="MT194" s="252"/>
      <c r="MU194" s="252"/>
      <c r="MV194" s="252"/>
      <c r="MW194" s="252"/>
      <c r="MX194" s="252"/>
      <c r="MY194" s="252"/>
      <c r="MZ194" s="252"/>
      <c r="NA194" s="252"/>
      <c r="NB194" s="252"/>
      <c r="NC194" s="251"/>
      <c r="ND194" s="250"/>
      <c r="NE194" s="250"/>
      <c r="NF194" s="250"/>
      <c r="NG194" s="250"/>
      <c r="NH194" s="250"/>
      <c r="NI194" s="250"/>
      <c r="NJ194" s="250"/>
      <c r="NK194" s="250"/>
      <c r="NL194" s="250"/>
      <c r="NM194" s="250"/>
      <c r="NN194" s="250"/>
      <c r="NO194" s="250"/>
      <c r="NP194" s="250"/>
      <c r="NQ194" s="250"/>
      <c r="NR194" s="250"/>
      <c r="NS194" s="250"/>
      <c r="NT194" s="250"/>
      <c r="NU194" s="250"/>
      <c r="NV194" s="250"/>
      <c r="NW194" s="251"/>
      <c r="OT194" s="8"/>
      <c r="QG194" s="8"/>
      <c r="RT194" s="8"/>
    </row>
    <row r="195" spans="1:488" s="282" customFormat="1" x14ac:dyDescent="0.25">
      <c r="A195" s="66"/>
      <c r="B195" s="8"/>
      <c r="C195" s="66"/>
      <c r="D195" s="66"/>
      <c r="E195" s="66"/>
      <c r="F195" s="66"/>
      <c r="G195" s="66"/>
      <c r="H195" s="66"/>
      <c r="I195" s="66"/>
      <c r="J195" s="66"/>
      <c r="K195" s="66"/>
      <c r="L195" s="66"/>
      <c r="M195" s="66"/>
      <c r="N195" s="66"/>
      <c r="O195" s="66"/>
      <c r="P195" s="66"/>
      <c r="Q195" s="66"/>
      <c r="R195" s="66"/>
      <c r="S195" s="66"/>
      <c r="T195" s="68"/>
      <c r="AC195" s="66"/>
      <c r="AD195" s="66"/>
      <c r="AE195" s="68"/>
      <c r="AN195" s="66"/>
      <c r="AO195" s="66"/>
      <c r="AP195" s="68"/>
      <c r="AW195" s="66"/>
      <c r="AX195" s="68"/>
      <c r="BD195" s="66"/>
      <c r="BE195" s="68"/>
      <c r="BF195" s="66"/>
      <c r="BG195" s="66"/>
      <c r="BH195" s="66"/>
      <c r="BI195" s="66"/>
      <c r="BJ195" s="66"/>
      <c r="BK195" s="66"/>
      <c r="BL195" s="68"/>
      <c r="BO195" s="66"/>
      <c r="BP195" s="68"/>
      <c r="BV195" s="66"/>
      <c r="BW195" s="68"/>
      <c r="CB195" s="8"/>
      <c r="CH195" s="8"/>
      <c r="CK195" s="299"/>
      <c r="CL195" s="299"/>
      <c r="CM195" s="66"/>
      <c r="CN195" s="66"/>
      <c r="CO195" s="68"/>
      <c r="CR195" s="8"/>
      <c r="CX195" s="66"/>
      <c r="CY195" s="532"/>
      <c r="DE195" s="66"/>
      <c r="DF195" s="66"/>
      <c r="DG195" s="68"/>
      <c r="DH195" s="68"/>
      <c r="DK195" s="66"/>
      <c r="DL195" s="66"/>
      <c r="DM195" s="66"/>
      <c r="DN195" s="66"/>
      <c r="DO195" s="66"/>
      <c r="DP195" s="66"/>
      <c r="DQ195" s="66"/>
      <c r="DR195" s="66"/>
      <c r="DS195" s="66"/>
      <c r="DT195" s="68"/>
      <c r="DU195" s="66"/>
      <c r="DV195" s="296"/>
      <c r="DW195" s="330"/>
      <c r="DX195" s="631"/>
      <c r="DY195" s="631"/>
      <c r="DZ195" s="631"/>
      <c r="EA195" s="330"/>
      <c r="EC195" s="66"/>
      <c r="ED195" s="68"/>
      <c r="EH195" s="66"/>
      <c r="EI195" s="66"/>
      <c r="EJ195" s="68"/>
      <c r="EK195" s="252"/>
      <c r="EL195" s="252"/>
      <c r="EM195" s="252"/>
      <c r="EO195" s="252"/>
      <c r="EP195" s="252"/>
      <c r="EQ195" s="252"/>
      <c r="ES195" s="252"/>
      <c r="ET195" s="252"/>
      <c r="EU195" s="252"/>
      <c r="EW195" s="252"/>
      <c r="EX195" s="252"/>
      <c r="EY195" s="252"/>
      <c r="FA195" s="250"/>
      <c r="FB195" s="250"/>
      <c r="FC195" s="250"/>
      <c r="FD195" s="250"/>
      <c r="FE195" s="250"/>
      <c r="FF195" s="250"/>
      <c r="FG195" s="250"/>
      <c r="FH195" s="424"/>
      <c r="FI195" s="250"/>
      <c r="FJ195" s="250"/>
      <c r="FK195" s="250"/>
      <c r="FL195" s="256"/>
      <c r="FM195" s="250"/>
      <c r="FN195" s="256"/>
      <c r="FO195" s="250"/>
      <c r="FP195" s="256"/>
      <c r="FQ195" s="250"/>
      <c r="FR195" s="256"/>
      <c r="FS195" s="250"/>
      <c r="FT195" s="256"/>
      <c r="FU195" s="256"/>
      <c r="FV195" s="256"/>
      <c r="FW195" s="250"/>
      <c r="FX195" s="424"/>
      <c r="FY195" s="251"/>
      <c r="GC195" s="252"/>
      <c r="GF195" s="252"/>
      <c r="GG195" s="252"/>
      <c r="GH195" s="252"/>
      <c r="GI195" s="252"/>
      <c r="GJ195" s="252"/>
      <c r="GK195" s="251"/>
      <c r="GL195" s="250"/>
      <c r="GM195" s="250"/>
      <c r="GN195" s="250"/>
      <c r="GO195" s="250"/>
      <c r="GP195" s="250"/>
      <c r="GQ195" s="250"/>
      <c r="GR195" s="250"/>
      <c r="GS195" s="250"/>
      <c r="GT195" s="250"/>
      <c r="GU195" s="251"/>
      <c r="GV195" s="250"/>
      <c r="GW195" s="250"/>
      <c r="GX195" s="250"/>
      <c r="GY195" s="250"/>
      <c r="GZ195" s="250"/>
      <c r="HA195" s="250"/>
      <c r="HB195" s="250"/>
      <c r="HC195" s="250"/>
      <c r="HD195" s="250"/>
      <c r="HE195" s="250"/>
      <c r="HF195" s="250"/>
      <c r="HG195" s="250"/>
      <c r="HH195" s="251"/>
      <c r="HI195" s="424"/>
      <c r="HJ195" s="255"/>
      <c r="HK195" s="255"/>
      <c r="HL195" s="250"/>
      <c r="HM195" s="255"/>
      <c r="HN195" s="255"/>
      <c r="HO195" s="255"/>
      <c r="HP195" s="250"/>
      <c r="HQ195" s="250"/>
      <c r="HR195" s="250"/>
      <c r="HS195" s="250"/>
      <c r="HT195" s="250"/>
      <c r="HU195" s="251"/>
      <c r="HX195" s="252"/>
      <c r="HY195" s="252"/>
      <c r="HZ195" s="252"/>
      <c r="ID195" s="252"/>
      <c r="IE195" s="252"/>
      <c r="IF195" s="252"/>
      <c r="IJ195" s="252"/>
      <c r="IK195" s="252"/>
      <c r="IL195" s="252"/>
      <c r="IP195" s="252"/>
      <c r="IQ195" s="252"/>
      <c r="IR195" s="252"/>
      <c r="IY195" s="66"/>
      <c r="IZ195" s="66"/>
      <c r="JA195" s="66"/>
      <c r="JB195" s="250"/>
      <c r="JC195" s="66"/>
      <c r="JD195" s="66"/>
      <c r="JE195" s="66"/>
      <c r="JF195" s="66"/>
      <c r="JG195" s="66"/>
      <c r="JH195" s="66"/>
      <c r="JI195" s="66"/>
      <c r="JJ195" s="66"/>
      <c r="JK195" s="8"/>
      <c r="JN195" s="252"/>
      <c r="JO195" s="252"/>
      <c r="JP195" s="252"/>
      <c r="JT195" s="252"/>
      <c r="JU195" s="252"/>
      <c r="JV195" s="252"/>
      <c r="JZ195" s="252"/>
      <c r="KA195" s="252"/>
      <c r="KB195" s="252"/>
      <c r="KF195" s="252"/>
      <c r="KG195" s="252"/>
      <c r="KH195" s="252"/>
      <c r="KO195" s="66"/>
      <c r="KP195" s="66"/>
      <c r="KQ195" s="66"/>
      <c r="KR195" s="66"/>
      <c r="KS195" s="66"/>
      <c r="KT195" s="66"/>
      <c r="KU195" s="66"/>
      <c r="KV195" s="66"/>
      <c r="KW195" s="66"/>
      <c r="KX195" s="66"/>
      <c r="KY195" s="66"/>
      <c r="KZ195" s="66"/>
      <c r="LA195" s="8"/>
      <c r="LD195" s="252"/>
      <c r="LE195" s="252"/>
      <c r="LF195" s="252"/>
      <c r="LJ195" s="252"/>
      <c r="LK195" s="252"/>
      <c r="LN195" s="252"/>
      <c r="LO195" s="252"/>
      <c r="LP195" s="252"/>
      <c r="LT195" s="271"/>
      <c r="LU195" s="250"/>
      <c r="LV195" s="250"/>
      <c r="LW195" s="250"/>
      <c r="LX195" s="250"/>
      <c r="LY195" s="250"/>
      <c r="LZ195" s="250"/>
      <c r="MA195" s="250"/>
      <c r="MB195" s="250"/>
      <c r="MC195" s="250"/>
      <c r="MD195" s="250"/>
      <c r="ME195" s="250"/>
      <c r="MF195" s="250"/>
      <c r="MG195" s="250"/>
      <c r="MH195" s="250"/>
      <c r="MI195" s="250"/>
      <c r="MJ195" s="250"/>
      <c r="MK195" s="424"/>
      <c r="ML195" s="640"/>
      <c r="MM195" s="251"/>
      <c r="MN195" s="252"/>
      <c r="MO195" s="252"/>
      <c r="MP195" s="252"/>
      <c r="MQ195" s="252"/>
      <c r="MR195" s="252"/>
      <c r="MS195" s="252"/>
      <c r="MT195" s="252"/>
      <c r="MU195" s="252"/>
      <c r="MV195" s="252"/>
      <c r="MW195" s="252"/>
      <c r="MX195" s="252"/>
      <c r="MY195" s="252"/>
      <c r="MZ195" s="252"/>
      <c r="NA195" s="252"/>
      <c r="NB195" s="252"/>
      <c r="NC195" s="251"/>
      <c r="ND195" s="250"/>
      <c r="NE195" s="250"/>
      <c r="NF195" s="250"/>
      <c r="NG195" s="250"/>
      <c r="NH195" s="250"/>
      <c r="NI195" s="250"/>
      <c r="NJ195" s="250"/>
      <c r="NK195" s="250"/>
      <c r="NL195" s="250"/>
      <c r="NM195" s="250"/>
      <c r="NN195" s="250"/>
      <c r="NO195" s="250"/>
      <c r="NP195" s="250"/>
      <c r="NQ195" s="250"/>
      <c r="NR195" s="250"/>
      <c r="NS195" s="250"/>
      <c r="NT195" s="250"/>
      <c r="NU195" s="250"/>
      <c r="NV195" s="250"/>
      <c r="NW195" s="251"/>
      <c r="OT195" s="8"/>
      <c r="QG195" s="8"/>
      <c r="RT195" s="8"/>
    </row>
    <row r="196" spans="1:488" s="282" customFormat="1" x14ac:dyDescent="0.25">
      <c r="A196" s="66"/>
      <c r="B196" s="8"/>
      <c r="C196" s="66"/>
      <c r="D196" s="66"/>
      <c r="E196" s="66"/>
      <c r="F196" s="66"/>
      <c r="G196" s="66"/>
      <c r="H196" s="66"/>
      <c r="I196" s="66"/>
      <c r="J196" s="66"/>
      <c r="K196" s="66"/>
      <c r="L196" s="66"/>
      <c r="M196" s="66"/>
      <c r="N196" s="66"/>
      <c r="O196" s="66"/>
      <c r="P196" s="66"/>
      <c r="Q196" s="66"/>
      <c r="R196" s="66"/>
      <c r="S196" s="66"/>
      <c r="T196" s="68"/>
      <c r="AC196" s="66"/>
      <c r="AD196" s="66"/>
      <c r="AE196" s="68"/>
      <c r="AN196" s="66"/>
      <c r="AO196" s="66"/>
      <c r="AP196" s="68"/>
      <c r="AW196" s="66"/>
      <c r="AX196" s="68"/>
      <c r="BD196" s="66"/>
      <c r="BE196" s="68"/>
      <c r="BF196" s="66"/>
      <c r="BG196" s="66"/>
      <c r="BH196" s="66"/>
      <c r="BI196" s="66"/>
      <c r="BJ196" s="66"/>
      <c r="BK196" s="66"/>
      <c r="BL196" s="68"/>
      <c r="BO196" s="66"/>
      <c r="BP196" s="68"/>
      <c r="BV196" s="66"/>
      <c r="BW196" s="68"/>
      <c r="CB196" s="8"/>
      <c r="CH196" s="8"/>
      <c r="CK196" s="299"/>
      <c r="CL196" s="299"/>
      <c r="CM196" s="66"/>
      <c r="CN196" s="66"/>
      <c r="CO196" s="68"/>
      <c r="CR196" s="8"/>
      <c r="CX196" s="66"/>
      <c r="CY196" s="532"/>
      <c r="DE196" s="66"/>
      <c r="DF196" s="66"/>
      <c r="DG196" s="68"/>
      <c r="DH196" s="68"/>
      <c r="DK196" s="66"/>
      <c r="DL196" s="66"/>
      <c r="DM196" s="66"/>
      <c r="DN196" s="66"/>
      <c r="DO196" s="66"/>
      <c r="DP196" s="66"/>
      <c r="DQ196" s="66"/>
      <c r="DR196" s="66"/>
      <c r="DS196" s="66"/>
      <c r="DT196" s="68"/>
      <c r="DU196" s="66"/>
      <c r="DV196" s="296"/>
      <c r="DW196" s="330"/>
      <c r="DX196" s="631"/>
      <c r="DY196" s="631"/>
      <c r="DZ196" s="631"/>
      <c r="EA196" s="330"/>
      <c r="EC196" s="66"/>
      <c r="ED196" s="68"/>
      <c r="EH196" s="66"/>
      <c r="EI196" s="66"/>
      <c r="EJ196" s="68"/>
      <c r="EK196" s="252"/>
      <c r="EL196" s="252"/>
      <c r="EM196" s="252"/>
      <c r="EO196" s="252"/>
      <c r="EP196" s="252"/>
      <c r="EQ196" s="252"/>
      <c r="ES196" s="252"/>
      <c r="ET196" s="252"/>
      <c r="EU196" s="252"/>
      <c r="EW196" s="252"/>
      <c r="EX196" s="252"/>
      <c r="EY196" s="252"/>
      <c r="FA196" s="250"/>
      <c r="FB196" s="250"/>
      <c r="FC196" s="250"/>
      <c r="FD196" s="250"/>
      <c r="FE196" s="250"/>
      <c r="FF196" s="250"/>
      <c r="FG196" s="250"/>
      <c r="FH196" s="424"/>
      <c r="FI196" s="250"/>
      <c r="FJ196" s="250"/>
      <c r="FK196" s="250"/>
      <c r="FL196" s="256"/>
      <c r="FM196" s="250"/>
      <c r="FN196" s="256"/>
      <c r="FO196" s="250"/>
      <c r="FP196" s="256"/>
      <c r="FQ196" s="250"/>
      <c r="FR196" s="256"/>
      <c r="FS196" s="250"/>
      <c r="FT196" s="256"/>
      <c r="FU196" s="256"/>
      <c r="FV196" s="256"/>
      <c r="FW196" s="250"/>
      <c r="FX196" s="424"/>
      <c r="FY196" s="251"/>
      <c r="GC196" s="252"/>
      <c r="GF196" s="252"/>
      <c r="GG196" s="252"/>
      <c r="GH196" s="252"/>
      <c r="GI196" s="252"/>
      <c r="GJ196" s="252"/>
      <c r="GK196" s="251"/>
      <c r="GL196" s="250"/>
      <c r="GM196" s="250"/>
      <c r="GN196" s="250"/>
      <c r="GO196" s="250"/>
      <c r="GP196" s="250"/>
      <c r="GQ196" s="250"/>
      <c r="GR196" s="250"/>
      <c r="GS196" s="250"/>
      <c r="GT196" s="250"/>
      <c r="GU196" s="251"/>
      <c r="GV196" s="250"/>
      <c r="GW196" s="250"/>
      <c r="GX196" s="250"/>
      <c r="GY196" s="250"/>
      <c r="GZ196" s="250"/>
      <c r="HA196" s="250"/>
      <c r="HB196" s="250"/>
      <c r="HC196" s="250"/>
      <c r="HD196" s="250"/>
      <c r="HE196" s="250"/>
      <c r="HF196" s="250"/>
      <c r="HG196" s="250"/>
      <c r="HH196" s="251"/>
      <c r="HI196" s="424"/>
      <c r="HJ196" s="255"/>
      <c r="HK196" s="255"/>
      <c r="HL196" s="250"/>
      <c r="HM196" s="255"/>
      <c r="HN196" s="255"/>
      <c r="HO196" s="255"/>
      <c r="HP196" s="250"/>
      <c r="HQ196" s="250"/>
      <c r="HR196" s="250"/>
      <c r="HS196" s="250"/>
      <c r="HT196" s="250"/>
      <c r="HU196" s="251"/>
      <c r="HX196" s="252"/>
      <c r="HY196" s="252"/>
      <c r="HZ196" s="252"/>
      <c r="ID196" s="252"/>
      <c r="IE196" s="252"/>
      <c r="IF196" s="252"/>
      <c r="IJ196" s="252"/>
      <c r="IK196" s="252"/>
      <c r="IL196" s="252"/>
      <c r="IP196" s="252"/>
      <c r="IQ196" s="252"/>
      <c r="IR196" s="252"/>
      <c r="IY196" s="66"/>
      <c r="IZ196" s="66"/>
      <c r="JA196" s="66"/>
      <c r="JB196" s="250"/>
      <c r="JC196" s="66"/>
      <c r="JD196" s="66"/>
      <c r="JE196" s="66"/>
      <c r="JF196" s="66"/>
      <c r="JG196" s="66"/>
      <c r="JH196" s="66"/>
      <c r="JI196" s="66"/>
      <c r="JJ196" s="66"/>
      <c r="JK196" s="8"/>
      <c r="JN196" s="252"/>
      <c r="JO196" s="252"/>
      <c r="JP196" s="252"/>
      <c r="JT196" s="252"/>
      <c r="JU196" s="252"/>
      <c r="JV196" s="252"/>
      <c r="JZ196" s="252"/>
      <c r="KA196" s="252"/>
      <c r="KB196" s="252"/>
      <c r="KF196" s="252"/>
      <c r="KG196" s="252"/>
      <c r="KH196" s="252"/>
      <c r="KO196" s="66"/>
      <c r="KP196" s="66"/>
      <c r="KQ196" s="66"/>
      <c r="KR196" s="66"/>
      <c r="KS196" s="66"/>
      <c r="KT196" s="66"/>
      <c r="KU196" s="66"/>
      <c r="KV196" s="66"/>
      <c r="KW196" s="66"/>
      <c r="KX196" s="66"/>
      <c r="KY196" s="66"/>
      <c r="KZ196" s="66"/>
      <c r="LA196" s="8"/>
      <c r="LD196" s="252"/>
      <c r="LE196" s="252"/>
      <c r="LF196" s="252"/>
      <c r="LJ196" s="252"/>
      <c r="LK196" s="252"/>
      <c r="LN196" s="252"/>
      <c r="LO196" s="252"/>
      <c r="LP196" s="252"/>
      <c r="LT196" s="271"/>
      <c r="LU196" s="250"/>
      <c r="LV196" s="250"/>
      <c r="LW196" s="250"/>
      <c r="LX196" s="250"/>
      <c r="LY196" s="250"/>
      <c r="LZ196" s="250"/>
      <c r="MA196" s="250"/>
      <c r="MB196" s="250"/>
      <c r="MC196" s="250"/>
      <c r="MD196" s="250"/>
      <c r="ME196" s="250"/>
      <c r="MF196" s="250"/>
      <c r="MG196" s="250"/>
      <c r="MH196" s="250"/>
      <c r="MI196" s="250"/>
      <c r="MJ196" s="250"/>
      <c r="MK196" s="424"/>
      <c r="ML196" s="640"/>
      <c r="MM196" s="251"/>
      <c r="MN196" s="252"/>
      <c r="MO196" s="252"/>
      <c r="MP196" s="252"/>
      <c r="MQ196" s="252"/>
      <c r="MR196" s="252"/>
      <c r="MS196" s="252"/>
      <c r="MT196" s="252"/>
      <c r="MU196" s="252"/>
      <c r="MV196" s="252"/>
      <c r="MW196" s="252"/>
      <c r="MX196" s="252"/>
      <c r="MY196" s="252"/>
      <c r="MZ196" s="252"/>
      <c r="NA196" s="252"/>
      <c r="NB196" s="252"/>
      <c r="NC196" s="251"/>
      <c r="ND196" s="250"/>
      <c r="NE196" s="250"/>
      <c r="NF196" s="250"/>
      <c r="NG196" s="250"/>
      <c r="NH196" s="250"/>
      <c r="NI196" s="250"/>
      <c r="NJ196" s="250"/>
      <c r="NK196" s="250"/>
      <c r="NL196" s="250"/>
      <c r="NM196" s="250"/>
      <c r="NN196" s="250"/>
      <c r="NO196" s="250"/>
      <c r="NP196" s="250"/>
      <c r="NQ196" s="250"/>
      <c r="NR196" s="250"/>
      <c r="NS196" s="250"/>
      <c r="NT196" s="250"/>
      <c r="NU196" s="250"/>
      <c r="NV196" s="250"/>
      <c r="NW196" s="251"/>
      <c r="OT196" s="8"/>
      <c r="QG196" s="8"/>
      <c r="RT196" s="8"/>
    </row>
    <row r="197" spans="1:488" s="282" customFormat="1" x14ac:dyDescent="0.25">
      <c r="A197" s="66"/>
      <c r="B197" s="8"/>
      <c r="C197" s="66"/>
      <c r="D197" s="66"/>
      <c r="E197" s="66"/>
      <c r="F197" s="66"/>
      <c r="G197" s="66"/>
      <c r="H197" s="66"/>
      <c r="I197" s="66"/>
      <c r="J197" s="66"/>
      <c r="K197" s="66"/>
      <c r="L197" s="66"/>
      <c r="M197" s="66"/>
      <c r="N197" s="66"/>
      <c r="O197" s="66"/>
      <c r="P197" s="66"/>
      <c r="Q197" s="66"/>
      <c r="R197" s="66"/>
      <c r="S197" s="66"/>
      <c r="T197" s="68"/>
      <c r="AC197" s="66"/>
      <c r="AD197" s="66"/>
      <c r="AE197" s="68"/>
      <c r="AN197" s="66"/>
      <c r="AO197" s="66"/>
      <c r="AP197" s="68"/>
      <c r="AW197" s="66"/>
      <c r="AX197" s="68"/>
      <c r="BD197" s="66"/>
      <c r="BE197" s="68"/>
      <c r="BF197" s="66"/>
      <c r="BG197" s="66"/>
      <c r="BH197" s="66"/>
      <c r="BI197" s="66"/>
      <c r="BJ197" s="66"/>
      <c r="BK197" s="66"/>
      <c r="BL197" s="68"/>
      <c r="BO197" s="66"/>
      <c r="BP197" s="68"/>
      <c r="BV197" s="66"/>
      <c r="BW197" s="68"/>
      <c r="CB197" s="8"/>
      <c r="CH197" s="8"/>
      <c r="CK197" s="299"/>
      <c r="CL197" s="299"/>
      <c r="CM197" s="66"/>
      <c r="CN197" s="66"/>
      <c r="CO197" s="68"/>
      <c r="CR197" s="8"/>
      <c r="CX197" s="66"/>
      <c r="CY197" s="532"/>
      <c r="DE197" s="66"/>
      <c r="DF197" s="66"/>
      <c r="DG197" s="68"/>
      <c r="DH197" s="68"/>
      <c r="DK197" s="66"/>
      <c r="DL197" s="66"/>
      <c r="DM197" s="66"/>
      <c r="DN197" s="66"/>
      <c r="DO197" s="66"/>
      <c r="DP197" s="66"/>
      <c r="DQ197" s="66"/>
      <c r="DR197" s="66"/>
      <c r="DS197" s="66"/>
      <c r="DT197" s="68"/>
      <c r="DU197" s="66"/>
      <c r="DV197" s="296"/>
      <c r="DW197" s="330"/>
      <c r="DX197" s="631"/>
      <c r="DY197" s="631"/>
      <c r="DZ197" s="631"/>
      <c r="EA197" s="330"/>
      <c r="EC197" s="66"/>
      <c r="ED197" s="68"/>
      <c r="EH197" s="66"/>
      <c r="EI197" s="66"/>
      <c r="EJ197" s="68"/>
      <c r="EK197" s="252"/>
      <c r="EL197" s="252"/>
      <c r="EM197" s="252"/>
      <c r="EO197" s="252"/>
      <c r="EP197" s="252"/>
      <c r="EQ197" s="252"/>
      <c r="ES197" s="252"/>
      <c r="ET197" s="252"/>
      <c r="EU197" s="252"/>
      <c r="EW197" s="252"/>
      <c r="EX197" s="252"/>
      <c r="EY197" s="252"/>
      <c r="FA197" s="250"/>
      <c r="FB197" s="250"/>
      <c r="FC197" s="250"/>
      <c r="FD197" s="250"/>
      <c r="FE197" s="250"/>
      <c r="FF197" s="250"/>
      <c r="FG197" s="250"/>
      <c r="FH197" s="424"/>
      <c r="FI197" s="250"/>
      <c r="FJ197" s="250"/>
      <c r="FK197" s="250"/>
      <c r="FL197" s="256"/>
      <c r="FM197" s="250"/>
      <c r="FN197" s="256"/>
      <c r="FO197" s="250"/>
      <c r="FP197" s="256"/>
      <c r="FQ197" s="250"/>
      <c r="FR197" s="256"/>
      <c r="FS197" s="250"/>
      <c r="FT197" s="256"/>
      <c r="FU197" s="256"/>
      <c r="FV197" s="256"/>
      <c r="FW197" s="250"/>
      <c r="FX197" s="424"/>
      <c r="FY197" s="251"/>
      <c r="GC197" s="252"/>
      <c r="GF197" s="252"/>
      <c r="GG197" s="252"/>
      <c r="GH197" s="252"/>
      <c r="GI197" s="252"/>
      <c r="GJ197" s="252"/>
      <c r="GK197" s="251"/>
      <c r="GL197" s="250"/>
      <c r="GM197" s="250"/>
      <c r="GN197" s="250"/>
      <c r="GO197" s="250"/>
      <c r="GP197" s="250"/>
      <c r="GQ197" s="250"/>
      <c r="GR197" s="250"/>
      <c r="GS197" s="250"/>
      <c r="GT197" s="250"/>
      <c r="GU197" s="251"/>
      <c r="GV197" s="250"/>
      <c r="GW197" s="250"/>
      <c r="GX197" s="250"/>
      <c r="GY197" s="250"/>
      <c r="GZ197" s="250"/>
      <c r="HA197" s="250"/>
      <c r="HB197" s="250"/>
      <c r="HC197" s="250"/>
      <c r="HD197" s="250"/>
      <c r="HE197" s="250"/>
      <c r="HF197" s="250"/>
      <c r="HG197" s="250"/>
      <c r="HH197" s="251"/>
      <c r="HI197" s="424"/>
      <c r="HJ197" s="255"/>
      <c r="HK197" s="255"/>
      <c r="HL197" s="250"/>
      <c r="HM197" s="255"/>
      <c r="HN197" s="255"/>
      <c r="HO197" s="255"/>
      <c r="HP197" s="250"/>
      <c r="HQ197" s="250"/>
      <c r="HR197" s="250"/>
      <c r="HS197" s="250"/>
      <c r="HT197" s="250"/>
      <c r="HU197" s="251"/>
      <c r="HX197" s="252"/>
      <c r="HY197" s="252"/>
      <c r="HZ197" s="252"/>
      <c r="ID197" s="252"/>
      <c r="IE197" s="252"/>
      <c r="IF197" s="252"/>
      <c r="IJ197" s="252"/>
      <c r="IK197" s="252"/>
      <c r="IL197" s="252"/>
      <c r="IP197" s="252"/>
      <c r="IQ197" s="252"/>
      <c r="IR197" s="252"/>
      <c r="IY197" s="66"/>
      <c r="IZ197" s="66"/>
      <c r="JA197" s="66"/>
      <c r="JB197" s="250"/>
      <c r="JC197" s="66"/>
      <c r="JD197" s="66"/>
      <c r="JE197" s="66"/>
      <c r="JF197" s="66"/>
      <c r="JG197" s="66"/>
      <c r="JH197" s="66"/>
      <c r="JI197" s="66"/>
      <c r="JJ197" s="66"/>
      <c r="JK197" s="8"/>
      <c r="JN197" s="252"/>
      <c r="JO197" s="252"/>
      <c r="JP197" s="252"/>
      <c r="JT197" s="252"/>
      <c r="JU197" s="252"/>
      <c r="JV197" s="252"/>
      <c r="JZ197" s="252"/>
      <c r="KA197" s="252"/>
      <c r="KB197" s="252"/>
      <c r="KF197" s="252"/>
      <c r="KG197" s="252"/>
      <c r="KH197" s="252"/>
      <c r="KO197" s="66"/>
      <c r="KP197" s="66"/>
      <c r="KQ197" s="66"/>
      <c r="KR197" s="66"/>
      <c r="KS197" s="66"/>
      <c r="KT197" s="66"/>
      <c r="KU197" s="66"/>
      <c r="KV197" s="66"/>
      <c r="KW197" s="66"/>
      <c r="KX197" s="66"/>
      <c r="KY197" s="66"/>
      <c r="KZ197" s="66"/>
      <c r="LA197" s="8"/>
      <c r="LD197" s="252"/>
      <c r="LE197" s="252"/>
      <c r="LF197" s="252"/>
      <c r="LJ197" s="252"/>
      <c r="LK197" s="252"/>
      <c r="LN197" s="252"/>
      <c r="LO197" s="252"/>
      <c r="LP197" s="252"/>
      <c r="LT197" s="271"/>
      <c r="LU197" s="250"/>
      <c r="LV197" s="250"/>
      <c r="LW197" s="250"/>
      <c r="LX197" s="250"/>
      <c r="LY197" s="250"/>
      <c r="LZ197" s="250"/>
      <c r="MA197" s="250"/>
      <c r="MB197" s="250"/>
      <c r="MC197" s="250"/>
      <c r="MD197" s="250"/>
      <c r="ME197" s="250"/>
      <c r="MF197" s="250"/>
      <c r="MG197" s="250"/>
      <c r="MH197" s="250"/>
      <c r="MI197" s="250"/>
      <c r="MJ197" s="250"/>
      <c r="MK197" s="424"/>
      <c r="ML197" s="640"/>
      <c r="MM197" s="251"/>
      <c r="MN197" s="252"/>
      <c r="MO197" s="252"/>
      <c r="MP197" s="252"/>
      <c r="MQ197" s="252"/>
      <c r="MR197" s="252"/>
      <c r="MS197" s="252"/>
      <c r="MT197" s="252"/>
      <c r="MU197" s="252"/>
      <c r="MV197" s="252"/>
      <c r="MW197" s="252"/>
      <c r="MX197" s="252"/>
      <c r="MY197" s="252"/>
      <c r="MZ197" s="252"/>
      <c r="NA197" s="252"/>
      <c r="NB197" s="252"/>
      <c r="NC197" s="251"/>
      <c r="ND197" s="250"/>
      <c r="NE197" s="250"/>
      <c r="NF197" s="250"/>
      <c r="NG197" s="250"/>
      <c r="NH197" s="250"/>
      <c r="NI197" s="250"/>
      <c r="NJ197" s="250"/>
      <c r="NK197" s="250"/>
      <c r="NL197" s="250"/>
      <c r="NM197" s="250"/>
      <c r="NN197" s="250"/>
      <c r="NO197" s="250"/>
      <c r="NP197" s="250"/>
      <c r="NQ197" s="250"/>
      <c r="NR197" s="250"/>
      <c r="NS197" s="250"/>
      <c r="NT197" s="250"/>
      <c r="NU197" s="250"/>
      <c r="NV197" s="250"/>
      <c r="NW197" s="251"/>
      <c r="OT197" s="8"/>
      <c r="QG197" s="8"/>
      <c r="RT197" s="8"/>
    </row>
    <row r="198" spans="1:488" s="282" customFormat="1" x14ac:dyDescent="0.25">
      <c r="A198" s="66"/>
      <c r="B198" s="8"/>
      <c r="C198" s="66"/>
      <c r="D198" s="66"/>
      <c r="E198" s="66"/>
      <c r="F198" s="66"/>
      <c r="G198" s="66"/>
      <c r="H198" s="66"/>
      <c r="I198" s="66"/>
      <c r="J198" s="66"/>
      <c r="K198" s="66"/>
      <c r="L198" s="66"/>
      <c r="M198" s="66"/>
      <c r="N198" s="66"/>
      <c r="O198" s="66"/>
      <c r="P198" s="66"/>
      <c r="Q198" s="66"/>
      <c r="R198" s="66"/>
      <c r="S198" s="66"/>
      <c r="T198" s="68"/>
      <c r="AC198" s="66"/>
      <c r="AD198" s="66"/>
      <c r="AE198" s="68"/>
      <c r="AN198" s="66"/>
      <c r="AO198" s="66"/>
      <c r="AP198" s="68"/>
      <c r="AW198" s="66"/>
      <c r="AX198" s="68"/>
      <c r="BD198" s="66"/>
      <c r="BE198" s="68"/>
      <c r="BF198" s="66"/>
      <c r="BG198" s="66"/>
      <c r="BH198" s="66"/>
      <c r="BI198" s="66"/>
      <c r="BJ198" s="66"/>
      <c r="BK198" s="66"/>
      <c r="BL198" s="68"/>
      <c r="BO198" s="66"/>
      <c r="BP198" s="68"/>
      <c r="BV198" s="66"/>
      <c r="BW198" s="68"/>
      <c r="CB198" s="8"/>
      <c r="CH198" s="8"/>
      <c r="CK198" s="299"/>
      <c r="CL198" s="299"/>
      <c r="CM198" s="66"/>
      <c r="CN198" s="66"/>
      <c r="CO198" s="68"/>
      <c r="CR198" s="8"/>
      <c r="CX198" s="66"/>
      <c r="CY198" s="532"/>
      <c r="DE198" s="66"/>
      <c r="DF198" s="66"/>
      <c r="DG198" s="68"/>
      <c r="DH198" s="68"/>
      <c r="DK198" s="66"/>
      <c r="DL198" s="66"/>
      <c r="DM198" s="66"/>
      <c r="DN198" s="66"/>
      <c r="DO198" s="66"/>
      <c r="DP198" s="66"/>
      <c r="DQ198" s="66"/>
      <c r="DR198" s="66"/>
      <c r="DS198" s="66"/>
      <c r="DT198" s="68"/>
      <c r="DU198" s="66"/>
      <c r="DV198" s="296"/>
      <c r="DW198" s="330"/>
      <c r="DX198" s="631"/>
      <c r="DY198" s="631"/>
      <c r="DZ198" s="631"/>
      <c r="EA198" s="330"/>
      <c r="EC198" s="66"/>
      <c r="ED198" s="68"/>
      <c r="EH198" s="66"/>
      <c r="EI198" s="66"/>
      <c r="EJ198" s="68"/>
      <c r="EK198" s="252"/>
      <c r="EL198" s="252"/>
      <c r="EM198" s="252"/>
      <c r="EO198" s="252"/>
      <c r="EP198" s="252"/>
      <c r="EQ198" s="252"/>
      <c r="ES198" s="252"/>
      <c r="ET198" s="252"/>
      <c r="EU198" s="252"/>
      <c r="EW198" s="252"/>
      <c r="EX198" s="252"/>
      <c r="EY198" s="252"/>
      <c r="FA198" s="250"/>
      <c r="FB198" s="250"/>
      <c r="FC198" s="250"/>
      <c r="FD198" s="250"/>
      <c r="FE198" s="250"/>
      <c r="FF198" s="250"/>
      <c r="FG198" s="250"/>
      <c r="FH198" s="424"/>
      <c r="FI198" s="250"/>
      <c r="FJ198" s="250"/>
      <c r="FK198" s="250"/>
      <c r="FL198" s="256"/>
      <c r="FM198" s="250"/>
      <c r="FN198" s="256"/>
      <c r="FO198" s="250"/>
      <c r="FP198" s="256"/>
      <c r="FQ198" s="250"/>
      <c r="FR198" s="256"/>
      <c r="FS198" s="250"/>
      <c r="FT198" s="256"/>
      <c r="FU198" s="256"/>
      <c r="FV198" s="256"/>
      <c r="FW198" s="250"/>
      <c r="FX198" s="424"/>
      <c r="FY198" s="251"/>
      <c r="GC198" s="252"/>
      <c r="GF198" s="252"/>
      <c r="GG198" s="252"/>
      <c r="GH198" s="252"/>
      <c r="GI198" s="252"/>
      <c r="GJ198" s="252"/>
      <c r="GK198" s="251"/>
      <c r="GL198" s="250"/>
      <c r="GM198" s="250"/>
      <c r="GN198" s="250"/>
      <c r="GO198" s="250"/>
      <c r="GP198" s="250"/>
      <c r="GQ198" s="250"/>
      <c r="GR198" s="250"/>
      <c r="GS198" s="250"/>
      <c r="GT198" s="250"/>
      <c r="GU198" s="251"/>
      <c r="GV198" s="250"/>
      <c r="GW198" s="250"/>
      <c r="GX198" s="250"/>
      <c r="GY198" s="250"/>
      <c r="GZ198" s="250"/>
      <c r="HA198" s="250"/>
      <c r="HB198" s="250"/>
      <c r="HC198" s="250"/>
      <c r="HD198" s="250"/>
      <c r="HE198" s="250"/>
      <c r="HF198" s="250"/>
      <c r="HG198" s="250"/>
      <c r="HH198" s="251"/>
      <c r="HI198" s="424"/>
      <c r="HJ198" s="255"/>
      <c r="HK198" s="255"/>
      <c r="HL198" s="250"/>
      <c r="HM198" s="255"/>
      <c r="HN198" s="255"/>
      <c r="HO198" s="255"/>
      <c r="HP198" s="250"/>
      <c r="HQ198" s="250"/>
      <c r="HR198" s="250"/>
      <c r="HS198" s="250"/>
      <c r="HT198" s="250"/>
      <c r="HU198" s="251"/>
      <c r="HX198" s="252"/>
      <c r="HY198" s="252"/>
      <c r="HZ198" s="252"/>
      <c r="ID198" s="252"/>
      <c r="IE198" s="252"/>
      <c r="IF198" s="252"/>
      <c r="IJ198" s="252"/>
      <c r="IK198" s="252"/>
      <c r="IL198" s="252"/>
      <c r="IP198" s="252"/>
      <c r="IQ198" s="252"/>
      <c r="IR198" s="252"/>
      <c r="IY198" s="66"/>
      <c r="IZ198" s="66"/>
      <c r="JA198" s="66"/>
      <c r="JB198" s="250"/>
      <c r="JC198" s="66"/>
      <c r="JD198" s="66"/>
      <c r="JE198" s="66"/>
      <c r="JF198" s="66"/>
      <c r="JG198" s="66"/>
      <c r="JH198" s="66"/>
      <c r="JI198" s="66"/>
      <c r="JJ198" s="66"/>
      <c r="JK198" s="8"/>
      <c r="JN198" s="252"/>
      <c r="JO198" s="252"/>
      <c r="JP198" s="252"/>
      <c r="JT198" s="252"/>
      <c r="JU198" s="252"/>
      <c r="JV198" s="252"/>
      <c r="JZ198" s="252"/>
      <c r="KA198" s="252"/>
      <c r="KB198" s="252"/>
      <c r="KF198" s="252"/>
      <c r="KG198" s="252"/>
      <c r="KH198" s="252"/>
      <c r="KO198" s="66"/>
      <c r="KP198" s="66"/>
      <c r="KQ198" s="66"/>
      <c r="KR198" s="66"/>
      <c r="KS198" s="66"/>
      <c r="KT198" s="66"/>
      <c r="KU198" s="66"/>
      <c r="KV198" s="66"/>
      <c r="KW198" s="66"/>
      <c r="KX198" s="66"/>
      <c r="KY198" s="66"/>
      <c r="KZ198" s="66"/>
      <c r="LA198" s="8"/>
      <c r="LD198" s="252"/>
      <c r="LE198" s="252"/>
      <c r="LF198" s="252"/>
      <c r="LJ198" s="252"/>
      <c r="LK198" s="252"/>
      <c r="LN198" s="252"/>
      <c r="LO198" s="252"/>
      <c r="LP198" s="252"/>
      <c r="LT198" s="271"/>
      <c r="LU198" s="250"/>
      <c r="LV198" s="250"/>
      <c r="LW198" s="250"/>
      <c r="LX198" s="250"/>
      <c r="LY198" s="250"/>
      <c r="LZ198" s="250"/>
      <c r="MA198" s="250"/>
      <c r="MB198" s="250"/>
      <c r="MC198" s="250"/>
      <c r="MD198" s="250"/>
      <c r="ME198" s="250"/>
      <c r="MF198" s="250"/>
      <c r="MG198" s="250"/>
      <c r="MH198" s="250"/>
      <c r="MI198" s="250"/>
      <c r="MJ198" s="250"/>
      <c r="MK198" s="424"/>
      <c r="ML198" s="640"/>
      <c r="MM198" s="251"/>
      <c r="MN198" s="252"/>
      <c r="MO198" s="252"/>
      <c r="MP198" s="252"/>
      <c r="MQ198" s="252"/>
      <c r="MR198" s="252"/>
      <c r="MS198" s="252"/>
      <c r="MT198" s="252"/>
      <c r="MU198" s="252"/>
      <c r="MV198" s="252"/>
      <c r="MW198" s="252"/>
      <c r="MX198" s="252"/>
      <c r="MY198" s="252"/>
      <c r="MZ198" s="252"/>
      <c r="NA198" s="252"/>
      <c r="NB198" s="252"/>
      <c r="NC198" s="251"/>
      <c r="ND198" s="250"/>
      <c r="NE198" s="250"/>
      <c r="NF198" s="250"/>
      <c r="NG198" s="250"/>
      <c r="NH198" s="250"/>
      <c r="NI198" s="250"/>
      <c r="NJ198" s="250"/>
      <c r="NK198" s="250"/>
      <c r="NL198" s="250"/>
      <c r="NM198" s="250"/>
      <c r="NN198" s="250"/>
      <c r="NO198" s="250"/>
      <c r="NP198" s="250"/>
      <c r="NQ198" s="250"/>
      <c r="NR198" s="250"/>
      <c r="NS198" s="250"/>
      <c r="NT198" s="250"/>
      <c r="NU198" s="250"/>
      <c r="NV198" s="250"/>
      <c r="NW198" s="251"/>
      <c r="OT198" s="8"/>
      <c r="QG198" s="8"/>
      <c r="RT198" s="8"/>
    </row>
    <row r="199" spans="1:488" s="282" customFormat="1" x14ac:dyDescent="0.25">
      <c r="A199" s="66"/>
      <c r="B199" s="8"/>
      <c r="C199" s="66"/>
      <c r="D199" s="66"/>
      <c r="E199" s="66"/>
      <c r="F199" s="66"/>
      <c r="G199" s="66"/>
      <c r="H199" s="66"/>
      <c r="I199" s="66"/>
      <c r="J199" s="66"/>
      <c r="K199" s="66"/>
      <c r="L199" s="66"/>
      <c r="M199" s="66"/>
      <c r="N199" s="66"/>
      <c r="O199" s="66"/>
      <c r="P199" s="66"/>
      <c r="Q199" s="66"/>
      <c r="R199" s="66"/>
      <c r="S199" s="66"/>
      <c r="T199" s="68"/>
      <c r="AC199" s="66"/>
      <c r="AD199" s="66"/>
      <c r="AE199" s="68"/>
      <c r="AN199" s="66"/>
      <c r="AO199" s="66"/>
      <c r="AP199" s="68"/>
      <c r="AW199" s="66"/>
      <c r="AX199" s="68"/>
      <c r="BD199" s="66"/>
      <c r="BE199" s="68"/>
      <c r="BF199" s="66"/>
      <c r="BG199" s="66"/>
      <c r="BH199" s="66"/>
      <c r="BI199" s="66"/>
      <c r="BJ199" s="66"/>
      <c r="BK199" s="66"/>
      <c r="BL199" s="68"/>
      <c r="BO199" s="66"/>
      <c r="BP199" s="68"/>
      <c r="BV199" s="66"/>
      <c r="BW199" s="68"/>
      <c r="CB199" s="8"/>
      <c r="CH199" s="8"/>
      <c r="CK199" s="299"/>
      <c r="CL199" s="299"/>
      <c r="CM199" s="66"/>
      <c r="CN199" s="66"/>
      <c r="CO199" s="68"/>
      <c r="CR199" s="8"/>
      <c r="CX199" s="66"/>
      <c r="CY199" s="532"/>
      <c r="DE199" s="66"/>
      <c r="DF199" s="66"/>
      <c r="DG199" s="68"/>
      <c r="DH199" s="68"/>
      <c r="DK199" s="66"/>
      <c r="DL199" s="66"/>
      <c r="DM199" s="66"/>
      <c r="DN199" s="66"/>
      <c r="DO199" s="66"/>
      <c r="DP199" s="66"/>
      <c r="DQ199" s="66"/>
      <c r="DR199" s="66"/>
      <c r="DS199" s="66"/>
      <c r="DT199" s="68"/>
      <c r="DU199" s="66"/>
      <c r="DV199" s="296"/>
      <c r="DW199" s="330"/>
      <c r="DX199" s="631"/>
      <c r="DY199" s="631"/>
      <c r="DZ199" s="631"/>
      <c r="EA199" s="330"/>
      <c r="EC199" s="66"/>
      <c r="ED199" s="68"/>
      <c r="EH199" s="66"/>
      <c r="EI199" s="66"/>
      <c r="EJ199" s="68"/>
      <c r="EK199" s="252"/>
      <c r="EL199" s="252"/>
      <c r="EM199" s="252"/>
      <c r="EO199" s="252"/>
      <c r="EP199" s="252"/>
      <c r="EQ199" s="252"/>
      <c r="ES199" s="252"/>
      <c r="ET199" s="252"/>
      <c r="EU199" s="252"/>
      <c r="EW199" s="252"/>
      <c r="EX199" s="252"/>
      <c r="EY199" s="252"/>
      <c r="FA199" s="250"/>
      <c r="FB199" s="250"/>
      <c r="FC199" s="250"/>
      <c r="FD199" s="250"/>
      <c r="FE199" s="250"/>
      <c r="FF199" s="250"/>
      <c r="FG199" s="250"/>
      <c r="FH199" s="424"/>
      <c r="FI199" s="250"/>
      <c r="FJ199" s="250"/>
      <c r="FK199" s="250"/>
      <c r="FL199" s="256"/>
      <c r="FM199" s="250"/>
      <c r="FN199" s="256"/>
      <c r="FO199" s="250"/>
      <c r="FP199" s="256"/>
      <c r="FQ199" s="250"/>
      <c r="FR199" s="256"/>
      <c r="FS199" s="250"/>
      <c r="FT199" s="256"/>
      <c r="FU199" s="256"/>
      <c r="FV199" s="256"/>
      <c r="FW199" s="250"/>
      <c r="FX199" s="424"/>
      <c r="FY199" s="251"/>
      <c r="GC199" s="252"/>
      <c r="GF199" s="252"/>
      <c r="GG199" s="252"/>
      <c r="GH199" s="252"/>
      <c r="GI199" s="252"/>
      <c r="GJ199" s="252"/>
      <c r="GK199" s="251"/>
      <c r="GL199" s="250"/>
      <c r="GM199" s="250"/>
      <c r="GN199" s="250"/>
      <c r="GO199" s="250"/>
      <c r="GP199" s="250"/>
      <c r="GQ199" s="250"/>
      <c r="GR199" s="250"/>
      <c r="GS199" s="250"/>
      <c r="GT199" s="250"/>
      <c r="GU199" s="251"/>
      <c r="GV199" s="250"/>
      <c r="GW199" s="250"/>
      <c r="GX199" s="250"/>
      <c r="GY199" s="250"/>
      <c r="GZ199" s="250"/>
      <c r="HA199" s="250"/>
      <c r="HB199" s="250"/>
      <c r="HC199" s="250"/>
      <c r="HD199" s="250"/>
      <c r="HE199" s="250"/>
      <c r="HF199" s="250"/>
      <c r="HG199" s="250"/>
      <c r="HH199" s="251"/>
      <c r="HI199" s="424"/>
      <c r="HJ199" s="255"/>
      <c r="HK199" s="255"/>
      <c r="HL199" s="250"/>
      <c r="HM199" s="255"/>
      <c r="HN199" s="255"/>
      <c r="HO199" s="255"/>
      <c r="HP199" s="250"/>
      <c r="HQ199" s="250"/>
      <c r="HR199" s="250"/>
      <c r="HS199" s="250"/>
      <c r="HT199" s="250"/>
      <c r="HU199" s="251"/>
      <c r="HX199" s="252"/>
      <c r="HY199" s="252"/>
      <c r="HZ199" s="252"/>
      <c r="ID199" s="252"/>
      <c r="IE199" s="252"/>
      <c r="IF199" s="252"/>
      <c r="IJ199" s="252"/>
      <c r="IK199" s="252"/>
      <c r="IL199" s="252"/>
      <c r="IP199" s="252"/>
      <c r="IQ199" s="252"/>
      <c r="IR199" s="252"/>
      <c r="IY199" s="66"/>
      <c r="IZ199" s="66"/>
      <c r="JA199" s="66"/>
      <c r="JB199" s="250"/>
      <c r="JC199" s="66"/>
      <c r="JD199" s="66"/>
      <c r="JE199" s="66"/>
      <c r="JF199" s="66"/>
      <c r="JG199" s="66"/>
      <c r="JH199" s="66"/>
      <c r="JI199" s="66"/>
      <c r="JJ199" s="66"/>
      <c r="JK199" s="8"/>
      <c r="JN199" s="252"/>
      <c r="JO199" s="252"/>
      <c r="JP199" s="252"/>
      <c r="JT199" s="252"/>
      <c r="JU199" s="252"/>
      <c r="JV199" s="252"/>
      <c r="JZ199" s="252"/>
      <c r="KA199" s="252"/>
      <c r="KB199" s="252"/>
      <c r="KF199" s="252"/>
      <c r="KG199" s="252"/>
      <c r="KH199" s="252"/>
      <c r="KO199" s="66"/>
      <c r="KP199" s="66"/>
      <c r="KQ199" s="66"/>
      <c r="KR199" s="66"/>
      <c r="KS199" s="66"/>
      <c r="KT199" s="66"/>
      <c r="KU199" s="66"/>
      <c r="KV199" s="66"/>
      <c r="KW199" s="66"/>
      <c r="KX199" s="66"/>
      <c r="KY199" s="66"/>
      <c r="KZ199" s="66"/>
      <c r="LA199" s="8"/>
      <c r="LD199" s="252"/>
      <c r="LE199" s="252"/>
      <c r="LF199" s="252"/>
      <c r="LJ199" s="252"/>
      <c r="LK199" s="252"/>
      <c r="LN199" s="252"/>
      <c r="LO199" s="252"/>
      <c r="LP199" s="252"/>
      <c r="LT199" s="271"/>
      <c r="LU199" s="250"/>
      <c r="LV199" s="250"/>
      <c r="LW199" s="250"/>
      <c r="LX199" s="250"/>
      <c r="LY199" s="250"/>
      <c r="LZ199" s="250"/>
      <c r="MA199" s="250"/>
      <c r="MB199" s="250"/>
      <c r="MC199" s="250"/>
      <c r="MD199" s="250"/>
      <c r="ME199" s="250"/>
      <c r="MF199" s="250"/>
      <c r="MG199" s="250"/>
      <c r="MH199" s="250"/>
      <c r="MI199" s="250"/>
      <c r="MJ199" s="250"/>
      <c r="MK199" s="424"/>
      <c r="ML199" s="640"/>
      <c r="MM199" s="251"/>
      <c r="MN199" s="252"/>
      <c r="MO199" s="252"/>
      <c r="MP199" s="252"/>
      <c r="MQ199" s="252"/>
      <c r="MR199" s="252"/>
      <c r="MS199" s="252"/>
      <c r="MT199" s="252"/>
      <c r="MU199" s="252"/>
      <c r="MV199" s="252"/>
      <c r="MW199" s="252"/>
      <c r="MX199" s="252"/>
      <c r="MY199" s="252"/>
      <c r="MZ199" s="252"/>
      <c r="NA199" s="252"/>
      <c r="NB199" s="252"/>
      <c r="NC199" s="251"/>
      <c r="ND199" s="250"/>
      <c r="NE199" s="250"/>
      <c r="NF199" s="250"/>
      <c r="NG199" s="250"/>
      <c r="NH199" s="250"/>
      <c r="NI199" s="250"/>
      <c r="NJ199" s="250"/>
      <c r="NK199" s="250"/>
      <c r="NL199" s="250"/>
      <c r="NM199" s="250"/>
      <c r="NN199" s="250"/>
      <c r="NO199" s="250"/>
      <c r="NP199" s="250"/>
      <c r="NQ199" s="250"/>
      <c r="NR199" s="250"/>
      <c r="NS199" s="250"/>
      <c r="NT199" s="250"/>
      <c r="NU199" s="250"/>
      <c r="NV199" s="250"/>
      <c r="NW199" s="251"/>
      <c r="OT199" s="8"/>
      <c r="QG199" s="8"/>
      <c r="RT199" s="8"/>
    </row>
    <row r="200" spans="1:488" s="282" customFormat="1" x14ac:dyDescent="0.25">
      <c r="A200" s="66"/>
      <c r="B200" s="8"/>
      <c r="C200" s="66"/>
      <c r="D200" s="66"/>
      <c r="E200" s="66"/>
      <c r="F200" s="66"/>
      <c r="G200" s="66"/>
      <c r="H200" s="66"/>
      <c r="I200" s="66"/>
      <c r="J200" s="66"/>
      <c r="K200" s="66"/>
      <c r="L200" s="66"/>
      <c r="M200" s="66"/>
      <c r="N200" s="66"/>
      <c r="O200" s="66"/>
      <c r="P200" s="66"/>
      <c r="Q200" s="66"/>
      <c r="R200" s="66"/>
      <c r="S200" s="66"/>
      <c r="T200" s="68"/>
      <c r="AC200" s="66"/>
      <c r="AD200" s="66"/>
      <c r="AE200" s="68"/>
      <c r="AN200" s="66"/>
      <c r="AO200" s="66"/>
      <c r="AP200" s="68"/>
      <c r="AW200" s="66"/>
      <c r="AX200" s="68"/>
      <c r="BD200" s="66"/>
      <c r="BE200" s="68"/>
      <c r="BF200" s="66"/>
      <c r="BG200" s="66"/>
      <c r="BH200" s="66"/>
      <c r="BI200" s="66"/>
      <c r="BJ200" s="66"/>
      <c r="BK200" s="66"/>
      <c r="BL200" s="68"/>
      <c r="BO200" s="66"/>
      <c r="BP200" s="68"/>
      <c r="BV200" s="66"/>
      <c r="BW200" s="68"/>
      <c r="CB200" s="8"/>
      <c r="CH200" s="8"/>
      <c r="CK200" s="299"/>
      <c r="CL200" s="299"/>
      <c r="CM200" s="66"/>
      <c r="CN200" s="66"/>
      <c r="CO200" s="68"/>
      <c r="CR200" s="8"/>
      <c r="CX200" s="66"/>
      <c r="CY200" s="532"/>
      <c r="DE200" s="66"/>
      <c r="DF200" s="66"/>
      <c r="DG200" s="68"/>
      <c r="DH200" s="68"/>
      <c r="DK200" s="66"/>
      <c r="DL200" s="66"/>
      <c r="DM200" s="66"/>
      <c r="DN200" s="66"/>
      <c r="DO200" s="66"/>
      <c r="DP200" s="66"/>
      <c r="DQ200" s="66"/>
      <c r="DR200" s="66"/>
      <c r="DS200" s="66"/>
      <c r="DT200" s="68"/>
      <c r="DU200" s="66"/>
      <c r="DV200" s="296"/>
      <c r="DW200" s="330"/>
      <c r="DX200" s="631"/>
      <c r="DY200" s="631"/>
      <c r="DZ200" s="631"/>
      <c r="EA200" s="330"/>
      <c r="EC200" s="66"/>
      <c r="ED200" s="68"/>
      <c r="EH200" s="66"/>
      <c r="EI200" s="66"/>
      <c r="EJ200" s="68"/>
      <c r="EK200" s="252"/>
      <c r="EL200" s="252"/>
      <c r="EM200" s="252"/>
      <c r="EO200" s="252"/>
      <c r="EP200" s="252"/>
      <c r="EQ200" s="252"/>
      <c r="ES200" s="252"/>
      <c r="ET200" s="252"/>
      <c r="EU200" s="252"/>
      <c r="EW200" s="252"/>
      <c r="EX200" s="252"/>
      <c r="EY200" s="252"/>
      <c r="FA200" s="250"/>
      <c r="FB200" s="250"/>
      <c r="FC200" s="250"/>
      <c r="FD200" s="250"/>
      <c r="FE200" s="250"/>
      <c r="FF200" s="250"/>
      <c r="FG200" s="250"/>
      <c r="FH200" s="424"/>
      <c r="FI200" s="250"/>
      <c r="FJ200" s="250"/>
      <c r="FK200" s="250"/>
      <c r="FL200" s="256"/>
      <c r="FM200" s="250"/>
      <c r="FN200" s="256"/>
      <c r="FO200" s="250"/>
      <c r="FP200" s="256"/>
      <c r="FQ200" s="250"/>
      <c r="FR200" s="256"/>
      <c r="FS200" s="250"/>
      <c r="FT200" s="256"/>
      <c r="FU200" s="256"/>
      <c r="FV200" s="256"/>
      <c r="FW200" s="250"/>
      <c r="FX200" s="424"/>
      <c r="FY200" s="251"/>
      <c r="GC200" s="252"/>
      <c r="GF200" s="252"/>
      <c r="GG200" s="252"/>
      <c r="GH200" s="252"/>
      <c r="GI200" s="252"/>
      <c r="GJ200" s="252"/>
      <c r="GK200" s="251"/>
      <c r="GL200" s="250"/>
      <c r="GM200" s="250"/>
      <c r="GN200" s="250"/>
      <c r="GO200" s="250"/>
      <c r="GP200" s="250"/>
      <c r="GQ200" s="250"/>
      <c r="GR200" s="250"/>
      <c r="GS200" s="250"/>
      <c r="GT200" s="250"/>
      <c r="GU200" s="251"/>
      <c r="GV200" s="250"/>
      <c r="GW200" s="250"/>
      <c r="GX200" s="250"/>
      <c r="GY200" s="250"/>
      <c r="GZ200" s="250"/>
      <c r="HA200" s="250"/>
      <c r="HB200" s="250"/>
      <c r="HC200" s="250"/>
      <c r="HD200" s="250"/>
      <c r="HE200" s="250"/>
      <c r="HF200" s="250"/>
      <c r="HG200" s="250"/>
      <c r="HH200" s="251"/>
      <c r="HI200" s="424"/>
      <c r="HJ200" s="255"/>
      <c r="HK200" s="255"/>
      <c r="HL200" s="250"/>
      <c r="HM200" s="255"/>
      <c r="HN200" s="255"/>
      <c r="HO200" s="255"/>
      <c r="HP200" s="250"/>
      <c r="HQ200" s="250"/>
      <c r="HR200" s="250"/>
      <c r="HS200" s="250"/>
      <c r="HT200" s="250"/>
      <c r="HU200" s="251"/>
      <c r="HX200" s="252"/>
      <c r="HY200" s="252"/>
      <c r="HZ200" s="252"/>
      <c r="ID200" s="252"/>
      <c r="IE200" s="252"/>
      <c r="IF200" s="252"/>
      <c r="IJ200" s="252"/>
      <c r="IK200" s="252"/>
      <c r="IL200" s="252"/>
      <c r="IP200" s="252"/>
      <c r="IQ200" s="252"/>
      <c r="IR200" s="252"/>
      <c r="IY200" s="66"/>
      <c r="IZ200" s="66"/>
      <c r="JA200" s="66"/>
      <c r="JB200" s="250"/>
      <c r="JC200" s="66"/>
      <c r="JD200" s="66"/>
      <c r="JE200" s="66"/>
      <c r="JF200" s="66"/>
      <c r="JG200" s="66"/>
      <c r="JH200" s="66"/>
      <c r="JI200" s="66"/>
      <c r="JJ200" s="66"/>
      <c r="JK200" s="8"/>
      <c r="JN200" s="252"/>
      <c r="JO200" s="252"/>
      <c r="JP200" s="252"/>
      <c r="JT200" s="252"/>
      <c r="JU200" s="252"/>
      <c r="JV200" s="252"/>
      <c r="JZ200" s="252"/>
      <c r="KA200" s="252"/>
      <c r="KB200" s="252"/>
      <c r="KF200" s="252"/>
      <c r="KG200" s="252"/>
      <c r="KH200" s="252"/>
      <c r="KO200" s="66"/>
      <c r="KP200" s="66"/>
      <c r="KQ200" s="66"/>
      <c r="KR200" s="66"/>
      <c r="KS200" s="66"/>
      <c r="KT200" s="66"/>
      <c r="KU200" s="66"/>
      <c r="KV200" s="66"/>
      <c r="KW200" s="66"/>
      <c r="KX200" s="66"/>
      <c r="KY200" s="66"/>
      <c r="KZ200" s="66"/>
      <c r="LA200" s="8"/>
      <c r="LD200" s="252"/>
      <c r="LE200" s="252"/>
      <c r="LF200" s="252"/>
      <c r="LJ200" s="252"/>
      <c r="LK200" s="252"/>
      <c r="LN200" s="252"/>
      <c r="LO200" s="252"/>
      <c r="LP200" s="252"/>
      <c r="LT200" s="271"/>
      <c r="LU200" s="250"/>
      <c r="LV200" s="250"/>
      <c r="LW200" s="250"/>
      <c r="LX200" s="250"/>
      <c r="LY200" s="250"/>
      <c r="LZ200" s="250"/>
      <c r="MA200" s="250"/>
      <c r="MB200" s="250"/>
      <c r="MC200" s="250"/>
      <c r="MD200" s="250"/>
      <c r="ME200" s="250"/>
      <c r="MF200" s="250"/>
      <c r="MG200" s="250"/>
      <c r="MH200" s="250"/>
      <c r="MI200" s="250"/>
      <c r="MJ200" s="250"/>
      <c r="MK200" s="424"/>
      <c r="ML200" s="640"/>
      <c r="MM200" s="251"/>
      <c r="MN200" s="252"/>
      <c r="MO200" s="252"/>
      <c r="MP200" s="252"/>
      <c r="MQ200" s="252"/>
      <c r="MR200" s="252"/>
      <c r="MS200" s="252"/>
      <c r="MT200" s="252"/>
      <c r="MU200" s="252"/>
      <c r="MV200" s="252"/>
      <c r="MW200" s="252"/>
      <c r="MX200" s="252"/>
      <c r="MY200" s="252"/>
      <c r="MZ200" s="252"/>
      <c r="NA200" s="252"/>
      <c r="NB200" s="252"/>
      <c r="NC200" s="251"/>
      <c r="ND200" s="250"/>
      <c r="NE200" s="250"/>
      <c r="NF200" s="250"/>
      <c r="NG200" s="250"/>
      <c r="NH200" s="250"/>
      <c r="NI200" s="250"/>
      <c r="NJ200" s="250"/>
      <c r="NK200" s="250"/>
      <c r="NL200" s="250"/>
      <c r="NM200" s="250"/>
      <c r="NN200" s="250"/>
      <c r="NO200" s="250"/>
      <c r="NP200" s="250"/>
      <c r="NQ200" s="250"/>
      <c r="NR200" s="250"/>
      <c r="NS200" s="250"/>
      <c r="NT200" s="250"/>
      <c r="NU200" s="250"/>
      <c r="NV200" s="250"/>
      <c r="NW200" s="251"/>
      <c r="OT200" s="8"/>
      <c r="QG200" s="8"/>
      <c r="RT200" s="8"/>
    </row>
    <row r="201" spans="1:488" s="282" customFormat="1" x14ac:dyDescent="0.25">
      <c r="A201" s="66"/>
      <c r="B201" s="8"/>
      <c r="C201" s="66"/>
      <c r="D201" s="66"/>
      <c r="E201" s="66"/>
      <c r="F201" s="66"/>
      <c r="G201" s="66"/>
      <c r="H201" s="66"/>
      <c r="I201" s="66"/>
      <c r="J201" s="66"/>
      <c r="K201" s="66"/>
      <c r="L201" s="66"/>
      <c r="M201" s="66"/>
      <c r="N201" s="66"/>
      <c r="O201" s="66"/>
      <c r="P201" s="66"/>
      <c r="Q201" s="66"/>
      <c r="R201" s="66"/>
      <c r="S201" s="66"/>
      <c r="T201" s="68"/>
      <c r="AC201" s="66"/>
      <c r="AD201" s="66"/>
      <c r="AE201" s="68"/>
      <c r="AN201" s="66"/>
      <c r="AO201" s="66"/>
      <c r="AP201" s="68"/>
      <c r="AW201" s="66"/>
      <c r="AX201" s="68"/>
      <c r="BD201" s="66"/>
      <c r="BE201" s="68"/>
      <c r="BF201" s="66"/>
      <c r="BG201" s="66"/>
      <c r="BH201" s="66"/>
      <c r="BI201" s="66"/>
      <c r="BJ201" s="66"/>
      <c r="BK201" s="66"/>
      <c r="BL201" s="68"/>
      <c r="BO201" s="66"/>
      <c r="BP201" s="68"/>
      <c r="BV201" s="66"/>
      <c r="BW201" s="68"/>
      <c r="CB201" s="8"/>
      <c r="CH201" s="8"/>
      <c r="CK201" s="299"/>
      <c r="CL201" s="299"/>
      <c r="CM201" s="66"/>
      <c r="CN201" s="66"/>
      <c r="CO201" s="68"/>
      <c r="CR201" s="8"/>
      <c r="CX201" s="66"/>
      <c r="CY201" s="532"/>
      <c r="DE201" s="66"/>
      <c r="DF201" s="66"/>
      <c r="DG201" s="68"/>
      <c r="DH201" s="68"/>
      <c r="DK201" s="66"/>
      <c r="DL201" s="66"/>
      <c r="DM201" s="66"/>
      <c r="DN201" s="66"/>
      <c r="DO201" s="66"/>
      <c r="DP201" s="66"/>
      <c r="DQ201" s="66"/>
      <c r="DR201" s="66"/>
      <c r="DS201" s="66"/>
      <c r="DT201" s="68"/>
      <c r="DU201" s="66"/>
      <c r="DV201" s="296"/>
      <c r="DW201" s="330"/>
      <c r="DX201" s="631"/>
      <c r="DY201" s="631"/>
      <c r="DZ201" s="631"/>
      <c r="EA201" s="330"/>
      <c r="EC201" s="66"/>
      <c r="ED201" s="68"/>
      <c r="EH201" s="66"/>
      <c r="EI201" s="66"/>
      <c r="EJ201" s="68"/>
      <c r="EK201" s="252"/>
      <c r="EL201" s="252"/>
      <c r="EM201" s="252"/>
      <c r="EO201" s="252"/>
      <c r="EP201" s="252"/>
      <c r="EQ201" s="252"/>
      <c r="ES201" s="252"/>
      <c r="ET201" s="252"/>
      <c r="EU201" s="252"/>
      <c r="EW201" s="252"/>
      <c r="EX201" s="252"/>
      <c r="EY201" s="252"/>
      <c r="FA201" s="250"/>
      <c r="FB201" s="250"/>
      <c r="FC201" s="250"/>
      <c r="FD201" s="250"/>
      <c r="FE201" s="250"/>
      <c r="FF201" s="250"/>
      <c r="FG201" s="250"/>
      <c r="FH201" s="424"/>
      <c r="FI201" s="250"/>
      <c r="FJ201" s="250"/>
      <c r="FK201" s="250"/>
      <c r="FL201" s="256"/>
      <c r="FM201" s="250"/>
      <c r="FN201" s="256"/>
      <c r="FO201" s="250"/>
      <c r="FP201" s="256"/>
      <c r="FQ201" s="250"/>
      <c r="FR201" s="256"/>
      <c r="FS201" s="250"/>
      <c r="FT201" s="256"/>
      <c r="FU201" s="256"/>
      <c r="FV201" s="256"/>
      <c r="FW201" s="250"/>
      <c r="FX201" s="424"/>
      <c r="FY201" s="251"/>
      <c r="GC201" s="252"/>
      <c r="GF201" s="252"/>
      <c r="GG201" s="252"/>
      <c r="GH201" s="252"/>
      <c r="GI201" s="252"/>
      <c r="GJ201" s="252"/>
      <c r="GK201" s="251"/>
      <c r="GL201" s="250"/>
      <c r="GM201" s="250"/>
      <c r="GN201" s="250"/>
      <c r="GO201" s="250"/>
      <c r="GP201" s="250"/>
      <c r="GQ201" s="250"/>
      <c r="GR201" s="250"/>
      <c r="GS201" s="250"/>
      <c r="GT201" s="250"/>
      <c r="GU201" s="251"/>
      <c r="GV201" s="250"/>
      <c r="GW201" s="250"/>
      <c r="GX201" s="250"/>
      <c r="GY201" s="250"/>
      <c r="GZ201" s="250"/>
      <c r="HA201" s="250"/>
      <c r="HB201" s="250"/>
      <c r="HC201" s="250"/>
      <c r="HD201" s="250"/>
      <c r="HE201" s="250"/>
      <c r="HF201" s="250"/>
      <c r="HG201" s="250"/>
      <c r="HH201" s="251"/>
      <c r="HI201" s="424"/>
      <c r="HJ201" s="255"/>
      <c r="HK201" s="255"/>
      <c r="HL201" s="250"/>
      <c r="HM201" s="255"/>
      <c r="HN201" s="255"/>
      <c r="HO201" s="255"/>
      <c r="HP201" s="250"/>
      <c r="HQ201" s="250"/>
      <c r="HR201" s="250"/>
      <c r="HS201" s="250"/>
      <c r="HT201" s="250"/>
      <c r="HU201" s="251"/>
      <c r="HX201" s="252"/>
      <c r="HY201" s="252"/>
      <c r="HZ201" s="252"/>
      <c r="ID201" s="252"/>
      <c r="IE201" s="252"/>
      <c r="IF201" s="252"/>
      <c r="IJ201" s="252"/>
      <c r="IK201" s="252"/>
      <c r="IL201" s="252"/>
      <c r="IP201" s="252"/>
      <c r="IQ201" s="252"/>
      <c r="IR201" s="252"/>
      <c r="IY201" s="66"/>
      <c r="IZ201" s="66"/>
      <c r="JA201" s="66"/>
      <c r="JB201" s="250"/>
      <c r="JC201" s="66"/>
      <c r="JD201" s="66"/>
      <c r="JE201" s="66"/>
      <c r="JF201" s="66"/>
      <c r="JG201" s="66"/>
      <c r="JH201" s="66"/>
      <c r="JI201" s="66"/>
      <c r="JJ201" s="66"/>
      <c r="JK201" s="8"/>
      <c r="JN201" s="252"/>
      <c r="JO201" s="252"/>
      <c r="JP201" s="252"/>
      <c r="JT201" s="252"/>
      <c r="JU201" s="252"/>
      <c r="JV201" s="252"/>
      <c r="JZ201" s="252"/>
      <c r="KA201" s="252"/>
      <c r="KB201" s="252"/>
      <c r="KF201" s="252"/>
      <c r="KG201" s="252"/>
      <c r="KH201" s="252"/>
      <c r="KO201" s="66"/>
      <c r="KP201" s="66"/>
      <c r="KQ201" s="66"/>
      <c r="KR201" s="66"/>
      <c r="KS201" s="66"/>
      <c r="KT201" s="66"/>
      <c r="KU201" s="66"/>
      <c r="KV201" s="66"/>
      <c r="KW201" s="66"/>
      <c r="KX201" s="66"/>
      <c r="KY201" s="66"/>
      <c r="KZ201" s="66"/>
      <c r="LA201" s="8"/>
      <c r="LD201" s="252"/>
      <c r="LE201" s="252"/>
      <c r="LF201" s="252"/>
      <c r="LJ201" s="252"/>
      <c r="LK201" s="252"/>
      <c r="LN201" s="252"/>
      <c r="LO201" s="252"/>
      <c r="LP201" s="252"/>
      <c r="LT201" s="271"/>
      <c r="LU201" s="250"/>
      <c r="LV201" s="250"/>
      <c r="LW201" s="250"/>
      <c r="LX201" s="250"/>
      <c r="LY201" s="250"/>
      <c r="LZ201" s="250"/>
      <c r="MA201" s="250"/>
      <c r="MB201" s="250"/>
      <c r="MC201" s="250"/>
      <c r="MD201" s="250"/>
      <c r="ME201" s="250"/>
      <c r="MF201" s="250"/>
      <c r="MG201" s="250"/>
      <c r="MH201" s="250"/>
      <c r="MI201" s="250"/>
      <c r="MJ201" s="250"/>
      <c r="MK201" s="424"/>
      <c r="ML201" s="640"/>
      <c r="MM201" s="251"/>
      <c r="MN201" s="252"/>
      <c r="MO201" s="252"/>
      <c r="MP201" s="252"/>
      <c r="MQ201" s="252"/>
      <c r="MR201" s="252"/>
      <c r="MS201" s="252"/>
      <c r="MT201" s="252"/>
      <c r="MU201" s="252"/>
      <c r="MV201" s="252"/>
      <c r="MW201" s="252"/>
      <c r="MX201" s="252"/>
      <c r="MY201" s="252"/>
      <c r="MZ201" s="252"/>
      <c r="NA201" s="252"/>
      <c r="NB201" s="252"/>
      <c r="NC201" s="251"/>
      <c r="ND201" s="250"/>
      <c r="NE201" s="250"/>
      <c r="NF201" s="250"/>
      <c r="NG201" s="250"/>
      <c r="NH201" s="250"/>
      <c r="NI201" s="250"/>
      <c r="NJ201" s="250"/>
      <c r="NK201" s="250"/>
      <c r="NL201" s="250"/>
      <c r="NM201" s="250"/>
      <c r="NN201" s="250"/>
      <c r="NO201" s="250"/>
      <c r="NP201" s="250"/>
      <c r="NQ201" s="250"/>
      <c r="NR201" s="250"/>
      <c r="NS201" s="250"/>
      <c r="NT201" s="250"/>
      <c r="NU201" s="250"/>
      <c r="NV201" s="250"/>
      <c r="NW201" s="251"/>
      <c r="OT201" s="8"/>
      <c r="QG201" s="8"/>
      <c r="RT201" s="8"/>
    </row>
    <row r="202" spans="1:488" s="282" customFormat="1" x14ac:dyDescent="0.25">
      <c r="A202" s="66"/>
      <c r="B202" s="8"/>
      <c r="C202" s="66"/>
      <c r="D202" s="66"/>
      <c r="E202" s="66"/>
      <c r="F202" s="66"/>
      <c r="G202" s="66"/>
      <c r="H202" s="66"/>
      <c r="I202" s="66"/>
      <c r="J202" s="66"/>
      <c r="K202" s="66"/>
      <c r="L202" s="66"/>
      <c r="M202" s="66"/>
      <c r="N202" s="66"/>
      <c r="O202" s="66"/>
      <c r="P202" s="66"/>
      <c r="Q202" s="66"/>
      <c r="R202" s="66"/>
      <c r="S202" s="66"/>
      <c r="T202" s="68"/>
      <c r="AC202" s="66"/>
      <c r="AD202" s="66"/>
      <c r="AE202" s="68"/>
      <c r="AN202" s="66"/>
      <c r="AO202" s="66"/>
      <c r="AP202" s="68"/>
      <c r="AW202" s="66"/>
      <c r="AX202" s="68"/>
      <c r="BD202" s="66"/>
      <c r="BE202" s="68"/>
      <c r="BF202" s="66"/>
      <c r="BG202" s="66"/>
      <c r="BH202" s="66"/>
      <c r="BI202" s="66"/>
      <c r="BJ202" s="66"/>
      <c r="BK202" s="66"/>
      <c r="BL202" s="68"/>
      <c r="BO202" s="66"/>
      <c r="BP202" s="68"/>
      <c r="BV202" s="66"/>
      <c r="BW202" s="68"/>
      <c r="CB202" s="8"/>
      <c r="CH202" s="8"/>
      <c r="CK202" s="299"/>
      <c r="CL202" s="299"/>
      <c r="CM202" s="66"/>
      <c r="CN202" s="66"/>
      <c r="CO202" s="68"/>
      <c r="CR202" s="8"/>
      <c r="CX202" s="66"/>
      <c r="CY202" s="532"/>
      <c r="DE202" s="66"/>
      <c r="DF202" s="66"/>
      <c r="DG202" s="68"/>
      <c r="DH202" s="68"/>
      <c r="DK202" s="66"/>
      <c r="DL202" s="66"/>
      <c r="DM202" s="66"/>
      <c r="DN202" s="66"/>
      <c r="DO202" s="66"/>
      <c r="DP202" s="66"/>
      <c r="DQ202" s="66"/>
      <c r="DR202" s="66"/>
      <c r="DS202" s="66"/>
      <c r="DT202" s="68"/>
      <c r="DU202" s="66"/>
      <c r="DV202" s="296"/>
      <c r="DW202" s="330"/>
      <c r="DX202" s="631"/>
      <c r="DY202" s="631"/>
      <c r="DZ202" s="631"/>
      <c r="EA202" s="330"/>
      <c r="EC202" s="66"/>
      <c r="ED202" s="68"/>
      <c r="EH202" s="66"/>
      <c r="EI202" s="66"/>
      <c r="EJ202" s="68"/>
      <c r="EK202" s="252"/>
      <c r="EL202" s="252"/>
      <c r="EM202" s="252"/>
      <c r="EO202" s="252"/>
      <c r="EP202" s="252"/>
      <c r="EQ202" s="252"/>
      <c r="ES202" s="252"/>
      <c r="ET202" s="252"/>
      <c r="EU202" s="252"/>
      <c r="EW202" s="252"/>
      <c r="EX202" s="252"/>
      <c r="EY202" s="252"/>
      <c r="FA202" s="250"/>
      <c r="FB202" s="250"/>
      <c r="FC202" s="250"/>
      <c r="FD202" s="250"/>
      <c r="FE202" s="250"/>
      <c r="FF202" s="250"/>
      <c r="FG202" s="250"/>
      <c r="FH202" s="424"/>
      <c r="FI202" s="250"/>
      <c r="FJ202" s="250"/>
      <c r="FK202" s="250"/>
      <c r="FL202" s="256"/>
      <c r="FM202" s="250"/>
      <c r="FN202" s="256"/>
      <c r="FO202" s="250"/>
      <c r="FP202" s="256"/>
      <c r="FQ202" s="250"/>
      <c r="FR202" s="256"/>
      <c r="FS202" s="250"/>
      <c r="FT202" s="256"/>
      <c r="FU202" s="256"/>
      <c r="FV202" s="256"/>
      <c r="FW202" s="250"/>
      <c r="FX202" s="424"/>
      <c r="FY202" s="251"/>
      <c r="GC202" s="252"/>
      <c r="GF202" s="252"/>
      <c r="GG202" s="252"/>
      <c r="GH202" s="252"/>
      <c r="GI202" s="252"/>
      <c r="GJ202" s="252"/>
      <c r="GK202" s="251"/>
      <c r="GL202" s="250"/>
      <c r="GM202" s="250"/>
      <c r="GN202" s="250"/>
      <c r="GO202" s="250"/>
      <c r="GP202" s="250"/>
      <c r="GQ202" s="250"/>
      <c r="GR202" s="250"/>
      <c r="GS202" s="250"/>
      <c r="GT202" s="250"/>
      <c r="GU202" s="251"/>
      <c r="GV202" s="250"/>
      <c r="GW202" s="250"/>
      <c r="GX202" s="250"/>
      <c r="GY202" s="250"/>
      <c r="GZ202" s="250"/>
      <c r="HA202" s="250"/>
      <c r="HB202" s="250"/>
      <c r="HC202" s="250"/>
      <c r="HD202" s="250"/>
      <c r="HE202" s="250"/>
      <c r="HF202" s="250"/>
      <c r="HG202" s="250"/>
      <c r="HH202" s="251"/>
      <c r="HI202" s="424"/>
      <c r="HJ202" s="255"/>
      <c r="HK202" s="255"/>
      <c r="HL202" s="250"/>
      <c r="HM202" s="255"/>
      <c r="HN202" s="255"/>
      <c r="HO202" s="255"/>
      <c r="HP202" s="250"/>
      <c r="HQ202" s="250"/>
      <c r="HR202" s="250"/>
      <c r="HS202" s="250"/>
      <c r="HT202" s="250"/>
      <c r="HU202" s="251"/>
      <c r="HX202" s="252"/>
      <c r="HY202" s="252"/>
      <c r="HZ202" s="252"/>
      <c r="ID202" s="252"/>
      <c r="IE202" s="252"/>
      <c r="IF202" s="252"/>
      <c r="IJ202" s="252"/>
      <c r="IK202" s="252"/>
      <c r="IL202" s="252"/>
      <c r="IP202" s="252"/>
      <c r="IQ202" s="252"/>
      <c r="IR202" s="252"/>
      <c r="IY202" s="66"/>
      <c r="IZ202" s="66"/>
      <c r="JA202" s="66"/>
      <c r="JB202" s="250"/>
      <c r="JC202" s="66"/>
      <c r="JD202" s="66"/>
      <c r="JE202" s="66"/>
      <c r="JF202" s="66"/>
      <c r="JG202" s="66"/>
      <c r="JH202" s="66"/>
      <c r="JI202" s="66"/>
      <c r="JJ202" s="66"/>
      <c r="JK202" s="8"/>
      <c r="JN202" s="252"/>
      <c r="JO202" s="252"/>
      <c r="JP202" s="252"/>
      <c r="JT202" s="252"/>
      <c r="JU202" s="252"/>
      <c r="JV202" s="252"/>
      <c r="JZ202" s="252"/>
      <c r="KA202" s="252"/>
      <c r="KB202" s="252"/>
      <c r="KF202" s="252"/>
      <c r="KG202" s="252"/>
      <c r="KH202" s="252"/>
      <c r="KO202" s="66"/>
      <c r="KP202" s="66"/>
      <c r="KQ202" s="66"/>
      <c r="KR202" s="66"/>
      <c r="KS202" s="66"/>
      <c r="KT202" s="66"/>
      <c r="KU202" s="66"/>
      <c r="KV202" s="66"/>
      <c r="KW202" s="66"/>
      <c r="KX202" s="66"/>
      <c r="KY202" s="66"/>
      <c r="KZ202" s="66"/>
      <c r="LA202" s="8"/>
      <c r="LD202" s="252"/>
      <c r="LE202" s="252"/>
      <c r="LF202" s="252"/>
      <c r="LJ202" s="252"/>
      <c r="LK202" s="252"/>
      <c r="LN202" s="252"/>
      <c r="LO202" s="252"/>
      <c r="LP202" s="252"/>
      <c r="LT202" s="271"/>
      <c r="LU202" s="250"/>
      <c r="LV202" s="250"/>
      <c r="LW202" s="250"/>
      <c r="LX202" s="250"/>
      <c r="LY202" s="250"/>
      <c r="LZ202" s="250"/>
      <c r="MA202" s="250"/>
      <c r="MB202" s="250"/>
      <c r="MC202" s="250"/>
      <c r="MD202" s="250"/>
      <c r="ME202" s="250"/>
      <c r="MF202" s="250"/>
      <c r="MG202" s="250"/>
      <c r="MH202" s="250"/>
      <c r="MI202" s="250"/>
      <c r="MJ202" s="250"/>
      <c r="MK202" s="424"/>
      <c r="ML202" s="640"/>
      <c r="MM202" s="251"/>
      <c r="MN202" s="252"/>
      <c r="MO202" s="252"/>
      <c r="MP202" s="252"/>
      <c r="MQ202" s="252"/>
      <c r="MR202" s="252"/>
      <c r="MS202" s="252"/>
      <c r="MT202" s="252"/>
      <c r="MU202" s="252"/>
      <c r="MV202" s="252"/>
      <c r="MW202" s="252"/>
      <c r="MX202" s="252"/>
      <c r="MY202" s="252"/>
      <c r="MZ202" s="252"/>
      <c r="NA202" s="252"/>
      <c r="NB202" s="252"/>
      <c r="NC202" s="251"/>
      <c r="ND202" s="250"/>
      <c r="NE202" s="250"/>
      <c r="NF202" s="250"/>
      <c r="NG202" s="250"/>
      <c r="NH202" s="250"/>
      <c r="NI202" s="250"/>
      <c r="NJ202" s="250"/>
      <c r="NK202" s="250"/>
      <c r="NL202" s="250"/>
      <c r="NM202" s="250"/>
      <c r="NN202" s="250"/>
      <c r="NO202" s="250"/>
      <c r="NP202" s="250"/>
      <c r="NQ202" s="250"/>
      <c r="NR202" s="250"/>
      <c r="NS202" s="250"/>
      <c r="NT202" s="250"/>
      <c r="NU202" s="250"/>
      <c r="NV202" s="250"/>
      <c r="NW202" s="251"/>
      <c r="OT202" s="8"/>
      <c r="QG202" s="8"/>
      <c r="RT202" s="8"/>
    </row>
    <row r="203" spans="1:488" s="282" customFormat="1" x14ac:dyDescent="0.25">
      <c r="A203" s="66"/>
      <c r="B203" s="8"/>
      <c r="C203" s="66"/>
      <c r="D203" s="66"/>
      <c r="E203" s="66"/>
      <c r="F203" s="66"/>
      <c r="G203" s="66"/>
      <c r="H203" s="66"/>
      <c r="I203" s="66"/>
      <c r="J203" s="66"/>
      <c r="K203" s="66"/>
      <c r="L203" s="66"/>
      <c r="M203" s="66"/>
      <c r="N203" s="66"/>
      <c r="O203" s="66"/>
      <c r="P203" s="66"/>
      <c r="Q203" s="66"/>
      <c r="R203" s="66"/>
      <c r="S203" s="66"/>
      <c r="T203" s="68"/>
      <c r="AC203" s="66"/>
      <c r="AD203" s="66"/>
      <c r="AE203" s="68"/>
      <c r="AN203" s="66"/>
      <c r="AO203" s="66"/>
      <c r="AP203" s="68"/>
      <c r="AW203" s="66"/>
      <c r="AX203" s="68"/>
      <c r="BD203" s="66"/>
      <c r="BE203" s="68"/>
      <c r="BF203" s="66"/>
      <c r="BG203" s="66"/>
      <c r="BH203" s="66"/>
      <c r="BI203" s="66"/>
      <c r="BJ203" s="66"/>
      <c r="BK203" s="66"/>
      <c r="BL203" s="68"/>
      <c r="BO203" s="66"/>
      <c r="BP203" s="68"/>
      <c r="BV203" s="66"/>
      <c r="BW203" s="68"/>
      <c r="CB203" s="8"/>
      <c r="CH203" s="8"/>
      <c r="CK203" s="299"/>
      <c r="CL203" s="299"/>
      <c r="CM203" s="66"/>
      <c r="CN203" s="66"/>
      <c r="CO203" s="68"/>
      <c r="CR203" s="8"/>
      <c r="CX203" s="66"/>
      <c r="CY203" s="532"/>
      <c r="DE203" s="66"/>
      <c r="DF203" s="66"/>
      <c r="DG203" s="68"/>
      <c r="DH203" s="68"/>
      <c r="DK203" s="66"/>
      <c r="DL203" s="66"/>
      <c r="DM203" s="66"/>
      <c r="DN203" s="66"/>
      <c r="DO203" s="66"/>
      <c r="DP203" s="66"/>
      <c r="DQ203" s="66"/>
      <c r="DR203" s="66"/>
      <c r="DS203" s="66"/>
      <c r="DT203" s="68"/>
      <c r="DU203" s="66"/>
      <c r="DV203" s="296"/>
      <c r="DW203" s="330"/>
      <c r="DX203" s="631"/>
      <c r="DY203" s="631"/>
      <c r="DZ203" s="631"/>
      <c r="EA203" s="330"/>
      <c r="EC203" s="66"/>
      <c r="ED203" s="68"/>
      <c r="EH203" s="66"/>
      <c r="EI203" s="66"/>
      <c r="EJ203" s="68"/>
      <c r="EK203" s="252"/>
      <c r="EL203" s="252"/>
      <c r="EM203" s="252"/>
      <c r="EO203" s="252"/>
      <c r="EP203" s="252"/>
      <c r="EQ203" s="252"/>
      <c r="ES203" s="252"/>
      <c r="ET203" s="252"/>
      <c r="EU203" s="252"/>
      <c r="EW203" s="252"/>
      <c r="EX203" s="252"/>
      <c r="EY203" s="252"/>
      <c r="FA203" s="250"/>
      <c r="FB203" s="250"/>
      <c r="FC203" s="250"/>
      <c r="FD203" s="250"/>
      <c r="FE203" s="250"/>
      <c r="FF203" s="250"/>
      <c r="FG203" s="250"/>
      <c r="FH203" s="424"/>
      <c r="FI203" s="250"/>
      <c r="FJ203" s="250"/>
      <c r="FK203" s="250"/>
      <c r="FL203" s="256"/>
      <c r="FM203" s="250"/>
      <c r="FN203" s="256"/>
      <c r="FO203" s="250"/>
      <c r="FP203" s="256"/>
      <c r="FQ203" s="250"/>
      <c r="FR203" s="256"/>
      <c r="FS203" s="250"/>
      <c r="FT203" s="256"/>
      <c r="FU203" s="256"/>
      <c r="FV203" s="256"/>
      <c r="FW203" s="250"/>
      <c r="FX203" s="424"/>
      <c r="FY203" s="251"/>
      <c r="GC203" s="252"/>
      <c r="GF203" s="252"/>
      <c r="GG203" s="252"/>
      <c r="GH203" s="252"/>
      <c r="GI203" s="252"/>
      <c r="GJ203" s="252"/>
      <c r="GK203" s="251"/>
      <c r="GL203" s="250"/>
      <c r="GM203" s="250"/>
      <c r="GN203" s="250"/>
      <c r="GO203" s="250"/>
      <c r="GP203" s="250"/>
      <c r="GQ203" s="250"/>
      <c r="GR203" s="250"/>
      <c r="GS203" s="250"/>
      <c r="GT203" s="250"/>
      <c r="GU203" s="251"/>
      <c r="GV203" s="250"/>
      <c r="GW203" s="250"/>
      <c r="GX203" s="250"/>
      <c r="GY203" s="250"/>
      <c r="GZ203" s="250"/>
      <c r="HA203" s="250"/>
      <c r="HB203" s="250"/>
      <c r="HC203" s="250"/>
      <c r="HD203" s="250"/>
      <c r="HE203" s="250"/>
      <c r="HF203" s="250"/>
      <c r="HG203" s="250"/>
      <c r="HH203" s="251"/>
      <c r="HI203" s="424"/>
      <c r="HJ203" s="255"/>
      <c r="HK203" s="255"/>
      <c r="HL203" s="250"/>
      <c r="HM203" s="255"/>
      <c r="HN203" s="255"/>
      <c r="HO203" s="255"/>
      <c r="HP203" s="250"/>
      <c r="HQ203" s="250"/>
      <c r="HR203" s="250"/>
      <c r="HS203" s="250"/>
      <c r="HT203" s="250"/>
      <c r="HU203" s="251"/>
      <c r="HX203" s="252"/>
      <c r="HY203" s="252"/>
      <c r="HZ203" s="252"/>
      <c r="ID203" s="252"/>
      <c r="IE203" s="252"/>
      <c r="IF203" s="252"/>
      <c r="IJ203" s="252"/>
      <c r="IK203" s="252"/>
      <c r="IL203" s="252"/>
      <c r="IP203" s="252"/>
      <c r="IQ203" s="252"/>
      <c r="IR203" s="252"/>
      <c r="IY203" s="66"/>
      <c r="IZ203" s="66"/>
      <c r="JA203" s="66"/>
      <c r="JB203" s="250"/>
      <c r="JC203" s="66"/>
      <c r="JD203" s="66"/>
      <c r="JE203" s="66"/>
      <c r="JF203" s="66"/>
      <c r="JG203" s="66"/>
      <c r="JH203" s="66"/>
      <c r="JI203" s="66"/>
      <c r="JJ203" s="66"/>
      <c r="JK203" s="8"/>
      <c r="JN203" s="252"/>
      <c r="JO203" s="252"/>
      <c r="JP203" s="252"/>
      <c r="JT203" s="252"/>
      <c r="JU203" s="252"/>
      <c r="JV203" s="252"/>
      <c r="JZ203" s="252"/>
      <c r="KA203" s="252"/>
      <c r="KB203" s="252"/>
      <c r="KF203" s="252"/>
      <c r="KG203" s="252"/>
      <c r="KH203" s="252"/>
      <c r="KO203" s="66"/>
      <c r="KP203" s="66"/>
      <c r="KQ203" s="66"/>
      <c r="KR203" s="66"/>
      <c r="KS203" s="66"/>
      <c r="KT203" s="66"/>
      <c r="KU203" s="66"/>
      <c r="KV203" s="66"/>
      <c r="KW203" s="66"/>
      <c r="KX203" s="66"/>
      <c r="KY203" s="66"/>
      <c r="KZ203" s="66"/>
      <c r="LA203" s="8"/>
      <c r="LD203" s="252"/>
      <c r="LE203" s="252"/>
      <c r="LF203" s="252"/>
      <c r="LJ203" s="252"/>
      <c r="LK203" s="252"/>
      <c r="LN203" s="252"/>
      <c r="LO203" s="252"/>
      <c r="LP203" s="252"/>
      <c r="LT203" s="271"/>
      <c r="LU203" s="250"/>
      <c r="LV203" s="250"/>
      <c r="LW203" s="250"/>
      <c r="LX203" s="250"/>
      <c r="LY203" s="250"/>
      <c r="LZ203" s="250"/>
      <c r="MA203" s="250"/>
      <c r="MB203" s="250"/>
      <c r="MC203" s="250"/>
      <c r="MD203" s="250"/>
      <c r="ME203" s="250"/>
      <c r="MF203" s="250"/>
      <c r="MG203" s="250"/>
      <c r="MH203" s="250"/>
      <c r="MI203" s="250"/>
      <c r="MJ203" s="250"/>
      <c r="MK203" s="424"/>
      <c r="ML203" s="640"/>
      <c r="MM203" s="251"/>
      <c r="MN203" s="252"/>
      <c r="MO203" s="252"/>
      <c r="MP203" s="252"/>
      <c r="MQ203" s="252"/>
      <c r="MR203" s="252"/>
      <c r="MS203" s="252"/>
      <c r="MT203" s="252"/>
      <c r="MU203" s="252"/>
      <c r="MV203" s="252"/>
      <c r="MW203" s="252"/>
      <c r="MX203" s="252"/>
      <c r="MY203" s="252"/>
      <c r="MZ203" s="252"/>
      <c r="NA203" s="252"/>
      <c r="NB203" s="252"/>
      <c r="NC203" s="251"/>
      <c r="ND203" s="250"/>
      <c r="NE203" s="250"/>
      <c r="NF203" s="250"/>
      <c r="NG203" s="250"/>
      <c r="NH203" s="250"/>
      <c r="NI203" s="250"/>
      <c r="NJ203" s="250"/>
      <c r="NK203" s="250"/>
      <c r="NL203" s="250"/>
      <c r="NM203" s="250"/>
      <c r="NN203" s="250"/>
      <c r="NO203" s="250"/>
      <c r="NP203" s="250"/>
      <c r="NQ203" s="250"/>
      <c r="NR203" s="250"/>
      <c r="NS203" s="250"/>
      <c r="NT203" s="250"/>
      <c r="NU203" s="250"/>
      <c r="NV203" s="250"/>
      <c r="NW203" s="251"/>
      <c r="OT203" s="8"/>
      <c r="QG203" s="8"/>
      <c r="RT203" s="8"/>
    </row>
    <row r="204" spans="1:488" s="282" customFormat="1" x14ac:dyDescent="0.25">
      <c r="A204" s="66"/>
      <c r="B204" s="8"/>
      <c r="C204" s="66"/>
      <c r="D204" s="66"/>
      <c r="E204" s="66"/>
      <c r="F204" s="66"/>
      <c r="G204" s="66"/>
      <c r="H204" s="66"/>
      <c r="I204" s="66"/>
      <c r="J204" s="66"/>
      <c r="K204" s="66"/>
      <c r="L204" s="66"/>
      <c r="M204" s="66"/>
      <c r="N204" s="66"/>
      <c r="O204" s="66"/>
      <c r="P204" s="66"/>
      <c r="Q204" s="66"/>
      <c r="R204" s="66"/>
      <c r="S204" s="66"/>
      <c r="T204" s="68"/>
      <c r="AC204" s="66"/>
      <c r="AD204" s="66"/>
      <c r="AE204" s="68"/>
      <c r="AN204" s="66"/>
      <c r="AO204" s="66"/>
      <c r="AP204" s="68"/>
      <c r="AW204" s="66"/>
      <c r="AX204" s="68"/>
      <c r="BD204" s="66"/>
      <c r="BE204" s="68"/>
      <c r="BF204" s="66"/>
      <c r="BG204" s="66"/>
      <c r="BH204" s="66"/>
      <c r="BI204" s="66"/>
      <c r="BJ204" s="66"/>
      <c r="BK204" s="66"/>
      <c r="BL204" s="68"/>
      <c r="BO204" s="66"/>
      <c r="BP204" s="68"/>
      <c r="BV204" s="66"/>
      <c r="BW204" s="68"/>
      <c r="CB204" s="8"/>
      <c r="CH204" s="8"/>
      <c r="CK204" s="299"/>
      <c r="CL204" s="299"/>
      <c r="CM204" s="66"/>
      <c r="CN204" s="66"/>
      <c r="CO204" s="68"/>
      <c r="CR204" s="8"/>
      <c r="CX204" s="66"/>
      <c r="CY204" s="532"/>
      <c r="DE204" s="66"/>
      <c r="DF204" s="66"/>
      <c r="DG204" s="68"/>
      <c r="DH204" s="68"/>
      <c r="DK204" s="66"/>
      <c r="DL204" s="66"/>
      <c r="DM204" s="66"/>
      <c r="DN204" s="66"/>
      <c r="DO204" s="66"/>
      <c r="DP204" s="66"/>
      <c r="DQ204" s="66"/>
      <c r="DR204" s="66"/>
      <c r="DS204" s="66"/>
      <c r="DT204" s="68"/>
      <c r="DU204" s="66"/>
      <c r="DV204" s="296"/>
      <c r="DW204" s="330"/>
      <c r="DX204" s="631"/>
      <c r="DY204" s="631"/>
      <c r="DZ204" s="631"/>
      <c r="EA204" s="330"/>
      <c r="EC204" s="66"/>
      <c r="ED204" s="68"/>
      <c r="EH204" s="66"/>
      <c r="EI204" s="66"/>
      <c r="EJ204" s="68"/>
      <c r="EK204" s="252"/>
      <c r="EL204" s="252"/>
      <c r="EM204" s="252"/>
      <c r="EO204" s="252"/>
      <c r="EP204" s="252"/>
      <c r="EQ204" s="252"/>
      <c r="ES204" s="252"/>
      <c r="ET204" s="252"/>
      <c r="EU204" s="252"/>
      <c r="EW204" s="252"/>
      <c r="EX204" s="252"/>
      <c r="EY204" s="252"/>
      <c r="FA204" s="250"/>
      <c r="FB204" s="250"/>
      <c r="FC204" s="250"/>
      <c r="FD204" s="250"/>
      <c r="FE204" s="250"/>
      <c r="FF204" s="250"/>
      <c r="FG204" s="250"/>
      <c r="FH204" s="424"/>
      <c r="FI204" s="250"/>
      <c r="FJ204" s="250"/>
      <c r="FK204" s="250"/>
      <c r="FL204" s="256"/>
      <c r="FM204" s="250"/>
      <c r="FN204" s="256"/>
      <c r="FO204" s="250"/>
      <c r="FP204" s="256"/>
      <c r="FQ204" s="250"/>
      <c r="FR204" s="256"/>
      <c r="FS204" s="250"/>
      <c r="FT204" s="256"/>
      <c r="FU204" s="256"/>
      <c r="FV204" s="256"/>
      <c r="FW204" s="250"/>
      <c r="FX204" s="424"/>
      <c r="FY204" s="251"/>
      <c r="GC204" s="252"/>
      <c r="GF204" s="252"/>
      <c r="GG204" s="252"/>
      <c r="GH204" s="252"/>
      <c r="GI204" s="252"/>
      <c r="GJ204" s="252"/>
      <c r="GK204" s="251"/>
      <c r="GL204" s="250"/>
      <c r="GM204" s="250"/>
      <c r="GN204" s="250"/>
      <c r="GO204" s="250"/>
      <c r="GP204" s="250"/>
      <c r="GQ204" s="250"/>
      <c r="GR204" s="250"/>
      <c r="GS204" s="250"/>
      <c r="GT204" s="250"/>
      <c r="GU204" s="251"/>
      <c r="GV204" s="250"/>
      <c r="GW204" s="250"/>
      <c r="GX204" s="250"/>
      <c r="GY204" s="250"/>
      <c r="GZ204" s="250"/>
      <c r="HA204" s="250"/>
      <c r="HB204" s="250"/>
      <c r="HC204" s="250"/>
      <c r="HD204" s="250"/>
      <c r="HE204" s="250"/>
      <c r="HF204" s="250"/>
      <c r="HG204" s="250"/>
      <c r="HH204" s="251"/>
      <c r="HI204" s="424"/>
      <c r="HJ204" s="255"/>
      <c r="HK204" s="255"/>
      <c r="HL204" s="250"/>
      <c r="HM204" s="255"/>
      <c r="HN204" s="255"/>
      <c r="HO204" s="255"/>
      <c r="HP204" s="250"/>
      <c r="HQ204" s="250"/>
      <c r="HR204" s="250"/>
      <c r="HS204" s="250"/>
      <c r="HT204" s="250"/>
      <c r="HU204" s="251"/>
      <c r="HX204" s="252"/>
      <c r="HY204" s="252"/>
      <c r="HZ204" s="252"/>
      <c r="ID204" s="252"/>
      <c r="IE204" s="252"/>
      <c r="IF204" s="252"/>
      <c r="IJ204" s="252"/>
      <c r="IK204" s="252"/>
      <c r="IL204" s="252"/>
      <c r="IP204" s="252"/>
      <c r="IQ204" s="252"/>
      <c r="IR204" s="252"/>
      <c r="IY204" s="66"/>
      <c r="IZ204" s="66"/>
      <c r="JA204" s="66"/>
      <c r="JB204" s="250"/>
      <c r="JC204" s="66"/>
      <c r="JD204" s="66"/>
      <c r="JE204" s="66"/>
      <c r="JF204" s="66"/>
      <c r="JG204" s="66"/>
      <c r="JH204" s="66"/>
      <c r="JI204" s="66"/>
      <c r="JJ204" s="66"/>
      <c r="JK204" s="8"/>
      <c r="JN204" s="252"/>
      <c r="JO204" s="252"/>
      <c r="JP204" s="252"/>
      <c r="JT204" s="252"/>
      <c r="JU204" s="252"/>
      <c r="JV204" s="252"/>
      <c r="JZ204" s="252"/>
      <c r="KA204" s="252"/>
      <c r="KB204" s="252"/>
      <c r="KF204" s="252"/>
      <c r="KG204" s="252"/>
      <c r="KH204" s="252"/>
      <c r="KO204" s="66"/>
      <c r="KP204" s="66"/>
      <c r="KQ204" s="66"/>
      <c r="KR204" s="66"/>
      <c r="KS204" s="66"/>
      <c r="KT204" s="66"/>
      <c r="KU204" s="66"/>
      <c r="KV204" s="66"/>
      <c r="KW204" s="66"/>
      <c r="KX204" s="66"/>
      <c r="KY204" s="66"/>
      <c r="KZ204" s="66"/>
      <c r="LA204" s="8"/>
      <c r="LD204" s="252"/>
      <c r="LE204" s="252"/>
      <c r="LF204" s="252"/>
      <c r="LJ204" s="252"/>
      <c r="LK204" s="252"/>
      <c r="LN204" s="252"/>
      <c r="LO204" s="252"/>
      <c r="LP204" s="252"/>
      <c r="LT204" s="271"/>
      <c r="LU204" s="250"/>
      <c r="LV204" s="250"/>
      <c r="LW204" s="250"/>
      <c r="LX204" s="250"/>
      <c r="LY204" s="250"/>
      <c r="LZ204" s="250"/>
      <c r="MA204" s="250"/>
      <c r="MB204" s="250"/>
      <c r="MC204" s="250"/>
      <c r="MD204" s="250"/>
      <c r="ME204" s="250"/>
      <c r="MF204" s="250"/>
      <c r="MG204" s="250"/>
      <c r="MH204" s="250"/>
      <c r="MI204" s="250"/>
      <c r="MJ204" s="250"/>
      <c r="MK204" s="424"/>
      <c r="ML204" s="640"/>
      <c r="MM204" s="251"/>
      <c r="MN204" s="252"/>
      <c r="MO204" s="252"/>
      <c r="MP204" s="252"/>
      <c r="MQ204" s="252"/>
      <c r="MR204" s="252"/>
      <c r="MS204" s="252"/>
      <c r="MT204" s="252"/>
      <c r="MU204" s="252"/>
      <c r="MV204" s="252"/>
      <c r="MW204" s="252"/>
      <c r="MX204" s="252"/>
      <c r="MY204" s="252"/>
      <c r="MZ204" s="252"/>
      <c r="NA204" s="252"/>
      <c r="NB204" s="252"/>
      <c r="NC204" s="251"/>
      <c r="ND204" s="250"/>
      <c r="NE204" s="250"/>
      <c r="NF204" s="250"/>
      <c r="NG204" s="250"/>
      <c r="NH204" s="250"/>
      <c r="NI204" s="250"/>
      <c r="NJ204" s="250"/>
      <c r="NK204" s="250"/>
      <c r="NL204" s="250"/>
      <c r="NM204" s="250"/>
      <c r="NN204" s="250"/>
      <c r="NO204" s="250"/>
      <c r="NP204" s="250"/>
      <c r="NQ204" s="250"/>
      <c r="NR204" s="250"/>
      <c r="NS204" s="250"/>
      <c r="NT204" s="250"/>
      <c r="NU204" s="250"/>
      <c r="NV204" s="250"/>
      <c r="NW204" s="251"/>
      <c r="OT204" s="8"/>
      <c r="QG204" s="8"/>
      <c r="RT204" s="8"/>
    </row>
    <row r="205" spans="1:488" s="282" customFormat="1" x14ac:dyDescent="0.25">
      <c r="A205" s="66"/>
      <c r="B205" s="8"/>
      <c r="C205" s="66"/>
      <c r="D205" s="66"/>
      <c r="E205" s="66"/>
      <c r="F205" s="66"/>
      <c r="G205" s="66"/>
      <c r="H205" s="66"/>
      <c r="I205" s="66"/>
      <c r="J205" s="66"/>
      <c r="K205" s="66"/>
      <c r="L205" s="66"/>
      <c r="M205" s="66"/>
      <c r="N205" s="66"/>
      <c r="O205" s="66"/>
      <c r="P205" s="66"/>
      <c r="Q205" s="66"/>
      <c r="R205" s="66"/>
      <c r="S205" s="66"/>
      <c r="T205" s="68"/>
      <c r="AC205" s="66"/>
      <c r="AD205" s="66"/>
      <c r="AE205" s="68"/>
      <c r="AN205" s="66"/>
      <c r="AO205" s="66"/>
      <c r="AP205" s="68"/>
      <c r="AW205" s="66"/>
      <c r="AX205" s="68"/>
      <c r="BD205" s="66"/>
      <c r="BE205" s="68"/>
      <c r="BF205" s="66"/>
      <c r="BG205" s="66"/>
      <c r="BH205" s="66"/>
      <c r="BI205" s="66"/>
      <c r="BJ205" s="66"/>
      <c r="BK205" s="66"/>
      <c r="BL205" s="68"/>
      <c r="BO205" s="66"/>
      <c r="BP205" s="68"/>
      <c r="BV205" s="66"/>
      <c r="BW205" s="68"/>
      <c r="CB205" s="8"/>
      <c r="CH205" s="8"/>
      <c r="CK205" s="299"/>
      <c r="CL205" s="299"/>
      <c r="CM205" s="66"/>
      <c r="CN205" s="66"/>
      <c r="CO205" s="68"/>
      <c r="CR205" s="8"/>
      <c r="CX205" s="66"/>
      <c r="CY205" s="532"/>
      <c r="DE205" s="66"/>
      <c r="DF205" s="66"/>
      <c r="DG205" s="68"/>
      <c r="DH205" s="68"/>
      <c r="DK205" s="66"/>
      <c r="DL205" s="66"/>
      <c r="DM205" s="66"/>
      <c r="DN205" s="66"/>
      <c r="DO205" s="66"/>
      <c r="DP205" s="66"/>
      <c r="DQ205" s="66"/>
      <c r="DR205" s="66"/>
      <c r="DS205" s="66"/>
      <c r="DT205" s="68"/>
      <c r="DU205" s="66"/>
      <c r="DV205" s="296"/>
      <c r="DW205" s="330"/>
      <c r="DX205" s="631"/>
      <c r="DY205" s="631"/>
      <c r="DZ205" s="631"/>
      <c r="EA205" s="330"/>
      <c r="EC205" s="66"/>
      <c r="ED205" s="68"/>
      <c r="EH205" s="66"/>
      <c r="EI205" s="66"/>
      <c r="EJ205" s="68"/>
      <c r="EK205" s="252"/>
      <c r="EL205" s="252"/>
      <c r="EM205" s="252"/>
      <c r="EO205" s="252"/>
      <c r="EP205" s="252"/>
      <c r="EQ205" s="252"/>
      <c r="ES205" s="252"/>
      <c r="ET205" s="252"/>
      <c r="EU205" s="252"/>
      <c r="EW205" s="252"/>
      <c r="EX205" s="252"/>
      <c r="EY205" s="252"/>
      <c r="FA205" s="250"/>
      <c r="FB205" s="250"/>
      <c r="FC205" s="250"/>
      <c r="FD205" s="250"/>
      <c r="FE205" s="250"/>
      <c r="FF205" s="250"/>
      <c r="FG205" s="250"/>
      <c r="FH205" s="424"/>
      <c r="FI205" s="250"/>
      <c r="FJ205" s="250"/>
      <c r="FK205" s="250"/>
      <c r="FL205" s="256"/>
      <c r="FM205" s="250"/>
      <c r="FN205" s="256"/>
      <c r="FO205" s="250"/>
      <c r="FP205" s="256"/>
      <c r="FQ205" s="250"/>
      <c r="FR205" s="256"/>
      <c r="FS205" s="250"/>
      <c r="FT205" s="256"/>
      <c r="FU205" s="256"/>
      <c r="FV205" s="256"/>
      <c r="FW205" s="250"/>
      <c r="FX205" s="424"/>
      <c r="FY205" s="251"/>
      <c r="GC205" s="252"/>
      <c r="GF205" s="252"/>
      <c r="GG205" s="252"/>
      <c r="GH205" s="252"/>
      <c r="GI205" s="252"/>
      <c r="GJ205" s="252"/>
      <c r="GK205" s="251"/>
      <c r="GL205" s="250"/>
      <c r="GM205" s="250"/>
      <c r="GN205" s="250"/>
      <c r="GO205" s="250"/>
      <c r="GP205" s="250"/>
      <c r="GQ205" s="250"/>
      <c r="GR205" s="250"/>
      <c r="GS205" s="250"/>
      <c r="GT205" s="250"/>
      <c r="GU205" s="251"/>
      <c r="GV205" s="250"/>
      <c r="GW205" s="250"/>
      <c r="GX205" s="250"/>
      <c r="GY205" s="250"/>
      <c r="GZ205" s="250"/>
      <c r="HA205" s="250"/>
      <c r="HB205" s="250"/>
      <c r="HC205" s="250"/>
      <c r="HD205" s="250"/>
      <c r="HE205" s="250"/>
      <c r="HF205" s="250"/>
      <c r="HG205" s="250"/>
      <c r="HH205" s="251"/>
      <c r="HI205" s="424"/>
      <c r="HJ205" s="255"/>
      <c r="HK205" s="255"/>
      <c r="HL205" s="250"/>
      <c r="HM205" s="255"/>
      <c r="HN205" s="255"/>
      <c r="HO205" s="255"/>
      <c r="HP205" s="250"/>
      <c r="HQ205" s="250"/>
      <c r="HR205" s="250"/>
      <c r="HS205" s="250"/>
      <c r="HT205" s="250"/>
      <c r="HU205" s="251"/>
      <c r="HX205" s="252"/>
      <c r="HY205" s="252"/>
      <c r="HZ205" s="252"/>
      <c r="ID205" s="252"/>
      <c r="IE205" s="252"/>
      <c r="IF205" s="252"/>
      <c r="IJ205" s="252"/>
      <c r="IK205" s="252"/>
      <c r="IL205" s="252"/>
      <c r="IP205" s="252"/>
      <c r="IQ205" s="252"/>
      <c r="IR205" s="252"/>
      <c r="IY205" s="66"/>
      <c r="IZ205" s="66"/>
      <c r="JA205" s="66"/>
      <c r="JB205" s="250"/>
      <c r="JC205" s="66"/>
      <c r="JD205" s="66"/>
      <c r="JE205" s="66"/>
      <c r="JF205" s="66"/>
      <c r="JG205" s="66"/>
      <c r="JH205" s="66"/>
      <c r="JI205" s="66"/>
      <c r="JJ205" s="66"/>
      <c r="JK205" s="8"/>
      <c r="JN205" s="252"/>
      <c r="JO205" s="252"/>
      <c r="JP205" s="252"/>
      <c r="JT205" s="252"/>
      <c r="JU205" s="252"/>
      <c r="JV205" s="252"/>
      <c r="JZ205" s="252"/>
      <c r="KA205" s="252"/>
      <c r="KB205" s="252"/>
      <c r="KF205" s="252"/>
      <c r="KG205" s="252"/>
      <c r="KH205" s="252"/>
      <c r="KO205" s="66"/>
      <c r="KP205" s="66"/>
      <c r="KQ205" s="66"/>
      <c r="KR205" s="66"/>
      <c r="KS205" s="66"/>
      <c r="KT205" s="66"/>
      <c r="KU205" s="66"/>
      <c r="KV205" s="66"/>
      <c r="KW205" s="66"/>
      <c r="KX205" s="66"/>
      <c r="KY205" s="66"/>
      <c r="KZ205" s="66"/>
      <c r="LA205" s="8"/>
      <c r="LD205" s="252"/>
      <c r="LE205" s="252"/>
      <c r="LF205" s="252"/>
      <c r="LJ205" s="252"/>
      <c r="LK205" s="252"/>
      <c r="LN205" s="252"/>
      <c r="LO205" s="252"/>
      <c r="LP205" s="252"/>
      <c r="LT205" s="271"/>
      <c r="LU205" s="250"/>
      <c r="LV205" s="250"/>
      <c r="LW205" s="250"/>
      <c r="LX205" s="250"/>
      <c r="LY205" s="250"/>
      <c r="LZ205" s="250"/>
      <c r="MA205" s="250"/>
      <c r="MB205" s="250"/>
      <c r="MC205" s="250"/>
      <c r="MD205" s="250"/>
      <c r="ME205" s="250"/>
      <c r="MF205" s="250"/>
      <c r="MG205" s="250"/>
      <c r="MH205" s="250"/>
      <c r="MI205" s="250"/>
      <c r="MJ205" s="250"/>
      <c r="MK205" s="424"/>
      <c r="ML205" s="640"/>
      <c r="MM205" s="251"/>
      <c r="MN205" s="252"/>
      <c r="MO205" s="252"/>
      <c r="MP205" s="252"/>
      <c r="MQ205" s="252"/>
      <c r="MR205" s="252"/>
      <c r="MS205" s="252"/>
      <c r="MT205" s="252"/>
      <c r="MU205" s="252"/>
      <c r="MV205" s="252"/>
      <c r="MW205" s="252"/>
      <c r="MX205" s="252"/>
      <c r="MY205" s="252"/>
      <c r="MZ205" s="252"/>
      <c r="NA205" s="252"/>
      <c r="NB205" s="252"/>
      <c r="NC205" s="251"/>
      <c r="ND205" s="250"/>
      <c r="NE205" s="250"/>
      <c r="NF205" s="250"/>
      <c r="NG205" s="250"/>
      <c r="NH205" s="250"/>
      <c r="NI205" s="250"/>
      <c r="NJ205" s="250"/>
      <c r="NK205" s="250"/>
      <c r="NL205" s="250"/>
      <c r="NM205" s="250"/>
      <c r="NN205" s="250"/>
      <c r="NO205" s="250"/>
      <c r="NP205" s="250"/>
      <c r="NQ205" s="250"/>
      <c r="NR205" s="250"/>
      <c r="NS205" s="250"/>
      <c r="NT205" s="250"/>
      <c r="NU205" s="250"/>
      <c r="NV205" s="250"/>
      <c r="NW205" s="251"/>
      <c r="OT205" s="8"/>
      <c r="QG205" s="8"/>
      <c r="RT205" s="8"/>
    </row>
    <row r="206" spans="1:488" s="282" customFormat="1" x14ac:dyDescent="0.25">
      <c r="A206" s="66"/>
      <c r="B206" s="8"/>
      <c r="C206" s="66"/>
      <c r="D206" s="66"/>
      <c r="E206" s="66"/>
      <c r="F206" s="66"/>
      <c r="G206" s="66"/>
      <c r="H206" s="66"/>
      <c r="I206" s="66"/>
      <c r="J206" s="66"/>
      <c r="K206" s="66"/>
      <c r="L206" s="66"/>
      <c r="M206" s="66"/>
      <c r="N206" s="66"/>
      <c r="O206" s="66"/>
      <c r="P206" s="66"/>
      <c r="Q206" s="66"/>
      <c r="R206" s="66"/>
      <c r="S206" s="66"/>
      <c r="T206" s="68"/>
      <c r="AC206" s="66"/>
      <c r="AD206" s="66"/>
      <c r="AE206" s="68"/>
      <c r="AN206" s="66"/>
      <c r="AO206" s="66"/>
      <c r="AP206" s="68"/>
      <c r="AW206" s="66"/>
      <c r="AX206" s="68"/>
      <c r="BD206" s="66"/>
      <c r="BE206" s="68"/>
      <c r="BF206" s="66"/>
      <c r="BG206" s="66"/>
      <c r="BH206" s="66"/>
      <c r="BI206" s="66"/>
      <c r="BJ206" s="66"/>
      <c r="BK206" s="66"/>
      <c r="BL206" s="68"/>
      <c r="BO206" s="66"/>
      <c r="BP206" s="68"/>
      <c r="BV206" s="66"/>
      <c r="BW206" s="68"/>
      <c r="CB206" s="8"/>
      <c r="CH206" s="8"/>
      <c r="CK206" s="299"/>
      <c r="CL206" s="299"/>
      <c r="CM206" s="66"/>
      <c r="CN206" s="66"/>
      <c r="CO206" s="68"/>
      <c r="CR206" s="8"/>
      <c r="CX206" s="66"/>
      <c r="CY206" s="532"/>
      <c r="DE206" s="66"/>
      <c r="DF206" s="66"/>
      <c r="DG206" s="68"/>
      <c r="DH206" s="68"/>
      <c r="DK206" s="66"/>
      <c r="DL206" s="66"/>
      <c r="DM206" s="66"/>
      <c r="DN206" s="66"/>
      <c r="DO206" s="66"/>
      <c r="DP206" s="66"/>
      <c r="DQ206" s="66"/>
      <c r="DR206" s="66"/>
      <c r="DS206" s="66"/>
      <c r="DT206" s="68"/>
      <c r="DU206" s="66"/>
      <c r="DV206" s="296"/>
      <c r="DW206" s="330"/>
      <c r="DX206" s="631"/>
      <c r="DY206" s="631"/>
      <c r="DZ206" s="631"/>
      <c r="EA206" s="330"/>
      <c r="EC206" s="66"/>
      <c r="ED206" s="68"/>
      <c r="EH206" s="66"/>
      <c r="EI206" s="66"/>
      <c r="EJ206" s="68"/>
      <c r="EK206" s="252"/>
      <c r="EL206" s="252"/>
      <c r="EM206" s="252"/>
      <c r="EO206" s="252"/>
      <c r="EP206" s="252"/>
      <c r="EQ206" s="252"/>
      <c r="ES206" s="252"/>
      <c r="ET206" s="252"/>
      <c r="EU206" s="252"/>
      <c r="EW206" s="252"/>
      <c r="EX206" s="252"/>
      <c r="EY206" s="252"/>
      <c r="FA206" s="250"/>
      <c r="FB206" s="250"/>
      <c r="FC206" s="250"/>
      <c r="FD206" s="250"/>
      <c r="FE206" s="250"/>
      <c r="FF206" s="250"/>
      <c r="FG206" s="250"/>
      <c r="FH206" s="424"/>
      <c r="FI206" s="250"/>
      <c r="FJ206" s="250"/>
      <c r="FK206" s="250"/>
      <c r="FL206" s="256"/>
      <c r="FM206" s="250"/>
      <c r="FN206" s="256"/>
      <c r="FO206" s="250"/>
      <c r="FP206" s="256"/>
      <c r="FQ206" s="250"/>
      <c r="FR206" s="256"/>
      <c r="FS206" s="250"/>
      <c r="FT206" s="256"/>
      <c r="FU206" s="256"/>
      <c r="FV206" s="256"/>
      <c r="FW206" s="250"/>
      <c r="FX206" s="424"/>
      <c r="FY206" s="251"/>
      <c r="GC206" s="252"/>
      <c r="GF206" s="252"/>
      <c r="GG206" s="252"/>
      <c r="GH206" s="252"/>
      <c r="GI206" s="252"/>
      <c r="GJ206" s="252"/>
      <c r="GK206" s="251"/>
      <c r="GL206" s="250"/>
      <c r="GM206" s="250"/>
      <c r="GN206" s="250"/>
      <c r="GO206" s="250"/>
      <c r="GP206" s="250"/>
      <c r="GQ206" s="250"/>
      <c r="GR206" s="250"/>
      <c r="GS206" s="250"/>
      <c r="GT206" s="250"/>
      <c r="GU206" s="251"/>
      <c r="GV206" s="250"/>
      <c r="GW206" s="250"/>
      <c r="GX206" s="250"/>
      <c r="GY206" s="250"/>
      <c r="GZ206" s="250"/>
      <c r="HA206" s="250"/>
      <c r="HB206" s="250"/>
      <c r="HC206" s="250"/>
      <c r="HD206" s="250"/>
      <c r="HE206" s="250"/>
      <c r="HF206" s="250"/>
      <c r="HG206" s="250"/>
      <c r="HH206" s="251"/>
      <c r="HI206" s="424"/>
      <c r="HJ206" s="255"/>
      <c r="HK206" s="255"/>
      <c r="HL206" s="250"/>
      <c r="HM206" s="255"/>
      <c r="HN206" s="255"/>
      <c r="HO206" s="255"/>
      <c r="HP206" s="250"/>
      <c r="HQ206" s="250"/>
      <c r="HR206" s="250"/>
      <c r="HS206" s="250"/>
      <c r="HT206" s="250"/>
      <c r="HU206" s="251"/>
      <c r="HX206" s="252"/>
      <c r="HY206" s="252"/>
      <c r="HZ206" s="252"/>
      <c r="ID206" s="252"/>
      <c r="IE206" s="252"/>
      <c r="IF206" s="252"/>
      <c r="IJ206" s="252"/>
      <c r="IK206" s="252"/>
      <c r="IL206" s="252"/>
      <c r="IP206" s="252"/>
      <c r="IQ206" s="252"/>
      <c r="IR206" s="252"/>
      <c r="IY206" s="66"/>
      <c r="IZ206" s="66"/>
      <c r="JA206" s="66"/>
      <c r="JB206" s="250"/>
      <c r="JC206" s="66"/>
      <c r="JD206" s="66"/>
      <c r="JE206" s="66"/>
      <c r="JF206" s="66"/>
      <c r="JG206" s="66"/>
      <c r="JH206" s="66"/>
      <c r="JI206" s="66"/>
      <c r="JJ206" s="66"/>
      <c r="JK206" s="8"/>
      <c r="JN206" s="252"/>
      <c r="JO206" s="252"/>
      <c r="JP206" s="252"/>
      <c r="JT206" s="252"/>
      <c r="JU206" s="252"/>
      <c r="JV206" s="252"/>
      <c r="JZ206" s="252"/>
      <c r="KA206" s="252"/>
      <c r="KB206" s="252"/>
      <c r="KF206" s="252"/>
      <c r="KG206" s="252"/>
      <c r="KH206" s="252"/>
      <c r="KO206" s="66"/>
      <c r="KP206" s="66"/>
      <c r="KQ206" s="66"/>
      <c r="KR206" s="66"/>
      <c r="KS206" s="66"/>
      <c r="KT206" s="66"/>
      <c r="KU206" s="66"/>
      <c r="KV206" s="66"/>
      <c r="KW206" s="66"/>
      <c r="KX206" s="66"/>
      <c r="KY206" s="66"/>
      <c r="KZ206" s="66"/>
      <c r="LA206" s="8"/>
      <c r="LD206" s="252"/>
      <c r="LE206" s="252"/>
      <c r="LF206" s="252"/>
      <c r="LJ206" s="252"/>
      <c r="LK206" s="252"/>
      <c r="LN206" s="252"/>
      <c r="LO206" s="252"/>
      <c r="LP206" s="252"/>
      <c r="LT206" s="271"/>
      <c r="LU206" s="250"/>
      <c r="LV206" s="250"/>
      <c r="LW206" s="250"/>
      <c r="LX206" s="250"/>
      <c r="LY206" s="250"/>
      <c r="LZ206" s="250"/>
      <c r="MA206" s="250"/>
      <c r="MB206" s="250"/>
      <c r="MC206" s="250"/>
      <c r="MD206" s="250"/>
      <c r="ME206" s="250"/>
      <c r="MF206" s="250"/>
      <c r="MG206" s="250"/>
      <c r="MH206" s="250"/>
      <c r="MI206" s="250"/>
      <c r="MJ206" s="250"/>
      <c r="MK206" s="424"/>
      <c r="ML206" s="640"/>
      <c r="MM206" s="251"/>
      <c r="MN206" s="252"/>
      <c r="MO206" s="252"/>
      <c r="MP206" s="252"/>
      <c r="MQ206" s="252"/>
      <c r="MR206" s="252"/>
      <c r="MS206" s="252"/>
      <c r="MT206" s="252"/>
      <c r="MU206" s="252"/>
      <c r="MV206" s="252"/>
      <c r="MW206" s="252"/>
      <c r="MX206" s="252"/>
      <c r="MY206" s="252"/>
      <c r="MZ206" s="252"/>
      <c r="NA206" s="252"/>
      <c r="NB206" s="252"/>
      <c r="NC206" s="251"/>
      <c r="ND206" s="250"/>
      <c r="NE206" s="250"/>
      <c r="NF206" s="250"/>
      <c r="NG206" s="250"/>
      <c r="NH206" s="250"/>
      <c r="NI206" s="250"/>
      <c r="NJ206" s="250"/>
      <c r="NK206" s="250"/>
      <c r="NL206" s="250"/>
      <c r="NM206" s="250"/>
      <c r="NN206" s="250"/>
      <c r="NO206" s="250"/>
      <c r="NP206" s="250"/>
      <c r="NQ206" s="250"/>
      <c r="NR206" s="250"/>
      <c r="NS206" s="250"/>
      <c r="NT206" s="250"/>
      <c r="NU206" s="250"/>
      <c r="NV206" s="250"/>
      <c r="NW206" s="251"/>
      <c r="OT206" s="8"/>
      <c r="QG206" s="8"/>
      <c r="RT206" s="8"/>
    </row>
    <row r="207" spans="1:488" s="282" customFormat="1" x14ac:dyDescent="0.25">
      <c r="A207" s="66"/>
      <c r="B207" s="8"/>
      <c r="C207" s="66"/>
      <c r="D207" s="66"/>
      <c r="E207" s="66"/>
      <c r="F207" s="66"/>
      <c r="G207" s="66"/>
      <c r="H207" s="66"/>
      <c r="I207" s="66"/>
      <c r="J207" s="66"/>
      <c r="K207" s="66"/>
      <c r="L207" s="66"/>
      <c r="M207" s="66"/>
      <c r="N207" s="66"/>
      <c r="O207" s="66"/>
      <c r="P207" s="66"/>
      <c r="Q207" s="66"/>
      <c r="R207" s="66"/>
      <c r="S207" s="66"/>
      <c r="T207" s="68"/>
      <c r="AC207" s="66"/>
      <c r="AD207" s="66"/>
      <c r="AE207" s="68"/>
      <c r="AN207" s="66"/>
      <c r="AO207" s="66"/>
      <c r="AP207" s="68"/>
      <c r="AW207" s="66"/>
      <c r="AX207" s="68"/>
      <c r="BD207" s="66"/>
      <c r="BE207" s="68"/>
      <c r="BF207" s="66"/>
      <c r="BG207" s="66"/>
      <c r="BH207" s="66"/>
      <c r="BI207" s="66"/>
      <c r="BJ207" s="66"/>
      <c r="BK207" s="66"/>
      <c r="BL207" s="68"/>
      <c r="BO207" s="66"/>
      <c r="BP207" s="68"/>
      <c r="BV207" s="66"/>
      <c r="BW207" s="68"/>
      <c r="CB207" s="8"/>
      <c r="CH207" s="8"/>
      <c r="CK207" s="299"/>
      <c r="CL207" s="299"/>
      <c r="CM207" s="66"/>
      <c r="CN207" s="66"/>
      <c r="CO207" s="68"/>
      <c r="CR207" s="8"/>
      <c r="CX207" s="66"/>
      <c r="CY207" s="532"/>
      <c r="DE207" s="66"/>
      <c r="DF207" s="66"/>
      <c r="DG207" s="68"/>
      <c r="DH207" s="68"/>
      <c r="DK207" s="66"/>
      <c r="DL207" s="66"/>
      <c r="DM207" s="66"/>
      <c r="DN207" s="66"/>
      <c r="DO207" s="66"/>
      <c r="DP207" s="66"/>
      <c r="DQ207" s="66"/>
      <c r="DR207" s="66"/>
      <c r="DS207" s="66"/>
      <c r="DT207" s="68"/>
      <c r="DU207" s="66"/>
      <c r="DV207" s="296"/>
      <c r="DW207" s="330"/>
      <c r="DX207" s="631"/>
      <c r="DY207" s="631"/>
      <c r="DZ207" s="631"/>
      <c r="EA207" s="330"/>
      <c r="EC207" s="66"/>
      <c r="ED207" s="68"/>
      <c r="EH207" s="66"/>
      <c r="EI207" s="66"/>
      <c r="EJ207" s="68"/>
      <c r="EK207" s="252"/>
      <c r="EL207" s="252"/>
      <c r="EM207" s="252"/>
      <c r="EO207" s="252"/>
      <c r="EP207" s="252"/>
      <c r="EQ207" s="252"/>
      <c r="ES207" s="252"/>
      <c r="ET207" s="252"/>
      <c r="EU207" s="252"/>
      <c r="EW207" s="252"/>
      <c r="EX207" s="252"/>
      <c r="EY207" s="252"/>
      <c r="FA207" s="250"/>
      <c r="FB207" s="250"/>
      <c r="FC207" s="250"/>
      <c r="FD207" s="250"/>
      <c r="FE207" s="250"/>
      <c r="FF207" s="250"/>
      <c r="FG207" s="250"/>
      <c r="FH207" s="424"/>
      <c r="FI207" s="250"/>
      <c r="FJ207" s="250"/>
      <c r="FK207" s="250"/>
      <c r="FL207" s="256"/>
      <c r="FM207" s="250"/>
      <c r="FN207" s="256"/>
      <c r="FO207" s="250"/>
      <c r="FP207" s="256"/>
      <c r="FQ207" s="250"/>
      <c r="FR207" s="256"/>
      <c r="FS207" s="250"/>
      <c r="FT207" s="256"/>
      <c r="FU207" s="256"/>
      <c r="FV207" s="256"/>
      <c r="FW207" s="250"/>
      <c r="FX207" s="424"/>
      <c r="FY207" s="251"/>
      <c r="GC207" s="252"/>
      <c r="GF207" s="252"/>
      <c r="GG207" s="252"/>
      <c r="GH207" s="252"/>
      <c r="GI207" s="252"/>
      <c r="GJ207" s="252"/>
      <c r="GK207" s="251"/>
      <c r="GL207" s="250"/>
      <c r="GM207" s="250"/>
      <c r="GN207" s="250"/>
      <c r="GO207" s="250"/>
      <c r="GP207" s="250"/>
      <c r="GQ207" s="250"/>
      <c r="GR207" s="250"/>
      <c r="GS207" s="250"/>
      <c r="GT207" s="250"/>
      <c r="GU207" s="251"/>
      <c r="GV207" s="250"/>
      <c r="GW207" s="250"/>
      <c r="GX207" s="250"/>
      <c r="GY207" s="250"/>
      <c r="GZ207" s="250"/>
      <c r="HA207" s="250"/>
      <c r="HB207" s="250"/>
      <c r="HC207" s="250"/>
      <c r="HD207" s="250"/>
      <c r="HE207" s="250"/>
      <c r="HF207" s="250"/>
      <c r="HG207" s="250"/>
      <c r="HH207" s="251"/>
      <c r="HI207" s="424"/>
      <c r="HJ207" s="255"/>
      <c r="HK207" s="255"/>
      <c r="HL207" s="250"/>
      <c r="HM207" s="255"/>
      <c r="HN207" s="255"/>
      <c r="HO207" s="255"/>
      <c r="HP207" s="250"/>
      <c r="HQ207" s="250"/>
      <c r="HR207" s="250"/>
      <c r="HS207" s="250"/>
      <c r="HT207" s="250"/>
      <c r="HU207" s="251"/>
      <c r="HX207" s="252"/>
      <c r="HY207" s="252"/>
      <c r="HZ207" s="252"/>
      <c r="ID207" s="252"/>
      <c r="IE207" s="252"/>
      <c r="IF207" s="252"/>
      <c r="IJ207" s="252"/>
      <c r="IK207" s="252"/>
      <c r="IL207" s="252"/>
      <c r="IP207" s="252"/>
      <c r="IQ207" s="252"/>
      <c r="IR207" s="252"/>
      <c r="IY207" s="66"/>
      <c r="IZ207" s="66"/>
      <c r="JA207" s="66"/>
      <c r="JB207" s="250"/>
      <c r="JC207" s="66"/>
      <c r="JD207" s="66"/>
      <c r="JE207" s="66"/>
      <c r="JF207" s="66"/>
      <c r="JG207" s="66"/>
      <c r="JH207" s="66"/>
      <c r="JI207" s="66"/>
      <c r="JJ207" s="66"/>
      <c r="JK207" s="8"/>
      <c r="JN207" s="252"/>
      <c r="JO207" s="252"/>
      <c r="JP207" s="252"/>
      <c r="JT207" s="252"/>
      <c r="JU207" s="252"/>
      <c r="JV207" s="252"/>
      <c r="JZ207" s="252"/>
      <c r="KA207" s="252"/>
      <c r="KB207" s="252"/>
      <c r="KF207" s="252"/>
      <c r="KG207" s="252"/>
      <c r="KH207" s="252"/>
      <c r="KO207" s="66"/>
      <c r="KP207" s="66"/>
      <c r="KQ207" s="66"/>
      <c r="KR207" s="66"/>
      <c r="KS207" s="66"/>
      <c r="KT207" s="66"/>
      <c r="KU207" s="66"/>
      <c r="KV207" s="66"/>
      <c r="KW207" s="66"/>
      <c r="KX207" s="66"/>
      <c r="KY207" s="66"/>
      <c r="KZ207" s="66"/>
      <c r="LA207" s="8"/>
      <c r="LD207" s="252"/>
      <c r="LE207" s="252"/>
      <c r="LF207" s="252"/>
      <c r="LJ207" s="252"/>
      <c r="LK207" s="252"/>
      <c r="LN207" s="252"/>
      <c r="LO207" s="252"/>
      <c r="LP207" s="252"/>
      <c r="LT207" s="271"/>
      <c r="LU207" s="250"/>
      <c r="LV207" s="250"/>
      <c r="LW207" s="250"/>
      <c r="LX207" s="250"/>
      <c r="LY207" s="250"/>
      <c r="LZ207" s="250"/>
      <c r="MA207" s="250"/>
      <c r="MB207" s="250"/>
      <c r="MC207" s="250"/>
      <c r="MD207" s="250"/>
      <c r="ME207" s="250"/>
      <c r="MF207" s="250"/>
      <c r="MG207" s="250"/>
      <c r="MH207" s="250"/>
      <c r="MI207" s="250"/>
      <c r="MJ207" s="250"/>
      <c r="MK207" s="424"/>
      <c r="ML207" s="640"/>
      <c r="MM207" s="251"/>
      <c r="MN207" s="252"/>
      <c r="MO207" s="252"/>
      <c r="MP207" s="252"/>
      <c r="MQ207" s="252"/>
      <c r="MR207" s="252"/>
      <c r="MS207" s="252"/>
      <c r="MT207" s="252"/>
      <c r="MU207" s="252"/>
      <c r="MV207" s="252"/>
      <c r="MW207" s="252"/>
      <c r="MX207" s="252"/>
      <c r="MY207" s="252"/>
      <c r="MZ207" s="252"/>
      <c r="NA207" s="252"/>
      <c r="NB207" s="252"/>
      <c r="NC207" s="251"/>
      <c r="ND207" s="250"/>
      <c r="NE207" s="250"/>
      <c r="NF207" s="250"/>
      <c r="NG207" s="250"/>
      <c r="NH207" s="250"/>
      <c r="NI207" s="250"/>
      <c r="NJ207" s="250"/>
      <c r="NK207" s="250"/>
      <c r="NL207" s="250"/>
      <c r="NM207" s="250"/>
      <c r="NN207" s="250"/>
      <c r="NO207" s="250"/>
      <c r="NP207" s="250"/>
      <c r="NQ207" s="250"/>
      <c r="NR207" s="250"/>
      <c r="NS207" s="250"/>
      <c r="NT207" s="250"/>
      <c r="NU207" s="250"/>
      <c r="NV207" s="250"/>
      <c r="NW207" s="251"/>
      <c r="OT207" s="8"/>
      <c r="QG207" s="8"/>
      <c r="RT207" s="8"/>
    </row>
    <row r="208" spans="1:488" s="282" customFormat="1" x14ac:dyDescent="0.25">
      <c r="A208" s="66"/>
      <c r="B208" s="8"/>
      <c r="C208" s="66"/>
      <c r="D208" s="66"/>
      <c r="E208" s="66"/>
      <c r="F208" s="66"/>
      <c r="G208" s="66"/>
      <c r="H208" s="66"/>
      <c r="I208" s="66"/>
      <c r="J208" s="66"/>
      <c r="K208" s="66"/>
      <c r="L208" s="66"/>
      <c r="M208" s="66"/>
      <c r="N208" s="66"/>
      <c r="O208" s="66"/>
      <c r="P208" s="66"/>
      <c r="Q208" s="66"/>
      <c r="R208" s="66"/>
      <c r="S208" s="66"/>
      <c r="T208" s="68"/>
      <c r="AC208" s="66"/>
      <c r="AD208" s="66"/>
      <c r="AE208" s="68"/>
      <c r="AN208" s="66"/>
      <c r="AO208" s="66"/>
      <c r="AP208" s="68"/>
      <c r="AW208" s="66"/>
      <c r="AX208" s="68"/>
      <c r="BD208" s="66"/>
      <c r="BE208" s="68"/>
      <c r="BF208" s="66"/>
      <c r="BG208" s="66"/>
      <c r="BH208" s="66"/>
      <c r="BI208" s="66"/>
      <c r="BJ208" s="66"/>
      <c r="BK208" s="66"/>
      <c r="BL208" s="68"/>
      <c r="BO208" s="66"/>
      <c r="BP208" s="68"/>
      <c r="BV208" s="66"/>
      <c r="BW208" s="68"/>
      <c r="CB208" s="8"/>
      <c r="CH208" s="8"/>
      <c r="CK208" s="299"/>
      <c r="CL208" s="299"/>
      <c r="CM208" s="66"/>
      <c r="CN208" s="66"/>
      <c r="CO208" s="68"/>
      <c r="CR208" s="8"/>
      <c r="CX208" s="66"/>
      <c r="CY208" s="532"/>
      <c r="DE208" s="66"/>
      <c r="DF208" s="66"/>
      <c r="DG208" s="68"/>
      <c r="DH208" s="68"/>
      <c r="DK208" s="66"/>
      <c r="DL208" s="66"/>
      <c r="DM208" s="66"/>
      <c r="DN208" s="66"/>
      <c r="DO208" s="66"/>
      <c r="DP208" s="66"/>
      <c r="DQ208" s="66"/>
      <c r="DR208" s="66"/>
      <c r="DS208" s="66"/>
      <c r="DT208" s="68"/>
      <c r="DU208" s="66"/>
      <c r="DV208" s="296"/>
      <c r="DW208" s="330"/>
      <c r="DX208" s="631"/>
      <c r="DY208" s="631"/>
      <c r="DZ208" s="631"/>
      <c r="EA208" s="330"/>
      <c r="EC208" s="66"/>
      <c r="ED208" s="68"/>
      <c r="EH208" s="66"/>
      <c r="EI208" s="66"/>
      <c r="EJ208" s="68"/>
      <c r="EK208" s="252"/>
      <c r="EL208" s="252"/>
      <c r="EM208" s="252"/>
      <c r="EO208" s="252"/>
      <c r="EP208" s="252"/>
      <c r="EQ208" s="252"/>
      <c r="ES208" s="252"/>
      <c r="ET208" s="252"/>
      <c r="EU208" s="252"/>
      <c r="EW208" s="252"/>
      <c r="EX208" s="252"/>
      <c r="EY208" s="252"/>
      <c r="FA208" s="250"/>
      <c r="FB208" s="250"/>
      <c r="FC208" s="250"/>
      <c r="FD208" s="250"/>
      <c r="FE208" s="250"/>
      <c r="FF208" s="250"/>
      <c r="FG208" s="250"/>
      <c r="FH208" s="424"/>
      <c r="FI208" s="250"/>
      <c r="FJ208" s="250"/>
      <c r="FK208" s="250"/>
      <c r="FL208" s="256"/>
      <c r="FM208" s="250"/>
      <c r="FN208" s="256"/>
      <c r="FO208" s="250"/>
      <c r="FP208" s="256"/>
      <c r="FQ208" s="250"/>
      <c r="FR208" s="256"/>
      <c r="FS208" s="250"/>
      <c r="FT208" s="256"/>
      <c r="FU208" s="256"/>
      <c r="FV208" s="256"/>
      <c r="FW208" s="250"/>
      <c r="FX208" s="424"/>
      <c r="FY208" s="251"/>
      <c r="GC208" s="252"/>
      <c r="GF208" s="252"/>
      <c r="GG208" s="252"/>
      <c r="GH208" s="252"/>
      <c r="GI208" s="252"/>
      <c r="GJ208" s="252"/>
      <c r="GK208" s="251"/>
      <c r="GL208" s="250"/>
      <c r="GM208" s="250"/>
      <c r="GN208" s="250"/>
      <c r="GO208" s="250"/>
      <c r="GP208" s="250"/>
      <c r="GQ208" s="250"/>
      <c r="GR208" s="250"/>
      <c r="GS208" s="250"/>
      <c r="GT208" s="250"/>
      <c r="GU208" s="251"/>
      <c r="GV208" s="250"/>
      <c r="GW208" s="250"/>
      <c r="GX208" s="250"/>
      <c r="GY208" s="250"/>
      <c r="GZ208" s="250"/>
      <c r="HA208" s="250"/>
      <c r="HB208" s="250"/>
      <c r="HC208" s="250"/>
      <c r="HD208" s="250"/>
      <c r="HE208" s="250"/>
      <c r="HF208" s="250"/>
      <c r="HG208" s="250"/>
      <c r="HH208" s="251"/>
      <c r="HI208" s="424"/>
      <c r="HJ208" s="255"/>
      <c r="HK208" s="255"/>
      <c r="HL208" s="250"/>
      <c r="HM208" s="255"/>
      <c r="HN208" s="255"/>
      <c r="HO208" s="255"/>
      <c r="HP208" s="250"/>
      <c r="HQ208" s="250"/>
      <c r="HR208" s="250"/>
      <c r="HS208" s="250"/>
      <c r="HT208" s="250"/>
      <c r="HU208" s="251"/>
      <c r="HX208" s="252"/>
      <c r="HY208" s="252"/>
      <c r="HZ208" s="252"/>
      <c r="ID208" s="252"/>
      <c r="IE208" s="252"/>
      <c r="IF208" s="252"/>
      <c r="IJ208" s="252"/>
      <c r="IK208" s="252"/>
      <c r="IL208" s="252"/>
      <c r="IP208" s="252"/>
      <c r="IQ208" s="252"/>
      <c r="IR208" s="252"/>
      <c r="IY208" s="66"/>
      <c r="IZ208" s="66"/>
      <c r="JA208" s="66"/>
      <c r="JB208" s="250"/>
      <c r="JC208" s="66"/>
      <c r="JD208" s="66"/>
      <c r="JE208" s="66"/>
      <c r="JF208" s="66"/>
      <c r="JG208" s="66"/>
      <c r="JH208" s="66"/>
      <c r="JI208" s="66"/>
      <c r="JJ208" s="66"/>
      <c r="JK208" s="8"/>
      <c r="JN208" s="252"/>
      <c r="JO208" s="252"/>
      <c r="JP208" s="252"/>
      <c r="JT208" s="252"/>
      <c r="JU208" s="252"/>
      <c r="JV208" s="252"/>
      <c r="JZ208" s="252"/>
      <c r="KA208" s="252"/>
      <c r="KB208" s="252"/>
      <c r="KF208" s="252"/>
      <c r="KG208" s="252"/>
      <c r="KH208" s="252"/>
      <c r="KO208" s="66"/>
      <c r="KP208" s="66"/>
      <c r="KQ208" s="66"/>
      <c r="KR208" s="66"/>
      <c r="KS208" s="66"/>
      <c r="KT208" s="66"/>
      <c r="KU208" s="66"/>
      <c r="KV208" s="66"/>
      <c r="KW208" s="66"/>
      <c r="KX208" s="66"/>
      <c r="KY208" s="66"/>
      <c r="KZ208" s="66"/>
      <c r="LA208" s="8"/>
      <c r="LD208" s="252"/>
      <c r="LE208" s="252"/>
      <c r="LF208" s="252"/>
      <c r="LJ208" s="252"/>
      <c r="LK208" s="252"/>
      <c r="LN208" s="252"/>
      <c r="LO208" s="252"/>
      <c r="LP208" s="252"/>
      <c r="LT208" s="271"/>
      <c r="LU208" s="250"/>
      <c r="LV208" s="250"/>
      <c r="LW208" s="250"/>
      <c r="LX208" s="250"/>
      <c r="LY208" s="250"/>
      <c r="LZ208" s="250"/>
      <c r="MA208" s="250"/>
      <c r="MB208" s="250"/>
      <c r="MC208" s="250"/>
      <c r="MD208" s="250"/>
      <c r="ME208" s="250"/>
      <c r="MF208" s="250"/>
      <c r="MG208" s="250"/>
      <c r="MH208" s="250"/>
      <c r="MI208" s="250"/>
      <c r="MJ208" s="250"/>
      <c r="MK208" s="424"/>
      <c r="ML208" s="640"/>
      <c r="MM208" s="251"/>
      <c r="MN208" s="252"/>
      <c r="MO208" s="252"/>
      <c r="MP208" s="252"/>
      <c r="MQ208" s="252"/>
      <c r="MR208" s="252"/>
      <c r="MS208" s="252"/>
      <c r="MT208" s="252"/>
      <c r="MU208" s="252"/>
      <c r="MV208" s="252"/>
      <c r="MW208" s="252"/>
      <c r="MX208" s="252"/>
      <c r="MY208" s="252"/>
      <c r="MZ208" s="252"/>
      <c r="NA208" s="252"/>
      <c r="NB208" s="252"/>
      <c r="NC208" s="251"/>
      <c r="ND208" s="250"/>
      <c r="NE208" s="250"/>
      <c r="NF208" s="250"/>
      <c r="NG208" s="250"/>
      <c r="NH208" s="250"/>
      <c r="NI208" s="250"/>
      <c r="NJ208" s="250"/>
      <c r="NK208" s="250"/>
      <c r="NL208" s="250"/>
      <c r="NM208" s="250"/>
      <c r="NN208" s="250"/>
      <c r="NO208" s="250"/>
      <c r="NP208" s="250"/>
      <c r="NQ208" s="250"/>
      <c r="NR208" s="250"/>
      <c r="NS208" s="250"/>
      <c r="NT208" s="250"/>
      <c r="NU208" s="250"/>
      <c r="NV208" s="250"/>
      <c r="NW208" s="251"/>
      <c r="OT208" s="8"/>
      <c r="QG208" s="8"/>
      <c r="RT208" s="8"/>
    </row>
    <row r="209" spans="1:488" s="282" customFormat="1" x14ac:dyDescent="0.25">
      <c r="A209" s="66"/>
      <c r="B209" s="8"/>
      <c r="C209" s="66"/>
      <c r="D209" s="66"/>
      <c r="E209" s="66"/>
      <c r="F209" s="66"/>
      <c r="G209" s="66"/>
      <c r="H209" s="66"/>
      <c r="I209" s="66"/>
      <c r="J209" s="66"/>
      <c r="K209" s="66"/>
      <c r="L209" s="66"/>
      <c r="M209" s="66"/>
      <c r="N209" s="66"/>
      <c r="O209" s="66"/>
      <c r="P209" s="66"/>
      <c r="Q209" s="66"/>
      <c r="R209" s="66"/>
      <c r="S209" s="66"/>
      <c r="T209" s="68"/>
      <c r="AC209" s="66"/>
      <c r="AD209" s="66"/>
      <c r="AE209" s="68"/>
      <c r="AN209" s="66"/>
      <c r="AO209" s="66"/>
      <c r="AP209" s="68"/>
      <c r="AW209" s="66"/>
      <c r="AX209" s="68"/>
      <c r="BD209" s="66"/>
      <c r="BE209" s="68"/>
      <c r="BF209" s="66"/>
      <c r="BG209" s="66"/>
      <c r="BH209" s="66"/>
      <c r="BI209" s="66"/>
      <c r="BJ209" s="66"/>
      <c r="BK209" s="66"/>
      <c r="BL209" s="68"/>
      <c r="BO209" s="66"/>
      <c r="BP209" s="68"/>
      <c r="BV209" s="66"/>
      <c r="BW209" s="68"/>
      <c r="CB209" s="8"/>
      <c r="CH209" s="8"/>
      <c r="CK209" s="299"/>
      <c r="CL209" s="299"/>
      <c r="CM209" s="66"/>
      <c r="CN209" s="66"/>
      <c r="CO209" s="68"/>
      <c r="CR209" s="8"/>
      <c r="CX209" s="66"/>
      <c r="CY209" s="532"/>
      <c r="DE209" s="66"/>
      <c r="DF209" s="66"/>
      <c r="DG209" s="68"/>
      <c r="DH209" s="68"/>
      <c r="DK209" s="66"/>
      <c r="DL209" s="66"/>
      <c r="DM209" s="66"/>
      <c r="DN209" s="66"/>
      <c r="DO209" s="66"/>
      <c r="DP209" s="66"/>
      <c r="DQ209" s="66"/>
      <c r="DR209" s="66"/>
      <c r="DS209" s="66"/>
      <c r="DT209" s="68"/>
      <c r="DU209" s="66"/>
      <c r="DV209" s="296"/>
      <c r="DW209" s="330"/>
      <c r="DX209" s="631"/>
      <c r="DY209" s="631"/>
      <c r="DZ209" s="631"/>
      <c r="EA209" s="330"/>
      <c r="EC209" s="66"/>
      <c r="ED209" s="68"/>
      <c r="EH209" s="66"/>
      <c r="EI209" s="66"/>
      <c r="EJ209" s="68"/>
      <c r="EK209" s="252"/>
      <c r="EL209" s="252"/>
      <c r="EM209" s="252"/>
      <c r="EO209" s="252"/>
      <c r="EP209" s="252"/>
      <c r="EQ209" s="252"/>
      <c r="ES209" s="252"/>
      <c r="ET209" s="252"/>
      <c r="EU209" s="252"/>
      <c r="EW209" s="252"/>
      <c r="EX209" s="252"/>
      <c r="EY209" s="252"/>
      <c r="FA209" s="250"/>
      <c r="FB209" s="250"/>
      <c r="FC209" s="250"/>
      <c r="FD209" s="250"/>
      <c r="FE209" s="250"/>
      <c r="FF209" s="250"/>
      <c r="FG209" s="250"/>
      <c r="FH209" s="424"/>
      <c r="FI209" s="250"/>
      <c r="FJ209" s="250"/>
      <c r="FK209" s="250"/>
      <c r="FL209" s="256"/>
      <c r="FM209" s="250"/>
      <c r="FN209" s="256"/>
      <c r="FO209" s="250"/>
      <c r="FP209" s="256"/>
      <c r="FQ209" s="250"/>
      <c r="FR209" s="256"/>
      <c r="FS209" s="250"/>
      <c r="FT209" s="256"/>
      <c r="FU209" s="256"/>
      <c r="FV209" s="256"/>
      <c r="FW209" s="250"/>
      <c r="FX209" s="424"/>
      <c r="FY209" s="251"/>
      <c r="GC209" s="252"/>
      <c r="GF209" s="252"/>
      <c r="GG209" s="252"/>
      <c r="GH209" s="252"/>
      <c r="GI209" s="252"/>
      <c r="GJ209" s="252"/>
      <c r="GK209" s="251"/>
      <c r="GL209" s="250"/>
      <c r="GM209" s="250"/>
      <c r="GN209" s="250"/>
      <c r="GO209" s="250"/>
      <c r="GP209" s="250"/>
      <c r="GQ209" s="250"/>
      <c r="GR209" s="250"/>
      <c r="GS209" s="250"/>
      <c r="GT209" s="250"/>
      <c r="GU209" s="251"/>
      <c r="GV209" s="250"/>
      <c r="GW209" s="250"/>
      <c r="GX209" s="250"/>
      <c r="GY209" s="250"/>
      <c r="GZ209" s="250"/>
      <c r="HA209" s="250"/>
      <c r="HB209" s="250"/>
      <c r="HC209" s="250"/>
      <c r="HD209" s="250"/>
      <c r="HE209" s="250"/>
      <c r="HF209" s="250"/>
      <c r="HG209" s="250"/>
      <c r="HH209" s="251"/>
      <c r="HI209" s="424"/>
      <c r="HJ209" s="255"/>
      <c r="HK209" s="255"/>
      <c r="HL209" s="250"/>
      <c r="HM209" s="255"/>
      <c r="HN209" s="255"/>
      <c r="HO209" s="255"/>
      <c r="HP209" s="250"/>
      <c r="HQ209" s="250"/>
      <c r="HR209" s="250"/>
      <c r="HS209" s="250"/>
      <c r="HT209" s="250"/>
      <c r="HU209" s="251"/>
      <c r="HX209" s="252"/>
      <c r="HY209" s="252"/>
      <c r="HZ209" s="252"/>
      <c r="ID209" s="252"/>
      <c r="IE209" s="252"/>
      <c r="IF209" s="252"/>
      <c r="IJ209" s="252"/>
      <c r="IK209" s="252"/>
      <c r="IL209" s="252"/>
      <c r="IP209" s="252"/>
      <c r="IQ209" s="252"/>
      <c r="IR209" s="252"/>
      <c r="IY209" s="66"/>
      <c r="IZ209" s="66"/>
      <c r="JA209" s="66"/>
      <c r="JB209" s="250"/>
      <c r="JC209" s="66"/>
      <c r="JD209" s="66"/>
      <c r="JE209" s="66"/>
      <c r="JF209" s="66"/>
      <c r="JG209" s="66"/>
      <c r="JH209" s="66"/>
      <c r="JI209" s="66"/>
      <c r="JJ209" s="66"/>
      <c r="JK209" s="8"/>
      <c r="JN209" s="252"/>
      <c r="JO209" s="252"/>
      <c r="JP209" s="252"/>
      <c r="JT209" s="252"/>
      <c r="JU209" s="252"/>
      <c r="JV209" s="252"/>
      <c r="JZ209" s="252"/>
      <c r="KA209" s="252"/>
      <c r="KB209" s="252"/>
      <c r="KF209" s="252"/>
      <c r="KG209" s="252"/>
      <c r="KH209" s="252"/>
      <c r="KO209" s="66"/>
      <c r="KP209" s="66"/>
      <c r="KQ209" s="66"/>
      <c r="KR209" s="66"/>
      <c r="KS209" s="66"/>
      <c r="KT209" s="66"/>
      <c r="KU209" s="66"/>
      <c r="KV209" s="66"/>
      <c r="KW209" s="66"/>
      <c r="KX209" s="66"/>
      <c r="KY209" s="66"/>
      <c r="KZ209" s="66"/>
      <c r="LA209" s="8"/>
      <c r="LD209" s="252"/>
      <c r="LE209" s="252"/>
      <c r="LF209" s="252"/>
      <c r="LJ209" s="252"/>
      <c r="LK209" s="252"/>
      <c r="LN209" s="252"/>
      <c r="LO209" s="252"/>
      <c r="LP209" s="252"/>
      <c r="LT209" s="271"/>
      <c r="LU209" s="250"/>
      <c r="LV209" s="250"/>
      <c r="LW209" s="250"/>
      <c r="LX209" s="250"/>
      <c r="LY209" s="250"/>
      <c r="LZ209" s="250"/>
      <c r="MA209" s="250"/>
      <c r="MB209" s="250"/>
      <c r="MC209" s="250"/>
      <c r="MD209" s="250"/>
      <c r="ME209" s="250"/>
      <c r="MF209" s="250"/>
      <c r="MG209" s="250"/>
      <c r="MH209" s="250"/>
      <c r="MI209" s="250"/>
      <c r="MJ209" s="250"/>
      <c r="MK209" s="424"/>
      <c r="ML209" s="640"/>
      <c r="MM209" s="251"/>
      <c r="MN209" s="252"/>
      <c r="MO209" s="252"/>
      <c r="MP209" s="252"/>
      <c r="MQ209" s="252"/>
      <c r="MR209" s="252"/>
      <c r="MS209" s="252"/>
      <c r="MT209" s="252"/>
      <c r="MU209" s="252"/>
      <c r="MV209" s="252"/>
      <c r="MW209" s="252"/>
      <c r="MX209" s="252"/>
      <c r="MY209" s="252"/>
      <c r="MZ209" s="252"/>
      <c r="NA209" s="252"/>
      <c r="NB209" s="252"/>
      <c r="NC209" s="251"/>
      <c r="ND209" s="250"/>
      <c r="NE209" s="250"/>
      <c r="NF209" s="250"/>
      <c r="NG209" s="250"/>
      <c r="NH209" s="250"/>
      <c r="NI209" s="250"/>
      <c r="NJ209" s="250"/>
      <c r="NK209" s="250"/>
      <c r="NL209" s="250"/>
      <c r="NM209" s="250"/>
      <c r="NN209" s="250"/>
      <c r="NO209" s="250"/>
      <c r="NP209" s="250"/>
      <c r="NQ209" s="250"/>
      <c r="NR209" s="250"/>
      <c r="NS209" s="250"/>
      <c r="NT209" s="250"/>
      <c r="NU209" s="250"/>
      <c r="NV209" s="250"/>
      <c r="NW209" s="251"/>
      <c r="OT209" s="8"/>
      <c r="QG209" s="8"/>
      <c r="RT209" s="8"/>
    </row>
    <row r="210" spans="1:488" s="282" customFormat="1" x14ac:dyDescent="0.25">
      <c r="A210" s="66"/>
      <c r="B210" s="8"/>
      <c r="C210" s="66"/>
      <c r="D210" s="66"/>
      <c r="E210" s="66"/>
      <c r="F210" s="66"/>
      <c r="G210" s="66"/>
      <c r="H210" s="66"/>
      <c r="I210" s="66"/>
      <c r="J210" s="66"/>
      <c r="K210" s="66"/>
      <c r="L210" s="66"/>
      <c r="M210" s="66"/>
      <c r="N210" s="66"/>
      <c r="O210" s="66"/>
      <c r="P210" s="66"/>
      <c r="Q210" s="66"/>
      <c r="R210" s="66"/>
      <c r="S210" s="66"/>
      <c r="T210" s="68"/>
      <c r="AC210" s="66"/>
      <c r="AD210" s="66"/>
      <c r="AE210" s="68"/>
      <c r="AN210" s="66"/>
      <c r="AO210" s="66"/>
      <c r="AP210" s="68"/>
      <c r="AW210" s="66"/>
      <c r="AX210" s="68"/>
      <c r="BD210" s="66"/>
      <c r="BE210" s="68"/>
      <c r="BF210" s="66"/>
      <c r="BG210" s="66"/>
      <c r="BH210" s="66"/>
      <c r="BI210" s="66"/>
      <c r="BJ210" s="66"/>
      <c r="BK210" s="66"/>
      <c r="BL210" s="68"/>
      <c r="BO210" s="66"/>
      <c r="BP210" s="68"/>
      <c r="BV210" s="66"/>
      <c r="BW210" s="68"/>
      <c r="CB210" s="8"/>
      <c r="CH210" s="8"/>
      <c r="CK210" s="299"/>
      <c r="CL210" s="299"/>
      <c r="CM210" s="66"/>
      <c r="CN210" s="66"/>
      <c r="CO210" s="68"/>
      <c r="CR210" s="8"/>
      <c r="CX210" s="66"/>
      <c r="CY210" s="532"/>
      <c r="DE210" s="66"/>
      <c r="DF210" s="66"/>
      <c r="DG210" s="68"/>
      <c r="DH210" s="68"/>
      <c r="DK210" s="66"/>
      <c r="DL210" s="66"/>
      <c r="DM210" s="66"/>
      <c r="DN210" s="66"/>
      <c r="DO210" s="66"/>
      <c r="DP210" s="66"/>
      <c r="DQ210" s="66"/>
      <c r="DR210" s="66"/>
      <c r="DS210" s="66"/>
      <c r="DT210" s="68"/>
      <c r="DU210" s="66"/>
      <c r="DV210" s="296"/>
      <c r="DW210" s="330"/>
      <c r="DX210" s="631"/>
      <c r="DY210" s="631"/>
      <c r="DZ210" s="631"/>
      <c r="EA210" s="330"/>
      <c r="EC210" s="66"/>
      <c r="ED210" s="68"/>
      <c r="EH210" s="66"/>
      <c r="EI210" s="66"/>
      <c r="EJ210" s="68"/>
      <c r="EK210" s="252"/>
      <c r="EL210" s="252"/>
      <c r="EM210" s="252"/>
      <c r="EO210" s="252"/>
      <c r="EP210" s="252"/>
      <c r="EQ210" s="252"/>
      <c r="ES210" s="252"/>
      <c r="ET210" s="252"/>
      <c r="EU210" s="252"/>
      <c r="EW210" s="252"/>
      <c r="EX210" s="252"/>
      <c r="EY210" s="252"/>
      <c r="FA210" s="250"/>
      <c r="FB210" s="250"/>
      <c r="FC210" s="250"/>
      <c r="FD210" s="250"/>
      <c r="FE210" s="250"/>
      <c r="FF210" s="250"/>
      <c r="FG210" s="250"/>
      <c r="FH210" s="424"/>
      <c r="FI210" s="250"/>
      <c r="FJ210" s="250"/>
      <c r="FK210" s="250"/>
      <c r="FL210" s="256"/>
      <c r="FM210" s="250"/>
      <c r="FN210" s="256"/>
      <c r="FO210" s="250"/>
      <c r="FP210" s="256"/>
      <c r="FQ210" s="250"/>
      <c r="FR210" s="256"/>
      <c r="FS210" s="250"/>
      <c r="FT210" s="256"/>
      <c r="FU210" s="256"/>
      <c r="FV210" s="256"/>
      <c r="FW210" s="250"/>
      <c r="FX210" s="424"/>
      <c r="FY210" s="251"/>
      <c r="GC210" s="252"/>
      <c r="GF210" s="252"/>
      <c r="GG210" s="252"/>
      <c r="GH210" s="252"/>
      <c r="GI210" s="252"/>
      <c r="GJ210" s="252"/>
      <c r="GK210" s="251"/>
      <c r="GL210" s="250"/>
      <c r="GM210" s="250"/>
      <c r="GN210" s="250"/>
      <c r="GO210" s="250"/>
      <c r="GP210" s="250"/>
      <c r="GQ210" s="250"/>
      <c r="GR210" s="250"/>
      <c r="GS210" s="250"/>
      <c r="GT210" s="250"/>
      <c r="GU210" s="251"/>
      <c r="GV210" s="250"/>
      <c r="GW210" s="250"/>
      <c r="GX210" s="250"/>
      <c r="GY210" s="250"/>
      <c r="GZ210" s="250"/>
      <c r="HA210" s="250"/>
      <c r="HB210" s="250"/>
      <c r="HC210" s="250"/>
      <c r="HD210" s="250"/>
      <c r="HE210" s="250"/>
      <c r="HF210" s="250"/>
      <c r="HG210" s="250"/>
      <c r="HH210" s="251"/>
      <c r="HI210" s="424"/>
      <c r="HJ210" s="255"/>
      <c r="HK210" s="255"/>
      <c r="HL210" s="250"/>
      <c r="HM210" s="255"/>
      <c r="HN210" s="255"/>
      <c r="HO210" s="255"/>
      <c r="HP210" s="250"/>
      <c r="HQ210" s="250"/>
      <c r="HR210" s="250"/>
      <c r="HS210" s="250"/>
      <c r="HT210" s="250"/>
      <c r="HU210" s="251"/>
      <c r="HX210" s="252"/>
      <c r="HY210" s="252"/>
      <c r="HZ210" s="252"/>
      <c r="ID210" s="252"/>
      <c r="IE210" s="252"/>
      <c r="IF210" s="252"/>
      <c r="IJ210" s="252"/>
      <c r="IK210" s="252"/>
      <c r="IL210" s="252"/>
      <c r="IP210" s="252"/>
      <c r="IQ210" s="252"/>
      <c r="IR210" s="252"/>
      <c r="IY210" s="66"/>
      <c r="IZ210" s="66"/>
      <c r="JA210" s="66"/>
      <c r="JB210" s="250"/>
      <c r="JC210" s="66"/>
      <c r="JD210" s="66"/>
      <c r="JE210" s="66"/>
      <c r="JF210" s="66"/>
      <c r="JG210" s="66"/>
      <c r="JH210" s="66"/>
      <c r="JI210" s="66"/>
      <c r="JJ210" s="66"/>
      <c r="JK210" s="8"/>
      <c r="JN210" s="252"/>
      <c r="JO210" s="252"/>
      <c r="JP210" s="252"/>
      <c r="JT210" s="252"/>
      <c r="JU210" s="252"/>
      <c r="JV210" s="252"/>
      <c r="JZ210" s="252"/>
      <c r="KA210" s="252"/>
      <c r="KB210" s="252"/>
      <c r="KF210" s="252"/>
      <c r="KG210" s="252"/>
      <c r="KH210" s="252"/>
      <c r="KO210" s="66"/>
      <c r="KP210" s="66"/>
      <c r="KQ210" s="66"/>
      <c r="KR210" s="66"/>
      <c r="KS210" s="66"/>
      <c r="KT210" s="66"/>
      <c r="KU210" s="66"/>
      <c r="KV210" s="66"/>
      <c r="KW210" s="66"/>
      <c r="KX210" s="66"/>
      <c r="KY210" s="66"/>
      <c r="KZ210" s="66"/>
      <c r="LA210" s="8"/>
      <c r="LD210" s="252"/>
      <c r="LE210" s="252"/>
      <c r="LF210" s="252"/>
      <c r="LJ210" s="252"/>
      <c r="LK210" s="252"/>
      <c r="LN210" s="252"/>
      <c r="LO210" s="252"/>
      <c r="LP210" s="252"/>
      <c r="LT210" s="271"/>
      <c r="LU210" s="250"/>
      <c r="LV210" s="250"/>
      <c r="LW210" s="250"/>
      <c r="LX210" s="250"/>
      <c r="LY210" s="250"/>
      <c r="LZ210" s="250"/>
      <c r="MA210" s="250"/>
      <c r="MB210" s="250"/>
      <c r="MC210" s="250"/>
      <c r="MD210" s="250"/>
      <c r="ME210" s="250"/>
      <c r="MF210" s="250"/>
      <c r="MG210" s="250"/>
      <c r="MH210" s="250"/>
      <c r="MI210" s="250"/>
      <c r="MJ210" s="250"/>
      <c r="MK210" s="424"/>
      <c r="ML210" s="640"/>
      <c r="MM210" s="251"/>
      <c r="MN210" s="252"/>
      <c r="MO210" s="252"/>
      <c r="MP210" s="252"/>
      <c r="MQ210" s="252"/>
      <c r="MR210" s="252"/>
      <c r="MS210" s="252"/>
      <c r="MT210" s="252"/>
      <c r="MU210" s="252"/>
      <c r="MV210" s="252"/>
      <c r="MW210" s="252"/>
      <c r="MX210" s="252"/>
      <c r="MY210" s="252"/>
      <c r="MZ210" s="252"/>
      <c r="NA210" s="252"/>
      <c r="NB210" s="252"/>
      <c r="NC210" s="251"/>
      <c r="ND210" s="250"/>
      <c r="NE210" s="250"/>
      <c r="NF210" s="250"/>
      <c r="NG210" s="250"/>
      <c r="NH210" s="250"/>
      <c r="NI210" s="250"/>
      <c r="NJ210" s="250"/>
      <c r="NK210" s="250"/>
      <c r="NL210" s="250"/>
      <c r="NM210" s="250"/>
      <c r="NN210" s="250"/>
      <c r="NO210" s="250"/>
      <c r="NP210" s="250"/>
      <c r="NQ210" s="250"/>
      <c r="NR210" s="250"/>
      <c r="NS210" s="250"/>
      <c r="NT210" s="250"/>
      <c r="NU210" s="250"/>
      <c r="NV210" s="250"/>
      <c r="NW210" s="251"/>
      <c r="OT210" s="8"/>
      <c r="QG210" s="8"/>
      <c r="RT210" s="8"/>
    </row>
    <row r="211" spans="1:488" s="282" customFormat="1" x14ac:dyDescent="0.25">
      <c r="A211" s="66"/>
      <c r="B211" s="8"/>
      <c r="C211" s="66"/>
      <c r="D211" s="66"/>
      <c r="E211" s="66"/>
      <c r="F211" s="66"/>
      <c r="G211" s="66"/>
      <c r="H211" s="66"/>
      <c r="I211" s="66"/>
      <c r="J211" s="66"/>
      <c r="K211" s="66"/>
      <c r="L211" s="66"/>
      <c r="M211" s="66"/>
      <c r="N211" s="66"/>
      <c r="O211" s="66"/>
      <c r="P211" s="66"/>
      <c r="Q211" s="66"/>
      <c r="R211" s="66"/>
      <c r="S211" s="66"/>
      <c r="T211" s="68"/>
      <c r="AC211" s="66"/>
      <c r="AD211" s="66"/>
      <c r="AE211" s="68"/>
      <c r="AN211" s="66"/>
      <c r="AO211" s="66"/>
      <c r="AP211" s="68"/>
      <c r="AW211" s="66"/>
      <c r="AX211" s="68"/>
      <c r="BD211" s="66"/>
      <c r="BE211" s="68"/>
      <c r="BF211" s="66"/>
      <c r="BG211" s="66"/>
      <c r="BH211" s="66"/>
      <c r="BI211" s="66"/>
      <c r="BJ211" s="66"/>
      <c r="BK211" s="66"/>
      <c r="BL211" s="68"/>
      <c r="BO211" s="66"/>
      <c r="BP211" s="68"/>
      <c r="BV211" s="66"/>
      <c r="BW211" s="68"/>
      <c r="CB211" s="8"/>
      <c r="CH211" s="8"/>
      <c r="CK211" s="299"/>
      <c r="CL211" s="299"/>
      <c r="CM211" s="66"/>
      <c r="CN211" s="66"/>
      <c r="CO211" s="68"/>
      <c r="CR211" s="8"/>
      <c r="CX211" s="66"/>
      <c r="CY211" s="532"/>
      <c r="DE211" s="66"/>
      <c r="DF211" s="66"/>
      <c r="DG211" s="68"/>
      <c r="DH211" s="68"/>
      <c r="DK211" s="66"/>
      <c r="DL211" s="66"/>
      <c r="DM211" s="66"/>
      <c r="DN211" s="66"/>
      <c r="DO211" s="66"/>
      <c r="DP211" s="66"/>
      <c r="DQ211" s="66"/>
      <c r="DR211" s="66"/>
      <c r="DS211" s="66"/>
      <c r="DT211" s="68"/>
      <c r="DU211" s="66"/>
      <c r="DV211" s="296"/>
      <c r="DW211" s="330"/>
      <c r="DX211" s="631"/>
      <c r="DY211" s="631"/>
      <c r="DZ211" s="631"/>
      <c r="EA211" s="330"/>
      <c r="EC211" s="66"/>
      <c r="ED211" s="68"/>
      <c r="EH211" s="66"/>
      <c r="EI211" s="66"/>
      <c r="EJ211" s="68"/>
      <c r="EK211" s="252"/>
      <c r="EL211" s="252"/>
      <c r="EM211" s="252"/>
      <c r="EO211" s="252"/>
      <c r="EP211" s="252"/>
      <c r="EQ211" s="252"/>
      <c r="ES211" s="252"/>
      <c r="ET211" s="252"/>
      <c r="EU211" s="252"/>
      <c r="EW211" s="252"/>
      <c r="EX211" s="252"/>
      <c r="EY211" s="252"/>
      <c r="FA211" s="250"/>
      <c r="FB211" s="250"/>
      <c r="FC211" s="250"/>
      <c r="FD211" s="250"/>
      <c r="FE211" s="250"/>
      <c r="FF211" s="250"/>
      <c r="FG211" s="250"/>
      <c r="FH211" s="424"/>
      <c r="FI211" s="250"/>
      <c r="FJ211" s="250"/>
      <c r="FK211" s="250"/>
      <c r="FL211" s="256"/>
      <c r="FM211" s="250"/>
      <c r="FN211" s="256"/>
      <c r="FO211" s="250"/>
      <c r="FP211" s="256"/>
      <c r="FQ211" s="250"/>
      <c r="FR211" s="256"/>
      <c r="FS211" s="250"/>
      <c r="FT211" s="256"/>
      <c r="FU211" s="256"/>
      <c r="FV211" s="256"/>
      <c r="FW211" s="250"/>
      <c r="FX211" s="424"/>
      <c r="FY211" s="251"/>
      <c r="GC211" s="252"/>
      <c r="GF211" s="252"/>
      <c r="GG211" s="252"/>
      <c r="GH211" s="252"/>
      <c r="GI211" s="252"/>
      <c r="GJ211" s="252"/>
      <c r="GK211" s="251"/>
      <c r="GL211" s="250"/>
      <c r="GM211" s="250"/>
      <c r="GN211" s="250"/>
      <c r="GO211" s="250"/>
      <c r="GP211" s="250"/>
      <c r="GQ211" s="250"/>
      <c r="GR211" s="250"/>
      <c r="GS211" s="250"/>
      <c r="GT211" s="250"/>
      <c r="GU211" s="251"/>
      <c r="GV211" s="250"/>
      <c r="GW211" s="250"/>
      <c r="GX211" s="250"/>
      <c r="GY211" s="250"/>
      <c r="GZ211" s="250"/>
      <c r="HA211" s="250"/>
      <c r="HB211" s="250"/>
      <c r="HC211" s="250"/>
      <c r="HD211" s="250"/>
      <c r="HE211" s="250"/>
      <c r="HF211" s="250"/>
      <c r="HG211" s="250"/>
      <c r="HH211" s="251"/>
      <c r="HI211" s="424"/>
      <c r="HJ211" s="255"/>
      <c r="HK211" s="255"/>
      <c r="HL211" s="250"/>
      <c r="HM211" s="255"/>
      <c r="HN211" s="255"/>
      <c r="HO211" s="255"/>
      <c r="HP211" s="250"/>
      <c r="HQ211" s="250"/>
      <c r="HR211" s="250"/>
      <c r="HS211" s="250"/>
      <c r="HT211" s="250"/>
      <c r="HU211" s="251"/>
      <c r="HX211" s="252"/>
      <c r="HY211" s="252"/>
      <c r="HZ211" s="252"/>
      <c r="ID211" s="252"/>
      <c r="IE211" s="252"/>
      <c r="IF211" s="252"/>
      <c r="IJ211" s="252"/>
      <c r="IK211" s="252"/>
      <c r="IL211" s="252"/>
      <c r="IP211" s="252"/>
      <c r="IQ211" s="252"/>
      <c r="IR211" s="252"/>
      <c r="IY211" s="66"/>
      <c r="IZ211" s="66"/>
      <c r="JA211" s="66"/>
      <c r="JB211" s="250"/>
      <c r="JC211" s="66"/>
      <c r="JD211" s="66"/>
      <c r="JE211" s="66"/>
      <c r="JF211" s="66"/>
      <c r="JG211" s="66"/>
      <c r="JH211" s="66"/>
      <c r="JI211" s="66"/>
      <c r="JJ211" s="66"/>
      <c r="JK211" s="8"/>
      <c r="JN211" s="252"/>
      <c r="JO211" s="252"/>
      <c r="JP211" s="252"/>
      <c r="JT211" s="252"/>
      <c r="JU211" s="252"/>
      <c r="JV211" s="252"/>
      <c r="JZ211" s="252"/>
      <c r="KA211" s="252"/>
      <c r="KB211" s="252"/>
      <c r="KF211" s="252"/>
      <c r="KG211" s="252"/>
      <c r="KH211" s="252"/>
      <c r="KO211" s="66"/>
      <c r="KP211" s="66"/>
      <c r="KQ211" s="66"/>
      <c r="KR211" s="66"/>
      <c r="KS211" s="66"/>
      <c r="KT211" s="66"/>
      <c r="KU211" s="66"/>
      <c r="KV211" s="66"/>
      <c r="KW211" s="66"/>
      <c r="KX211" s="66"/>
      <c r="KY211" s="66"/>
      <c r="KZ211" s="66"/>
      <c r="LA211" s="8"/>
      <c r="LD211" s="252"/>
      <c r="LE211" s="252"/>
      <c r="LF211" s="252"/>
      <c r="LJ211" s="252"/>
      <c r="LK211" s="252"/>
      <c r="LN211" s="252"/>
      <c r="LO211" s="252"/>
      <c r="LP211" s="252"/>
      <c r="LT211" s="271"/>
      <c r="LU211" s="250"/>
      <c r="LV211" s="250"/>
      <c r="LW211" s="250"/>
      <c r="LX211" s="250"/>
      <c r="LY211" s="250"/>
      <c r="LZ211" s="250"/>
      <c r="MA211" s="250"/>
      <c r="MB211" s="250"/>
      <c r="MC211" s="250"/>
      <c r="MD211" s="250"/>
      <c r="ME211" s="250"/>
      <c r="MF211" s="250"/>
      <c r="MG211" s="250"/>
      <c r="MH211" s="250"/>
      <c r="MI211" s="250"/>
      <c r="MJ211" s="250"/>
      <c r="MK211" s="424"/>
      <c r="ML211" s="640"/>
      <c r="MM211" s="251"/>
      <c r="MN211" s="252"/>
      <c r="MO211" s="252"/>
      <c r="MP211" s="252"/>
      <c r="MQ211" s="252"/>
      <c r="MR211" s="252"/>
      <c r="MS211" s="252"/>
      <c r="MT211" s="252"/>
      <c r="MU211" s="252"/>
      <c r="MV211" s="252"/>
      <c r="MW211" s="252"/>
      <c r="MX211" s="252"/>
      <c r="MY211" s="252"/>
      <c r="MZ211" s="252"/>
      <c r="NA211" s="252"/>
      <c r="NB211" s="252"/>
      <c r="NC211" s="251"/>
      <c r="ND211" s="250"/>
      <c r="NE211" s="250"/>
      <c r="NF211" s="250"/>
      <c r="NG211" s="250"/>
      <c r="NH211" s="250"/>
      <c r="NI211" s="250"/>
      <c r="NJ211" s="250"/>
      <c r="NK211" s="250"/>
      <c r="NL211" s="250"/>
      <c r="NM211" s="250"/>
      <c r="NN211" s="250"/>
      <c r="NO211" s="250"/>
      <c r="NP211" s="250"/>
      <c r="NQ211" s="250"/>
      <c r="NR211" s="250"/>
      <c r="NS211" s="250"/>
      <c r="NT211" s="250"/>
      <c r="NU211" s="250"/>
      <c r="NV211" s="250"/>
      <c r="NW211" s="251"/>
      <c r="OT211" s="8"/>
      <c r="QG211" s="8"/>
      <c r="RT211" s="8"/>
    </row>
    <row r="212" spans="1:488" s="282" customFormat="1" x14ac:dyDescent="0.25">
      <c r="A212" s="66"/>
      <c r="B212" s="8"/>
      <c r="C212" s="66"/>
      <c r="D212" s="66"/>
      <c r="E212" s="66"/>
      <c r="F212" s="66"/>
      <c r="G212" s="66"/>
      <c r="H212" s="66"/>
      <c r="I212" s="66"/>
      <c r="J212" s="66"/>
      <c r="K212" s="66"/>
      <c r="L212" s="66"/>
      <c r="M212" s="66"/>
      <c r="N212" s="66"/>
      <c r="O212" s="66"/>
      <c r="P212" s="66"/>
      <c r="Q212" s="66"/>
      <c r="R212" s="66"/>
      <c r="S212" s="66"/>
      <c r="T212" s="68"/>
      <c r="AC212" s="66"/>
      <c r="AD212" s="66"/>
      <c r="AE212" s="68"/>
      <c r="AN212" s="66"/>
      <c r="AO212" s="66"/>
      <c r="AP212" s="68"/>
      <c r="AW212" s="66"/>
      <c r="AX212" s="68"/>
      <c r="BD212" s="66"/>
      <c r="BE212" s="68"/>
      <c r="BF212" s="66"/>
      <c r="BG212" s="66"/>
      <c r="BH212" s="66"/>
      <c r="BI212" s="66"/>
      <c r="BJ212" s="66"/>
      <c r="BK212" s="66"/>
      <c r="BL212" s="68"/>
      <c r="BO212" s="66"/>
      <c r="BP212" s="68"/>
      <c r="BV212" s="66"/>
      <c r="BW212" s="68"/>
      <c r="CB212" s="8"/>
      <c r="CH212" s="8"/>
      <c r="CK212" s="299"/>
      <c r="CL212" s="299"/>
      <c r="CM212" s="66"/>
      <c r="CN212" s="66"/>
      <c r="CO212" s="68"/>
      <c r="CR212" s="8"/>
      <c r="CX212" s="66"/>
      <c r="CY212" s="532"/>
      <c r="DE212" s="66"/>
      <c r="DF212" s="66"/>
      <c r="DG212" s="68"/>
      <c r="DH212" s="68"/>
      <c r="DK212" s="66"/>
      <c r="DL212" s="66"/>
      <c r="DM212" s="66"/>
      <c r="DN212" s="66"/>
      <c r="DO212" s="66"/>
      <c r="DP212" s="66"/>
      <c r="DQ212" s="66"/>
      <c r="DR212" s="66"/>
      <c r="DS212" s="66"/>
      <c r="DT212" s="68"/>
      <c r="DU212" s="66"/>
      <c r="DV212" s="296"/>
      <c r="DW212" s="330"/>
      <c r="DX212" s="631"/>
      <c r="DY212" s="631"/>
      <c r="DZ212" s="631"/>
      <c r="EA212" s="330"/>
      <c r="EC212" s="66"/>
      <c r="ED212" s="68"/>
      <c r="EH212" s="66"/>
      <c r="EI212" s="66"/>
      <c r="EJ212" s="68"/>
      <c r="EK212" s="252"/>
      <c r="EL212" s="252"/>
      <c r="EM212" s="252"/>
      <c r="EO212" s="252"/>
      <c r="EP212" s="252"/>
      <c r="EQ212" s="252"/>
      <c r="ES212" s="252"/>
      <c r="ET212" s="252"/>
      <c r="EU212" s="252"/>
      <c r="EW212" s="252"/>
      <c r="EX212" s="252"/>
      <c r="EY212" s="252"/>
      <c r="FA212" s="250"/>
      <c r="FB212" s="250"/>
      <c r="FC212" s="250"/>
      <c r="FD212" s="250"/>
      <c r="FE212" s="250"/>
      <c r="FF212" s="250"/>
      <c r="FG212" s="250"/>
      <c r="FH212" s="424"/>
      <c r="FI212" s="250"/>
      <c r="FJ212" s="250"/>
      <c r="FK212" s="250"/>
      <c r="FL212" s="256"/>
      <c r="FM212" s="250"/>
      <c r="FN212" s="256"/>
      <c r="FO212" s="250"/>
      <c r="FP212" s="256"/>
      <c r="FQ212" s="250"/>
      <c r="FR212" s="256"/>
      <c r="FS212" s="250"/>
      <c r="FT212" s="256"/>
      <c r="FU212" s="256"/>
      <c r="FV212" s="256"/>
      <c r="FW212" s="250"/>
      <c r="FX212" s="424"/>
      <c r="FY212" s="251"/>
      <c r="GC212" s="252"/>
      <c r="GF212" s="252"/>
      <c r="GG212" s="252"/>
      <c r="GH212" s="252"/>
      <c r="GI212" s="252"/>
      <c r="GJ212" s="252"/>
      <c r="GK212" s="251"/>
      <c r="GL212" s="250"/>
      <c r="GM212" s="250"/>
      <c r="GN212" s="250"/>
      <c r="GO212" s="250"/>
      <c r="GP212" s="250"/>
      <c r="GQ212" s="250"/>
      <c r="GR212" s="250"/>
      <c r="GS212" s="250"/>
      <c r="GT212" s="250"/>
      <c r="GU212" s="251"/>
      <c r="GV212" s="250"/>
      <c r="GW212" s="250"/>
      <c r="GX212" s="250"/>
      <c r="GY212" s="250"/>
      <c r="GZ212" s="250"/>
      <c r="HA212" s="250"/>
      <c r="HB212" s="250"/>
      <c r="HC212" s="250"/>
      <c r="HD212" s="250"/>
      <c r="HE212" s="250"/>
      <c r="HF212" s="250"/>
      <c r="HG212" s="250"/>
      <c r="HH212" s="251"/>
      <c r="HI212" s="424"/>
      <c r="HJ212" s="255"/>
      <c r="HK212" s="255"/>
      <c r="HL212" s="250"/>
      <c r="HM212" s="255"/>
      <c r="HN212" s="255"/>
      <c r="HO212" s="255"/>
      <c r="HP212" s="250"/>
      <c r="HQ212" s="250"/>
      <c r="HR212" s="250"/>
      <c r="HS212" s="250"/>
      <c r="HT212" s="250"/>
      <c r="HU212" s="251"/>
      <c r="HX212" s="252"/>
      <c r="HY212" s="252"/>
      <c r="HZ212" s="252"/>
      <c r="ID212" s="252"/>
      <c r="IE212" s="252"/>
      <c r="IF212" s="252"/>
      <c r="IJ212" s="252"/>
      <c r="IK212" s="252"/>
      <c r="IL212" s="252"/>
      <c r="IP212" s="252"/>
      <c r="IQ212" s="252"/>
      <c r="IR212" s="252"/>
      <c r="IY212" s="66"/>
      <c r="IZ212" s="66"/>
      <c r="JA212" s="66"/>
      <c r="JB212" s="250"/>
      <c r="JC212" s="66"/>
      <c r="JD212" s="66"/>
      <c r="JE212" s="66"/>
      <c r="JF212" s="66"/>
      <c r="JG212" s="66"/>
      <c r="JH212" s="66"/>
      <c r="JI212" s="66"/>
      <c r="JJ212" s="66"/>
      <c r="JK212" s="8"/>
      <c r="JN212" s="252"/>
      <c r="JO212" s="252"/>
      <c r="JP212" s="252"/>
      <c r="JT212" s="252"/>
      <c r="JU212" s="252"/>
      <c r="JV212" s="252"/>
      <c r="JZ212" s="252"/>
      <c r="KA212" s="252"/>
      <c r="KB212" s="252"/>
      <c r="KF212" s="252"/>
      <c r="KG212" s="252"/>
      <c r="KH212" s="252"/>
      <c r="KO212" s="66"/>
      <c r="KP212" s="66"/>
      <c r="KQ212" s="66"/>
      <c r="KR212" s="66"/>
      <c r="KS212" s="66"/>
      <c r="KT212" s="66"/>
      <c r="KU212" s="66"/>
      <c r="KV212" s="66"/>
      <c r="KW212" s="66"/>
      <c r="KX212" s="66"/>
      <c r="KY212" s="66"/>
      <c r="KZ212" s="66"/>
      <c r="LA212" s="8"/>
      <c r="LD212" s="252"/>
      <c r="LE212" s="252"/>
      <c r="LF212" s="252"/>
      <c r="LJ212" s="252"/>
      <c r="LK212" s="252"/>
      <c r="LN212" s="252"/>
      <c r="LO212" s="252"/>
      <c r="LP212" s="252"/>
      <c r="LT212" s="271"/>
      <c r="LU212" s="250"/>
      <c r="LV212" s="250"/>
      <c r="LW212" s="250"/>
      <c r="LX212" s="250"/>
      <c r="LY212" s="250"/>
      <c r="LZ212" s="250"/>
      <c r="MA212" s="250"/>
      <c r="MB212" s="250"/>
      <c r="MC212" s="250"/>
      <c r="MD212" s="250"/>
      <c r="ME212" s="250"/>
      <c r="MF212" s="250"/>
      <c r="MG212" s="250"/>
      <c r="MH212" s="250"/>
      <c r="MI212" s="250"/>
      <c r="MJ212" s="250"/>
      <c r="MK212" s="424"/>
      <c r="ML212" s="640"/>
      <c r="MM212" s="251"/>
      <c r="MN212" s="252"/>
      <c r="MO212" s="252"/>
      <c r="MP212" s="252"/>
      <c r="MQ212" s="252"/>
      <c r="MR212" s="252"/>
      <c r="MS212" s="252"/>
      <c r="MT212" s="252"/>
      <c r="MU212" s="252"/>
      <c r="MV212" s="252"/>
      <c r="MW212" s="252"/>
      <c r="MX212" s="252"/>
      <c r="MY212" s="252"/>
      <c r="MZ212" s="252"/>
      <c r="NA212" s="252"/>
      <c r="NB212" s="252"/>
      <c r="NC212" s="251"/>
      <c r="ND212" s="250"/>
      <c r="NE212" s="250"/>
      <c r="NF212" s="250"/>
      <c r="NG212" s="250"/>
      <c r="NH212" s="250"/>
      <c r="NI212" s="250"/>
      <c r="NJ212" s="250"/>
      <c r="NK212" s="250"/>
      <c r="NL212" s="250"/>
      <c r="NM212" s="250"/>
      <c r="NN212" s="250"/>
      <c r="NO212" s="250"/>
      <c r="NP212" s="250"/>
      <c r="NQ212" s="250"/>
      <c r="NR212" s="250"/>
      <c r="NS212" s="250"/>
      <c r="NT212" s="250"/>
      <c r="NU212" s="250"/>
      <c r="NV212" s="250"/>
      <c r="NW212" s="251"/>
      <c r="OT212" s="8"/>
      <c r="QG212" s="8"/>
      <c r="RT212" s="8"/>
    </row>
    <row r="213" spans="1:488" s="282" customFormat="1" x14ac:dyDescent="0.25">
      <c r="A213" s="66"/>
      <c r="B213" s="8"/>
      <c r="C213" s="66"/>
      <c r="D213" s="66"/>
      <c r="E213" s="66"/>
      <c r="F213" s="66"/>
      <c r="G213" s="66"/>
      <c r="H213" s="66"/>
      <c r="I213" s="66"/>
      <c r="J213" s="66"/>
      <c r="K213" s="66"/>
      <c r="L213" s="66"/>
      <c r="M213" s="66"/>
      <c r="N213" s="66"/>
      <c r="O213" s="66"/>
      <c r="P213" s="66"/>
      <c r="Q213" s="66"/>
      <c r="R213" s="66"/>
      <c r="S213" s="66"/>
      <c r="T213" s="68"/>
      <c r="AC213" s="66"/>
      <c r="AD213" s="66"/>
      <c r="AE213" s="68"/>
      <c r="AN213" s="66"/>
      <c r="AO213" s="66"/>
      <c r="AP213" s="68"/>
      <c r="AW213" s="66"/>
      <c r="AX213" s="68"/>
      <c r="BD213" s="66"/>
      <c r="BE213" s="68"/>
      <c r="BF213" s="66"/>
      <c r="BG213" s="66"/>
      <c r="BH213" s="66"/>
      <c r="BI213" s="66"/>
      <c r="BJ213" s="66"/>
      <c r="BK213" s="66"/>
      <c r="BL213" s="68"/>
      <c r="BO213" s="66"/>
      <c r="BP213" s="68"/>
      <c r="BV213" s="66"/>
      <c r="BW213" s="68"/>
      <c r="CB213" s="8"/>
      <c r="CH213" s="8"/>
      <c r="CK213" s="299"/>
      <c r="CL213" s="299"/>
      <c r="CM213" s="66"/>
      <c r="CN213" s="66"/>
      <c r="CO213" s="68"/>
      <c r="CR213" s="8"/>
      <c r="CX213" s="66"/>
      <c r="CY213" s="532"/>
      <c r="DE213" s="66"/>
      <c r="DF213" s="66"/>
      <c r="DG213" s="68"/>
      <c r="DH213" s="68"/>
      <c r="DK213" s="66"/>
      <c r="DL213" s="66"/>
      <c r="DM213" s="66"/>
      <c r="DN213" s="66"/>
      <c r="DO213" s="66"/>
      <c r="DP213" s="66"/>
      <c r="DQ213" s="66"/>
      <c r="DR213" s="66"/>
      <c r="DS213" s="66"/>
      <c r="DT213" s="68"/>
      <c r="DU213" s="66"/>
      <c r="DV213" s="296"/>
      <c r="DW213" s="330"/>
      <c r="DX213" s="631"/>
      <c r="DY213" s="631"/>
      <c r="DZ213" s="631"/>
      <c r="EA213" s="330"/>
      <c r="EC213" s="66"/>
      <c r="ED213" s="68"/>
      <c r="EH213" s="66"/>
      <c r="EI213" s="66"/>
      <c r="EJ213" s="68"/>
      <c r="EK213" s="252"/>
      <c r="EL213" s="252"/>
      <c r="EM213" s="252"/>
      <c r="EO213" s="252"/>
      <c r="EP213" s="252"/>
      <c r="EQ213" s="252"/>
      <c r="ES213" s="252"/>
      <c r="ET213" s="252"/>
      <c r="EU213" s="252"/>
      <c r="EW213" s="252"/>
      <c r="EX213" s="252"/>
      <c r="EY213" s="252"/>
      <c r="FA213" s="250"/>
      <c r="FB213" s="250"/>
      <c r="FC213" s="250"/>
      <c r="FD213" s="250"/>
      <c r="FE213" s="250"/>
      <c r="FF213" s="250"/>
      <c r="FG213" s="250"/>
      <c r="FH213" s="424"/>
      <c r="FI213" s="250"/>
      <c r="FJ213" s="250"/>
      <c r="FK213" s="250"/>
      <c r="FL213" s="256"/>
      <c r="FM213" s="250"/>
      <c r="FN213" s="256"/>
      <c r="FO213" s="250"/>
      <c r="FP213" s="256"/>
      <c r="FQ213" s="250"/>
      <c r="FR213" s="256"/>
      <c r="FS213" s="250"/>
      <c r="FT213" s="256"/>
      <c r="FU213" s="256"/>
      <c r="FV213" s="256"/>
      <c r="FW213" s="250"/>
      <c r="FX213" s="424"/>
      <c r="FY213" s="251"/>
      <c r="GC213" s="252"/>
      <c r="GF213" s="252"/>
      <c r="GG213" s="252"/>
      <c r="GH213" s="252"/>
      <c r="GI213" s="252"/>
      <c r="GJ213" s="252"/>
      <c r="GK213" s="251"/>
      <c r="GL213" s="250"/>
      <c r="GM213" s="250"/>
      <c r="GN213" s="250"/>
      <c r="GO213" s="250"/>
      <c r="GP213" s="250"/>
      <c r="GQ213" s="250"/>
      <c r="GR213" s="250"/>
      <c r="GS213" s="250"/>
      <c r="GT213" s="250"/>
      <c r="GU213" s="251"/>
      <c r="GV213" s="250"/>
      <c r="GW213" s="250"/>
      <c r="GX213" s="250"/>
      <c r="GY213" s="250"/>
      <c r="GZ213" s="250"/>
      <c r="HA213" s="250"/>
      <c r="HB213" s="250"/>
      <c r="HC213" s="250"/>
      <c r="HD213" s="250"/>
      <c r="HE213" s="250"/>
      <c r="HF213" s="250"/>
      <c r="HG213" s="250"/>
      <c r="HH213" s="251"/>
      <c r="HI213" s="424"/>
      <c r="HJ213" s="255"/>
      <c r="HK213" s="255"/>
      <c r="HL213" s="250"/>
      <c r="HM213" s="255"/>
      <c r="HN213" s="255"/>
      <c r="HO213" s="255"/>
      <c r="HP213" s="250"/>
      <c r="HQ213" s="250"/>
      <c r="HR213" s="250"/>
      <c r="HS213" s="250"/>
      <c r="HT213" s="250"/>
      <c r="HU213" s="251"/>
      <c r="HX213" s="252"/>
      <c r="HY213" s="252"/>
      <c r="HZ213" s="252"/>
      <c r="ID213" s="252"/>
      <c r="IE213" s="252"/>
      <c r="IF213" s="252"/>
      <c r="IJ213" s="252"/>
      <c r="IK213" s="252"/>
      <c r="IL213" s="252"/>
      <c r="IP213" s="252"/>
      <c r="IQ213" s="252"/>
      <c r="IR213" s="252"/>
      <c r="IY213" s="66"/>
      <c r="IZ213" s="66"/>
      <c r="JA213" s="66"/>
      <c r="JB213" s="250"/>
      <c r="JC213" s="66"/>
      <c r="JD213" s="66"/>
      <c r="JE213" s="66"/>
      <c r="JF213" s="66"/>
      <c r="JG213" s="66"/>
      <c r="JH213" s="66"/>
      <c r="JI213" s="66"/>
      <c r="JJ213" s="66"/>
      <c r="JK213" s="8"/>
      <c r="JN213" s="252"/>
      <c r="JO213" s="252"/>
      <c r="JP213" s="252"/>
      <c r="JT213" s="252"/>
      <c r="JU213" s="252"/>
      <c r="JV213" s="252"/>
      <c r="JZ213" s="252"/>
      <c r="KA213" s="252"/>
      <c r="KB213" s="252"/>
      <c r="KF213" s="252"/>
      <c r="KG213" s="252"/>
      <c r="KH213" s="252"/>
      <c r="KO213" s="66"/>
      <c r="KP213" s="66"/>
      <c r="KQ213" s="66"/>
      <c r="KR213" s="66"/>
      <c r="KS213" s="66"/>
      <c r="KT213" s="66"/>
      <c r="KU213" s="66"/>
      <c r="KV213" s="66"/>
      <c r="KW213" s="66"/>
      <c r="KX213" s="66"/>
      <c r="KY213" s="66"/>
      <c r="KZ213" s="66"/>
      <c r="LA213" s="8"/>
      <c r="LD213" s="252"/>
      <c r="LE213" s="252"/>
      <c r="LF213" s="252"/>
      <c r="LJ213" s="252"/>
      <c r="LK213" s="252"/>
      <c r="LN213" s="252"/>
      <c r="LO213" s="252"/>
      <c r="LP213" s="252"/>
      <c r="LT213" s="271"/>
      <c r="LU213" s="250"/>
      <c r="LV213" s="250"/>
      <c r="LW213" s="250"/>
      <c r="LX213" s="250"/>
      <c r="LY213" s="250"/>
      <c r="LZ213" s="250"/>
      <c r="MA213" s="250"/>
      <c r="MB213" s="250"/>
      <c r="MC213" s="250"/>
      <c r="MD213" s="250"/>
      <c r="ME213" s="250"/>
      <c r="MF213" s="250"/>
      <c r="MG213" s="250"/>
      <c r="MH213" s="250"/>
      <c r="MI213" s="250"/>
      <c r="MJ213" s="250"/>
      <c r="MK213" s="424"/>
      <c r="ML213" s="640"/>
      <c r="MM213" s="251"/>
      <c r="MN213" s="252"/>
      <c r="MO213" s="252"/>
      <c r="MP213" s="252"/>
      <c r="MQ213" s="252"/>
      <c r="MR213" s="252"/>
      <c r="MS213" s="252"/>
      <c r="MT213" s="252"/>
      <c r="MU213" s="252"/>
      <c r="MV213" s="252"/>
      <c r="MW213" s="252"/>
      <c r="MX213" s="252"/>
      <c r="MY213" s="252"/>
      <c r="MZ213" s="252"/>
      <c r="NA213" s="252"/>
      <c r="NB213" s="252"/>
      <c r="NC213" s="251"/>
      <c r="ND213" s="250"/>
      <c r="NE213" s="250"/>
      <c r="NF213" s="250"/>
      <c r="NG213" s="250"/>
      <c r="NH213" s="250"/>
      <c r="NI213" s="250"/>
      <c r="NJ213" s="250"/>
      <c r="NK213" s="250"/>
      <c r="NL213" s="250"/>
      <c r="NM213" s="250"/>
      <c r="NN213" s="250"/>
      <c r="NO213" s="250"/>
      <c r="NP213" s="250"/>
      <c r="NQ213" s="250"/>
      <c r="NR213" s="250"/>
      <c r="NS213" s="250"/>
      <c r="NT213" s="250"/>
      <c r="NU213" s="250"/>
      <c r="NV213" s="250"/>
      <c r="NW213" s="251"/>
      <c r="OT213" s="8"/>
      <c r="QG213" s="8"/>
      <c r="RT213" s="8"/>
    </row>
    <row r="214" spans="1:488" s="282" customFormat="1" x14ac:dyDescent="0.25">
      <c r="A214" s="66"/>
      <c r="B214" s="8"/>
      <c r="C214" s="66"/>
      <c r="D214" s="66"/>
      <c r="E214" s="66"/>
      <c r="F214" s="66"/>
      <c r="G214" s="66"/>
      <c r="H214" s="66"/>
      <c r="I214" s="66"/>
      <c r="J214" s="66"/>
      <c r="K214" s="66"/>
      <c r="L214" s="66"/>
      <c r="M214" s="66"/>
      <c r="N214" s="66"/>
      <c r="O214" s="66"/>
      <c r="P214" s="66"/>
      <c r="Q214" s="66"/>
      <c r="R214" s="66"/>
      <c r="S214" s="66"/>
      <c r="T214" s="68"/>
      <c r="AC214" s="66"/>
      <c r="AD214" s="66"/>
      <c r="AE214" s="68"/>
      <c r="AN214" s="66"/>
      <c r="AO214" s="66"/>
      <c r="AP214" s="68"/>
      <c r="AW214" s="66"/>
      <c r="AX214" s="68"/>
      <c r="BD214" s="66"/>
      <c r="BE214" s="68"/>
      <c r="BF214" s="66"/>
      <c r="BG214" s="66"/>
      <c r="BH214" s="66"/>
      <c r="BI214" s="66"/>
      <c r="BJ214" s="66"/>
      <c r="BK214" s="66"/>
      <c r="BL214" s="68"/>
      <c r="BO214" s="66"/>
      <c r="BP214" s="68"/>
      <c r="BV214" s="66"/>
      <c r="BW214" s="68"/>
      <c r="CB214" s="8"/>
      <c r="CH214" s="8"/>
      <c r="CK214" s="299"/>
      <c r="CL214" s="299"/>
      <c r="CM214" s="66"/>
      <c r="CN214" s="66"/>
      <c r="CO214" s="68"/>
      <c r="CR214" s="8"/>
      <c r="CX214" s="66"/>
      <c r="CY214" s="532"/>
      <c r="DE214" s="66"/>
      <c r="DF214" s="66"/>
      <c r="DG214" s="68"/>
      <c r="DH214" s="68"/>
      <c r="DK214" s="66"/>
      <c r="DL214" s="66"/>
      <c r="DM214" s="66"/>
      <c r="DN214" s="66"/>
      <c r="DO214" s="66"/>
      <c r="DP214" s="66"/>
      <c r="DQ214" s="66"/>
      <c r="DR214" s="66"/>
      <c r="DS214" s="66"/>
      <c r="DT214" s="68"/>
      <c r="DU214" s="66"/>
      <c r="DV214" s="296"/>
      <c r="DW214" s="330"/>
      <c r="DX214" s="631"/>
      <c r="DY214" s="631"/>
      <c r="DZ214" s="631"/>
      <c r="EA214" s="330"/>
      <c r="EC214" s="66"/>
      <c r="ED214" s="68"/>
      <c r="EH214" s="66"/>
      <c r="EI214" s="66"/>
      <c r="EJ214" s="68"/>
      <c r="EK214" s="252"/>
      <c r="EL214" s="252"/>
      <c r="EM214" s="252"/>
      <c r="EO214" s="252"/>
      <c r="EP214" s="252"/>
      <c r="EQ214" s="252"/>
      <c r="ES214" s="252"/>
      <c r="ET214" s="252"/>
      <c r="EU214" s="252"/>
      <c r="EW214" s="252"/>
      <c r="EX214" s="252"/>
      <c r="EY214" s="252"/>
      <c r="FA214" s="250"/>
      <c r="FB214" s="250"/>
      <c r="FC214" s="250"/>
      <c r="FD214" s="250"/>
      <c r="FE214" s="250"/>
      <c r="FF214" s="250"/>
      <c r="FG214" s="250"/>
      <c r="FH214" s="424"/>
      <c r="FI214" s="250"/>
      <c r="FJ214" s="250"/>
      <c r="FK214" s="250"/>
      <c r="FL214" s="256"/>
      <c r="FM214" s="250"/>
      <c r="FN214" s="256"/>
      <c r="FO214" s="250"/>
      <c r="FP214" s="256"/>
      <c r="FQ214" s="250"/>
      <c r="FR214" s="256"/>
      <c r="FS214" s="250"/>
      <c r="FT214" s="256"/>
      <c r="FU214" s="256"/>
      <c r="FV214" s="256"/>
      <c r="FW214" s="250"/>
      <c r="FX214" s="424"/>
      <c r="FY214" s="251"/>
      <c r="GC214" s="252"/>
      <c r="GF214" s="252"/>
      <c r="GG214" s="252"/>
      <c r="GH214" s="252"/>
      <c r="GI214" s="252"/>
      <c r="GJ214" s="252"/>
      <c r="GK214" s="251"/>
      <c r="GL214" s="250"/>
      <c r="GM214" s="250"/>
      <c r="GN214" s="250"/>
      <c r="GO214" s="250"/>
      <c r="GP214" s="250"/>
      <c r="GQ214" s="250"/>
      <c r="GR214" s="250"/>
      <c r="GS214" s="250"/>
      <c r="GT214" s="250"/>
      <c r="GU214" s="251"/>
      <c r="GV214" s="250"/>
      <c r="GW214" s="250"/>
      <c r="GX214" s="250"/>
      <c r="GY214" s="250"/>
      <c r="GZ214" s="250"/>
      <c r="HA214" s="250"/>
      <c r="HB214" s="250"/>
      <c r="HC214" s="250"/>
      <c r="HD214" s="250"/>
      <c r="HE214" s="250"/>
      <c r="HF214" s="250"/>
      <c r="HG214" s="250"/>
      <c r="HH214" s="251"/>
      <c r="HI214" s="424"/>
      <c r="HJ214" s="255"/>
      <c r="HK214" s="255"/>
      <c r="HL214" s="250"/>
      <c r="HM214" s="255"/>
      <c r="HN214" s="255"/>
      <c r="HO214" s="255"/>
      <c r="HP214" s="250"/>
      <c r="HQ214" s="250"/>
      <c r="HR214" s="250"/>
      <c r="HS214" s="250"/>
      <c r="HT214" s="250"/>
      <c r="HU214" s="251"/>
      <c r="HX214" s="252"/>
      <c r="HY214" s="252"/>
      <c r="HZ214" s="252"/>
      <c r="ID214" s="252"/>
      <c r="IE214" s="252"/>
      <c r="IF214" s="252"/>
      <c r="IJ214" s="252"/>
      <c r="IK214" s="252"/>
      <c r="IL214" s="252"/>
      <c r="IP214" s="252"/>
      <c r="IQ214" s="252"/>
      <c r="IR214" s="252"/>
      <c r="IY214" s="66"/>
      <c r="IZ214" s="66"/>
      <c r="JA214" s="66"/>
      <c r="JB214" s="250"/>
      <c r="JC214" s="66"/>
      <c r="JD214" s="66"/>
      <c r="JE214" s="66"/>
      <c r="JF214" s="66"/>
      <c r="JG214" s="66"/>
      <c r="JH214" s="66"/>
      <c r="JI214" s="66"/>
      <c r="JJ214" s="66"/>
      <c r="JK214" s="8"/>
      <c r="JN214" s="252"/>
      <c r="JO214" s="252"/>
      <c r="JP214" s="252"/>
      <c r="JT214" s="252"/>
      <c r="JU214" s="252"/>
      <c r="JV214" s="252"/>
      <c r="JZ214" s="252"/>
      <c r="KA214" s="252"/>
      <c r="KB214" s="252"/>
      <c r="KF214" s="252"/>
      <c r="KG214" s="252"/>
      <c r="KH214" s="252"/>
      <c r="KO214" s="66"/>
      <c r="KP214" s="66"/>
      <c r="KQ214" s="66"/>
      <c r="KR214" s="66"/>
      <c r="KS214" s="66"/>
      <c r="KT214" s="66"/>
      <c r="KU214" s="66"/>
      <c r="KV214" s="66"/>
      <c r="KW214" s="66"/>
      <c r="KX214" s="66"/>
      <c r="KY214" s="66"/>
      <c r="KZ214" s="66"/>
      <c r="LA214" s="8"/>
      <c r="LD214" s="252"/>
      <c r="LE214" s="252"/>
      <c r="LF214" s="252"/>
      <c r="LJ214" s="252"/>
      <c r="LK214" s="252"/>
      <c r="LN214" s="252"/>
      <c r="LO214" s="252"/>
      <c r="LP214" s="252"/>
      <c r="LT214" s="271"/>
      <c r="LU214" s="250"/>
      <c r="LV214" s="250"/>
      <c r="LW214" s="250"/>
      <c r="LX214" s="250"/>
      <c r="LY214" s="250"/>
      <c r="LZ214" s="250"/>
      <c r="MA214" s="250"/>
      <c r="MB214" s="250"/>
      <c r="MC214" s="250"/>
      <c r="MD214" s="250"/>
      <c r="ME214" s="250"/>
      <c r="MF214" s="250"/>
      <c r="MG214" s="250"/>
      <c r="MH214" s="250"/>
      <c r="MI214" s="250"/>
      <c r="MJ214" s="250"/>
      <c r="MK214" s="424"/>
      <c r="ML214" s="640"/>
      <c r="MM214" s="251"/>
      <c r="MN214" s="252"/>
      <c r="MO214" s="252"/>
      <c r="MP214" s="252"/>
      <c r="MQ214" s="252"/>
      <c r="MR214" s="252"/>
      <c r="MS214" s="252"/>
      <c r="MT214" s="252"/>
      <c r="MU214" s="252"/>
      <c r="MV214" s="252"/>
      <c r="MW214" s="252"/>
      <c r="MX214" s="252"/>
      <c r="MY214" s="252"/>
      <c r="MZ214" s="252"/>
      <c r="NA214" s="252"/>
      <c r="NB214" s="252"/>
      <c r="NC214" s="251"/>
      <c r="ND214" s="250"/>
      <c r="NE214" s="250"/>
      <c r="NF214" s="250"/>
      <c r="NG214" s="250"/>
      <c r="NH214" s="250"/>
      <c r="NI214" s="250"/>
      <c r="NJ214" s="250"/>
      <c r="NK214" s="250"/>
      <c r="NL214" s="250"/>
      <c r="NM214" s="250"/>
      <c r="NN214" s="250"/>
      <c r="NO214" s="250"/>
      <c r="NP214" s="250"/>
      <c r="NQ214" s="250"/>
      <c r="NR214" s="250"/>
      <c r="NS214" s="250"/>
      <c r="NT214" s="250"/>
      <c r="NU214" s="250"/>
      <c r="NV214" s="250"/>
      <c r="NW214" s="251"/>
      <c r="OT214" s="8"/>
      <c r="QG214" s="8"/>
      <c r="RT214" s="8"/>
    </row>
    <row r="215" spans="1:488" s="282" customFormat="1" x14ac:dyDescent="0.25">
      <c r="A215" s="66"/>
      <c r="B215" s="8"/>
      <c r="C215" s="66"/>
      <c r="D215" s="66"/>
      <c r="E215" s="66"/>
      <c r="F215" s="66"/>
      <c r="G215" s="66"/>
      <c r="H215" s="66"/>
      <c r="I215" s="66"/>
      <c r="J215" s="66"/>
      <c r="K215" s="66"/>
      <c r="L215" s="66"/>
      <c r="M215" s="66"/>
      <c r="N215" s="66"/>
      <c r="O215" s="66"/>
      <c r="P215" s="66"/>
      <c r="Q215" s="66"/>
      <c r="R215" s="66"/>
      <c r="S215" s="66"/>
      <c r="T215" s="68"/>
      <c r="AC215" s="66"/>
      <c r="AD215" s="66"/>
      <c r="AE215" s="68"/>
      <c r="AN215" s="66"/>
      <c r="AO215" s="66"/>
      <c r="AP215" s="68"/>
      <c r="AW215" s="66"/>
      <c r="AX215" s="68"/>
      <c r="BD215" s="66"/>
      <c r="BE215" s="68"/>
      <c r="BF215" s="66"/>
      <c r="BG215" s="66"/>
      <c r="BH215" s="66"/>
      <c r="BI215" s="66"/>
      <c r="BJ215" s="66"/>
      <c r="BK215" s="66"/>
      <c r="BL215" s="68"/>
      <c r="BO215" s="66"/>
      <c r="BP215" s="68"/>
      <c r="BV215" s="66"/>
      <c r="BW215" s="68"/>
      <c r="CB215" s="8"/>
      <c r="CH215" s="8"/>
      <c r="CK215" s="299"/>
      <c r="CL215" s="299"/>
      <c r="CM215" s="66"/>
      <c r="CN215" s="66"/>
      <c r="CO215" s="68"/>
      <c r="CR215" s="8"/>
      <c r="CX215" s="66"/>
      <c r="CY215" s="532"/>
      <c r="DE215" s="66"/>
      <c r="DF215" s="66"/>
      <c r="DG215" s="68"/>
      <c r="DH215" s="68"/>
      <c r="DK215" s="66"/>
      <c r="DL215" s="66"/>
      <c r="DM215" s="66"/>
      <c r="DN215" s="66"/>
      <c r="DO215" s="66"/>
      <c r="DP215" s="66"/>
      <c r="DQ215" s="66"/>
      <c r="DR215" s="66"/>
      <c r="DS215" s="66"/>
      <c r="DT215" s="68"/>
      <c r="DU215" s="66"/>
      <c r="DV215" s="296"/>
      <c r="DW215" s="330"/>
      <c r="DX215" s="631"/>
      <c r="DY215" s="631"/>
      <c r="DZ215" s="631"/>
      <c r="EA215" s="330"/>
      <c r="EC215" s="66"/>
      <c r="ED215" s="68"/>
      <c r="EH215" s="66"/>
      <c r="EI215" s="66"/>
      <c r="EJ215" s="68"/>
      <c r="EK215" s="252"/>
      <c r="EL215" s="252"/>
      <c r="EM215" s="252"/>
      <c r="EO215" s="252"/>
      <c r="EP215" s="252"/>
      <c r="EQ215" s="252"/>
      <c r="ES215" s="252"/>
      <c r="ET215" s="252"/>
      <c r="EU215" s="252"/>
      <c r="EW215" s="252"/>
      <c r="EX215" s="252"/>
      <c r="EY215" s="252"/>
      <c r="FA215" s="250"/>
      <c r="FB215" s="250"/>
      <c r="FC215" s="250"/>
      <c r="FD215" s="250"/>
      <c r="FE215" s="250"/>
      <c r="FF215" s="250"/>
      <c r="FG215" s="250"/>
      <c r="FH215" s="424"/>
      <c r="FI215" s="250"/>
      <c r="FJ215" s="250"/>
      <c r="FK215" s="250"/>
      <c r="FL215" s="256"/>
      <c r="FM215" s="250"/>
      <c r="FN215" s="256"/>
      <c r="FO215" s="250"/>
      <c r="FP215" s="256"/>
      <c r="FQ215" s="250"/>
      <c r="FR215" s="256"/>
      <c r="FS215" s="250"/>
      <c r="FT215" s="256"/>
      <c r="FU215" s="256"/>
      <c r="FV215" s="256"/>
      <c r="FW215" s="250"/>
      <c r="FX215" s="424"/>
      <c r="FY215" s="251"/>
      <c r="GC215" s="252"/>
      <c r="GF215" s="252"/>
      <c r="GG215" s="252"/>
      <c r="GH215" s="252"/>
      <c r="GI215" s="252"/>
      <c r="GJ215" s="252"/>
      <c r="GK215" s="251"/>
      <c r="GL215" s="250"/>
      <c r="GM215" s="250"/>
      <c r="GN215" s="250"/>
      <c r="GO215" s="250"/>
      <c r="GP215" s="250"/>
      <c r="GQ215" s="250"/>
      <c r="GR215" s="250"/>
      <c r="GS215" s="250"/>
      <c r="GT215" s="250"/>
      <c r="GU215" s="251"/>
      <c r="GV215" s="250"/>
      <c r="GW215" s="250"/>
      <c r="GX215" s="250"/>
      <c r="GY215" s="250"/>
      <c r="GZ215" s="250"/>
      <c r="HA215" s="250"/>
      <c r="HB215" s="250"/>
      <c r="HC215" s="250"/>
      <c r="HD215" s="250"/>
      <c r="HE215" s="250"/>
      <c r="HF215" s="250"/>
      <c r="HG215" s="250"/>
      <c r="HH215" s="251"/>
      <c r="HI215" s="424"/>
      <c r="HJ215" s="255"/>
      <c r="HK215" s="255"/>
      <c r="HL215" s="250"/>
      <c r="HM215" s="255"/>
      <c r="HN215" s="255"/>
      <c r="HO215" s="255"/>
      <c r="HP215" s="250"/>
      <c r="HQ215" s="250"/>
      <c r="HR215" s="250"/>
      <c r="HS215" s="250"/>
      <c r="HT215" s="250"/>
      <c r="HU215" s="251"/>
      <c r="HX215" s="252"/>
      <c r="HY215" s="252"/>
      <c r="HZ215" s="252"/>
      <c r="ID215" s="252"/>
      <c r="IE215" s="252"/>
      <c r="IF215" s="252"/>
      <c r="IJ215" s="252"/>
      <c r="IK215" s="252"/>
      <c r="IL215" s="252"/>
      <c r="IP215" s="252"/>
      <c r="IQ215" s="252"/>
      <c r="IR215" s="252"/>
      <c r="IY215" s="66"/>
      <c r="IZ215" s="66"/>
      <c r="JA215" s="66"/>
      <c r="JB215" s="250"/>
      <c r="JC215" s="66"/>
      <c r="JD215" s="66"/>
      <c r="JE215" s="66"/>
      <c r="JF215" s="66"/>
      <c r="JG215" s="66"/>
      <c r="JH215" s="66"/>
      <c r="JI215" s="66"/>
      <c r="JJ215" s="66"/>
      <c r="JK215" s="8"/>
      <c r="JN215" s="252"/>
      <c r="JO215" s="252"/>
      <c r="JP215" s="252"/>
      <c r="JT215" s="252"/>
      <c r="JU215" s="252"/>
      <c r="JV215" s="252"/>
      <c r="JZ215" s="252"/>
      <c r="KA215" s="252"/>
      <c r="KB215" s="252"/>
      <c r="KF215" s="252"/>
      <c r="KG215" s="252"/>
      <c r="KH215" s="252"/>
      <c r="KO215" s="66"/>
      <c r="KP215" s="66"/>
      <c r="KQ215" s="66"/>
      <c r="KR215" s="66"/>
      <c r="KS215" s="66"/>
      <c r="KT215" s="66"/>
      <c r="KU215" s="66"/>
      <c r="KV215" s="66"/>
      <c r="KW215" s="66"/>
      <c r="KX215" s="66"/>
      <c r="KY215" s="66"/>
      <c r="KZ215" s="66"/>
      <c r="LA215" s="8"/>
      <c r="LD215" s="252"/>
      <c r="LE215" s="252"/>
      <c r="LF215" s="252"/>
      <c r="LJ215" s="252"/>
      <c r="LK215" s="252"/>
      <c r="LN215" s="252"/>
      <c r="LO215" s="252"/>
      <c r="LP215" s="252"/>
      <c r="LT215" s="271"/>
      <c r="LU215" s="250"/>
      <c r="LV215" s="250"/>
      <c r="LW215" s="250"/>
      <c r="LX215" s="250"/>
      <c r="LY215" s="250"/>
      <c r="LZ215" s="250"/>
      <c r="MA215" s="250"/>
      <c r="MB215" s="250"/>
      <c r="MC215" s="250"/>
      <c r="MD215" s="250"/>
      <c r="ME215" s="250"/>
      <c r="MF215" s="250"/>
      <c r="MG215" s="250"/>
      <c r="MH215" s="250"/>
      <c r="MI215" s="250"/>
      <c r="MJ215" s="250"/>
      <c r="MK215" s="424"/>
      <c r="ML215" s="640"/>
      <c r="MM215" s="251"/>
      <c r="MN215" s="252"/>
      <c r="MO215" s="252"/>
      <c r="MP215" s="252"/>
      <c r="MQ215" s="252"/>
      <c r="MR215" s="252"/>
      <c r="MS215" s="252"/>
      <c r="MT215" s="252"/>
      <c r="MU215" s="252"/>
      <c r="MV215" s="252"/>
      <c r="MW215" s="252"/>
      <c r="MX215" s="252"/>
      <c r="MY215" s="252"/>
      <c r="MZ215" s="252"/>
      <c r="NA215" s="252"/>
      <c r="NB215" s="252"/>
      <c r="NC215" s="251"/>
      <c r="ND215" s="250"/>
      <c r="NE215" s="250"/>
      <c r="NF215" s="250"/>
      <c r="NG215" s="250"/>
      <c r="NH215" s="250"/>
      <c r="NI215" s="250"/>
      <c r="NJ215" s="250"/>
      <c r="NK215" s="250"/>
      <c r="NL215" s="250"/>
      <c r="NM215" s="250"/>
      <c r="NN215" s="250"/>
      <c r="NO215" s="250"/>
      <c r="NP215" s="250"/>
      <c r="NQ215" s="250"/>
      <c r="NR215" s="250"/>
      <c r="NS215" s="250"/>
      <c r="NT215" s="250"/>
      <c r="NU215" s="250"/>
      <c r="NV215" s="250"/>
      <c r="NW215" s="251"/>
      <c r="OT215" s="8"/>
      <c r="QG215" s="8"/>
      <c r="RT215" s="8"/>
    </row>
    <row r="216" spans="1:488" s="282" customFormat="1" x14ac:dyDescent="0.25">
      <c r="A216" s="66"/>
      <c r="B216" s="8"/>
      <c r="C216" s="66"/>
      <c r="D216" s="66"/>
      <c r="E216" s="66"/>
      <c r="F216" s="66"/>
      <c r="G216" s="66"/>
      <c r="H216" s="66"/>
      <c r="I216" s="66"/>
      <c r="J216" s="66"/>
      <c r="K216" s="66"/>
      <c r="L216" s="66"/>
      <c r="M216" s="66"/>
      <c r="N216" s="66"/>
      <c r="O216" s="66"/>
      <c r="P216" s="66"/>
      <c r="Q216" s="66"/>
      <c r="R216" s="66"/>
      <c r="S216" s="66"/>
      <c r="T216" s="68"/>
      <c r="AC216" s="66"/>
      <c r="AD216" s="66"/>
      <c r="AE216" s="68"/>
      <c r="AN216" s="66"/>
      <c r="AO216" s="66"/>
      <c r="AP216" s="68"/>
      <c r="AW216" s="66"/>
      <c r="AX216" s="68"/>
      <c r="BD216" s="66"/>
      <c r="BE216" s="68"/>
      <c r="BF216" s="66"/>
      <c r="BG216" s="66"/>
      <c r="BH216" s="66"/>
      <c r="BI216" s="66"/>
      <c r="BJ216" s="66"/>
      <c r="BK216" s="66"/>
      <c r="BL216" s="68"/>
      <c r="BO216" s="66"/>
      <c r="BP216" s="68"/>
      <c r="BV216" s="66"/>
      <c r="BW216" s="68"/>
      <c r="CB216" s="8"/>
      <c r="CH216" s="8"/>
      <c r="CK216" s="299"/>
      <c r="CL216" s="299"/>
      <c r="CM216" s="66"/>
      <c r="CN216" s="66"/>
      <c r="CO216" s="68"/>
      <c r="CR216" s="8"/>
      <c r="CX216" s="66"/>
      <c r="CY216" s="532"/>
      <c r="DE216" s="66"/>
      <c r="DF216" s="66"/>
      <c r="DG216" s="68"/>
      <c r="DH216" s="68"/>
      <c r="DK216" s="66"/>
      <c r="DL216" s="66"/>
      <c r="DM216" s="66"/>
      <c r="DN216" s="66"/>
      <c r="DO216" s="66"/>
      <c r="DP216" s="66"/>
      <c r="DQ216" s="66"/>
      <c r="DR216" s="66"/>
      <c r="DS216" s="66"/>
      <c r="DT216" s="68"/>
      <c r="DU216" s="66"/>
      <c r="DV216" s="296"/>
      <c r="DW216" s="330"/>
      <c r="DX216" s="631"/>
      <c r="DY216" s="631"/>
      <c r="DZ216" s="631"/>
      <c r="EA216" s="330"/>
      <c r="EC216" s="66"/>
      <c r="ED216" s="68"/>
      <c r="EH216" s="66"/>
      <c r="EI216" s="66"/>
      <c r="EJ216" s="68"/>
      <c r="EK216" s="252"/>
      <c r="EL216" s="252"/>
      <c r="EM216" s="252"/>
      <c r="EO216" s="252"/>
      <c r="EP216" s="252"/>
      <c r="EQ216" s="252"/>
      <c r="ES216" s="252"/>
      <c r="ET216" s="252"/>
      <c r="EU216" s="252"/>
      <c r="EW216" s="252"/>
      <c r="EX216" s="252"/>
      <c r="EY216" s="252"/>
      <c r="FA216" s="250"/>
      <c r="FB216" s="250"/>
      <c r="FC216" s="250"/>
      <c r="FD216" s="250"/>
      <c r="FE216" s="250"/>
      <c r="FF216" s="250"/>
      <c r="FG216" s="250"/>
      <c r="FH216" s="424"/>
      <c r="FI216" s="250"/>
      <c r="FJ216" s="250"/>
      <c r="FK216" s="250"/>
      <c r="FL216" s="256"/>
      <c r="FM216" s="250"/>
      <c r="FN216" s="256"/>
      <c r="FO216" s="250"/>
      <c r="FP216" s="256"/>
      <c r="FQ216" s="250"/>
      <c r="FR216" s="256"/>
      <c r="FS216" s="250"/>
      <c r="FT216" s="256"/>
      <c r="FU216" s="256"/>
      <c r="FV216" s="256"/>
      <c r="FW216" s="250"/>
      <c r="FX216" s="424"/>
      <c r="FY216" s="251"/>
      <c r="GC216" s="252"/>
      <c r="GF216" s="252"/>
      <c r="GG216" s="252"/>
      <c r="GH216" s="252"/>
      <c r="GI216" s="252"/>
      <c r="GJ216" s="252"/>
      <c r="GK216" s="251"/>
      <c r="GL216" s="250"/>
      <c r="GM216" s="250"/>
      <c r="GN216" s="250"/>
      <c r="GO216" s="250"/>
      <c r="GP216" s="250"/>
      <c r="GQ216" s="250"/>
      <c r="GR216" s="250"/>
      <c r="GS216" s="250"/>
      <c r="GT216" s="250"/>
      <c r="GU216" s="251"/>
      <c r="GV216" s="250"/>
      <c r="GW216" s="250"/>
      <c r="GX216" s="250"/>
      <c r="GY216" s="250"/>
      <c r="GZ216" s="250"/>
      <c r="HA216" s="250"/>
      <c r="HB216" s="250"/>
      <c r="HC216" s="250"/>
      <c r="HD216" s="250"/>
      <c r="HE216" s="250"/>
      <c r="HF216" s="250"/>
      <c r="HG216" s="250"/>
      <c r="HH216" s="251"/>
      <c r="HI216" s="424"/>
      <c r="HJ216" s="255"/>
      <c r="HK216" s="255"/>
      <c r="HL216" s="250"/>
      <c r="HM216" s="255"/>
      <c r="HN216" s="255"/>
      <c r="HO216" s="255"/>
      <c r="HP216" s="250"/>
      <c r="HQ216" s="250"/>
      <c r="HR216" s="250"/>
      <c r="HS216" s="250"/>
      <c r="HT216" s="250"/>
      <c r="HU216" s="251"/>
      <c r="HX216" s="252"/>
      <c r="HY216" s="252"/>
      <c r="HZ216" s="252"/>
      <c r="ID216" s="252"/>
      <c r="IE216" s="252"/>
      <c r="IF216" s="252"/>
      <c r="IJ216" s="252"/>
      <c r="IK216" s="252"/>
      <c r="IL216" s="252"/>
      <c r="IP216" s="252"/>
      <c r="IQ216" s="252"/>
      <c r="IR216" s="252"/>
      <c r="IY216" s="66"/>
      <c r="IZ216" s="66"/>
      <c r="JA216" s="66"/>
      <c r="JB216" s="250"/>
      <c r="JC216" s="66"/>
      <c r="JD216" s="66"/>
      <c r="JE216" s="66"/>
      <c r="JF216" s="66"/>
      <c r="JG216" s="66"/>
      <c r="JH216" s="66"/>
      <c r="JI216" s="66"/>
      <c r="JJ216" s="66"/>
      <c r="JK216" s="8"/>
      <c r="JN216" s="252"/>
      <c r="JO216" s="252"/>
      <c r="JP216" s="252"/>
      <c r="JT216" s="252"/>
      <c r="JU216" s="252"/>
      <c r="JV216" s="252"/>
      <c r="JZ216" s="252"/>
      <c r="KA216" s="252"/>
      <c r="KB216" s="252"/>
      <c r="KF216" s="252"/>
      <c r="KG216" s="252"/>
      <c r="KH216" s="252"/>
      <c r="KO216" s="66"/>
      <c r="KP216" s="66"/>
      <c r="KQ216" s="66"/>
      <c r="KR216" s="66"/>
      <c r="KS216" s="66"/>
      <c r="KT216" s="66"/>
      <c r="KU216" s="66"/>
      <c r="KV216" s="66"/>
      <c r="KW216" s="66"/>
      <c r="KX216" s="66"/>
      <c r="KY216" s="66"/>
      <c r="KZ216" s="66"/>
      <c r="LA216" s="8"/>
      <c r="LD216" s="252"/>
      <c r="LE216" s="252"/>
      <c r="LF216" s="252"/>
      <c r="LJ216" s="252"/>
      <c r="LK216" s="252"/>
      <c r="LN216" s="252"/>
      <c r="LO216" s="252"/>
      <c r="LP216" s="252"/>
      <c r="LT216" s="271"/>
      <c r="LU216" s="250"/>
      <c r="LV216" s="250"/>
      <c r="LW216" s="250"/>
      <c r="LX216" s="250"/>
      <c r="LY216" s="250"/>
      <c r="LZ216" s="250"/>
      <c r="MA216" s="250"/>
      <c r="MB216" s="250"/>
      <c r="MC216" s="250"/>
      <c r="MD216" s="250"/>
      <c r="ME216" s="250"/>
      <c r="MF216" s="250"/>
      <c r="MG216" s="250"/>
      <c r="MH216" s="250"/>
      <c r="MI216" s="250"/>
      <c r="MJ216" s="250"/>
      <c r="MK216" s="424"/>
      <c r="ML216" s="640"/>
      <c r="MM216" s="251"/>
      <c r="MN216" s="252"/>
      <c r="MO216" s="252"/>
      <c r="MP216" s="252"/>
      <c r="MQ216" s="252"/>
      <c r="MR216" s="252"/>
      <c r="MS216" s="252"/>
      <c r="MT216" s="252"/>
      <c r="MU216" s="252"/>
      <c r="MV216" s="252"/>
      <c r="MW216" s="252"/>
      <c r="MX216" s="252"/>
      <c r="MY216" s="252"/>
      <c r="MZ216" s="252"/>
      <c r="NA216" s="252"/>
      <c r="NB216" s="252"/>
      <c r="NC216" s="251"/>
      <c r="ND216" s="250"/>
      <c r="NE216" s="250"/>
      <c r="NF216" s="250"/>
      <c r="NG216" s="250"/>
      <c r="NH216" s="250"/>
      <c r="NI216" s="250"/>
      <c r="NJ216" s="250"/>
      <c r="NK216" s="250"/>
      <c r="NL216" s="250"/>
      <c r="NM216" s="250"/>
      <c r="NN216" s="250"/>
      <c r="NO216" s="250"/>
      <c r="NP216" s="250"/>
      <c r="NQ216" s="250"/>
      <c r="NR216" s="250"/>
      <c r="NS216" s="250"/>
      <c r="NT216" s="250"/>
      <c r="NU216" s="250"/>
      <c r="NV216" s="250"/>
      <c r="NW216" s="251"/>
      <c r="OT216" s="8"/>
      <c r="QG216" s="8"/>
      <c r="RT216" s="8"/>
    </row>
    <row r="217" spans="1:488" s="282" customFormat="1" x14ac:dyDescent="0.25">
      <c r="A217" s="66"/>
      <c r="B217" s="8"/>
      <c r="C217" s="66"/>
      <c r="D217" s="66"/>
      <c r="E217" s="66"/>
      <c r="F217" s="66"/>
      <c r="G217" s="66"/>
      <c r="H217" s="66"/>
      <c r="I217" s="66"/>
      <c r="J217" s="66"/>
      <c r="K217" s="66"/>
      <c r="L217" s="66"/>
      <c r="M217" s="66"/>
      <c r="N217" s="66"/>
      <c r="O217" s="66"/>
      <c r="P217" s="66"/>
      <c r="Q217" s="66"/>
      <c r="R217" s="66"/>
      <c r="S217" s="66"/>
      <c r="T217" s="68"/>
      <c r="AC217" s="66"/>
      <c r="AD217" s="66"/>
      <c r="AE217" s="68"/>
      <c r="AN217" s="66"/>
      <c r="AO217" s="66"/>
      <c r="AP217" s="68"/>
      <c r="AW217" s="66"/>
      <c r="AX217" s="68"/>
      <c r="BD217" s="66"/>
      <c r="BE217" s="68"/>
      <c r="BF217" s="66"/>
      <c r="BG217" s="66"/>
      <c r="BH217" s="66"/>
      <c r="BI217" s="66"/>
      <c r="BJ217" s="66"/>
      <c r="BK217" s="66"/>
      <c r="BL217" s="68"/>
      <c r="BO217" s="66"/>
      <c r="BP217" s="68"/>
      <c r="BV217" s="66"/>
      <c r="BW217" s="68"/>
      <c r="CB217" s="8"/>
      <c r="CH217" s="8"/>
      <c r="CK217" s="299"/>
      <c r="CL217" s="299"/>
      <c r="CM217" s="66"/>
      <c r="CN217" s="66"/>
      <c r="CO217" s="68"/>
      <c r="CR217" s="8"/>
      <c r="CX217" s="66"/>
      <c r="CY217" s="532"/>
      <c r="DE217" s="66"/>
      <c r="DF217" s="66"/>
      <c r="DG217" s="68"/>
      <c r="DH217" s="68"/>
      <c r="DK217" s="66"/>
      <c r="DL217" s="66"/>
      <c r="DM217" s="66"/>
      <c r="DN217" s="66"/>
      <c r="DO217" s="66"/>
      <c r="DP217" s="66"/>
      <c r="DQ217" s="66"/>
      <c r="DR217" s="66"/>
      <c r="DS217" s="66"/>
      <c r="DT217" s="68"/>
      <c r="DU217" s="66"/>
      <c r="DV217" s="296"/>
      <c r="DW217" s="330"/>
      <c r="DX217" s="631"/>
      <c r="DY217" s="631"/>
      <c r="DZ217" s="631"/>
      <c r="EA217" s="330"/>
      <c r="EC217" s="66"/>
      <c r="ED217" s="68"/>
      <c r="EH217" s="66"/>
      <c r="EI217" s="66"/>
      <c r="EJ217" s="68"/>
      <c r="EK217" s="252"/>
      <c r="EL217" s="252"/>
      <c r="EM217" s="252"/>
      <c r="EO217" s="252"/>
      <c r="EP217" s="252"/>
      <c r="EQ217" s="252"/>
      <c r="ES217" s="252"/>
      <c r="ET217" s="252"/>
      <c r="EU217" s="252"/>
      <c r="EW217" s="252"/>
      <c r="EX217" s="252"/>
      <c r="EY217" s="252"/>
      <c r="FA217" s="250"/>
      <c r="FB217" s="250"/>
      <c r="FC217" s="250"/>
      <c r="FD217" s="250"/>
      <c r="FE217" s="250"/>
      <c r="FF217" s="250"/>
      <c r="FG217" s="250"/>
      <c r="FH217" s="424"/>
      <c r="FI217" s="250"/>
      <c r="FJ217" s="250"/>
      <c r="FK217" s="250"/>
      <c r="FL217" s="256"/>
      <c r="FM217" s="250"/>
      <c r="FN217" s="256"/>
      <c r="FO217" s="250"/>
      <c r="FP217" s="256"/>
      <c r="FQ217" s="250"/>
      <c r="FR217" s="256"/>
      <c r="FS217" s="250"/>
      <c r="FT217" s="256"/>
      <c r="FU217" s="256"/>
      <c r="FV217" s="256"/>
      <c r="FW217" s="250"/>
      <c r="FX217" s="424"/>
      <c r="FY217" s="251"/>
      <c r="GC217" s="252"/>
      <c r="GF217" s="252"/>
      <c r="GG217" s="252"/>
      <c r="GH217" s="252"/>
      <c r="GI217" s="252"/>
      <c r="GJ217" s="252"/>
      <c r="GK217" s="251"/>
      <c r="GL217" s="250"/>
      <c r="GM217" s="250"/>
      <c r="GN217" s="250"/>
      <c r="GO217" s="250"/>
      <c r="GP217" s="250"/>
      <c r="GQ217" s="250"/>
      <c r="GR217" s="250"/>
      <c r="GS217" s="250"/>
      <c r="GT217" s="250"/>
      <c r="GU217" s="251"/>
      <c r="GV217" s="250"/>
      <c r="GW217" s="250"/>
      <c r="GX217" s="250"/>
      <c r="GY217" s="250"/>
      <c r="GZ217" s="250"/>
      <c r="HA217" s="250"/>
      <c r="HB217" s="250"/>
      <c r="HC217" s="250"/>
      <c r="HD217" s="250"/>
      <c r="HE217" s="250"/>
      <c r="HF217" s="250"/>
      <c r="HG217" s="250"/>
      <c r="HH217" s="251"/>
      <c r="HI217" s="424"/>
      <c r="HJ217" s="255"/>
      <c r="HK217" s="255"/>
      <c r="HL217" s="250"/>
      <c r="HM217" s="255"/>
      <c r="HN217" s="255"/>
      <c r="HO217" s="255"/>
      <c r="HP217" s="250"/>
      <c r="HQ217" s="250"/>
      <c r="HR217" s="250"/>
      <c r="HS217" s="250"/>
      <c r="HT217" s="250"/>
      <c r="HU217" s="251"/>
      <c r="HX217" s="252"/>
      <c r="HY217" s="252"/>
      <c r="HZ217" s="252"/>
      <c r="ID217" s="252"/>
      <c r="IE217" s="252"/>
      <c r="IF217" s="252"/>
      <c r="IJ217" s="252"/>
      <c r="IK217" s="252"/>
      <c r="IL217" s="252"/>
      <c r="IP217" s="252"/>
      <c r="IQ217" s="252"/>
      <c r="IR217" s="252"/>
      <c r="IY217" s="66"/>
      <c r="IZ217" s="66"/>
      <c r="JA217" s="66"/>
      <c r="JB217" s="250"/>
      <c r="JC217" s="66"/>
      <c r="JD217" s="66"/>
      <c r="JE217" s="66"/>
      <c r="JF217" s="66"/>
      <c r="JG217" s="66"/>
      <c r="JH217" s="66"/>
      <c r="JI217" s="66"/>
      <c r="JJ217" s="66"/>
      <c r="JK217" s="8"/>
      <c r="JN217" s="252"/>
      <c r="JO217" s="252"/>
      <c r="JP217" s="252"/>
      <c r="JT217" s="252"/>
      <c r="JU217" s="252"/>
      <c r="JV217" s="252"/>
      <c r="JZ217" s="252"/>
      <c r="KA217" s="252"/>
      <c r="KB217" s="252"/>
      <c r="KF217" s="252"/>
      <c r="KG217" s="252"/>
      <c r="KH217" s="252"/>
      <c r="KO217" s="66"/>
      <c r="KP217" s="66"/>
      <c r="KQ217" s="66"/>
      <c r="KR217" s="66"/>
      <c r="KS217" s="66"/>
      <c r="KT217" s="66"/>
      <c r="KU217" s="66"/>
      <c r="KV217" s="66"/>
      <c r="KW217" s="66"/>
      <c r="KX217" s="66"/>
      <c r="KY217" s="66"/>
      <c r="KZ217" s="66"/>
      <c r="LA217" s="8"/>
      <c r="LD217" s="252"/>
      <c r="LE217" s="252"/>
      <c r="LF217" s="252"/>
      <c r="LJ217" s="252"/>
      <c r="LK217" s="252"/>
      <c r="LN217" s="252"/>
      <c r="LO217" s="252"/>
      <c r="LP217" s="252"/>
      <c r="LT217" s="271"/>
      <c r="LU217" s="250"/>
      <c r="LV217" s="250"/>
      <c r="LW217" s="250"/>
      <c r="LX217" s="250"/>
      <c r="LY217" s="250"/>
      <c r="LZ217" s="250"/>
      <c r="MA217" s="250"/>
      <c r="MB217" s="250"/>
      <c r="MC217" s="250"/>
      <c r="MD217" s="250"/>
      <c r="ME217" s="250"/>
      <c r="MF217" s="250"/>
      <c r="MG217" s="250"/>
      <c r="MH217" s="250"/>
      <c r="MI217" s="250"/>
      <c r="MJ217" s="250"/>
      <c r="MK217" s="424"/>
      <c r="ML217" s="640"/>
      <c r="MM217" s="251"/>
      <c r="MN217" s="252"/>
      <c r="MO217" s="252"/>
      <c r="MP217" s="252"/>
      <c r="MQ217" s="252"/>
      <c r="MR217" s="252"/>
      <c r="MS217" s="252"/>
      <c r="MT217" s="252"/>
      <c r="MU217" s="252"/>
      <c r="MV217" s="252"/>
      <c r="MW217" s="252"/>
      <c r="MX217" s="252"/>
      <c r="MY217" s="252"/>
      <c r="MZ217" s="252"/>
      <c r="NA217" s="252"/>
      <c r="NB217" s="252"/>
      <c r="NC217" s="251"/>
      <c r="ND217" s="250"/>
      <c r="NE217" s="250"/>
      <c r="NF217" s="250"/>
      <c r="NG217" s="250"/>
      <c r="NH217" s="250"/>
      <c r="NI217" s="250"/>
      <c r="NJ217" s="250"/>
      <c r="NK217" s="250"/>
      <c r="NL217" s="250"/>
      <c r="NM217" s="250"/>
      <c r="NN217" s="250"/>
      <c r="NO217" s="250"/>
      <c r="NP217" s="250"/>
      <c r="NQ217" s="250"/>
      <c r="NR217" s="250"/>
      <c r="NS217" s="250"/>
      <c r="NT217" s="250"/>
      <c r="NU217" s="250"/>
      <c r="NV217" s="250"/>
      <c r="NW217" s="251"/>
      <c r="OT217" s="8"/>
      <c r="QG217" s="8"/>
      <c r="RT217" s="8"/>
    </row>
    <row r="218" spans="1:488" s="282" customFormat="1" x14ac:dyDescent="0.25">
      <c r="A218" s="66"/>
      <c r="B218" s="8"/>
      <c r="C218" s="66"/>
      <c r="D218" s="66"/>
      <c r="E218" s="66"/>
      <c r="F218" s="66"/>
      <c r="G218" s="66"/>
      <c r="H218" s="66"/>
      <c r="I218" s="66"/>
      <c r="J218" s="66"/>
      <c r="K218" s="66"/>
      <c r="L218" s="66"/>
      <c r="M218" s="66"/>
      <c r="N218" s="66"/>
      <c r="O218" s="66"/>
      <c r="P218" s="66"/>
      <c r="Q218" s="66"/>
      <c r="R218" s="66"/>
      <c r="S218" s="66"/>
      <c r="T218" s="68"/>
      <c r="AC218" s="66"/>
      <c r="AD218" s="66"/>
      <c r="AE218" s="68"/>
      <c r="AN218" s="66"/>
      <c r="AO218" s="66"/>
      <c r="AP218" s="68"/>
      <c r="AW218" s="66"/>
      <c r="AX218" s="68"/>
      <c r="BD218" s="66"/>
      <c r="BE218" s="68"/>
      <c r="BF218" s="66"/>
      <c r="BG218" s="66"/>
      <c r="BH218" s="66"/>
      <c r="BI218" s="66"/>
      <c r="BJ218" s="66"/>
      <c r="BK218" s="66"/>
      <c r="BL218" s="68"/>
      <c r="BO218" s="66"/>
      <c r="BP218" s="68"/>
      <c r="BV218" s="66"/>
      <c r="BW218" s="68"/>
      <c r="CB218" s="8"/>
      <c r="CH218" s="8"/>
      <c r="CK218" s="299"/>
      <c r="CL218" s="299"/>
      <c r="CM218" s="66"/>
      <c r="CN218" s="66"/>
      <c r="CO218" s="68"/>
      <c r="CR218" s="8"/>
      <c r="CX218" s="66"/>
      <c r="CY218" s="532"/>
      <c r="DE218" s="66"/>
      <c r="DF218" s="66"/>
      <c r="DG218" s="68"/>
      <c r="DH218" s="68"/>
      <c r="DK218" s="66"/>
      <c r="DL218" s="66"/>
      <c r="DM218" s="66"/>
      <c r="DN218" s="66"/>
      <c r="DO218" s="66"/>
      <c r="DP218" s="66"/>
      <c r="DQ218" s="66"/>
      <c r="DR218" s="66"/>
      <c r="DS218" s="66"/>
      <c r="DT218" s="68"/>
      <c r="DU218" s="66"/>
      <c r="DV218" s="296"/>
      <c r="DW218" s="330"/>
      <c r="DX218" s="631"/>
      <c r="DY218" s="631"/>
      <c r="DZ218" s="631"/>
      <c r="EA218" s="330"/>
      <c r="EC218" s="66"/>
      <c r="ED218" s="68"/>
      <c r="EH218" s="66"/>
      <c r="EI218" s="66"/>
      <c r="EJ218" s="68"/>
      <c r="EK218" s="252"/>
      <c r="EL218" s="252"/>
      <c r="EM218" s="252"/>
      <c r="EO218" s="252"/>
      <c r="EP218" s="252"/>
      <c r="EQ218" s="252"/>
      <c r="ES218" s="252"/>
      <c r="ET218" s="252"/>
      <c r="EU218" s="252"/>
      <c r="EW218" s="252"/>
      <c r="EX218" s="252"/>
      <c r="EY218" s="252"/>
      <c r="FA218" s="250"/>
      <c r="FB218" s="250"/>
      <c r="FC218" s="250"/>
      <c r="FD218" s="250"/>
      <c r="FE218" s="250"/>
      <c r="FF218" s="250"/>
      <c r="FG218" s="250"/>
      <c r="FH218" s="424"/>
      <c r="FI218" s="250"/>
      <c r="FJ218" s="250"/>
      <c r="FK218" s="250"/>
      <c r="FL218" s="256"/>
      <c r="FM218" s="250"/>
      <c r="FN218" s="256"/>
      <c r="FO218" s="250"/>
      <c r="FP218" s="256"/>
      <c r="FQ218" s="250"/>
      <c r="FR218" s="256"/>
      <c r="FS218" s="250"/>
      <c r="FT218" s="256"/>
      <c r="FU218" s="256"/>
      <c r="FV218" s="256"/>
      <c r="FW218" s="250"/>
      <c r="FX218" s="424"/>
      <c r="FY218" s="251"/>
      <c r="GC218" s="252"/>
      <c r="GF218" s="252"/>
      <c r="GG218" s="252"/>
      <c r="GH218" s="252"/>
      <c r="GI218" s="252"/>
      <c r="GJ218" s="252"/>
      <c r="GK218" s="251"/>
      <c r="GL218" s="250"/>
      <c r="GM218" s="250"/>
      <c r="GN218" s="250"/>
      <c r="GO218" s="250"/>
      <c r="GP218" s="250"/>
      <c r="GQ218" s="250"/>
      <c r="GR218" s="250"/>
      <c r="GS218" s="250"/>
      <c r="GT218" s="250"/>
      <c r="GU218" s="251"/>
      <c r="GV218" s="250"/>
      <c r="GW218" s="250"/>
      <c r="GX218" s="250"/>
      <c r="GY218" s="250"/>
      <c r="GZ218" s="250"/>
      <c r="HA218" s="250"/>
      <c r="HB218" s="250"/>
      <c r="HC218" s="250"/>
      <c r="HD218" s="250"/>
      <c r="HE218" s="250"/>
      <c r="HF218" s="250"/>
      <c r="HG218" s="250"/>
      <c r="HH218" s="251"/>
      <c r="HI218" s="424"/>
      <c r="HJ218" s="255"/>
      <c r="HK218" s="255"/>
      <c r="HL218" s="250"/>
      <c r="HM218" s="255"/>
      <c r="HN218" s="255"/>
      <c r="HO218" s="255"/>
      <c r="HP218" s="250"/>
      <c r="HQ218" s="250"/>
      <c r="HR218" s="250"/>
      <c r="HS218" s="250"/>
      <c r="HT218" s="250"/>
      <c r="HU218" s="251"/>
      <c r="HX218" s="252"/>
      <c r="HY218" s="252"/>
      <c r="HZ218" s="252"/>
      <c r="ID218" s="252"/>
      <c r="IE218" s="252"/>
      <c r="IF218" s="252"/>
      <c r="IJ218" s="252"/>
      <c r="IK218" s="252"/>
      <c r="IL218" s="252"/>
      <c r="IP218" s="252"/>
      <c r="IQ218" s="252"/>
      <c r="IR218" s="252"/>
      <c r="IY218" s="66"/>
      <c r="IZ218" s="66"/>
      <c r="JA218" s="66"/>
      <c r="JB218" s="250"/>
      <c r="JC218" s="66"/>
      <c r="JD218" s="66"/>
      <c r="JE218" s="66"/>
      <c r="JF218" s="66"/>
      <c r="JG218" s="66"/>
      <c r="JH218" s="66"/>
      <c r="JI218" s="66"/>
      <c r="JJ218" s="66"/>
      <c r="JK218" s="8"/>
      <c r="JN218" s="252"/>
      <c r="JO218" s="252"/>
      <c r="JP218" s="252"/>
      <c r="JT218" s="252"/>
      <c r="JU218" s="252"/>
      <c r="JV218" s="252"/>
      <c r="JZ218" s="252"/>
      <c r="KA218" s="252"/>
      <c r="KB218" s="252"/>
      <c r="KF218" s="252"/>
      <c r="KG218" s="252"/>
      <c r="KH218" s="252"/>
      <c r="KO218" s="66"/>
      <c r="KP218" s="66"/>
      <c r="KQ218" s="66"/>
      <c r="KR218" s="66"/>
      <c r="KS218" s="66"/>
      <c r="KT218" s="66"/>
      <c r="KU218" s="66"/>
      <c r="KV218" s="66"/>
      <c r="KW218" s="66"/>
      <c r="KX218" s="66"/>
      <c r="KY218" s="66"/>
      <c r="KZ218" s="66"/>
      <c r="LA218" s="8"/>
      <c r="LD218" s="252"/>
      <c r="LE218" s="252"/>
      <c r="LF218" s="252"/>
      <c r="LJ218" s="252"/>
      <c r="LK218" s="252"/>
      <c r="LN218" s="252"/>
      <c r="LO218" s="252"/>
      <c r="LP218" s="252"/>
      <c r="LT218" s="271"/>
      <c r="LU218" s="250"/>
      <c r="LV218" s="250"/>
      <c r="LW218" s="250"/>
      <c r="LX218" s="250"/>
      <c r="LY218" s="250"/>
      <c r="LZ218" s="250"/>
      <c r="MA218" s="250"/>
      <c r="MB218" s="250"/>
      <c r="MC218" s="250"/>
      <c r="MD218" s="250"/>
      <c r="ME218" s="250"/>
      <c r="MF218" s="250"/>
      <c r="MG218" s="250"/>
      <c r="MH218" s="250"/>
      <c r="MI218" s="250"/>
      <c r="MJ218" s="250"/>
      <c r="MK218" s="424"/>
      <c r="ML218" s="640"/>
      <c r="MM218" s="251"/>
      <c r="MN218" s="252"/>
      <c r="MO218" s="252"/>
      <c r="MP218" s="252"/>
      <c r="MQ218" s="252"/>
      <c r="MR218" s="252"/>
      <c r="MS218" s="252"/>
      <c r="MT218" s="252"/>
      <c r="MU218" s="252"/>
      <c r="MV218" s="252"/>
      <c r="MW218" s="252"/>
      <c r="MX218" s="252"/>
      <c r="MY218" s="252"/>
      <c r="MZ218" s="252"/>
      <c r="NA218" s="252"/>
      <c r="NB218" s="252"/>
      <c r="NC218" s="251"/>
      <c r="ND218" s="250"/>
      <c r="NE218" s="250"/>
      <c r="NF218" s="250"/>
      <c r="NG218" s="250"/>
      <c r="NH218" s="250"/>
      <c r="NI218" s="250"/>
      <c r="NJ218" s="250"/>
      <c r="NK218" s="250"/>
      <c r="NL218" s="250"/>
      <c r="NM218" s="250"/>
      <c r="NN218" s="250"/>
      <c r="NO218" s="250"/>
      <c r="NP218" s="250"/>
      <c r="NQ218" s="250"/>
      <c r="NR218" s="250"/>
      <c r="NS218" s="250"/>
      <c r="NT218" s="250"/>
      <c r="NU218" s="250"/>
      <c r="NV218" s="250"/>
      <c r="NW218" s="251"/>
      <c r="OT218" s="8"/>
      <c r="QG218" s="8"/>
      <c r="RT218" s="8"/>
    </row>
    <row r="219" spans="1:488" s="282" customFormat="1" x14ac:dyDescent="0.25">
      <c r="A219" s="66"/>
      <c r="B219" s="8"/>
      <c r="C219" s="66"/>
      <c r="D219" s="66"/>
      <c r="E219" s="66"/>
      <c r="F219" s="66"/>
      <c r="G219" s="66"/>
      <c r="H219" s="66"/>
      <c r="I219" s="66"/>
      <c r="J219" s="66"/>
      <c r="K219" s="66"/>
      <c r="L219" s="66"/>
      <c r="M219" s="66"/>
      <c r="N219" s="66"/>
      <c r="O219" s="66"/>
      <c r="P219" s="66"/>
      <c r="Q219" s="66"/>
      <c r="R219" s="66"/>
      <c r="S219" s="66"/>
      <c r="T219" s="68"/>
      <c r="AC219" s="66"/>
      <c r="AD219" s="66"/>
      <c r="AE219" s="68"/>
      <c r="AN219" s="66"/>
      <c r="AO219" s="66"/>
      <c r="AP219" s="68"/>
      <c r="AW219" s="66"/>
      <c r="AX219" s="68"/>
      <c r="BD219" s="66"/>
      <c r="BE219" s="68"/>
      <c r="BF219" s="66"/>
      <c r="BG219" s="66"/>
      <c r="BH219" s="66"/>
      <c r="BI219" s="66"/>
      <c r="BJ219" s="66"/>
      <c r="BK219" s="66"/>
      <c r="BL219" s="68"/>
      <c r="BO219" s="66"/>
      <c r="BP219" s="68"/>
      <c r="BV219" s="66"/>
      <c r="BW219" s="68"/>
      <c r="CB219" s="8"/>
      <c r="CH219" s="8"/>
      <c r="CK219" s="299"/>
      <c r="CL219" s="299"/>
      <c r="CM219" s="66"/>
      <c r="CN219" s="66"/>
      <c r="CO219" s="68"/>
      <c r="CR219" s="8"/>
      <c r="CX219" s="66"/>
      <c r="CY219" s="532"/>
      <c r="DE219" s="66"/>
      <c r="DF219" s="66"/>
      <c r="DG219" s="68"/>
      <c r="DH219" s="68"/>
      <c r="DK219" s="66"/>
      <c r="DL219" s="66"/>
      <c r="DM219" s="66"/>
      <c r="DN219" s="66"/>
      <c r="DO219" s="66"/>
      <c r="DP219" s="66"/>
      <c r="DQ219" s="66"/>
      <c r="DR219" s="66"/>
      <c r="DS219" s="66"/>
      <c r="DT219" s="68"/>
      <c r="DU219" s="66"/>
      <c r="DV219" s="296"/>
      <c r="DW219" s="330"/>
      <c r="DX219" s="631"/>
      <c r="DY219" s="631"/>
      <c r="DZ219" s="631"/>
      <c r="EA219" s="330"/>
      <c r="EC219" s="66"/>
      <c r="ED219" s="68"/>
      <c r="EH219" s="66"/>
      <c r="EI219" s="66"/>
      <c r="EJ219" s="68"/>
      <c r="EK219" s="252"/>
      <c r="EL219" s="252"/>
      <c r="EM219" s="252"/>
      <c r="EO219" s="252"/>
      <c r="EP219" s="252"/>
      <c r="EQ219" s="252"/>
      <c r="ES219" s="252"/>
      <c r="ET219" s="252"/>
      <c r="EU219" s="252"/>
      <c r="EW219" s="252"/>
      <c r="EX219" s="252"/>
      <c r="EY219" s="252"/>
      <c r="FA219" s="250"/>
      <c r="FB219" s="250"/>
      <c r="FC219" s="250"/>
      <c r="FD219" s="250"/>
      <c r="FE219" s="250"/>
      <c r="FF219" s="250"/>
      <c r="FG219" s="250"/>
      <c r="FH219" s="424"/>
      <c r="FI219" s="250"/>
      <c r="FJ219" s="250"/>
      <c r="FK219" s="250"/>
      <c r="FL219" s="256"/>
      <c r="FM219" s="250"/>
      <c r="FN219" s="256"/>
      <c r="FO219" s="250"/>
      <c r="FP219" s="256"/>
      <c r="FQ219" s="250"/>
      <c r="FR219" s="256"/>
      <c r="FS219" s="250"/>
      <c r="FT219" s="256"/>
      <c r="FU219" s="256"/>
      <c r="FV219" s="256"/>
      <c r="FW219" s="250"/>
      <c r="FX219" s="424"/>
      <c r="FY219" s="251"/>
      <c r="GC219" s="252"/>
      <c r="GF219" s="252"/>
      <c r="GG219" s="252"/>
      <c r="GH219" s="252"/>
      <c r="GI219" s="252"/>
      <c r="GJ219" s="252"/>
      <c r="GK219" s="251"/>
      <c r="GL219" s="250"/>
      <c r="GM219" s="250"/>
      <c r="GN219" s="250"/>
      <c r="GO219" s="250"/>
      <c r="GP219" s="250"/>
      <c r="GQ219" s="250"/>
      <c r="GR219" s="250"/>
      <c r="GS219" s="250"/>
      <c r="GT219" s="250"/>
      <c r="GU219" s="251"/>
      <c r="GV219" s="250"/>
      <c r="GW219" s="250"/>
      <c r="GX219" s="250"/>
      <c r="GY219" s="250"/>
      <c r="GZ219" s="250"/>
      <c r="HA219" s="250"/>
      <c r="HB219" s="250"/>
      <c r="HC219" s="250"/>
      <c r="HD219" s="250"/>
      <c r="HE219" s="250"/>
      <c r="HF219" s="250"/>
      <c r="HG219" s="250"/>
      <c r="HH219" s="251"/>
      <c r="HI219" s="424"/>
      <c r="HJ219" s="255"/>
      <c r="HK219" s="255"/>
      <c r="HL219" s="250"/>
      <c r="HM219" s="255"/>
      <c r="HN219" s="255"/>
      <c r="HO219" s="255"/>
      <c r="HP219" s="250"/>
      <c r="HQ219" s="250"/>
      <c r="HR219" s="250"/>
      <c r="HS219" s="250"/>
      <c r="HT219" s="250"/>
      <c r="HU219" s="251"/>
      <c r="HX219" s="252"/>
      <c r="HY219" s="252"/>
      <c r="HZ219" s="252"/>
      <c r="ID219" s="252"/>
      <c r="IE219" s="252"/>
      <c r="IF219" s="252"/>
      <c r="IJ219" s="252"/>
      <c r="IK219" s="252"/>
      <c r="IL219" s="252"/>
      <c r="IP219" s="252"/>
      <c r="IQ219" s="252"/>
      <c r="IR219" s="252"/>
      <c r="IY219" s="66"/>
      <c r="IZ219" s="66"/>
      <c r="JA219" s="66"/>
      <c r="JB219" s="250"/>
      <c r="JC219" s="66"/>
      <c r="JD219" s="66"/>
      <c r="JE219" s="66"/>
      <c r="JF219" s="66"/>
      <c r="JG219" s="66"/>
      <c r="JH219" s="66"/>
      <c r="JI219" s="66"/>
      <c r="JJ219" s="66"/>
      <c r="JK219" s="8"/>
      <c r="JN219" s="252"/>
      <c r="JO219" s="252"/>
      <c r="JP219" s="252"/>
      <c r="JT219" s="252"/>
      <c r="JU219" s="252"/>
      <c r="JV219" s="252"/>
      <c r="JZ219" s="252"/>
      <c r="KA219" s="252"/>
      <c r="KB219" s="252"/>
      <c r="KF219" s="252"/>
      <c r="KG219" s="252"/>
      <c r="KH219" s="252"/>
      <c r="KO219" s="66"/>
      <c r="KP219" s="66"/>
      <c r="KQ219" s="66"/>
      <c r="KR219" s="66"/>
      <c r="KS219" s="66"/>
      <c r="KT219" s="66"/>
      <c r="KU219" s="66"/>
      <c r="KV219" s="66"/>
      <c r="KW219" s="66"/>
      <c r="KX219" s="66"/>
      <c r="KY219" s="66"/>
      <c r="KZ219" s="66"/>
      <c r="LA219" s="8"/>
      <c r="LD219" s="252"/>
      <c r="LE219" s="252"/>
      <c r="LF219" s="252"/>
      <c r="LJ219" s="252"/>
      <c r="LK219" s="252"/>
      <c r="LN219" s="252"/>
      <c r="LO219" s="252"/>
      <c r="LP219" s="252"/>
      <c r="LT219" s="271"/>
      <c r="LU219" s="250"/>
      <c r="LV219" s="250"/>
      <c r="LW219" s="250"/>
      <c r="LX219" s="250"/>
      <c r="LY219" s="250"/>
      <c r="LZ219" s="250"/>
      <c r="MA219" s="250"/>
      <c r="MB219" s="250"/>
      <c r="MC219" s="250"/>
      <c r="MD219" s="250"/>
      <c r="ME219" s="250"/>
      <c r="MF219" s="250"/>
      <c r="MG219" s="250"/>
      <c r="MH219" s="250"/>
      <c r="MI219" s="250"/>
      <c r="MJ219" s="250"/>
      <c r="MK219" s="424"/>
      <c r="ML219" s="640"/>
      <c r="MM219" s="251"/>
      <c r="MN219" s="252"/>
      <c r="MO219" s="252"/>
      <c r="MP219" s="252"/>
      <c r="MQ219" s="252"/>
      <c r="MR219" s="252"/>
      <c r="MS219" s="252"/>
      <c r="MT219" s="252"/>
      <c r="MU219" s="252"/>
      <c r="MV219" s="252"/>
      <c r="MW219" s="252"/>
      <c r="MX219" s="252"/>
      <c r="MY219" s="252"/>
      <c r="MZ219" s="252"/>
      <c r="NA219" s="252"/>
      <c r="NB219" s="252"/>
      <c r="NC219" s="251"/>
      <c r="ND219" s="250"/>
      <c r="NE219" s="250"/>
      <c r="NF219" s="250"/>
      <c r="NG219" s="250"/>
      <c r="NH219" s="250"/>
      <c r="NI219" s="250"/>
      <c r="NJ219" s="250"/>
      <c r="NK219" s="250"/>
      <c r="NL219" s="250"/>
      <c r="NM219" s="250"/>
      <c r="NN219" s="250"/>
      <c r="NO219" s="250"/>
      <c r="NP219" s="250"/>
      <c r="NQ219" s="250"/>
      <c r="NR219" s="250"/>
      <c r="NS219" s="250"/>
      <c r="NT219" s="250"/>
      <c r="NU219" s="250"/>
      <c r="NV219" s="250"/>
      <c r="NW219" s="251"/>
      <c r="OT219" s="8"/>
      <c r="QG219" s="8"/>
      <c r="RT219" s="8"/>
    </row>
    <row r="220" spans="1:488" s="282" customFormat="1" x14ac:dyDescent="0.25">
      <c r="A220" s="66"/>
      <c r="B220" s="8"/>
      <c r="C220" s="66"/>
      <c r="D220" s="66"/>
      <c r="E220" s="66"/>
      <c r="F220" s="66"/>
      <c r="G220" s="66"/>
      <c r="H220" s="66"/>
      <c r="I220" s="66"/>
      <c r="J220" s="66"/>
      <c r="K220" s="66"/>
      <c r="L220" s="66"/>
      <c r="M220" s="66"/>
      <c r="N220" s="66"/>
      <c r="O220" s="66"/>
      <c r="P220" s="66"/>
      <c r="Q220" s="66"/>
      <c r="R220" s="66"/>
      <c r="S220" s="66"/>
      <c r="T220" s="68"/>
      <c r="AC220" s="66"/>
      <c r="AD220" s="66"/>
      <c r="AE220" s="68"/>
      <c r="AN220" s="66"/>
      <c r="AO220" s="66"/>
      <c r="AP220" s="68"/>
      <c r="AW220" s="66"/>
      <c r="AX220" s="68"/>
      <c r="BD220" s="66"/>
      <c r="BE220" s="68"/>
      <c r="BF220" s="66"/>
      <c r="BG220" s="66"/>
      <c r="BH220" s="66"/>
      <c r="BI220" s="66"/>
      <c r="BJ220" s="66"/>
      <c r="BK220" s="66"/>
      <c r="BL220" s="68"/>
      <c r="BO220" s="66"/>
      <c r="BP220" s="68"/>
      <c r="BV220" s="66"/>
      <c r="BW220" s="68"/>
      <c r="CB220" s="8"/>
      <c r="CH220" s="8"/>
      <c r="CK220" s="299"/>
      <c r="CL220" s="299"/>
      <c r="CM220" s="66"/>
      <c r="CN220" s="66"/>
      <c r="CO220" s="68"/>
      <c r="CR220" s="8"/>
      <c r="CX220" s="66"/>
      <c r="CY220" s="532"/>
      <c r="DE220" s="66"/>
      <c r="DF220" s="66"/>
      <c r="DG220" s="68"/>
      <c r="DH220" s="68"/>
      <c r="DK220" s="66"/>
      <c r="DL220" s="66"/>
      <c r="DM220" s="66"/>
      <c r="DN220" s="66"/>
      <c r="DO220" s="66"/>
      <c r="DP220" s="66"/>
      <c r="DQ220" s="66"/>
      <c r="DR220" s="66"/>
      <c r="DS220" s="66"/>
      <c r="DT220" s="68"/>
      <c r="DU220" s="66"/>
      <c r="DV220" s="296"/>
      <c r="DW220" s="330"/>
      <c r="DX220" s="631"/>
      <c r="DY220" s="631"/>
      <c r="DZ220" s="631"/>
      <c r="EA220" s="330"/>
      <c r="EC220" s="66"/>
      <c r="ED220" s="68"/>
      <c r="EH220" s="66"/>
      <c r="EI220" s="66"/>
      <c r="EJ220" s="68"/>
      <c r="EK220" s="252"/>
      <c r="EL220" s="252"/>
      <c r="EM220" s="252"/>
      <c r="EO220" s="252"/>
      <c r="EP220" s="252"/>
      <c r="EQ220" s="252"/>
      <c r="ES220" s="252"/>
      <c r="ET220" s="252"/>
      <c r="EU220" s="252"/>
      <c r="EW220" s="252"/>
      <c r="EX220" s="252"/>
      <c r="EY220" s="252"/>
      <c r="FA220" s="250"/>
      <c r="FB220" s="250"/>
      <c r="FC220" s="250"/>
      <c r="FD220" s="250"/>
      <c r="FE220" s="250"/>
      <c r="FF220" s="250"/>
      <c r="FG220" s="250"/>
      <c r="FH220" s="424"/>
      <c r="FI220" s="250"/>
      <c r="FJ220" s="250"/>
      <c r="FK220" s="250"/>
      <c r="FL220" s="256"/>
      <c r="FM220" s="250"/>
      <c r="FN220" s="256"/>
      <c r="FO220" s="250"/>
      <c r="FP220" s="256"/>
      <c r="FQ220" s="250"/>
      <c r="FR220" s="256"/>
      <c r="FS220" s="250"/>
      <c r="FT220" s="256"/>
      <c r="FU220" s="256"/>
      <c r="FV220" s="256"/>
      <c r="FW220" s="250"/>
      <c r="FX220" s="424"/>
      <c r="FY220" s="251"/>
      <c r="GC220" s="252"/>
      <c r="GF220" s="252"/>
      <c r="GG220" s="252"/>
      <c r="GH220" s="252"/>
      <c r="GI220" s="252"/>
      <c r="GJ220" s="252"/>
      <c r="GK220" s="251"/>
      <c r="GL220" s="250"/>
      <c r="GM220" s="250"/>
      <c r="GN220" s="250"/>
      <c r="GO220" s="250"/>
      <c r="GP220" s="250"/>
      <c r="GQ220" s="250"/>
      <c r="GR220" s="250"/>
      <c r="GS220" s="250"/>
      <c r="GT220" s="250"/>
      <c r="GU220" s="251"/>
      <c r="GV220" s="250"/>
      <c r="GW220" s="250"/>
      <c r="GX220" s="250"/>
      <c r="GY220" s="250"/>
      <c r="GZ220" s="250"/>
      <c r="HA220" s="250"/>
      <c r="HB220" s="250"/>
      <c r="HC220" s="250"/>
      <c r="HD220" s="250"/>
      <c r="HE220" s="250"/>
      <c r="HF220" s="250"/>
      <c r="HG220" s="250"/>
      <c r="HH220" s="251"/>
      <c r="HI220" s="424"/>
      <c r="HJ220" s="255"/>
      <c r="HK220" s="255"/>
      <c r="HL220" s="250"/>
      <c r="HM220" s="255"/>
      <c r="HN220" s="255"/>
      <c r="HO220" s="255"/>
      <c r="HP220" s="250"/>
      <c r="HQ220" s="250"/>
      <c r="HR220" s="250"/>
      <c r="HS220" s="250"/>
      <c r="HT220" s="250"/>
      <c r="HU220" s="251"/>
      <c r="HX220" s="252"/>
      <c r="HY220" s="252"/>
      <c r="HZ220" s="252"/>
      <c r="ID220" s="252"/>
      <c r="IE220" s="252"/>
      <c r="IF220" s="252"/>
      <c r="IJ220" s="252"/>
      <c r="IK220" s="252"/>
      <c r="IL220" s="252"/>
      <c r="IP220" s="252"/>
      <c r="IQ220" s="252"/>
      <c r="IR220" s="252"/>
      <c r="IY220" s="66"/>
      <c r="IZ220" s="66"/>
      <c r="JA220" s="66"/>
      <c r="JB220" s="250"/>
      <c r="JC220" s="66"/>
      <c r="JD220" s="66"/>
      <c r="JE220" s="66"/>
      <c r="JF220" s="66"/>
      <c r="JG220" s="66"/>
      <c r="JH220" s="66"/>
      <c r="JI220" s="66"/>
      <c r="JJ220" s="66"/>
      <c r="JK220" s="8"/>
      <c r="JN220" s="252"/>
      <c r="JO220" s="252"/>
      <c r="JP220" s="252"/>
      <c r="JT220" s="252"/>
      <c r="JU220" s="252"/>
      <c r="JV220" s="252"/>
      <c r="JZ220" s="252"/>
      <c r="KA220" s="252"/>
      <c r="KB220" s="252"/>
      <c r="KF220" s="252"/>
      <c r="KG220" s="252"/>
      <c r="KH220" s="252"/>
      <c r="KO220" s="66"/>
      <c r="KP220" s="66"/>
      <c r="KQ220" s="66"/>
      <c r="KR220" s="66"/>
      <c r="KS220" s="66"/>
      <c r="KT220" s="66"/>
      <c r="KU220" s="66"/>
      <c r="KV220" s="66"/>
      <c r="KW220" s="66"/>
      <c r="KX220" s="66"/>
      <c r="KY220" s="66"/>
      <c r="KZ220" s="66"/>
      <c r="LA220" s="8"/>
      <c r="LD220" s="252"/>
      <c r="LE220" s="252"/>
      <c r="LF220" s="252"/>
      <c r="LJ220" s="252"/>
      <c r="LK220" s="252"/>
      <c r="LN220" s="252"/>
      <c r="LO220" s="252"/>
      <c r="LP220" s="252"/>
      <c r="LT220" s="271"/>
      <c r="LU220" s="250"/>
      <c r="LV220" s="250"/>
      <c r="LW220" s="250"/>
      <c r="LX220" s="250"/>
      <c r="LY220" s="250"/>
      <c r="LZ220" s="250"/>
      <c r="MA220" s="250"/>
      <c r="MB220" s="250"/>
      <c r="MC220" s="250"/>
      <c r="MD220" s="250"/>
      <c r="ME220" s="250"/>
      <c r="MF220" s="250"/>
      <c r="MG220" s="250"/>
      <c r="MH220" s="250"/>
      <c r="MI220" s="250"/>
      <c r="MJ220" s="250"/>
      <c r="MK220" s="424"/>
      <c r="ML220" s="640"/>
      <c r="MM220" s="251"/>
      <c r="MN220" s="252"/>
      <c r="MO220" s="252"/>
      <c r="MP220" s="252"/>
      <c r="MQ220" s="252"/>
      <c r="MR220" s="252"/>
      <c r="MS220" s="252"/>
      <c r="MT220" s="252"/>
      <c r="MU220" s="252"/>
      <c r="MV220" s="252"/>
      <c r="MW220" s="252"/>
      <c r="MX220" s="252"/>
      <c r="MY220" s="252"/>
      <c r="MZ220" s="252"/>
      <c r="NA220" s="252"/>
      <c r="NB220" s="252"/>
      <c r="NC220" s="251"/>
      <c r="ND220" s="250"/>
      <c r="NE220" s="250"/>
      <c r="NF220" s="250"/>
      <c r="NG220" s="250"/>
      <c r="NH220" s="250"/>
      <c r="NI220" s="250"/>
      <c r="NJ220" s="250"/>
      <c r="NK220" s="250"/>
      <c r="NL220" s="250"/>
      <c r="NM220" s="250"/>
      <c r="NN220" s="250"/>
      <c r="NO220" s="250"/>
      <c r="NP220" s="250"/>
      <c r="NQ220" s="250"/>
      <c r="NR220" s="250"/>
      <c r="NS220" s="250"/>
      <c r="NT220" s="250"/>
      <c r="NU220" s="250"/>
      <c r="NV220" s="250"/>
      <c r="NW220" s="251"/>
      <c r="OT220" s="8"/>
      <c r="QG220" s="8"/>
      <c r="RT220" s="8"/>
    </row>
    <row r="221" spans="1:488" s="282" customFormat="1" x14ac:dyDescent="0.25">
      <c r="A221" s="66"/>
      <c r="B221" s="8"/>
      <c r="C221" s="66"/>
      <c r="D221" s="66"/>
      <c r="E221" s="66"/>
      <c r="F221" s="66"/>
      <c r="G221" s="66"/>
      <c r="H221" s="66"/>
      <c r="I221" s="66"/>
      <c r="J221" s="66"/>
      <c r="K221" s="66"/>
      <c r="L221" s="66"/>
      <c r="M221" s="66"/>
      <c r="N221" s="66"/>
      <c r="O221" s="66"/>
      <c r="P221" s="66"/>
      <c r="Q221" s="66"/>
      <c r="R221" s="66"/>
      <c r="S221" s="66"/>
      <c r="T221" s="68"/>
      <c r="AC221" s="66"/>
      <c r="AD221" s="66"/>
      <c r="AE221" s="68"/>
      <c r="AN221" s="66"/>
      <c r="AO221" s="66"/>
      <c r="AP221" s="68"/>
      <c r="AW221" s="66"/>
      <c r="AX221" s="68"/>
      <c r="BD221" s="66"/>
      <c r="BE221" s="68"/>
      <c r="BF221" s="66"/>
      <c r="BG221" s="66"/>
      <c r="BH221" s="66"/>
      <c r="BI221" s="66"/>
      <c r="BJ221" s="66"/>
      <c r="BK221" s="66"/>
      <c r="BL221" s="68"/>
      <c r="BO221" s="66"/>
      <c r="BP221" s="68"/>
      <c r="BV221" s="66"/>
      <c r="BW221" s="68"/>
      <c r="CB221" s="8"/>
      <c r="CH221" s="8"/>
      <c r="CK221" s="299"/>
      <c r="CL221" s="299"/>
      <c r="CM221" s="66"/>
      <c r="CN221" s="66"/>
      <c r="CO221" s="68"/>
      <c r="CR221" s="8"/>
      <c r="CX221" s="66"/>
      <c r="CY221" s="532"/>
      <c r="DE221" s="66"/>
      <c r="DF221" s="66"/>
      <c r="DG221" s="68"/>
      <c r="DH221" s="68"/>
      <c r="DK221" s="66"/>
      <c r="DL221" s="66"/>
      <c r="DM221" s="66"/>
      <c r="DN221" s="66"/>
      <c r="DO221" s="66"/>
      <c r="DP221" s="66"/>
      <c r="DQ221" s="66"/>
      <c r="DR221" s="66"/>
      <c r="DS221" s="66"/>
      <c r="DT221" s="68"/>
      <c r="DU221" s="66"/>
      <c r="DV221" s="296"/>
      <c r="DW221" s="330"/>
      <c r="DX221" s="631"/>
      <c r="DY221" s="631"/>
      <c r="DZ221" s="631"/>
      <c r="EA221" s="330"/>
      <c r="EC221" s="66"/>
      <c r="ED221" s="68"/>
      <c r="EH221" s="66"/>
      <c r="EI221" s="66"/>
      <c r="EJ221" s="68"/>
      <c r="EK221" s="252"/>
      <c r="EL221" s="252"/>
      <c r="EM221" s="252"/>
      <c r="EO221" s="252"/>
      <c r="EP221" s="252"/>
      <c r="EQ221" s="252"/>
      <c r="ES221" s="252"/>
      <c r="ET221" s="252"/>
      <c r="EU221" s="252"/>
      <c r="EW221" s="252"/>
      <c r="EX221" s="252"/>
      <c r="EY221" s="252"/>
      <c r="FA221" s="250"/>
      <c r="FB221" s="250"/>
      <c r="FC221" s="250"/>
      <c r="FD221" s="250"/>
      <c r="FE221" s="250"/>
      <c r="FF221" s="250"/>
      <c r="FG221" s="250"/>
      <c r="FH221" s="424"/>
      <c r="FI221" s="250"/>
      <c r="FJ221" s="250"/>
      <c r="FK221" s="250"/>
      <c r="FL221" s="256"/>
      <c r="FM221" s="250"/>
      <c r="FN221" s="256"/>
      <c r="FO221" s="250"/>
      <c r="FP221" s="256"/>
      <c r="FQ221" s="250"/>
      <c r="FR221" s="256"/>
      <c r="FS221" s="250"/>
      <c r="FT221" s="256"/>
      <c r="FU221" s="256"/>
      <c r="FV221" s="256"/>
      <c r="FW221" s="250"/>
      <c r="FX221" s="424"/>
      <c r="FY221" s="251"/>
      <c r="GC221" s="252"/>
      <c r="GF221" s="252"/>
      <c r="GG221" s="252"/>
      <c r="GH221" s="252"/>
      <c r="GI221" s="252"/>
      <c r="GJ221" s="252"/>
      <c r="GK221" s="251"/>
      <c r="GL221" s="250"/>
      <c r="GM221" s="250"/>
      <c r="GN221" s="250"/>
      <c r="GO221" s="250"/>
      <c r="GP221" s="250"/>
      <c r="GQ221" s="250"/>
      <c r="GR221" s="250"/>
      <c r="GS221" s="250"/>
      <c r="GT221" s="250"/>
      <c r="GU221" s="251"/>
      <c r="GV221" s="250"/>
      <c r="GW221" s="250"/>
      <c r="GX221" s="250"/>
      <c r="GY221" s="250"/>
      <c r="GZ221" s="250"/>
      <c r="HA221" s="250"/>
      <c r="HB221" s="250"/>
      <c r="HC221" s="250"/>
      <c r="HD221" s="250"/>
      <c r="HE221" s="250"/>
      <c r="HF221" s="250"/>
      <c r="HG221" s="250"/>
      <c r="HH221" s="251"/>
      <c r="HI221" s="424"/>
      <c r="HJ221" s="255"/>
      <c r="HK221" s="255"/>
      <c r="HL221" s="250"/>
      <c r="HM221" s="255"/>
      <c r="HN221" s="255"/>
      <c r="HO221" s="255"/>
      <c r="HP221" s="250"/>
      <c r="HQ221" s="250"/>
      <c r="HR221" s="250"/>
      <c r="HS221" s="250"/>
      <c r="HT221" s="250"/>
      <c r="HU221" s="251"/>
      <c r="HX221" s="252"/>
      <c r="HY221" s="252"/>
      <c r="HZ221" s="252"/>
      <c r="ID221" s="252"/>
      <c r="IE221" s="252"/>
      <c r="IF221" s="252"/>
      <c r="IJ221" s="252"/>
      <c r="IK221" s="252"/>
      <c r="IL221" s="252"/>
      <c r="IP221" s="252"/>
      <c r="IQ221" s="252"/>
      <c r="IR221" s="252"/>
      <c r="IY221" s="66"/>
      <c r="IZ221" s="66"/>
      <c r="JA221" s="66"/>
      <c r="JB221" s="250"/>
      <c r="JC221" s="66"/>
      <c r="JD221" s="66"/>
      <c r="JE221" s="66"/>
      <c r="JF221" s="66"/>
      <c r="JG221" s="66"/>
      <c r="JH221" s="66"/>
      <c r="JI221" s="66"/>
      <c r="JJ221" s="66"/>
      <c r="JK221" s="8"/>
      <c r="JN221" s="252"/>
      <c r="JO221" s="252"/>
      <c r="JP221" s="252"/>
      <c r="JT221" s="252"/>
      <c r="JU221" s="252"/>
      <c r="JV221" s="252"/>
      <c r="JZ221" s="252"/>
      <c r="KA221" s="252"/>
      <c r="KB221" s="252"/>
      <c r="KF221" s="252"/>
      <c r="KG221" s="252"/>
      <c r="KH221" s="252"/>
      <c r="KO221" s="66"/>
      <c r="KP221" s="66"/>
      <c r="KQ221" s="66"/>
      <c r="KR221" s="66"/>
      <c r="KS221" s="66"/>
      <c r="KT221" s="66"/>
      <c r="KU221" s="66"/>
      <c r="KV221" s="66"/>
      <c r="KW221" s="66"/>
      <c r="KX221" s="66"/>
      <c r="KY221" s="66"/>
      <c r="KZ221" s="66"/>
      <c r="LA221" s="8"/>
      <c r="LD221" s="252"/>
      <c r="LE221" s="252"/>
      <c r="LF221" s="252"/>
      <c r="LJ221" s="252"/>
      <c r="LK221" s="252"/>
      <c r="LN221" s="252"/>
      <c r="LO221" s="252"/>
      <c r="LP221" s="252"/>
      <c r="LT221" s="271"/>
      <c r="LU221" s="250"/>
      <c r="LV221" s="250"/>
      <c r="LW221" s="250"/>
      <c r="LX221" s="250"/>
      <c r="LY221" s="250"/>
      <c r="LZ221" s="250"/>
      <c r="MA221" s="250"/>
      <c r="MB221" s="250"/>
      <c r="MC221" s="250"/>
      <c r="MD221" s="250"/>
      <c r="ME221" s="250"/>
      <c r="MF221" s="250"/>
      <c r="MG221" s="250"/>
      <c r="MH221" s="250"/>
      <c r="MI221" s="250"/>
      <c r="MJ221" s="250"/>
      <c r="MK221" s="424"/>
      <c r="ML221" s="640"/>
      <c r="MM221" s="251"/>
      <c r="MN221" s="252"/>
      <c r="MO221" s="252"/>
      <c r="MP221" s="252"/>
      <c r="MQ221" s="252"/>
      <c r="MR221" s="252"/>
      <c r="MS221" s="252"/>
      <c r="MT221" s="252"/>
      <c r="MU221" s="252"/>
      <c r="MV221" s="252"/>
      <c r="MW221" s="252"/>
      <c r="MX221" s="252"/>
      <c r="MY221" s="252"/>
      <c r="MZ221" s="252"/>
      <c r="NA221" s="252"/>
      <c r="NB221" s="252"/>
      <c r="NC221" s="251"/>
      <c r="ND221" s="250"/>
      <c r="NE221" s="250"/>
      <c r="NF221" s="250"/>
      <c r="NG221" s="250"/>
      <c r="NH221" s="250"/>
      <c r="NI221" s="250"/>
      <c r="NJ221" s="250"/>
      <c r="NK221" s="250"/>
      <c r="NL221" s="250"/>
      <c r="NM221" s="250"/>
      <c r="NN221" s="250"/>
      <c r="NO221" s="250"/>
      <c r="NP221" s="250"/>
      <c r="NQ221" s="250"/>
      <c r="NR221" s="250"/>
      <c r="NS221" s="250"/>
      <c r="NT221" s="250"/>
      <c r="NU221" s="250"/>
      <c r="NV221" s="250"/>
      <c r="NW221" s="251"/>
      <c r="OT221" s="8"/>
      <c r="QG221" s="8"/>
      <c r="RT221" s="8"/>
    </row>
    <row r="222" spans="1:488" s="282" customFormat="1" x14ac:dyDescent="0.25">
      <c r="A222" s="66"/>
      <c r="B222" s="8"/>
      <c r="C222" s="66"/>
      <c r="D222" s="66"/>
      <c r="E222" s="66"/>
      <c r="F222" s="66"/>
      <c r="G222" s="66"/>
      <c r="H222" s="66"/>
      <c r="I222" s="66"/>
      <c r="J222" s="66"/>
      <c r="K222" s="66"/>
      <c r="L222" s="66"/>
      <c r="M222" s="66"/>
      <c r="N222" s="66"/>
      <c r="O222" s="66"/>
      <c r="P222" s="66"/>
      <c r="Q222" s="66"/>
      <c r="R222" s="66"/>
      <c r="S222" s="66"/>
      <c r="T222" s="68"/>
      <c r="AC222" s="66"/>
      <c r="AD222" s="66"/>
      <c r="AE222" s="68"/>
      <c r="AN222" s="66"/>
      <c r="AO222" s="66"/>
      <c r="AP222" s="68"/>
      <c r="AW222" s="66"/>
      <c r="AX222" s="68"/>
      <c r="BD222" s="66"/>
      <c r="BE222" s="68"/>
      <c r="BF222" s="66"/>
      <c r="BG222" s="66"/>
      <c r="BH222" s="66"/>
      <c r="BI222" s="66"/>
      <c r="BJ222" s="66"/>
      <c r="BK222" s="66"/>
      <c r="BL222" s="68"/>
      <c r="BO222" s="66"/>
      <c r="BP222" s="68"/>
      <c r="BV222" s="66"/>
      <c r="BW222" s="68"/>
      <c r="CB222" s="8"/>
      <c r="CH222" s="8"/>
      <c r="CK222" s="299"/>
      <c r="CL222" s="299"/>
      <c r="CM222" s="66"/>
      <c r="CN222" s="66"/>
      <c r="CO222" s="68"/>
      <c r="CR222" s="8"/>
      <c r="CX222" s="66"/>
      <c r="CY222" s="532"/>
      <c r="DE222" s="66"/>
      <c r="DF222" s="66"/>
      <c r="DG222" s="68"/>
      <c r="DH222" s="68"/>
      <c r="DK222" s="66"/>
      <c r="DL222" s="66"/>
      <c r="DM222" s="66"/>
      <c r="DN222" s="66"/>
      <c r="DO222" s="66"/>
      <c r="DP222" s="66"/>
      <c r="DQ222" s="66"/>
      <c r="DR222" s="66"/>
      <c r="DS222" s="66"/>
      <c r="DT222" s="68"/>
      <c r="DU222" s="66"/>
      <c r="DV222" s="296"/>
      <c r="DW222" s="330"/>
      <c r="DX222" s="631"/>
      <c r="DY222" s="631"/>
      <c r="DZ222" s="631"/>
      <c r="EA222" s="330"/>
      <c r="EC222" s="66"/>
      <c r="ED222" s="68"/>
      <c r="EH222" s="66"/>
      <c r="EI222" s="66"/>
      <c r="EJ222" s="68"/>
      <c r="EK222" s="252"/>
      <c r="EL222" s="252"/>
      <c r="EM222" s="252"/>
      <c r="EO222" s="252"/>
      <c r="EP222" s="252"/>
      <c r="EQ222" s="252"/>
      <c r="ES222" s="252"/>
      <c r="ET222" s="252"/>
      <c r="EU222" s="252"/>
      <c r="EW222" s="252"/>
      <c r="EX222" s="252"/>
      <c r="EY222" s="252"/>
      <c r="FA222" s="250"/>
      <c r="FB222" s="250"/>
      <c r="FC222" s="250"/>
      <c r="FD222" s="250"/>
      <c r="FE222" s="250"/>
      <c r="FF222" s="250"/>
      <c r="FG222" s="250"/>
      <c r="FH222" s="424"/>
      <c r="FI222" s="250"/>
      <c r="FJ222" s="250"/>
      <c r="FK222" s="250"/>
      <c r="FL222" s="256"/>
      <c r="FM222" s="250"/>
      <c r="FN222" s="256"/>
      <c r="FO222" s="250"/>
      <c r="FP222" s="256"/>
      <c r="FQ222" s="250"/>
      <c r="FR222" s="256"/>
      <c r="FS222" s="250"/>
      <c r="FT222" s="256"/>
      <c r="FU222" s="256"/>
      <c r="FV222" s="256"/>
      <c r="FW222" s="250"/>
      <c r="FX222" s="424"/>
      <c r="FY222" s="251"/>
      <c r="GC222" s="252"/>
      <c r="GF222" s="252"/>
      <c r="GG222" s="252"/>
      <c r="GH222" s="252"/>
      <c r="GI222" s="252"/>
      <c r="GJ222" s="252"/>
      <c r="GK222" s="251"/>
      <c r="GL222" s="250"/>
      <c r="GM222" s="250"/>
      <c r="GN222" s="250"/>
      <c r="GO222" s="250"/>
      <c r="GP222" s="250"/>
      <c r="GQ222" s="250"/>
      <c r="GR222" s="250"/>
      <c r="GS222" s="250"/>
      <c r="GT222" s="250"/>
      <c r="GU222" s="251"/>
      <c r="GV222" s="250"/>
      <c r="GW222" s="250"/>
      <c r="GX222" s="250"/>
      <c r="GY222" s="250"/>
      <c r="GZ222" s="250"/>
      <c r="HA222" s="250"/>
      <c r="HB222" s="250"/>
      <c r="HC222" s="250"/>
      <c r="HD222" s="250"/>
      <c r="HE222" s="250"/>
      <c r="HF222" s="250"/>
      <c r="HG222" s="250"/>
      <c r="HH222" s="251"/>
      <c r="HI222" s="424"/>
      <c r="HJ222" s="255"/>
      <c r="HK222" s="255"/>
      <c r="HL222" s="250"/>
      <c r="HM222" s="255"/>
      <c r="HN222" s="255"/>
      <c r="HO222" s="255"/>
      <c r="HP222" s="250"/>
      <c r="HQ222" s="250"/>
      <c r="HR222" s="250"/>
      <c r="HS222" s="250"/>
      <c r="HT222" s="250"/>
      <c r="HU222" s="251"/>
      <c r="HX222" s="252"/>
      <c r="HY222" s="252"/>
      <c r="HZ222" s="252"/>
      <c r="ID222" s="252"/>
      <c r="IE222" s="252"/>
      <c r="IF222" s="252"/>
      <c r="IJ222" s="252"/>
      <c r="IK222" s="252"/>
      <c r="IL222" s="252"/>
      <c r="IP222" s="252"/>
      <c r="IQ222" s="252"/>
      <c r="IR222" s="252"/>
      <c r="IY222" s="66"/>
      <c r="IZ222" s="66"/>
      <c r="JA222" s="66"/>
      <c r="JB222" s="250"/>
      <c r="JC222" s="66"/>
      <c r="JD222" s="66"/>
      <c r="JE222" s="66"/>
      <c r="JF222" s="66"/>
      <c r="JG222" s="66"/>
      <c r="JH222" s="66"/>
      <c r="JI222" s="66"/>
      <c r="JJ222" s="66"/>
      <c r="JK222" s="8"/>
      <c r="JN222" s="252"/>
      <c r="JO222" s="252"/>
      <c r="JP222" s="252"/>
      <c r="JT222" s="252"/>
      <c r="JU222" s="252"/>
      <c r="JV222" s="252"/>
      <c r="JZ222" s="252"/>
      <c r="KA222" s="252"/>
      <c r="KB222" s="252"/>
      <c r="KF222" s="252"/>
      <c r="KG222" s="252"/>
      <c r="KH222" s="252"/>
      <c r="KO222" s="66"/>
      <c r="KP222" s="66"/>
      <c r="KQ222" s="66"/>
      <c r="KR222" s="66"/>
      <c r="KS222" s="66"/>
      <c r="KT222" s="66"/>
      <c r="KU222" s="66"/>
      <c r="KV222" s="66"/>
      <c r="KW222" s="66"/>
      <c r="KX222" s="66"/>
      <c r="KY222" s="66"/>
      <c r="KZ222" s="66"/>
      <c r="LA222" s="8"/>
      <c r="LD222" s="252"/>
      <c r="LE222" s="252"/>
      <c r="LF222" s="252"/>
      <c r="LJ222" s="252"/>
      <c r="LK222" s="252"/>
      <c r="LN222" s="252"/>
      <c r="LO222" s="252"/>
      <c r="LP222" s="252"/>
      <c r="LT222" s="271"/>
      <c r="LU222" s="250"/>
      <c r="LV222" s="250"/>
      <c r="LW222" s="250"/>
      <c r="LX222" s="250"/>
      <c r="LY222" s="250"/>
      <c r="LZ222" s="250"/>
      <c r="MA222" s="250"/>
      <c r="MB222" s="250"/>
      <c r="MC222" s="250"/>
      <c r="MD222" s="250"/>
      <c r="ME222" s="250"/>
      <c r="MF222" s="250"/>
      <c r="MG222" s="250"/>
      <c r="MH222" s="250"/>
      <c r="MI222" s="250"/>
      <c r="MJ222" s="250"/>
      <c r="MK222" s="424"/>
      <c r="ML222" s="640"/>
      <c r="MM222" s="251"/>
      <c r="MN222" s="252"/>
      <c r="MO222" s="252"/>
      <c r="MP222" s="252"/>
      <c r="MQ222" s="252"/>
      <c r="MR222" s="252"/>
      <c r="MS222" s="252"/>
      <c r="MT222" s="252"/>
      <c r="MU222" s="252"/>
      <c r="MV222" s="252"/>
      <c r="MW222" s="252"/>
      <c r="MX222" s="252"/>
      <c r="MY222" s="252"/>
      <c r="MZ222" s="252"/>
      <c r="NA222" s="252"/>
      <c r="NB222" s="252"/>
      <c r="NC222" s="251"/>
      <c r="ND222" s="250"/>
      <c r="NE222" s="250"/>
      <c r="NF222" s="250"/>
      <c r="NG222" s="250"/>
      <c r="NH222" s="250"/>
      <c r="NI222" s="250"/>
      <c r="NJ222" s="250"/>
      <c r="NK222" s="250"/>
      <c r="NL222" s="250"/>
      <c r="NM222" s="250"/>
      <c r="NN222" s="250"/>
      <c r="NO222" s="250"/>
      <c r="NP222" s="250"/>
      <c r="NQ222" s="250"/>
      <c r="NR222" s="250"/>
      <c r="NS222" s="250"/>
      <c r="NT222" s="250"/>
      <c r="NU222" s="250"/>
      <c r="NV222" s="250"/>
      <c r="NW222" s="251"/>
      <c r="OT222" s="8"/>
      <c r="QG222" s="8"/>
      <c r="RT222" s="8"/>
    </row>
    <row r="223" spans="1:488" s="282" customFormat="1" x14ac:dyDescent="0.25">
      <c r="A223" s="66"/>
      <c r="B223" s="8"/>
      <c r="C223" s="66"/>
      <c r="D223" s="66"/>
      <c r="E223" s="66"/>
      <c r="F223" s="66"/>
      <c r="G223" s="66"/>
      <c r="H223" s="66"/>
      <c r="I223" s="66"/>
      <c r="J223" s="66"/>
      <c r="K223" s="66"/>
      <c r="L223" s="66"/>
      <c r="M223" s="66"/>
      <c r="N223" s="66"/>
      <c r="O223" s="66"/>
      <c r="P223" s="66"/>
      <c r="Q223" s="66"/>
      <c r="R223" s="66"/>
      <c r="S223" s="66"/>
      <c r="T223" s="68"/>
      <c r="AC223" s="66"/>
      <c r="AD223" s="66"/>
      <c r="AE223" s="68"/>
      <c r="AN223" s="66"/>
      <c r="AO223" s="66"/>
      <c r="AP223" s="68"/>
      <c r="AW223" s="66"/>
      <c r="AX223" s="68"/>
      <c r="BD223" s="66"/>
      <c r="BE223" s="68"/>
      <c r="BF223" s="66"/>
      <c r="BG223" s="66"/>
      <c r="BH223" s="66"/>
      <c r="BI223" s="66"/>
      <c r="BJ223" s="66"/>
      <c r="BK223" s="66"/>
      <c r="BL223" s="68"/>
      <c r="BO223" s="66"/>
      <c r="BP223" s="68"/>
      <c r="BV223" s="66"/>
      <c r="BW223" s="68"/>
      <c r="CB223" s="8"/>
      <c r="CH223" s="8"/>
      <c r="CK223" s="299"/>
      <c r="CL223" s="299"/>
      <c r="CM223" s="66"/>
      <c r="CN223" s="66"/>
      <c r="CO223" s="68"/>
      <c r="CR223" s="8"/>
      <c r="CX223" s="66"/>
      <c r="CY223" s="532"/>
      <c r="DE223" s="66"/>
      <c r="DF223" s="66"/>
      <c r="DG223" s="68"/>
      <c r="DH223" s="68"/>
      <c r="DK223" s="66"/>
      <c r="DL223" s="66"/>
      <c r="DM223" s="66"/>
      <c r="DN223" s="66"/>
      <c r="DO223" s="66"/>
      <c r="DP223" s="66"/>
      <c r="DQ223" s="66"/>
      <c r="DR223" s="66"/>
      <c r="DS223" s="66"/>
      <c r="DT223" s="68"/>
      <c r="DU223" s="66"/>
      <c r="DV223" s="296"/>
      <c r="DW223" s="330"/>
      <c r="DX223" s="631"/>
      <c r="DY223" s="631"/>
      <c r="DZ223" s="631"/>
      <c r="EA223" s="330"/>
      <c r="EC223" s="66"/>
      <c r="ED223" s="68"/>
      <c r="EH223" s="66"/>
      <c r="EI223" s="66"/>
      <c r="EJ223" s="68"/>
      <c r="EK223" s="252"/>
      <c r="EL223" s="252"/>
      <c r="EM223" s="252"/>
      <c r="EO223" s="252"/>
      <c r="EP223" s="252"/>
      <c r="EQ223" s="252"/>
      <c r="ES223" s="252"/>
      <c r="ET223" s="252"/>
      <c r="EU223" s="252"/>
      <c r="EW223" s="252"/>
      <c r="EX223" s="252"/>
      <c r="EY223" s="252"/>
      <c r="FA223" s="250"/>
      <c r="FB223" s="250"/>
      <c r="FC223" s="250"/>
      <c r="FD223" s="250"/>
      <c r="FE223" s="250"/>
      <c r="FF223" s="250"/>
      <c r="FG223" s="250"/>
      <c r="FH223" s="424"/>
      <c r="FI223" s="250"/>
      <c r="FJ223" s="250"/>
      <c r="FK223" s="250"/>
      <c r="FL223" s="256"/>
      <c r="FM223" s="250"/>
      <c r="FN223" s="256"/>
      <c r="FO223" s="250"/>
      <c r="FP223" s="256"/>
      <c r="FQ223" s="250"/>
      <c r="FR223" s="256"/>
      <c r="FS223" s="250"/>
      <c r="FT223" s="256"/>
      <c r="FU223" s="256"/>
      <c r="FV223" s="256"/>
      <c r="FW223" s="250"/>
      <c r="FX223" s="424"/>
      <c r="FY223" s="251"/>
      <c r="GC223" s="252"/>
      <c r="GF223" s="252"/>
      <c r="GG223" s="252"/>
      <c r="GH223" s="252"/>
      <c r="GI223" s="252"/>
      <c r="GJ223" s="252"/>
      <c r="GK223" s="251"/>
      <c r="GL223" s="250"/>
      <c r="GM223" s="250"/>
      <c r="GN223" s="250"/>
      <c r="GO223" s="250"/>
      <c r="GP223" s="250"/>
      <c r="GQ223" s="250"/>
      <c r="GR223" s="250"/>
      <c r="GS223" s="250"/>
      <c r="GT223" s="250"/>
      <c r="GU223" s="251"/>
      <c r="GV223" s="250"/>
      <c r="GW223" s="250"/>
      <c r="GX223" s="250"/>
      <c r="GY223" s="250"/>
      <c r="GZ223" s="250"/>
      <c r="HA223" s="250"/>
      <c r="HB223" s="250"/>
      <c r="HC223" s="250"/>
      <c r="HD223" s="250"/>
      <c r="HE223" s="250"/>
      <c r="HF223" s="250"/>
      <c r="HG223" s="250"/>
      <c r="HH223" s="251"/>
      <c r="HI223" s="424"/>
      <c r="HJ223" s="255"/>
      <c r="HK223" s="255"/>
      <c r="HL223" s="250"/>
      <c r="HM223" s="255"/>
      <c r="HN223" s="255"/>
      <c r="HO223" s="255"/>
      <c r="HP223" s="250"/>
      <c r="HQ223" s="250"/>
      <c r="HR223" s="250"/>
      <c r="HS223" s="250"/>
      <c r="HT223" s="250"/>
      <c r="HU223" s="251"/>
      <c r="HX223" s="252"/>
      <c r="HY223" s="252"/>
      <c r="HZ223" s="252"/>
      <c r="ID223" s="252"/>
      <c r="IE223" s="252"/>
      <c r="IF223" s="252"/>
      <c r="IJ223" s="252"/>
      <c r="IK223" s="252"/>
      <c r="IL223" s="252"/>
      <c r="IP223" s="252"/>
      <c r="IQ223" s="252"/>
      <c r="IR223" s="252"/>
      <c r="IY223" s="66"/>
      <c r="IZ223" s="66"/>
      <c r="JA223" s="66"/>
      <c r="JB223" s="250"/>
      <c r="JC223" s="66"/>
      <c r="JD223" s="66"/>
      <c r="JE223" s="66"/>
      <c r="JF223" s="66"/>
      <c r="JG223" s="66"/>
      <c r="JH223" s="66"/>
      <c r="JI223" s="66"/>
      <c r="JJ223" s="66"/>
      <c r="JK223" s="8"/>
      <c r="JN223" s="252"/>
      <c r="JO223" s="252"/>
      <c r="JP223" s="252"/>
      <c r="JT223" s="252"/>
      <c r="JU223" s="252"/>
      <c r="JV223" s="252"/>
      <c r="JZ223" s="252"/>
      <c r="KA223" s="252"/>
      <c r="KB223" s="252"/>
      <c r="KF223" s="252"/>
      <c r="KG223" s="252"/>
      <c r="KH223" s="252"/>
      <c r="KO223" s="66"/>
      <c r="KP223" s="66"/>
      <c r="KQ223" s="66"/>
      <c r="KR223" s="66"/>
      <c r="KS223" s="66"/>
      <c r="KT223" s="66"/>
      <c r="KU223" s="66"/>
      <c r="KV223" s="66"/>
      <c r="KW223" s="66"/>
      <c r="KX223" s="66"/>
      <c r="KY223" s="66"/>
      <c r="KZ223" s="66"/>
      <c r="LA223" s="8"/>
      <c r="LD223" s="252"/>
      <c r="LE223" s="252"/>
      <c r="LF223" s="252"/>
      <c r="LJ223" s="252"/>
      <c r="LK223" s="252"/>
      <c r="LN223" s="252"/>
      <c r="LO223" s="252"/>
      <c r="LP223" s="252"/>
      <c r="LT223" s="271"/>
      <c r="LU223" s="250"/>
      <c r="LV223" s="250"/>
      <c r="LW223" s="250"/>
      <c r="LX223" s="250"/>
      <c r="LY223" s="250"/>
      <c r="LZ223" s="250"/>
      <c r="MA223" s="250"/>
      <c r="MB223" s="250"/>
      <c r="MC223" s="250"/>
      <c r="MD223" s="250"/>
      <c r="ME223" s="250"/>
      <c r="MF223" s="250"/>
      <c r="MG223" s="250"/>
      <c r="MH223" s="250"/>
      <c r="MI223" s="250"/>
      <c r="MJ223" s="250"/>
      <c r="MK223" s="424"/>
      <c r="ML223" s="640"/>
      <c r="MM223" s="251"/>
      <c r="MN223" s="252"/>
      <c r="MO223" s="252"/>
      <c r="MP223" s="252"/>
      <c r="MQ223" s="252"/>
      <c r="MR223" s="252"/>
      <c r="MS223" s="252"/>
      <c r="MT223" s="252"/>
      <c r="MU223" s="252"/>
      <c r="MV223" s="252"/>
      <c r="MW223" s="252"/>
      <c r="MX223" s="252"/>
      <c r="MY223" s="252"/>
      <c r="MZ223" s="252"/>
      <c r="NA223" s="252"/>
      <c r="NB223" s="252"/>
      <c r="NC223" s="251"/>
      <c r="ND223" s="250"/>
      <c r="NE223" s="250"/>
      <c r="NF223" s="250"/>
      <c r="NG223" s="250"/>
      <c r="NH223" s="250"/>
      <c r="NI223" s="250"/>
      <c r="NJ223" s="250"/>
      <c r="NK223" s="250"/>
      <c r="NL223" s="250"/>
      <c r="NM223" s="250"/>
      <c r="NN223" s="250"/>
      <c r="NO223" s="250"/>
      <c r="NP223" s="250"/>
      <c r="NQ223" s="250"/>
      <c r="NR223" s="250"/>
      <c r="NS223" s="250"/>
      <c r="NT223" s="250"/>
      <c r="NU223" s="250"/>
      <c r="NV223" s="250"/>
      <c r="NW223" s="251"/>
      <c r="OT223" s="8"/>
      <c r="QG223" s="8"/>
      <c r="RT223" s="8"/>
    </row>
    <row r="224" spans="1:488" s="282" customFormat="1" x14ac:dyDescent="0.25">
      <c r="A224" s="66"/>
      <c r="B224" s="8"/>
      <c r="C224" s="66"/>
      <c r="D224" s="66"/>
      <c r="E224" s="66"/>
      <c r="F224" s="66"/>
      <c r="G224" s="66"/>
      <c r="H224" s="66"/>
      <c r="I224" s="66"/>
      <c r="J224" s="66"/>
      <c r="K224" s="66"/>
      <c r="L224" s="66"/>
      <c r="M224" s="66"/>
      <c r="N224" s="66"/>
      <c r="O224" s="66"/>
      <c r="P224" s="66"/>
      <c r="Q224" s="66"/>
      <c r="R224" s="66"/>
      <c r="S224" s="66"/>
      <c r="T224" s="68"/>
      <c r="AC224" s="66"/>
      <c r="AD224" s="66"/>
      <c r="AE224" s="68"/>
      <c r="AN224" s="66"/>
      <c r="AO224" s="66"/>
      <c r="AP224" s="68"/>
      <c r="AW224" s="66"/>
      <c r="AX224" s="68"/>
      <c r="BD224" s="66"/>
      <c r="BE224" s="68"/>
      <c r="BF224" s="66"/>
      <c r="BG224" s="66"/>
      <c r="BH224" s="66"/>
      <c r="BI224" s="66"/>
      <c r="BJ224" s="66"/>
      <c r="BK224" s="66"/>
      <c r="BL224" s="68"/>
      <c r="BO224" s="66"/>
      <c r="BP224" s="68"/>
      <c r="BV224" s="66"/>
      <c r="BW224" s="68"/>
      <c r="CB224" s="8"/>
      <c r="CH224" s="8"/>
      <c r="CK224" s="299"/>
      <c r="CL224" s="299"/>
      <c r="CM224" s="66"/>
      <c r="CN224" s="66"/>
      <c r="CO224" s="68"/>
      <c r="CR224" s="8"/>
      <c r="CX224" s="66"/>
      <c r="CY224" s="532"/>
      <c r="DE224" s="66"/>
      <c r="DF224" s="66"/>
      <c r="DG224" s="68"/>
      <c r="DH224" s="68"/>
      <c r="DK224" s="66"/>
      <c r="DL224" s="66"/>
      <c r="DM224" s="66"/>
      <c r="DN224" s="66"/>
      <c r="DO224" s="66"/>
      <c r="DP224" s="66"/>
      <c r="DQ224" s="66"/>
      <c r="DR224" s="66"/>
      <c r="DS224" s="66"/>
      <c r="DT224" s="68"/>
      <c r="DU224" s="66"/>
      <c r="DV224" s="296"/>
      <c r="DW224" s="330"/>
      <c r="DX224" s="631"/>
      <c r="DY224" s="631"/>
      <c r="DZ224" s="631"/>
      <c r="EA224" s="330"/>
      <c r="EC224" s="66"/>
      <c r="ED224" s="68"/>
      <c r="EH224" s="66"/>
      <c r="EI224" s="66"/>
      <c r="EJ224" s="68"/>
      <c r="EK224" s="252"/>
      <c r="EL224" s="252"/>
      <c r="EM224" s="252"/>
      <c r="EO224" s="252"/>
      <c r="EP224" s="252"/>
      <c r="EQ224" s="252"/>
      <c r="ES224" s="252"/>
      <c r="ET224" s="252"/>
      <c r="EU224" s="252"/>
      <c r="EW224" s="252"/>
      <c r="EX224" s="252"/>
      <c r="EY224" s="252"/>
      <c r="FA224" s="250"/>
      <c r="FB224" s="250"/>
      <c r="FC224" s="250"/>
      <c r="FD224" s="250"/>
      <c r="FE224" s="250"/>
      <c r="FF224" s="250"/>
      <c r="FG224" s="250"/>
      <c r="FH224" s="424"/>
      <c r="FI224" s="250"/>
      <c r="FJ224" s="250"/>
      <c r="FK224" s="250"/>
      <c r="FL224" s="256"/>
      <c r="FM224" s="250"/>
      <c r="FN224" s="256"/>
      <c r="FO224" s="250"/>
      <c r="FP224" s="256"/>
      <c r="FQ224" s="250"/>
      <c r="FR224" s="256"/>
      <c r="FS224" s="250"/>
      <c r="FT224" s="256"/>
      <c r="FU224" s="256"/>
      <c r="FV224" s="256"/>
      <c r="FW224" s="250"/>
      <c r="FX224" s="424"/>
      <c r="FY224" s="251"/>
      <c r="GC224" s="252"/>
      <c r="GF224" s="252"/>
      <c r="GG224" s="252"/>
      <c r="GH224" s="252"/>
      <c r="GI224" s="252"/>
      <c r="GJ224" s="252"/>
      <c r="GK224" s="251"/>
      <c r="GL224" s="250"/>
      <c r="GM224" s="250"/>
      <c r="GN224" s="250"/>
      <c r="GO224" s="250"/>
      <c r="GP224" s="250"/>
      <c r="GQ224" s="250"/>
      <c r="GR224" s="250"/>
      <c r="GS224" s="250"/>
      <c r="GT224" s="250"/>
      <c r="GU224" s="251"/>
      <c r="GV224" s="250"/>
      <c r="GW224" s="250"/>
      <c r="GX224" s="250"/>
      <c r="GY224" s="250"/>
      <c r="GZ224" s="250"/>
      <c r="HA224" s="250"/>
      <c r="HB224" s="250"/>
      <c r="HC224" s="250"/>
      <c r="HD224" s="250"/>
      <c r="HE224" s="250"/>
      <c r="HF224" s="250"/>
      <c r="HG224" s="250"/>
      <c r="HH224" s="251"/>
      <c r="HI224" s="424"/>
      <c r="HJ224" s="255"/>
      <c r="HK224" s="255"/>
      <c r="HL224" s="250"/>
      <c r="HM224" s="255"/>
      <c r="HN224" s="255"/>
      <c r="HO224" s="255"/>
      <c r="HP224" s="250"/>
      <c r="HQ224" s="250"/>
      <c r="HR224" s="250"/>
      <c r="HS224" s="250"/>
      <c r="HT224" s="250"/>
      <c r="HU224" s="251"/>
      <c r="HX224" s="252"/>
      <c r="HY224" s="252"/>
      <c r="HZ224" s="252"/>
      <c r="ID224" s="252"/>
      <c r="IE224" s="252"/>
      <c r="IF224" s="252"/>
      <c r="IJ224" s="252"/>
      <c r="IK224" s="252"/>
      <c r="IL224" s="252"/>
      <c r="IP224" s="252"/>
      <c r="IQ224" s="252"/>
      <c r="IR224" s="252"/>
      <c r="IY224" s="66"/>
      <c r="IZ224" s="66"/>
      <c r="JA224" s="66"/>
      <c r="JB224" s="250"/>
      <c r="JC224" s="66"/>
      <c r="JD224" s="66"/>
      <c r="JE224" s="66"/>
      <c r="JF224" s="66"/>
      <c r="JG224" s="66"/>
      <c r="JH224" s="66"/>
      <c r="JI224" s="66"/>
      <c r="JJ224" s="66"/>
      <c r="JK224" s="8"/>
      <c r="JN224" s="252"/>
      <c r="JO224" s="252"/>
      <c r="JP224" s="252"/>
      <c r="JT224" s="252"/>
      <c r="JU224" s="252"/>
      <c r="JV224" s="252"/>
      <c r="JZ224" s="252"/>
      <c r="KA224" s="252"/>
      <c r="KB224" s="252"/>
      <c r="KF224" s="252"/>
      <c r="KG224" s="252"/>
      <c r="KH224" s="252"/>
      <c r="KO224" s="66"/>
      <c r="KP224" s="66"/>
      <c r="KQ224" s="66"/>
      <c r="KR224" s="66"/>
      <c r="KS224" s="66"/>
      <c r="KT224" s="66"/>
      <c r="KU224" s="66"/>
      <c r="KV224" s="66"/>
      <c r="KW224" s="66"/>
      <c r="KX224" s="66"/>
      <c r="KY224" s="66"/>
      <c r="KZ224" s="66"/>
      <c r="LA224" s="8"/>
      <c r="LD224" s="252"/>
      <c r="LE224" s="252"/>
      <c r="LF224" s="252"/>
      <c r="LJ224" s="252"/>
      <c r="LK224" s="252"/>
      <c r="LN224" s="252"/>
      <c r="LO224" s="252"/>
      <c r="LP224" s="252"/>
      <c r="LT224" s="271"/>
      <c r="LU224" s="250"/>
      <c r="LV224" s="250"/>
      <c r="LW224" s="250"/>
      <c r="LX224" s="250"/>
      <c r="LY224" s="250"/>
      <c r="LZ224" s="250"/>
      <c r="MA224" s="250"/>
      <c r="MB224" s="250"/>
      <c r="MC224" s="250"/>
      <c r="MD224" s="250"/>
      <c r="ME224" s="250"/>
      <c r="MF224" s="250"/>
      <c r="MG224" s="250"/>
      <c r="MH224" s="250"/>
      <c r="MI224" s="250"/>
      <c r="MJ224" s="250"/>
      <c r="MK224" s="424"/>
      <c r="ML224" s="640"/>
      <c r="MM224" s="251"/>
      <c r="MN224" s="252"/>
      <c r="MO224" s="252"/>
      <c r="MP224" s="252"/>
      <c r="MQ224" s="252"/>
      <c r="MR224" s="252"/>
      <c r="MS224" s="252"/>
      <c r="MT224" s="252"/>
      <c r="MU224" s="252"/>
      <c r="MV224" s="252"/>
      <c r="MW224" s="252"/>
      <c r="MX224" s="252"/>
      <c r="MY224" s="252"/>
      <c r="MZ224" s="252"/>
      <c r="NA224" s="252"/>
      <c r="NB224" s="252"/>
      <c r="NC224" s="251"/>
      <c r="ND224" s="250"/>
      <c r="NE224" s="250"/>
      <c r="NF224" s="250"/>
      <c r="NG224" s="250"/>
      <c r="NH224" s="250"/>
      <c r="NI224" s="250"/>
      <c r="NJ224" s="250"/>
      <c r="NK224" s="250"/>
      <c r="NL224" s="250"/>
      <c r="NM224" s="250"/>
      <c r="NN224" s="250"/>
      <c r="NO224" s="250"/>
      <c r="NP224" s="250"/>
      <c r="NQ224" s="250"/>
      <c r="NR224" s="250"/>
      <c r="NS224" s="250"/>
      <c r="NT224" s="250"/>
      <c r="NU224" s="250"/>
      <c r="NV224" s="250"/>
      <c r="NW224" s="251"/>
      <c r="OT224" s="8"/>
      <c r="QG224" s="8"/>
      <c r="RT224" s="8"/>
    </row>
    <row r="225" spans="1:488" s="282" customFormat="1" x14ac:dyDescent="0.25">
      <c r="A225" s="66"/>
      <c r="B225" s="8"/>
      <c r="C225" s="66"/>
      <c r="D225" s="66"/>
      <c r="E225" s="66"/>
      <c r="F225" s="66"/>
      <c r="G225" s="66"/>
      <c r="H225" s="66"/>
      <c r="I225" s="66"/>
      <c r="J225" s="66"/>
      <c r="K225" s="66"/>
      <c r="L225" s="66"/>
      <c r="M225" s="66"/>
      <c r="N225" s="66"/>
      <c r="O225" s="66"/>
      <c r="P225" s="66"/>
      <c r="Q225" s="66"/>
      <c r="R225" s="66"/>
      <c r="S225" s="66"/>
      <c r="T225" s="68"/>
      <c r="AC225" s="66"/>
      <c r="AD225" s="66"/>
      <c r="AE225" s="68"/>
      <c r="AN225" s="66"/>
      <c r="AO225" s="66"/>
      <c r="AP225" s="68"/>
      <c r="AW225" s="66"/>
      <c r="AX225" s="68"/>
      <c r="BD225" s="66"/>
      <c r="BE225" s="68"/>
      <c r="BF225" s="66"/>
      <c r="BG225" s="66"/>
      <c r="BH225" s="66"/>
      <c r="BI225" s="66"/>
      <c r="BJ225" s="66"/>
      <c r="BK225" s="66"/>
      <c r="BL225" s="68"/>
      <c r="BO225" s="66"/>
      <c r="BP225" s="68"/>
      <c r="BV225" s="66"/>
      <c r="BW225" s="68"/>
      <c r="CB225" s="8"/>
      <c r="CH225" s="8"/>
      <c r="CK225" s="299"/>
      <c r="CL225" s="299"/>
      <c r="CM225" s="66"/>
      <c r="CN225" s="66"/>
      <c r="CO225" s="68"/>
      <c r="CR225" s="8"/>
      <c r="CX225" s="66"/>
      <c r="CY225" s="532"/>
      <c r="DE225" s="66"/>
      <c r="DF225" s="66"/>
      <c r="DG225" s="68"/>
      <c r="DH225" s="68"/>
      <c r="DK225" s="66"/>
      <c r="DL225" s="66"/>
      <c r="DM225" s="66"/>
      <c r="DN225" s="66"/>
      <c r="DO225" s="66"/>
      <c r="DP225" s="66"/>
      <c r="DQ225" s="66"/>
      <c r="DR225" s="66"/>
      <c r="DS225" s="66"/>
      <c r="DT225" s="68"/>
      <c r="DU225" s="66"/>
      <c r="DV225" s="296"/>
      <c r="DW225" s="330"/>
      <c r="DX225" s="631"/>
      <c r="DY225" s="631"/>
      <c r="DZ225" s="631"/>
      <c r="EA225" s="330"/>
      <c r="EC225" s="66"/>
      <c r="ED225" s="68"/>
      <c r="EH225" s="66"/>
      <c r="EI225" s="66"/>
      <c r="EJ225" s="68"/>
      <c r="EK225" s="252"/>
      <c r="EL225" s="252"/>
      <c r="EM225" s="252"/>
      <c r="EO225" s="252"/>
      <c r="EP225" s="252"/>
      <c r="EQ225" s="252"/>
      <c r="ES225" s="252"/>
      <c r="ET225" s="252"/>
      <c r="EU225" s="252"/>
      <c r="EW225" s="252"/>
      <c r="EX225" s="252"/>
      <c r="EY225" s="252"/>
      <c r="FA225" s="250"/>
      <c r="FB225" s="250"/>
      <c r="FC225" s="250"/>
      <c r="FD225" s="250"/>
      <c r="FE225" s="250"/>
      <c r="FF225" s="250"/>
      <c r="FG225" s="250"/>
      <c r="FH225" s="424"/>
      <c r="FI225" s="250"/>
      <c r="FJ225" s="250"/>
      <c r="FK225" s="250"/>
      <c r="FL225" s="256"/>
      <c r="FM225" s="250"/>
      <c r="FN225" s="256"/>
      <c r="FO225" s="250"/>
      <c r="FP225" s="256"/>
      <c r="FQ225" s="250"/>
      <c r="FR225" s="256"/>
      <c r="FS225" s="250"/>
      <c r="FT225" s="256"/>
      <c r="FU225" s="256"/>
      <c r="FV225" s="256"/>
      <c r="FW225" s="250"/>
      <c r="FX225" s="424"/>
      <c r="FY225" s="251"/>
      <c r="GC225" s="252"/>
      <c r="GF225" s="252"/>
      <c r="GG225" s="252"/>
      <c r="GH225" s="252"/>
      <c r="GI225" s="252"/>
      <c r="GJ225" s="252"/>
      <c r="GK225" s="251"/>
      <c r="GL225" s="250"/>
      <c r="GM225" s="250"/>
      <c r="GN225" s="250"/>
      <c r="GO225" s="250"/>
      <c r="GP225" s="250"/>
      <c r="GQ225" s="250"/>
      <c r="GR225" s="250"/>
      <c r="GS225" s="250"/>
      <c r="GT225" s="250"/>
      <c r="GU225" s="251"/>
      <c r="GV225" s="250"/>
      <c r="GW225" s="250"/>
      <c r="GX225" s="250"/>
      <c r="GY225" s="250"/>
      <c r="GZ225" s="250"/>
      <c r="HA225" s="250"/>
      <c r="HB225" s="250"/>
      <c r="HC225" s="250"/>
      <c r="HD225" s="250"/>
      <c r="HE225" s="250"/>
      <c r="HF225" s="250"/>
      <c r="HG225" s="250"/>
      <c r="HH225" s="251"/>
      <c r="HI225" s="424"/>
      <c r="HJ225" s="255"/>
      <c r="HK225" s="255"/>
      <c r="HL225" s="250"/>
      <c r="HM225" s="255"/>
      <c r="HN225" s="255"/>
      <c r="HO225" s="255"/>
      <c r="HP225" s="250"/>
      <c r="HQ225" s="250"/>
      <c r="HR225" s="250"/>
      <c r="HS225" s="250"/>
      <c r="HT225" s="250"/>
      <c r="HU225" s="251"/>
      <c r="HX225" s="252"/>
      <c r="HY225" s="252"/>
      <c r="HZ225" s="252"/>
      <c r="ID225" s="252"/>
      <c r="IE225" s="252"/>
      <c r="IF225" s="252"/>
      <c r="IJ225" s="252"/>
      <c r="IK225" s="252"/>
      <c r="IL225" s="252"/>
      <c r="IP225" s="252"/>
      <c r="IQ225" s="252"/>
      <c r="IR225" s="252"/>
      <c r="IY225" s="66"/>
      <c r="IZ225" s="66"/>
      <c r="JA225" s="66"/>
      <c r="JB225" s="250"/>
      <c r="JC225" s="66"/>
      <c r="JD225" s="66"/>
      <c r="JE225" s="66"/>
      <c r="JF225" s="66"/>
      <c r="JG225" s="66"/>
      <c r="JH225" s="66"/>
      <c r="JI225" s="66"/>
      <c r="JJ225" s="66"/>
      <c r="JK225" s="8"/>
      <c r="JN225" s="252"/>
      <c r="JO225" s="252"/>
      <c r="JP225" s="252"/>
      <c r="JT225" s="252"/>
      <c r="JU225" s="252"/>
      <c r="JV225" s="252"/>
      <c r="JZ225" s="252"/>
      <c r="KA225" s="252"/>
      <c r="KB225" s="252"/>
      <c r="KF225" s="252"/>
      <c r="KG225" s="252"/>
      <c r="KH225" s="252"/>
      <c r="KO225" s="66"/>
      <c r="KP225" s="66"/>
      <c r="KQ225" s="66"/>
      <c r="KR225" s="66"/>
      <c r="KS225" s="66"/>
      <c r="KT225" s="66"/>
      <c r="KU225" s="66"/>
      <c r="KV225" s="66"/>
      <c r="KW225" s="66"/>
      <c r="KX225" s="66"/>
      <c r="KY225" s="66"/>
      <c r="KZ225" s="66"/>
      <c r="LA225" s="8"/>
      <c r="LD225" s="252"/>
      <c r="LE225" s="252"/>
      <c r="LF225" s="252"/>
      <c r="LJ225" s="252"/>
      <c r="LK225" s="252"/>
      <c r="LN225" s="252"/>
      <c r="LO225" s="252"/>
      <c r="LP225" s="252"/>
      <c r="LT225" s="271"/>
      <c r="LU225" s="250"/>
      <c r="LV225" s="250"/>
      <c r="LW225" s="250"/>
      <c r="LX225" s="250"/>
      <c r="LY225" s="250"/>
      <c r="LZ225" s="250"/>
      <c r="MA225" s="250"/>
      <c r="MB225" s="250"/>
      <c r="MC225" s="250"/>
      <c r="MD225" s="250"/>
      <c r="ME225" s="250"/>
      <c r="MF225" s="250"/>
      <c r="MG225" s="250"/>
      <c r="MH225" s="250"/>
      <c r="MI225" s="250"/>
      <c r="MJ225" s="250"/>
      <c r="MK225" s="424"/>
      <c r="ML225" s="640"/>
      <c r="MM225" s="251"/>
      <c r="MN225" s="252"/>
      <c r="MO225" s="252"/>
      <c r="MP225" s="252"/>
      <c r="MQ225" s="252"/>
      <c r="MR225" s="252"/>
      <c r="MS225" s="252"/>
      <c r="MT225" s="252"/>
      <c r="MU225" s="252"/>
      <c r="MV225" s="252"/>
      <c r="MW225" s="252"/>
      <c r="MX225" s="252"/>
      <c r="MY225" s="252"/>
      <c r="MZ225" s="252"/>
      <c r="NA225" s="252"/>
      <c r="NB225" s="252"/>
      <c r="NC225" s="251"/>
      <c r="ND225" s="250"/>
      <c r="NE225" s="250"/>
      <c r="NF225" s="250"/>
      <c r="NG225" s="250"/>
      <c r="NH225" s="250"/>
      <c r="NI225" s="250"/>
      <c r="NJ225" s="250"/>
      <c r="NK225" s="250"/>
      <c r="NL225" s="250"/>
      <c r="NM225" s="250"/>
      <c r="NN225" s="250"/>
      <c r="NO225" s="250"/>
      <c r="NP225" s="250"/>
      <c r="NQ225" s="250"/>
      <c r="NR225" s="250"/>
      <c r="NS225" s="250"/>
      <c r="NT225" s="250"/>
      <c r="NU225" s="250"/>
      <c r="NV225" s="250"/>
      <c r="NW225" s="251"/>
      <c r="OT225" s="8"/>
      <c r="QG225" s="8"/>
      <c r="RT225" s="8"/>
    </row>
    <row r="226" spans="1:488" s="282" customFormat="1" x14ac:dyDescent="0.25">
      <c r="A226" s="66"/>
      <c r="B226" s="8"/>
      <c r="C226" s="66"/>
      <c r="D226" s="66"/>
      <c r="E226" s="66"/>
      <c r="F226" s="66"/>
      <c r="G226" s="66"/>
      <c r="H226" s="66"/>
      <c r="I226" s="66"/>
      <c r="J226" s="66"/>
      <c r="K226" s="66"/>
      <c r="L226" s="66"/>
      <c r="M226" s="66"/>
      <c r="N226" s="66"/>
      <c r="O226" s="66"/>
      <c r="P226" s="66"/>
      <c r="Q226" s="66"/>
      <c r="R226" s="66"/>
      <c r="S226" s="66"/>
      <c r="T226" s="68"/>
      <c r="AC226" s="66"/>
      <c r="AD226" s="66"/>
      <c r="AE226" s="68"/>
      <c r="AN226" s="66"/>
      <c r="AO226" s="66"/>
      <c r="AP226" s="68"/>
      <c r="AW226" s="66"/>
      <c r="AX226" s="68"/>
      <c r="BD226" s="66"/>
      <c r="BE226" s="68"/>
      <c r="BF226" s="66"/>
      <c r="BG226" s="66"/>
      <c r="BH226" s="66"/>
      <c r="BI226" s="66"/>
      <c r="BJ226" s="66"/>
      <c r="BK226" s="66"/>
      <c r="BL226" s="68"/>
      <c r="BO226" s="66"/>
      <c r="BP226" s="68"/>
      <c r="BV226" s="66"/>
      <c r="BW226" s="68"/>
      <c r="CB226" s="8"/>
      <c r="CH226" s="8"/>
      <c r="CK226" s="299"/>
      <c r="CL226" s="299"/>
      <c r="CM226" s="66"/>
      <c r="CN226" s="66"/>
      <c r="CO226" s="68"/>
      <c r="CR226" s="8"/>
      <c r="CX226" s="66"/>
      <c r="CY226" s="532"/>
      <c r="DE226" s="66"/>
      <c r="DF226" s="66"/>
      <c r="DG226" s="68"/>
      <c r="DH226" s="68"/>
      <c r="DK226" s="66"/>
      <c r="DL226" s="66"/>
      <c r="DM226" s="66"/>
      <c r="DN226" s="66"/>
      <c r="DO226" s="66"/>
      <c r="DP226" s="66"/>
      <c r="DQ226" s="66"/>
      <c r="DR226" s="66"/>
      <c r="DS226" s="66"/>
      <c r="DT226" s="68"/>
      <c r="DU226" s="66"/>
      <c r="DV226" s="296"/>
      <c r="DW226" s="330"/>
      <c r="DX226" s="631"/>
      <c r="DY226" s="631"/>
      <c r="DZ226" s="631"/>
      <c r="EA226" s="330"/>
      <c r="EC226" s="66"/>
      <c r="ED226" s="68"/>
      <c r="EH226" s="66"/>
      <c r="EI226" s="66"/>
      <c r="EJ226" s="68"/>
      <c r="EK226" s="252"/>
      <c r="EL226" s="252"/>
      <c r="EM226" s="252"/>
      <c r="EO226" s="252"/>
      <c r="EP226" s="252"/>
      <c r="EQ226" s="252"/>
      <c r="ES226" s="252"/>
      <c r="ET226" s="252"/>
      <c r="EU226" s="252"/>
      <c r="EW226" s="252"/>
      <c r="EX226" s="252"/>
      <c r="EY226" s="252"/>
      <c r="FA226" s="250"/>
      <c r="FB226" s="250"/>
      <c r="FC226" s="250"/>
      <c r="FD226" s="250"/>
      <c r="FE226" s="250"/>
      <c r="FF226" s="250"/>
      <c r="FG226" s="250"/>
      <c r="FH226" s="424"/>
      <c r="FI226" s="250"/>
      <c r="FJ226" s="250"/>
      <c r="FK226" s="250"/>
      <c r="FL226" s="256"/>
      <c r="FM226" s="250"/>
      <c r="FN226" s="256"/>
      <c r="FO226" s="250"/>
      <c r="FP226" s="256"/>
      <c r="FQ226" s="250"/>
      <c r="FR226" s="256"/>
      <c r="FS226" s="250"/>
      <c r="FT226" s="256"/>
      <c r="FU226" s="256"/>
      <c r="FV226" s="256"/>
      <c r="FW226" s="250"/>
      <c r="FX226" s="424"/>
      <c r="FY226" s="251"/>
      <c r="GC226" s="252"/>
      <c r="GF226" s="252"/>
      <c r="GG226" s="252"/>
      <c r="GH226" s="252"/>
      <c r="GI226" s="252"/>
      <c r="GJ226" s="252"/>
      <c r="GK226" s="251"/>
      <c r="GL226" s="250"/>
      <c r="GM226" s="250"/>
      <c r="GN226" s="250"/>
      <c r="GO226" s="250"/>
      <c r="GP226" s="250"/>
      <c r="GQ226" s="250"/>
      <c r="GR226" s="250"/>
      <c r="GS226" s="250"/>
      <c r="GT226" s="250"/>
      <c r="GU226" s="251"/>
      <c r="GV226" s="250"/>
      <c r="GW226" s="250"/>
      <c r="GX226" s="250"/>
      <c r="GY226" s="250"/>
      <c r="GZ226" s="250"/>
      <c r="HA226" s="250"/>
      <c r="HB226" s="250"/>
      <c r="HC226" s="250"/>
      <c r="HD226" s="250"/>
      <c r="HE226" s="250"/>
      <c r="HF226" s="250"/>
      <c r="HG226" s="250"/>
      <c r="HH226" s="251"/>
      <c r="HI226" s="424"/>
      <c r="HJ226" s="255"/>
      <c r="HK226" s="255"/>
      <c r="HL226" s="250"/>
      <c r="HM226" s="255"/>
      <c r="HN226" s="255"/>
      <c r="HO226" s="255"/>
      <c r="HP226" s="250"/>
      <c r="HQ226" s="250"/>
      <c r="HR226" s="250"/>
      <c r="HS226" s="250"/>
      <c r="HT226" s="250"/>
      <c r="HU226" s="251"/>
      <c r="HX226" s="252"/>
      <c r="HY226" s="252"/>
      <c r="HZ226" s="252"/>
      <c r="ID226" s="252"/>
      <c r="IE226" s="252"/>
      <c r="IF226" s="252"/>
      <c r="IJ226" s="252"/>
      <c r="IK226" s="252"/>
      <c r="IL226" s="252"/>
      <c r="IP226" s="252"/>
      <c r="IQ226" s="252"/>
      <c r="IR226" s="252"/>
      <c r="IY226" s="66"/>
      <c r="IZ226" s="66"/>
      <c r="JA226" s="66"/>
      <c r="JB226" s="250"/>
      <c r="JC226" s="66"/>
      <c r="JD226" s="66"/>
      <c r="JE226" s="66"/>
      <c r="JF226" s="66"/>
      <c r="JG226" s="66"/>
      <c r="JH226" s="66"/>
      <c r="JI226" s="66"/>
      <c r="JJ226" s="66"/>
      <c r="JK226" s="8"/>
      <c r="JN226" s="252"/>
      <c r="JO226" s="252"/>
      <c r="JP226" s="252"/>
      <c r="JT226" s="252"/>
      <c r="JU226" s="252"/>
      <c r="JV226" s="252"/>
      <c r="JZ226" s="252"/>
      <c r="KA226" s="252"/>
      <c r="KB226" s="252"/>
      <c r="KF226" s="252"/>
      <c r="KG226" s="252"/>
      <c r="KH226" s="252"/>
      <c r="KO226" s="66"/>
      <c r="KP226" s="66"/>
      <c r="KQ226" s="66"/>
      <c r="KR226" s="66"/>
      <c r="KS226" s="66"/>
      <c r="KT226" s="66"/>
      <c r="KU226" s="66"/>
      <c r="KV226" s="66"/>
      <c r="KW226" s="66"/>
      <c r="KX226" s="66"/>
      <c r="KY226" s="66"/>
      <c r="KZ226" s="66"/>
      <c r="LA226" s="8"/>
      <c r="LD226" s="252"/>
      <c r="LE226" s="252"/>
      <c r="LF226" s="252"/>
      <c r="LJ226" s="252"/>
      <c r="LK226" s="252"/>
      <c r="LN226" s="252"/>
      <c r="LO226" s="252"/>
      <c r="LP226" s="252"/>
      <c r="LT226" s="271"/>
      <c r="LU226" s="250"/>
      <c r="LV226" s="250"/>
      <c r="LW226" s="250"/>
      <c r="LX226" s="250"/>
      <c r="LY226" s="250"/>
      <c r="LZ226" s="250"/>
      <c r="MA226" s="250"/>
      <c r="MB226" s="250"/>
      <c r="MC226" s="250"/>
      <c r="MD226" s="250"/>
      <c r="ME226" s="250"/>
      <c r="MF226" s="250"/>
      <c r="MG226" s="250"/>
      <c r="MH226" s="250"/>
      <c r="MI226" s="250"/>
      <c r="MJ226" s="250"/>
      <c r="MK226" s="424"/>
      <c r="ML226" s="640"/>
      <c r="MM226" s="251"/>
      <c r="MN226" s="252"/>
      <c r="MO226" s="252"/>
      <c r="MP226" s="252"/>
      <c r="MQ226" s="252"/>
      <c r="MR226" s="252"/>
      <c r="MS226" s="252"/>
      <c r="MT226" s="252"/>
      <c r="MU226" s="252"/>
      <c r="MV226" s="252"/>
      <c r="MW226" s="252"/>
      <c r="MX226" s="252"/>
      <c r="MY226" s="252"/>
      <c r="MZ226" s="252"/>
      <c r="NA226" s="252"/>
      <c r="NB226" s="252"/>
      <c r="NC226" s="251"/>
      <c r="ND226" s="250"/>
      <c r="NE226" s="250"/>
      <c r="NF226" s="250"/>
      <c r="NG226" s="250"/>
      <c r="NH226" s="250"/>
      <c r="NI226" s="250"/>
      <c r="NJ226" s="250"/>
      <c r="NK226" s="250"/>
      <c r="NL226" s="250"/>
      <c r="NM226" s="250"/>
      <c r="NN226" s="250"/>
      <c r="NO226" s="250"/>
      <c r="NP226" s="250"/>
      <c r="NQ226" s="250"/>
      <c r="NR226" s="250"/>
      <c r="NS226" s="250"/>
      <c r="NT226" s="250"/>
      <c r="NU226" s="250"/>
      <c r="NV226" s="250"/>
      <c r="NW226" s="251"/>
      <c r="OT226" s="8"/>
      <c r="QG226" s="8"/>
      <c r="RT226" s="8"/>
    </row>
    <row r="227" spans="1:488" s="282" customFormat="1" x14ac:dyDescent="0.25">
      <c r="A227" s="66"/>
      <c r="B227" s="8"/>
      <c r="C227" s="66"/>
      <c r="D227" s="66"/>
      <c r="E227" s="66"/>
      <c r="F227" s="66"/>
      <c r="G227" s="66"/>
      <c r="H227" s="66"/>
      <c r="I227" s="66"/>
      <c r="J227" s="66"/>
      <c r="K227" s="66"/>
      <c r="L227" s="66"/>
      <c r="M227" s="66"/>
      <c r="N227" s="66"/>
      <c r="O227" s="66"/>
      <c r="P227" s="66"/>
      <c r="Q227" s="66"/>
      <c r="R227" s="66"/>
      <c r="S227" s="66"/>
      <c r="T227" s="68"/>
      <c r="AC227" s="66"/>
      <c r="AD227" s="66"/>
      <c r="AE227" s="68"/>
      <c r="AN227" s="66"/>
      <c r="AO227" s="66"/>
      <c r="AP227" s="68"/>
      <c r="AW227" s="66"/>
      <c r="AX227" s="68"/>
      <c r="BD227" s="66"/>
      <c r="BE227" s="68"/>
      <c r="BF227" s="66"/>
      <c r="BG227" s="66"/>
      <c r="BH227" s="66"/>
      <c r="BI227" s="66"/>
      <c r="BJ227" s="66"/>
      <c r="BK227" s="66"/>
      <c r="BL227" s="68"/>
      <c r="BO227" s="66"/>
      <c r="BP227" s="68"/>
      <c r="BV227" s="66"/>
      <c r="BW227" s="68"/>
      <c r="CB227" s="8"/>
      <c r="CH227" s="8"/>
      <c r="CK227" s="299"/>
      <c r="CL227" s="299"/>
      <c r="CM227" s="66"/>
      <c r="CN227" s="66"/>
      <c r="CO227" s="68"/>
      <c r="CR227" s="8"/>
      <c r="CX227" s="66"/>
      <c r="CY227" s="532"/>
      <c r="DE227" s="66"/>
      <c r="DF227" s="66"/>
      <c r="DG227" s="68"/>
      <c r="DH227" s="68"/>
      <c r="DK227" s="66"/>
      <c r="DL227" s="66"/>
      <c r="DM227" s="66"/>
      <c r="DN227" s="66"/>
      <c r="DO227" s="66"/>
      <c r="DP227" s="66"/>
      <c r="DQ227" s="66"/>
      <c r="DR227" s="66"/>
      <c r="DS227" s="66"/>
      <c r="DT227" s="68"/>
      <c r="DU227" s="66"/>
      <c r="DV227" s="296"/>
      <c r="DW227" s="330"/>
      <c r="DX227" s="631"/>
      <c r="DY227" s="631"/>
      <c r="DZ227" s="631"/>
      <c r="EA227" s="330"/>
      <c r="EC227" s="66"/>
      <c r="ED227" s="68"/>
      <c r="EH227" s="66"/>
      <c r="EI227" s="66"/>
      <c r="EJ227" s="68"/>
      <c r="EK227" s="252"/>
      <c r="EL227" s="252"/>
      <c r="EM227" s="252"/>
      <c r="EO227" s="252"/>
      <c r="EP227" s="252"/>
      <c r="EQ227" s="252"/>
      <c r="ES227" s="252"/>
      <c r="ET227" s="252"/>
      <c r="EU227" s="252"/>
      <c r="EW227" s="252"/>
      <c r="EX227" s="252"/>
      <c r="EY227" s="252"/>
      <c r="FA227" s="250"/>
      <c r="FB227" s="250"/>
      <c r="FC227" s="250"/>
      <c r="FD227" s="250"/>
      <c r="FE227" s="250"/>
      <c r="FF227" s="250"/>
      <c r="FG227" s="250"/>
      <c r="FH227" s="424"/>
      <c r="FI227" s="250"/>
      <c r="FJ227" s="250"/>
      <c r="FK227" s="250"/>
      <c r="FL227" s="256"/>
      <c r="FM227" s="250"/>
      <c r="FN227" s="256"/>
      <c r="FO227" s="250"/>
      <c r="FP227" s="256"/>
      <c r="FQ227" s="250"/>
      <c r="FR227" s="256"/>
      <c r="FS227" s="250"/>
      <c r="FT227" s="256"/>
      <c r="FU227" s="256"/>
      <c r="FV227" s="256"/>
      <c r="FW227" s="250"/>
      <c r="FX227" s="424"/>
      <c r="FY227" s="251"/>
      <c r="GC227" s="252"/>
      <c r="GF227" s="252"/>
      <c r="GG227" s="252"/>
      <c r="GH227" s="252"/>
      <c r="GI227" s="252"/>
      <c r="GJ227" s="252"/>
      <c r="GK227" s="251"/>
      <c r="GL227" s="250"/>
      <c r="GM227" s="250"/>
      <c r="GN227" s="250"/>
      <c r="GO227" s="250"/>
      <c r="GP227" s="250"/>
      <c r="GQ227" s="250"/>
      <c r="GR227" s="250"/>
      <c r="GS227" s="250"/>
      <c r="GT227" s="250"/>
      <c r="GU227" s="251"/>
      <c r="GV227" s="250"/>
      <c r="GW227" s="250"/>
      <c r="GX227" s="250"/>
      <c r="GY227" s="250"/>
      <c r="GZ227" s="250"/>
      <c r="HA227" s="250"/>
      <c r="HB227" s="250"/>
      <c r="HC227" s="250"/>
      <c r="HD227" s="250"/>
      <c r="HE227" s="250"/>
      <c r="HF227" s="250"/>
      <c r="HG227" s="250"/>
      <c r="HH227" s="251"/>
      <c r="HI227" s="424"/>
      <c r="HJ227" s="255"/>
      <c r="HK227" s="255"/>
      <c r="HL227" s="250"/>
      <c r="HM227" s="255"/>
      <c r="HN227" s="255"/>
      <c r="HO227" s="255"/>
      <c r="HP227" s="250"/>
      <c r="HQ227" s="250"/>
      <c r="HR227" s="250"/>
      <c r="HS227" s="250"/>
      <c r="HT227" s="250"/>
      <c r="HU227" s="251"/>
      <c r="HX227" s="252"/>
      <c r="HY227" s="252"/>
      <c r="HZ227" s="252"/>
      <c r="ID227" s="252"/>
      <c r="IE227" s="252"/>
      <c r="IF227" s="252"/>
      <c r="IJ227" s="252"/>
      <c r="IK227" s="252"/>
      <c r="IL227" s="252"/>
      <c r="IP227" s="252"/>
      <c r="IQ227" s="252"/>
      <c r="IR227" s="252"/>
      <c r="IY227" s="66"/>
      <c r="IZ227" s="66"/>
      <c r="JA227" s="66"/>
      <c r="JB227" s="250"/>
      <c r="JC227" s="66"/>
      <c r="JD227" s="66"/>
      <c r="JE227" s="66"/>
      <c r="JF227" s="66"/>
      <c r="JG227" s="66"/>
      <c r="JH227" s="66"/>
      <c r="JI227" s="66"/>
      <c r="JJ227" s="66"/>
      <c r="JK227" s="8"/>
      <c r="JN227" s="252"/>
      <c r="JO227" s="252"/>
      <c r="JP227" s="252"/>
      <c r="JT227" s="252"/>
      <c r="JU227" s="252"/>
      <c r="JV227" s="252"/>
      <c r="JZ227" s="252"/>
      <c r="KA227" s="252"/>
      <c r="KB227" s="252"/>
      <c r="KF227" s="252"/>
      <c r="KG227" s="252"/>
      <c r="KH227" s="252"/>
      <c r="KO227" s="66"/>
      <c r="KP227" s="66"/>
      <c r="KQ227" s="66"/>
      <c r="KR227" s="66"/>
      <c r="KS227" s="66"/>
      <c r="KT227" s="66"/>
      <c r="KU227" s="66"/>
      <c r="KV227" s="66"/>
      <c r="KW227" s="66"/>
      <c r="KX227" s="66"/>
      <c r="KY227" s="66"/>
      <c r="KZ227" s="66"/>
      <c r="LA227" s="8"/>
      <c r="LD227" s="252"/>
      <c r="LE227" s="252"/>
      <c r="LF227" s="252"/>
      <c r="LJ227" s="252"/>
      <c r="LK227" s="252"/>
      <c r="LN227" s="252"/>
      <c r="LO227" s="252"/>
      <c r="LP227" s="252"/>
      <c r="LT227" s="271"/>
      <c r="LU227" s="250"/>
      <c r="LV227" s="250"/>
      <c r="LW227" s="250"/>
      <c r="LX227" s="250"/>
      <c r="LY227" s="250"/>
      <c r="LZ227" s="250"/>
      <c r="MA227" s="250"/>
      <c r="MB227" s="250"/>
      <c r="MC227" s="250"/>
      <c r="MD227" s="250"/>
      <c r="ME227" s="250"/>
      <c r="MF227" s="250"/>
      <c r="MG227" s="250"/>
      <c r="MH227" s="250"/>
      <c r="MI227" s="250"/>
      <c r="MJ227" s="250"/>
      <c r="MK227" s="424"/>
      <c r="ML227" s="640"/>
      <c r="MM227" s="251"/>
      <c r="MN227" s="252"/>
      <c r="MO227" s="252"/>
      <c r="MP227" s="252"/>
      <c r="MQ227" s="252"/>
      <c r="MR227" s="252"/>
      <c r="MS227" s="252"/>
      <c r="MT227" s="252"/>
      <c r="MU227" s="252"/>
      <c r="MV227" s="252"/>
      <c r="MW227" s="252"/>
      <c r="MX227" s="252"/>
      <c r="MY227" s="252"/>
      <c r="MZ227" s="252"/>
      <c r="NA227" s="252"/>
      <c r="NB227" s="252"/>
      <c r="NC227" s="251"/>
      <c r="ND227" s="250"/>
      <c r="NE227" s="250"/>
      <c r="NF227" s="250"/>
      <c r="NG227" s="250"/>
      <c r="NH227" s="250"/>
      <c r="NI227" s="250"/>
      <c r="NJ227" s="250"/>
      <c r="NK227" s="250"/>
      <c r="NL227" s="250"/>
      <c r="NM227" s="250"/>
      <c r="NN227" s="250"/>
      <c r="NO227" s="250"/>
      <c r="NP227" s="250"/>
      <c r="NQ227" s="250"/>
      <c r="NR227" s="250"/>
      <c r="NS227" s="250"/>
      <c r="NT227" s="250"/>
      <c r="NU227" s="250"/>
      <c r="NV227" s="250"/>
      <c r="NW227" s="251"/>
      <c r="OT227" s="8"/>
      <c r="QG227" s="8"/>
      <c r="RT227" s="8"/>
    </row>
    <row r="228" spans="1:488" s="282" customFormat="1" x14ac:dyDescent="0.25">
      <c r="A228" s="66"/>
      <c r="B228" s="8"/>
      <c r="C228" s="66"/>
      <c r="D228" s="66"/>
      <c r="E228" s="66"/>
      <c r="F228" s="66"/>
      <c r="G228" s="66"/>
      <c r="H228" s="66"/>
      <c r="I228" s="66"/>
      <c r="J228" s="66"/>
      <c r="K228" s="66"/>
      <c r="L228" s="66"/>
      <c r="M228" s="66"/>
      <c r="N228" s="66"/>
      <c r="O228" s="66"/>
      <c r="P228" s="66"/>
      <c r="Q228" s="66"/>
      <c r="R228" s="66"/>
      <c r="S228" s="66"/>
      <c r="T228" s="68"/>
      <c r="AC228" s="66"/>
      <c r="AD228" s="66"/>
      <c r="AE228" s="68"/>
      <c r="AN228" s="66"/>
      <c r="AO228" s="66"/>
      <c r="AP228" s="68"/>
      <c r="AW228" s="66"/>
      <c r="AX228" s="68"/>
      <c r="BD228" s="66"/>
      <c r="BE228" s="68"/>
      <c r="BF228" s="66"/>
      <c r="BG228" s="66"/>
      <c r="BH228" s="66"/>
      <c r="BI228" s="66"/>
      <c r="BJ228" s="66"/>
      <c r="BK228" s="66"/>
      <c r="BL228" s="68"/>
      <c r="BO228" s="66"/>
      <c r="BP228" s="68"/>
      <c r="BV228" s="66"/>
      <c r="BW228" s="68"/>
      <c r="CB228" s="8"/>
      <c r="CH228" s="8"/>
      <c r="CK228" s="299"/>
      <c r="CL228" s="299"/>
      <c r="CM228" s="66"/>
      <c r="CN228" s="66"/>
      <c r="CO228" s="68"/>
      <c r="CR228" s="8"/>
      <c r="CX228" s="66"/>
      <c r="CY228" s="532"/>
      <c r="DE228" s="66"/>
      <c r="DF228" s="66"/>
      <c r="DG228" s="68"/>
      <c r="DH228" s="68"/>
      <c r="DK228" s="66"/>
      <c r="DL228" s="66"/>
      <c r="DM228" s="66"/>
      <c r="DN228" s="66"/>
      <c r="DO228" s="66"/>
      <c r="DP228" s="66"/>
      <c r="DQ228" s="66"/>
      <c r="DR228" s="66"/>
      <c r="DS228" s="66"/>
      <c r="DT228" s="68"/>
      <c r="DU228" s="66"/>
      <c r="DV228" s="296"/>
      <c r="DW228" s="330"/>
      <c r="DX228" s="631"/>
      <c r="DY228" s="631"/>
      <c r="DZ228" s="631"/>
      <c r="EA228" s="330"/>
      <c r="EC228" s="66"/>
      <c r="ED228" s="68"/>
      <c r="EH228" s="66"/>
      <c r="EI228" s="66"/>
      <c r="EJ228" s="68"/>
      <c r="EK228" s="252"/>
      <c r="EL228" s="252"/>
      <c r="EM228" s="252"/>
      <c r="EO228" s="252"/>
      <c r="EP228" s="252"/>
      <c r="EQ228" s="252"/>
      <c r="ES228" s="252"/>
      <c r="ET228" s="252"/>
      <c r="EU228" s="252"/>
      <c r="EW228" s="252"/>
      <c r="EX228" s="252"/>
      <c r="EY228" s="252"/>
      <c r="FA228" s="250"/>
      <c r="FB228" s="250"/>
      <c r="FC228" s="250"/>
      <c r="FD228" s="250"/>
      <c r="FE228" s="250"/>
      <c r="FF228" s="250"/>
      <c r="FG228" s="250"/>
      <c r="FH228" s="424"/>
      <c r="FI228" s="250"/>
      <c r="FJ228" s="250"/>
      <c r="FK228" s="250"/>
      <c r="FL228" s="256"/>
      <c r="FM228" s="250"/>
      <c r="FN228" s="256"/>
      <c r="FO228" s="250"/>
      <c r="FP228" s="256"/>
      <c r="FQ228" s="250"/>
      <c r="FR228" s="256"/>
      <c r="FS228" s="250"/>
      <c r="FT228" s="256"/>
      <c r="FU228" s="256"/>
      <c r="FV228" s="256"/>
      <c r="FW228" s="250"/>
      <c r="FX228" s="424"/>
      <c r="FY228" s="251"/>
      <c r="GC228" s="252"/>
      <c r="GF228" s="252"/>
      <c r="GG228" s="252"/>
      <c r="GH228" s="252"/>
      <c r="GI228" s="252"/>
      <c r="GJ228" s="252"/>
      <c r="GK228" s="251"/>
      <c r="GL228" s="250"/>
      <c r="GM228" s="250"/>
      <c r="GN228" s="250"/>
      <c r="GO228" s="250"/>
      <c r="GP228" s="250"/>
      <c r="GQ228" s="250"/>
      <c r="GR228" s="250"/>
      <c r="GS228" s="250"/>
      <c r="GT228" s="250"/>
      <c r="GU228" s="251"/>
      <c r="GV228" s="250"/>
      <c r="GW228" s="250"/>
      <c r="GX228" s="250"/>
      <c r="GY228" s="250"/>
      <c r="GZ228" s="250"/>
      <c r="HA228" s="250"/>
      <c r="HB228" s="250"/>
      <c r="HC228" s="250"/>
      <c r="HD228" s="250"/>
      <c r="HE228" s="250"/>
      <c r="HF228" s="250"/>
      <c r="HG228" s="250"/>
      <c r="HH228" s="251"/>
      <c r="HI228" s="424"/>
      <c r="HJ228" s="255"/>
      <c r="HK228" s="255"/>
      <c r="HL228" s="250"/>
      <c r="HM228" s="255"/>
      <c r="HN228" s="255"/>
      <c r="HO228" s="255"/>
      <c r="HP228" s="250"/>
      <c r="HQ228" s="250"/>
      <c r="HR228" s="250"/>
      <c r="HS228" s="250"/>
      <c r="HT228" s="250"/>
      <c r="HU228" s="251"/>
      <c r="HX228" s="252"/>
      <c r="HY228" s="252"/>
      <c r="HZ228" s="252"/>
      <c r="ID228" s="252"/>
      <c r="IE228" s="252"/>
      <c r="IF228" s="252"/>
      <c r="IJ228" s="252"/>
      <c r="IK228" s="252"/>
      <c r="IL228" s="252"/>
      <c r="IP228" s="252"/>
      <c r="IQ228" s="252"/>
      <c r="IR228" s="252"/>
      <c r="IY228" s="66"/>
      <c r="IZ228" s="66"/>
      <c r="JA228" s="66"/>
      <c r="JB228" s="250"/>
      <c r="JC228" s="66"/>
      <c r="JD228" s="66"/>
      <c r="JE228" s="66"/>
      <c r="JF228" s="66"/>
      <c r="JG228" s="66"/>
      <c r="JH228" s="66"/>
      <c r="JI228" s="66"/>
      <c r="JJ228" s="66"/>
      <c r="JK228" s="8"/>
      <c r="JN228" s="252"/>
      <c r="JO228" s="252"/>
      <c r="JP228" s="252"/>
      <c r="JT228" s="252"/>
      <c r="JU228" s="252"/>
      <c r="JV228" s="252"/>
      <c r="JZ228" s="252"/>
      <c r="KA228" s="252"/>
      <c r="KB228" s="252"/>
      <c r="KF228" s="252"/>
      <c r="KG228" s="252"/>
      <c r="KH228" s="252"/>
      <c r="KO228" s="66"/>
      <c r="KP228" s="66"/>
      <c r="KQ228" s="66"/>
      <c r="KR228" s="66"/>
      <c r="KS228" s="66"/>
      <c r="KT228" s="66"/>
      <c r="KU228" s="66"/>
      <c r="KV228" s="66"/>
      <c r="KW228" s="66"/>
      <c r="KX228" s="66"/>
      <c r="KY228" s="66"/>
      <c r="KZ228" s="66"/>
      <c r="LA228" s="8"/>
      <c r="LD228" s="252"/>
      <c r="LE228" s="252"/>
      <c r="LF228" s="252"/>
      <c r="LJ228" s="252"/>
      <c r="LK228" s="252"/>
      <c r="LN228" s="252"/>
      <c r="LO228" s="252"/>
      <c r="LP228" s="252"/>
      <c r="LT228" s="271"/>
      <c r="LU228" s="250"/>
      <c r="LV228" s="250"/>
      <c r="LW228" s="250"/>
      <c r="LX228" s="250"/>
      <c r="LY228" s="250"/>
      <c r="LZ228" s="250"/>
      <c r="MA228" s="250"/>
      <c r="MB228" s="250"/>
      <c r="MC228" s="250"/>
      <c r="MD228" s="250"/>
      <c r="ME228" s="250"/>
      <c r="MF228" s="250"/>
      <c r="MG228" s="250"/>
      <c r="MH228" s="250"/>
      <c r="MI228" s="250"/>
      <c r="MJ228" s="250"/>
      <c r="MK228" s="424"/>
      <c r="ML228" s="640"/>
      <c r="MM228" s="251"/>
      <c r="MN228" s="252"/>
      <c r="MO228" s="252"/>
      <c r="MP228" s="252"/>
      <c r="MQ228" s="252"/>
      <c r="MR228" s="252"/>
      <c r="MS228" s="252"/>
      <c r="MT228" s="252"/>
      <c r="MU228" s="252"/>
      <c r="MV228" s="252"/>
      <c r="MW228" s="252"/>
      <c r="MX228" s="252"/>
      <c r="MY228" s="252"/>
      <c r="MZ228" s="252"/>
      <c r="NA228" s="252"/>
      <c r="NB228" s="252"/>
      <c r="NC228" s="251"/>
      <c r="ND228" s="250"/>
      <c r="NE228" s="250"/>
      <c r="NF228" s="250"/>
      <c r="NG228" s="250"/>
      <c r="NH228" s="250"/>
      <c r="NI228" s="250"/>
      <c r="NJ228" s="250"/>
      <c r="NK228" s="250"/>
      <c r="NL228" s="250"/>
      <c r="NM228" s="250"/>
      <c r="NN228" s="250"/>
      <c r="NO228" s="250"/>
      <c r="NP228" s="250"/>
      <c r="NQ228" s="250"/>
      <c r="NR228" s="250"/>
      <c r="NS228" s="250"/>
      <c r="NT228" s="250"/>
      <c r="NU228" s="250"/>
      <c r="NV228" s="250"/>
      <c r="NW228" s="251"/>
      <c r="OT228" s="8"/>
      <c r="QG228" s="8"/>
      <c r="RT228" s="8"/>
    </row>
    <row r="229" spans="1:488" s="282" customFormat="1" x14ac:dyDescent="0.25">
      <c r="A229" s="66"/>
      <c r="B229" s="8"/>
      <c r="C229" s="66"/>
      <c r="D229" s="66"/>
      <c r="E229" s="66"/>
      <c r="F229" s="66"/>
      <c r="G229" s="66"/>
      <c r="H229" s="66"/>
      <c r="I229" s="66"/>
      <c r="J229" s="66"/>
      <c r="K229" s="66"/>
      <c r="L229" s="66"/>
      <c r="M229" s="66"/>
      <c r="N229" s="66"/>
      <c r="O229" s="66"/>
      <c r="P229" s="66"/>
      <c r="Q229" s="66"/>
      <c r="R229" s="66"/>
      <c r="S229" s="66"/>
      <c r="T229" s="68"/>
      <c r="AC229" s="66"/>
      <c r="AD229" s="66"/>
      <c r="AE229" s="68"/>
      <c r="AN229" s="66"/>
      <c r="AO229" s="66"/>
      <c r="AP229" s="68"/>
      <c r="AW229" s="66"/>
      <c r="AX229" s="68"/>
      <c r="BD229" s="66"/>
      <c r="BE229" s="68"/>
      <c r="BF229" s="66"/>
      <c r="BG229" s="66"/>
      <c r="BH229" s="66"/>
      <c r="BI229" s="66"/>
      <c r="BJ229" s="66"/>
      <c r="BK229" s="66"/>
      <c r="BL229" s="68"/>
      <c r="BO229" s="66"/>
      <c r="BP229" s="68"/>
      <c r="BV229" s="66"/>
      <c r="BW229" s="68"/>
      <c r="CB229" s="8"/>
      <c r="CH229" s="8"/>
      <c r="CK229" s="299"/>
      <c r="CL229" s="299"/>
      <c r="CM229" s="66"/>
      <c r="CN229" s="66"/>
      <c r="CO229" s="68"/>
      <c r="CR229" s="8"/>
      <c r="CX229" s="66"/>
      <c r="CY229" s="532"/>
      <c r="DE229" s="66"/>
      <c r="DF229" s="66"/>
      <c r="DG229" s="68"/>
      <c r="DH229" s="68"/>
      <c r="DK229" s="66"/>
      <c r="DL229" s="66"/>
      <c r="DM229" s="66"/>
      <c r="DN229" s="66"/>
      <c r="DO229" s="66"/>
      <c r="DP229" s="66"/>
      <c r="DQ229" s="66"/>
      <c r="DR229" s="66"/>
      <c r="DS229" s="66"/>
      <c r="DT229" s="68"/>
      <c r="DU229" s="66"/>
      <c r="DV229" s="296"/>
      <c r="DW229" s="330"/>
      <c r="DX229" s="631"/>
      <c r="DY229" s="631"/>
      <c r="DZ229" s="631"/>
      <c r="EA229" s="330"/>
      <c r="EC229" s="66"/>
      <c r="ED229" s="68"/>
      <c r="EH229" s="66"/>
      <c r="EI229" s="66"/>
      <c r="EJ229" s="68"/>
      <c r="EK229" s="252"/>
      <c r="EL229" s="252"/>
      <c r="EM229" s="252"/>
      <c r="EO229" s="252"/>
      <c r="EP229" s="252"/>
      <c r="EQ229" s="252"/>
      <c r="ES229" s="252"/>
      <c r="ET229" s="252"/>
      <c r="EU229" s="252"/>
      <c r="EW229" s="252"/>
      <c r="EX229" s="252"/>
      <c r="EY229" s="252"/>
      <c r="FA229" s="250"/>
      <c r="FB229" s="250"/>
      <c r="FC229" s="250"/>
      <c r="FD229" s="250"/>
      <c r="FE229" s="250"/>
      <c r="FF229" s="250"/>
      <c r="FG229" s="250"/>
      <c r="FH229" s="424"/>
      <c r="FI229" s="250"/>
      <c r="FJ229" s="250"/>
      <c r="FK229" s="250"/>
      <c r="FL229" s="256"/>
      <c r="FM229" s="250"/>
      <c r="FN229" s="256"/>
      <c r="FO229" s="250"/>
      <c r="FP229" s="256"/>
      <c r="FQ229" s="250"/>
      <c r="FR229" s="256"/>
      <c r="FS229" s="250"/>
      <c r="FT229" s="256"/>
      <c r="FU229" s="256"/>
      <c r="FV229" s="256"/>
      <c r="FW229" s="250"/>
      <c r="FX229" s="424"/>
      <c r="FY229" s="251"/>
      <c r="GC229" s="252"/>
      <c r="GF229" s="252"/>
      <c r="GG229" s="252"/>
      <c r="GH229" s="252"/>
      <c r="GI229" s="252"/>
      <c r="GJ229" s="252"/>
      <c r="GK229" s="251"/>
      <c r="GL229" s="250"/>
      <c r="GM229" s="250"/>
      <c r="GN229" s="250"/>
      <c r="GO229" s="250"/>
      <c r="GP229" s="250"/>
      <c r="GQ229" s="250"/>
      <c r="GR229" s="250"/>
      <c r="GS229" s="250"/>
      <c r="GT229" s="250"/>
      <c r="GU229" s="251"/>
      <c r="GV229" s="250"/>
      <c r="GW229" s="250"/>
      <c r="GX229" s="250"/>
      <c r="GY229" s="250"/>
      <c r="GZ229" s="250"/>
      <c r="HA229" s="250"/>
      <c r="HB229" s="250"/>
      <c r="HC229" s="250"/>
      <c r="HD229" s="250"/>
      <c r="HE229" s="250"/>
      <c r="HF229" s="250"/>
      <c r="HG229" s="250"/>
      <c r="HH229" s="251"/>
      <c r="HI229" s="424"/>
      <c r="HJ229" s="255"/>
      <c r="HK229" s="255"/>
      <c r="HL229" s="250"/>
      <c r="HM229" s="255"/>
      <c r="HN229" s="255"/>
      <c r="HO229" s="255"/>
      <c r="HP229" s="250"/>
      <c r="HQ229" s="250"/>
      <c r="HR229" s="250"/>
      <c r="HS229" s="250"/>
      <c r="HT229" s="250"/>
      <c r="HU229" s="251"/>
      <c r="HX229" s="252"/>
      <c r="HY229" s="252"/>
      <c r="HZ229" s="252"/>
      <c r="ID229" s="252"/>
      <c r="IE229" s="252"/>
      <c r="IF229" s="252"/>
      <c r="IJ229" s="252"/>
      <c r="IK229" s="252"/>
      <c r="IL229" s="252"/>
      <c r="IP229" s="252"/>
      <c r="IQ229" s="252"/>
      <c r="IR229" s="252"/>
      <c r="IY229" s="66"/>
      <c r="IZ229" s="66"/>
      <c r="JA229" s="66"/>
      <c r="JB229" s="250"/>
      <c r="JC229" s="66"/>
      <c r="JD229" s="66"/>
      <c r="JE229" s="66"/>
      <c r="JF229" s="66"/>
      <c r="JG229" s="66"/>
      <c r="JH229" s="66"/>
      <c r="JI229" s="66"/>
      <c r="JJ229" s="66"/>
      <c r="JK229" s="8"/>
      <c r="JN229" s="252"/>
      <c r="JO229" s="252"/>
      <c r="JP229" s="252"/>
      <c r="JT229" s="252"/>
      <c r="JU229" s="252"/>
      <c r="JV229" s="252"/>
      <c r="JZ229" s="252"/>
      <c r="KA229" s="252"/>
      <c r="KB229" s="252"/>
      <c r="KF229" s="252"/>
      <c r="KG229" s="252"/>
      <c r="KH229" s="252"/>
      <c r="KO229" s="66"/>
      <c r="KP229" s="66"/>
      <c r="KQ229" s="66"/>
      <c r="KR229" s="66"/>
      <c r="KS229" s="66"/>
      <c r="KT229" s="66"/>
      <c r="KU229" s="66"/>
      <c r="KV229" s="66"/>
      <c r="KW229" s="66"/>
      <c r="KX229" s="66"/>
      <c r="KY229" s="66"/>
      <c r="KZ229" s="66"/>
      <c r="LA229" s="8"/>
      <c r="LD229" s="252"/>
      <c r="LE229" s="252"/>
      <c r="LF229" s="252"/>
      <c r="LJ229" s="252"/>
      <c r="LK229" s="252"/>
      <c r="LN229" s="252"/>
      <c r="LO229" s="252"/>
      <c r="LP229" s="252"/>
      <c r="LT229" s="271"/>
      <c r="LU229" s="250"/>
      <c r="LV229" s="250"/>
      <c r="LW229" s="250"/>
      <c r="LX229" s="250"/>
      <c r="LY229" s="250"/>
      <c r="LZ229" s="250"/>
      <c r="MA229" s="250"/>
      <c r="MB229" s="250"/>
      <c r="MC229" s="250"/>
      <c r="MD229" s="250"/>
      <c r="ME229" s="250"/>
      <c r="MF229" s="250"/>
      <c r="MG229" s="250"/>
      <c r="MH229" s="250"/>
      <c r="MI229" s="250"/>
      <c r="MJ229" s="250"/>
      <c r="MK229" s="424"/>
      <c r="ML229" s="640"/>
      <c r="MM229" s="251"/>
      <c r="MN229" s="252"/>
      <c r="MO229" s="252"/>
      <c r="MP229" s="252"/>
      <c r="MQ229" s="252"/>
      <c r="MR229" s="252"/>
      <c r="MS229" s="252"/>
      <c r="MT229" s="252"/>
      <c r="MU229" s="252"/>
      <c r="MV229" s="252"/>
      <c r="MW229" s="252"/>
      <c r="MX229" s="252"/>
      <c r="MY229" s="252"/>
      <c r="MZ229" s="252"/>
      <c r="NA229" s="252"/>
      <c r="NB229" s="252"/>
      <c r="NC229" s="251"/>
      <c r="ND229" s="250"/>
      <c r="NE229" s="250"/>
      <c r="NF229" s="250"/>
      <c r="NG229" s="250"/>
      <c r="NH229" s="250"/>
      <c r="NI229" s="250"/>
      <c r="NJ229" s="250"/>
      <c r="NK229" s="250"/>
      <c r="NL229" s="250"/>
      <c r="NM229" s="250"/>
      <c r="NN229" s="250"/>
      <c r="NO229" s="250"/>
      <c r="NP229" s="250"/>
      <c r="NQ229" s="250"/>
      <c r="NR229" s="250"/>
      <c r="NS229" s="250"/>
      <c r="NT229" s="250"/>
      <c r="NU229" s="250"/>
      <c r="NV229" s="250"/>
      <c r="NW229" s="251"/>
      <c r="OT229" s="8"/>
      <c r="QG229" s="8"/>
      <c r="RT229" s="8"/>
    </row>
    <row r="230" spans="1:488" s="282" customFormat="1" x14ac:dyDescent="0.25">
      <c r="A230" s="66"/>
      <c r="B230" s="8"/>
      <c r="C230" s="66"/>
      <c r="D230" s="66"/>
      <c r="E230" s="66"/>
      <c r="F230" s="66"/>
      <c r="G230" s="66"/>
      <c r="H230" s="66"/>
      <c r="I230" s="66"/>
      <c r="J230" s="66"/>
      <c r="K230" s="66"/>
      <c r="L230" s="66"/>
      <c r="M230" s="66"/>
      <c r="N230" s="66"/>
      <c r="O230" s="66"/>
      <c r="P230" s="66"/>
      <c r="Q230" s="66"/>
      <c r="R230" s="66"/>
      <c r="S230" s="66"/>
      <c r="T230" s="68"/>
      <c r="AC230" s="66"/>
      <c r="AD230" s="66"/>
      <c r="AE230" s="68"/>
      <c r="AN230" s="66"/>
      <c r="AO230" s="66"/>
      <c r="AP230" s="68"/>
      <c r="AW230" s="66"/>
      <c r="AX230" s="68"/>
      <c r="BD230" s="66"/>
      <c r="BE230" s="68"/>
      <c r="BF230" s="66"/>
      <c r="BG230" s="66"/>
      <c r="BH230" s="66"/>
      <c r="BI230" s="66"/>
      <c r="BJ230" s="66"/>
      <c r="BK230" s="66"/>
      <c r="BL230" s="68"/>
      <c r="BO230" s="66"/>
      <c r="BP230" s="68"/>
      <c r="BV230" s="66"/>
      <c r="BW230" s="68"/>
      <c r="CB230" s="8"/>
      <c r="CH230" s="8"/>
      <c r="CK230" s="299"/>
      <c r="CL230" s="299"/>
      <c r="CM230" s="66"/>
      <c r="CN230" s="66"/>
      <c r="CO230" s="68"/>
      <c r="CR230" s="8"/>
      <c r="CX230" s="66"/>
      <c r="CY230" s="532"/>
      <c r="DE230" s="66"/>
      <c r="DF230" s="66"/>
      <c r="DG230" s="68"/>
      <c r="DH230" s="68"/>
      <c r="DK230" s="66"/>
      <c r="DL230" s="66"/>
      <c r="DM230" s="66"/>
      <c r="DN230" s="66"/>
      <c r="DO230" s="66"/>
      <c r="DP230" s="66"/>
      <c r="DQ230" s="66"/>
      <c r="DR230" s="66"/>
      <c r="DS230" s="66"/>
      <c r="DT230" s="68"/>
      <c r="DU230" s="66"/>
      <c r="DV230" s="296"/>
      <c r="DW230" s="330"/>
      <c r="DX230" s="631"/>
      <c r="DY230" s="631"/>
      <c r="DZ230" s="631"/>
      <c r="EA230" s="330"/>
      <c r="EC230" s="66"/>
      <c r="ED230" s="68"/>
      <c r="EH230" s="66"/>
      <c r="EI230" s="66"/>
      <c r="EJ230" s="68"/>
      <c r="EK230" s="252"/>
      <c r="EL230" s="252"/>
      <c r="EM230" s="252"/>
      <c r="EO230" s="252"/>
      <c r="EP230" s="252"/>
      <c r="EQ230" s="252"/>
      <c r="ES230" s="252"/>
      <c r="ET230" s="252"/>
      <c r="EU230" s="252"/>
      <c r="EW230" s="252"/>
      <c r="EX230" s="252"/>
      <c r="EY230" s="252"/>
      <c r="FA230" s="250"/>
      <c r="FB230" s="250"/>
      <c r="FC230" s="250"/>
      <c r="FD230" s="250"/>
      <c r="FE230" s="250"/>
      <c r="FF230" s="250"/>
      <c r="FG230" s="250"/>
      <c r="FH230" s="424"/>
      <c r="FI230" s="250"/>
      <c r="FJ230" s="250"/>
      <c r="FK230" s="250"/>
      <c r="FL230" s="256"/>
      <c r="FM230" s="250"/>
      <c r="FN230" s="256"/>
      <c r="FO230" s="250"/>
      <c r="FP230" s="256"/>
      <c r="FQ230" s="250"/>
      <c r="FR230" s="256"/>
      <c r="FS230" s="250"/>
      <c r="FT230" s="256"/>
      <c r="FU230" s="256"/>
      <c r="FV230" s="256"/>
      <c r="FW230" s="250"/>
      <c r="FX230" s="424"/>
      <c r="FY230" s="251"/>
      <c r="GC230" s="252"/>
      <c r="GF230" s="252"/>
      <c r="GG230" s="252"/>
      <c r="GH230" s="252"/>
      <c r="GI230" s="252"/>
      <c r="GJ230" s="252"/>
      <c r="GK230" s="251"/>
      <c r="GL230" s="250"/>
      <c r="GM230" s="250"/>
      <c r="GN230" s="250"/>
      <c r="GO230" s="250"/>
      <c r="GP230" s="250"/>
      <c r="GQ230" s="250"/>
      <c r="GR230" s="250"/>
      <c r="GS230" s="250"/>
      <c r="GT230" s="250"/>
      <c r="GU230" s="251"/>
      <c r="GV230" s="250"/>
      <c r="GW230" s="250"/>
      <c r="GX230" s="250"/>
      <c r="GY230" s="250"/>
      <c r="GZ230" s="250"/>
      <c r="HA230" s="250"/>
      <c r="HB230" s="250"/>
      <c r="HC230" s="250"/>
      <c r="HD230" s="250"/>
      <c r="HE230" s="250"/>
      <c r="HF230" s="250"/>
      <c r="HG230" s="250"/>
      <c r="HH230" s="251"/>
      <c r="HI230" s="424"/>
      <c r="HJ230" s="255"/>
      <c r="HK230" s="255"/>
      <c r="HL230" s="250"/>
      <c r="HM230" s="255"/>
      <c r="HN230" s="255"/>
      <c r="HO230" s="255"/>
      <c r="HP230" s="250"/>
      <c r="HQ230" s="250"/>
      <c r="HR230" s="250"/>
      <c r="HS230" s="250"/>
      <c r="HT230" s="250"/>
      <c r="HU230" s="251"/>
      <c r="HX230" s="252"/>
      <c r="HY230" s="252"/>
      <c r="HZ230" s="252"/>
      <c r="ID230" s="252"/>
      <c r="IE230" s="252"/>
      <c r="IF230" s="252"/>
      <c r="IJ230" s="252"/>
      <c r="IK230" s="252"/>
      <c r="IL230" s="252"/>
      <c r="IP230" s="252"/>
      <c r="IQ230" s="252"/>
      <c r="IR230" s="252"/>
      <c r="IY230" s="66"/>
      <c r="IZ230" s="66"/>
      <c r="JA230" s="66"/>
      <c r="JB230" s="250"/>
      <c r="JC230" s="66"/>
      <c r="JD230" s="66"/>
      <c r="JE230" s="66"/>
      <c r="JF230" s="66"/>
      <c r="JG230" s="66"/>
      <c r="JH230" s="66"/>
      <c r="JI230" s="66"/>
      <c r="JJ230" s="66"/>
      <c r="JK230" s="8"/>
      <c r="JN230" s="252"/>
      <c r="JO230" s="252"/>
      <c r="JP230" s="252"/>
      <c r="JT230" s="252"/>
      <c r="JU230" s="252"/>
      <c r="JV230" s="252"/>
      <c r="JZ230" s="252"/>
      <c r="KA230" s="252"/>
      <c r="KB230" s="252"/>
      <c r="KF230" s="252"/>
      <c r="KG230" s="252"/>
      <c r="KH230" s="252"/>
      <c r="KO230" s="66"/>
      <c r="KP230" s="66"/>
      <c r="KQ230" s="66"/>
      <c r="KR230" s="66"/>
      <c r="KS230" s="66"/>
      <c r="KT230" s="66"/>
      <c r="KU230" s="66"/>
      <c r="KV230" s="66"/>
      <c r="KW230" s="66"/>
      <c r="KX230" s="66"/>
      <c r="KY230" s="66"/>
      <c r="KZ230" s="66"/>
      <c r="LA230" s="8"/>
      <c r="LD230" s="252"/>
      <c r="LE230" s="252"/>
      <c r="LF230" s="252"/>
      <c r="LJ230" s="252"/>
      <c r="LK230" s="252"/>
      <c r="LN230" s="252"/>
      <c r="LO230" s="252"/>
      <c r="LP230" s="252"/>
      <c r="LT230" s="271"/>
      <c r="LU230" s="250"/>
      <c r="LV230" s="250"/>
      <c r="LW230" s="250"/>
      <c r="LX230" s="250"/>
      <c r="LY230" s="250"/>
      <c r="LZ230" s="250"/>
      <c r="MA230" s="250"/>
      <c r="MB230" s="250"/>
      <c r="MC230" s="250"/>
      <c r="MD230" s="250"/>
      <c r="ME230" s="250"/>
      <c r="MF230" s="250"/>
      <c r="MG230" s="250"/>
      <c r="MH230" s="250"/>
      <c r="MI230" s="250"/>
      <c r="MJ230" s="250"/>
      <c r="MK230" s="424"/>
      <c r="ML230" s="640"/>
      <c r="MM230" s="251"/>
      <c r="MN230" s="252"/>
      <c r="MO230" s="252"/>
      <c r="MP230" s="252"/>
      <c r="MQ230" s="252"/>
      <c r="MR230" s="252"/>
      <c r="MS230" s="252"/>
      <c r="MT230" s="252"/>
      <c r="MU230" s="252"/>
      <c r="MV230" s="252"/>
      <c r="MW230" s="252"/>
      <c r="MX230" s="252"/>
      <c r="MY230" s="252"/>
      <c r="MZ230" s="252"/>
      <c r="NA230" s="252"/>
      <c r="NB230" s="252"/>
      <c r="NC230" s="251"/>
      <c r="ND230" s="250"/>
      <c r="NE230" s="250"/>
      <c r="NF230" s="250"/>
      <c r="NG230" s="250"/>
      <c r="NH230" s="250"/>
      <c r="NI230" s="250"/>
      <c r="NJ230" s="250"/>
      <c r="NK230" s="250"/>
      <c r="NL230" s="250"/>
      <c r="NM230" s="250"/>
      <c r="NN230" s="250"/>
      <c r="NO230" s="250"/>
      <c r="NP230" s="250"/>
      <c r="NQ230" s="250"/>
      <c r="NR230" s="250"/>
      <c r="NS230" s="250"/>
      <c r="NT230" s="250"/>
      <c r="NU230" s="250"/>
      <c r="NV230" s="250"/>
      <c r="NW230" s="251"/>
      <c r="OT230" s="8"/>
      <c r="QG230" s="8"/>
      <c r="RT230" s="8"/>
    </row>
    <row r="231" spans="1:488" s="282" customFormat="1" x14ac:dyDescent="0.25">
      <c r="A231" s="66"/>
      <c r="B231" s="8"/>
      <c r="C231" s="66"/>
      <c r="D231" s="66"/>
      <c r="E231" s="66"/>
      <c r="F231" s="66"/>
      <c r="G231" s="66"/>
      <c r="H231" s="66"/>
      <c r="I231" s="66"/>
      <c r="J231" s="66"/>
      <c r="K231" s="66"/>
      <c r="L231" s="66"/>
      <c r="M231" s="66"/>
      <c r="N231" s="66"/>
      <c r="O231" s="66"/>
      <c r="P231" s="66"/>
      <c r="Q231" s="66"/>
      <c r="R231" s="66"/>
      <c r="S231" s="66"/>
      <c r="T231" s="68"/>
      <c r="AC231" s="66"/>
      <c r="AD231" s="66"/>
      <c r="AE231" s="68"/>
      <c r="AN231" s="66"/>
      <c r="AO231" s="66"/>
      <c r="AP231" s="68"/>
      <c r="AW231" s="66"/>
      <c r="AX231" s="68"/>
      <c r="BD231" s="66"/>
      <c r="BE231" s="68"/>
      <c r="BF231" s="66"/>
      <c r="BG231" s="66"/>
      <c r="BH231" s="66"/>
      <c r="BI231" s="66"/>
      <c r="BJ231" s="66"/>
      <c r="BK231" s="66"/>
      <c r="BL231" s="68"/>
      <c r="BO231" s="66"/>
      <c r="BP231" s="68"/>
      <c r="BV231" s="66"/>
      <c r="BW231" s="68"/>
      <c r="CB231" s="8"/>
      <c r="CH231" s="8"/>
      <c r="CK231" s="299"/>
      <c r="CL231" s="299"/>
      <c r="CM231" s="66"/>
      <c r="CN231" s="66"/>
      <c r="CO231" s="68"/>
      <c r="CR231" s="8"/>
      <c r="CX231" s="66"/>
      <c r="CY231" s="532"/>
      <c r="DE231" s="66"/>
      <c r="DF231" s="66"/>
      <c r="DG231" s="68"/>
      <c r="DH231" s="68"/>
      <c r="DK231" s="66"/>
      <c r="DL231" s="66"/>
      <c r="DM231" s="66"/>
      <c r="DN231" s="66"/>
      <c r="DO231" s="66"/>
      <c r="DP231" s="66"/>
      <c r="DQ231" s="66"/>
      <c r="DR231" s="66"/>
      <c r="DS231" s="66"/>
      <c r="DT231" s="68"/>
      <c r="DU231" s="66"/>
      <c r="DV231" s="296"/>
      <c r="DW231" s="330"/>
      <c r="DX231" s="631"/>
      <c r="DY231" s="631"/>
      <c r="DZ231" s="631"/>
      <c r="EA231" s="330"/>
      <c r="EC231" s="66"/>
      <c r="ED231" s="68"/>
      <c r="EH231" s="66"/>
      <c r="EI231" s="66"/>
      <c r="EJ231" s="68"/>
      <c r="EK231" s="252"/>
      <c r="EL231" s="252"/>
      <c r="EM231" s="252"/>
      <c r="EO231" s="252"/>
      <c r="EP231" s="252"/>
      <c r="EQ231" s="252"/>
      <c r="ES231" s="252"/>
      <c r="ET231" s="252"/>
      <c r="EU231" s="252"/>
      <c r="EW231" s="252"/>
      <c r="EX231" s="252"/>
      <c r="EY231" s="252"/>
      <c r="FA231" s="250"/>
      <c r="FB231" s="250"/>
      <c r="FC231" s="250"/>
      <c r="FD231" s="250"/>
      <c r="FE231" s="250"/>
      <c r="FF231" s="250"/>
      <c r="FG231" s="250"/>
      <c r="FH231" s="424"/>
      <c r="FI231" s="250"/>
      <c r="FJ231" s="250"/>
      <c r="FK231" s="250"/>
      <c r="FL231" s="256"/>
      <c r="FM231" s="250"/>
      <c r="FN231" s="256"/>
      <c r="FO231" s="250"/>
      <c r="FP231" s="256"/>
      <c r="FQ231" s="250"/>
      <c r="FR231" s="256"/>
      <c r="FS231" s="250"/>
      <c r="FT231" s="256"/>
      <c r="FU231" s="256"/>
      <c r="FV231" s="256"/>
      <c r="FW231" s="250"/>
      <c r="FX231" s="424"/>
      <c r="FY231" s="251"/>
      <c r="GC231" s="252"/>
      <c r="GF231" s="252"/>
      <c r="GG231" s="252"/>
      <c r="GH231" s="252"/>
      <c r="GI231" s="252"/>
      <c r="GJ231" s="252"/>
      <c r="GK231" s="251"/>
      <c r="GL231" s="250"/>
      <c r="GM231" s="250"/>
      <c r="GN231" s="250"/>
      <c r="GO231" s="250"/>
      <c r="GP231" s="250"/>
      <c r="GQ231" s="250"/>
      <c r="GR231" s="250"/>
      <c r="GS231" s="250"/>
      <c r="GT231" s="250"/>
      <c r="GU231" s="251"/>
      <c r="GV231" s="250"/>
      <c r="GW231" s="250"/>
      <c r="GX231" s="250"/>
      <c r="GY231" s="250"/>
      <c r="GZ231" s="250"/>
      <c r="HA231" s="250"/>
      <c r="HB231" s="250"/>
      <c r="HC231" s="250"/>
      <c r="HD231" s="250"/>
      <c r="HE231" s="250"/>
      <c r="HF231" s="250"/>
      <c r="HG231" s="250"/>
      <c r="HH231" s="251"/>
      <c r="HI231" s="424"/>
      <c r="HJ231" s="255"/>
      <c r="HK231" s="255"/>
      <c r="HL231" s="250"/>
      <c r="HM231" s="255"/>
      <c r="HN231" s="255"/>
      <c r="HO231" s="255"/>
      <c r="HP231" s="250"/>
      <c r="HQ231" s="250"/>
      <c r="HR231" s="250"/>
      <c r="HS231" s="250"/>
      <c r="HT231" s="250"/>
      <c r="HU231" s="251"/>
      <c r="HX231" s="252"/>
      <c r="HY231" s="252"/>
      <c r="HZ231" s="252"/>
      <c r="ID231" s="252"/>
      <c r="IE231" s="252"/>
      <c r="IF231" s="252"/>
      <c r="IJ231" s="252"/>
      <c r="IK231" s="252"/>
      <c r="IL231" s="252"/>
      <c r="IP231" s="252"/>
      <c r="IQ231" s="252"/>
      <c r="IR231" s="252"/>
      <c r="IY231" s="66"/>
      <c r="IZ231" s="66"/>
      <c r="JA231" s="66"/>
      <c r="JB231" s="250"/>
      <c r="JC231" s="66"/>
      <c r="JD231" s="66"/>
      <c r="JE231" s="66"/>
      <c r="JF231" s="66"/>
      <c r="JG231" s="66"/>
      <c r="JH231" s="66"/>
      <c r="JI231" s="66"/>
      <c r="JJ231" s="66"/>
      <c r="JK231" s="8"/>
      <c r="JN231" s="252"/>
      <c r="JO231" s="252"/>
      <c r="JP231" s="252"/>
      <c r="JT231" s="252"/>
      <c r="JU231" s="252"/>
      <c r="JV231" s="252"/>
      <c r="JZ231" s="252"/>
      <c r="KA231" s="252"/>
      <c r="KB231" s="252"/>
      <c r="KF231" s="252"/>
      <c r="KG231" s="252"/>
      <c r="KH231" s="252"/>
      <c r="KO231" s="66"/>
      <c r="KP231" s="66"/>
      <c r="KQ231" s="66"/>
      <c r="KR231" s="66"/>
      <c r="KS231" s="66"/>
      <c r="KT231" s="66"/>
      <c r="KU231" s="66"/>
      <c r="KV231" s="66"/>
      <c r="KW231" s="66"/>
      <c r="KX231" s="66"/>
      <c r="KY231" s="66"/>
      <c r="KZ231" s="66"/>
      <c r="LA231" s="8"/>
      <c r="LD231" s="252"/>
      <c r="LE231" s="252"/>
      <c r="LF231" s="252"/>
      <c r="LJ231" s="252"/>
      <c r="LK231" s="252"/>
      <c r="LN231" s="252"/>
      <c r="LO231" s="252"/>
      <c r="LP231" s="252"/>
      <c r="LT231" s="271"/>
      <c r="LU231" s="250"/>
      <c r="LV231" s="250"/>
      <c r="LW231" s="250"/>
      <c r="LX231" s="250"/>
      <c r="LY231" s="250"/>
      <c r="LZ231" s="250"/>
      <c r="MA231" s="250"/>
      <c r="MB231" s="250"/>
      <c r="MC231" s="250"/>
      <c r="MD231" s="250"/>
      <c r="ME231" s="250"/>
      <c r="MF231" s="250"/>
      <c r="MG231" s="250"/>
      <c r="MH231" s="250"/>
      <c r="MI231" s="250"/>
      <c r="MJ231" s="250"/>
      <c r="MK231" s="424"/>
      <c r="ML231" s="640"/>
      <c r="MM231" s="251"/>
      <c r="MN231" s="252"/>
      <c r="MO231" s="252"/>
      <c r="MP231" s="252"/>
      <c r="MQ231" s="252"/>
      <c r="MR231" s="252"/>
      <c r="MS231" s="252"/>
      <c r="MT231" s="252"/>
      <c r="MU231" s="252"/>
      <c r="MV231" s="252"/>
      <c r="MW231" s="252"/>
      <c r="MX231" s="252"/>
      <c r="MY231" s="252"/>
      <c r="MZ231" s="252"/>
      <c r="NA231" s="252"/>
      <c r="NB231" s="252"/>
      <c r="NC231" s="251"/>
      <c r="ND231" s="250"/>
      <c r="NE231" s="250"/>
      <c r="NF231" s="250"/>
      <c r="NG231" s="250"/>
      <c r="NH231" s="250"/>
      <c r="NI231" s="250"/>
      <c r="NJ231" s="250"/>
      <c r="NK231" s="250"/>
      <c r="NL231" s="250"/>
      <c r="NM231" s="250"/>
      <c r="NN231" s="250"/>
      <c r="NO231" s="250"/>
      <c r="NP231" s="250"/>
      <c r="NQ231" s="250"/>
      <c r="NR231" s="250"/>
      <c r="NS231" s="250"/>
      <c r="NT231" s="250"/>
      <c r="NU231" s="250"/>
      <c r="NV231" s="250"/>
      <c r="NW231" s="251"/>
      <c r="OT231" s="8"/>
      <c r="QG231" s="8"/>
      <c r="RT231" s="8"/>
    </row>
    <row r="232" spans="1:488" s="282" customFormat="1" x14ac:dyDescent="0.25">
      <c r="A232" s="66"/>
      <c r="B232" s="8"/>
      <c r="C232" s="66"/>
      <c r="D232" s="66"/>
      <c r="E232" s="66"/>
      <c r="F232" s="66"/>
      <c r="G232" s="66"/>
      <c r="H232" s="66"/>
      <c r="I232" s="66"/>
      <c r="J232" s="66"/>
      <c r="K232" s="66"/>
      <c r="L232" s="66"/>
      <c r="M232" s="66"/>
      <c r="N232" s="66"/>
      <c r="O232" s="66"/>
      <c r="P232" s="66"/>
      <c r="Q232" s="66"/>
      <c r="R232" s="66"/>
      <c r="S232" s="66"/>
      <c r="T232" s="68"/>
      <c r="AC232" s="66"/>
      <c r="AD232" s="66"/>
      <c r="AE232" s="68"/>
      <c r="AN232" s="66"/>
      <c r="AO232" s="66"/>
      <c r="AP232" s="68"/>
      <c r="AW232" s="66"/>
      <c r="AX232" s="68"/>
      <c r="BD232" s="66"/>
      <c r="BE232" s="68"/>
      <c r="BF232" s="66"/>
      <c r="BG232" s="66"/>
      <c r="BH232" s="66"/>
      <c r="BI232" s="66"/>
      <c r="BJ232" s="66"/>
      <c r="BK232" s="66"/>
      <c r="BL232" s="68"/>
      <c r="BO232" s="66"/>
      <c r="BP232" s="68"/>
      <c r="BV232" s="66"/>
      <c r="BW232" s="68"/>
      <c r="CB232" s="8"/>
      <c r="CH232" s="8"/>
      <c r="CK232" s="299"/>
      <c r="CL232" s="299"/>
      <c r="CM232" s="66"/>
      <c r="CN232" s="66"/>
      <c r="CO232" s="68"/>
      <c r="CR232" s="8"/>
      <c r="CX232" s="66"/>
      <c r="CY232" s="532"/>
      <c r="DE232" s="66"/>
      <c r="DF232" s="66"/>
      <c r="DG232" s="68"/>
      <c r="DH232" s="68"/>
      <c r="DK232" s="66"/>
      <c r="DL232" s="66"/>
      <c r="DM232" s="66"/>
      <c r="DN232" s="66"/>
      <c r="DO232" s="66"/>
      <c r="DP232" s="66"/>
      <c r="DQ232" s="66"/>
      <c r="DR232" s="66"/>
      <c r="DS232" s="66"/>
      <c r="DT232" s="68"/>
      <c r="DU232" s="66"/>
      <c r="DV232" s="296"/>
      <c r="DW232" s="330"/>
      <c r="DX232" s="631"/>
      <c r="DY232" s="631"/>
      <c r="DZ232" s="631"/>
      <c r="EA232" s="330"/>
      <c r="EC232" s="66"/>
      <c r="ED232" s="68"/>
      <c r="EH232" s="66"/>
      <c r="EI232" s="66"/>
      <c r="EJ232" s="68"/>
      <c r="EK232" s="252"/>
      <c r="EL232" s="252"/>
      <c r="EM232" s="252"/>
      <c r="EO232" s="252"/>
      <c r="EP232" s="252"/>
      <c r="EQ232" s="252"/>
      <c r="ES232" s="252"/>
      <c r="ET232" s="252"/>
      <c r="EU232" s="252"/>
      <c r="EW232" s="252"/>
      <c r="EX232" s="252"/>
      <c r="EY232" s="252"/>
      <c r="FA232" s="250"/>
      <c r="FB232" s="250"/>
      <c r="FC232" s="250"/>
      <c r="FD232" s="250"/>
      <c r="FE232" s="250"/>
      <c r="FF232" s="250"/>
      <c r="FG232" s="250"/>
      <c r="FH232" s="424"/>
      <c r="FI232" s="250"/>
      <c r="FJ232" s="250"/>
      <c r="FK232" s="250"/>
      <c r="FL232" s="256"/>
      <c r="FM232" s="250"/>
      <c r="FN232" s="256"/>
      <c r="FO232" s="250"/>
      <c r="FP232" s="256"/>
      <c r="FQ232" s="250"/>
      <c r="FR232" s="256"/>
      <c r="FS232" s="250"/>
      <c r="FT232" s="256"/>
      <c r="FU232" s="256"/>
      <c r="FV232" s="256"/>
      <c r="FW232" s="250"/>
      <c r="FX232" s="424"/>
      <c r="FY232" s="251"/>
      <c r="GC232" s="252"/>
      <c r="GF232" s="252"/>
      <c r="GG232" s="252"/>
      <c r="GH232" s="252"/>
      <c r="GI232" s="252"/>
      <c r="GJ232" s="252"/>
      <c r="GK232" s="251"/>
      <c r="GL232" s="250"/>
      <c r="GM232" s="250"/>
      <c r="GN232" s="250"/>
      <c r="GO232" s="250"/>
      <c r="GP232" s="250"/>
      <c r="GQ232" s="250"/>
      <c r="GR232" s="250"/>
      <c r="GS232" s="250"/>
      <c r="GT232" s="250"/>
      <c r="GU232" s="251"/>
      <c r="GV232" s="250"/>
      <c r="GW232" s="250"/>
      <c r="GX232" s="250"/>
      <c r="GY232" s="250"/>
      <c r="GZ232" s="250"/>
      <c r="HA232" s="250"/>
      <c r="HB232" s="250"/>
      <c r="HC232" s="250"/>
      <c r="HD232" s="250"/>
      <c r="HE232" s="250"/>
      <c r="HF232" s="250"/>
      <c r="HG232" s="250"/>
      <c r="HH232" s="251"/>
      <c r="HI232" s="424"/>
      <c r="HJ232" s="255"/>
      <c r="HK232" s="255"/>
      <c r="HL232" s="250"/>
      <c r="HM232" s="255"/>
      <c r="HN232" s="255"/>
      <c r="HO232" s="255"/>
      <c r="HP232" s="250"/>
      <c r="HQ232" s="250"/>
      <c r="HR232" s="250"/>
      <c r="HS232" s="250"/>
      <c r="HT232" s="250"/>
      <c r="HU232" s="251"/>
      <c r="HX232" s="252"/>
      <c r="HY232" s="252"/>
      <c r="HZ232" s="252"/>
      <c r="ID232" s="252"/>
      <c r="IE232" s="252"/>
      <c r="IF232" s="252"/>
      <c r="IJ232" s="252"/>
      <c r="IK232" s="252"/>
      <c r="IL232" s="252"/>
      <c r="IP232" s="252"/>
      <c r="IQ232" s="252"/>
      <c r="IR232" s="252"/>
      <c r="IY232" s="66"/>
      <c r="IZ232" s="66"/>
      <c r="JA232" s="66"/>
      <c r="JB232" s="250"/>
      <c r="JC232" s="66"/>
      <c r="JD232" s="66"/>
      <c r="JE232" s="66"/>
      <c r="JF232" s="66"/>
      <c r="JG232" s="66"/>
      <c r="JH232" s="66"/>
      <c r="JI232" s="66"/>
      <c r="JJ232" s="66"/>
      <c r="JK232" s="8"/>
      <c r="JN232" s="252"/>
      <c r="JO232" s="252"/>
      <c r="JP232" s="252"/>
      <c r="JT232" s="252"/>
      <c r="JU232" s="252"/>
      <c r="JV232" s="252"/>
      <c r="JZ232" s="252"/>
      <c r="KA232" s="252"/>
      <c r="KB232" s="252"/>
      <c r="KF232" s="252"/>
      <c r="KG232" s="252"/>
      <c r="KH232" s="252"/>
      <c r="KO232" s="66"/>
      <c r="KP232" s="66"/>
      <c r="KQ232" s="66"/>
      <c r="KR232" s="66"/>
      <c r="KS232" s="66"/>
      <c r="KT232" s="66"/>
      <c r="KU232" s="66"/>
      <c r="KV232" s="66"/>
      <c r="KW232" s="66"/>
      <c r="KX232" s="66"/>
      <c r="KY232" s="66"/>
      <c r="KZ232" s="66"/>
      <c r="LA232" s="8"/>
      <c r="LD232" s="252"/>
      <c r="LE232" s="252"/>
      <c r="LF232" s="252"/>
      <c r="LJ232" s="252"/>
      <c r="LK232" s="252"/>
      <c r="LN232" s="252"/>
      <c r="LO232" s="252"/>
      <c r="LP232" s="252"/>
      <c r="LT232" s="271"/>
      <c r="LU232" s="250"/>
      <c r="LV232" s="250"/>
      <c r="LW232" s="250"/>
      <c r="LX232" s="250"/>
      <c r="LY232" s="250"/>
      <c r="LZ232" s="250"/>
      <c r="MA232" s="250"/>
      <c r="MB232" s="250"/>
      <c r="MC232" s="250"/>
      <c r="MD232" s="250"/>
      <c r="ME232" s="250"/>
      <c r="MF232" s="250"/>
      <c r="MG232" s="250"/>
      <c r="MH232" s="250"/>
      <c r="MI232" s="250"/>
      <c r="MJ232" s="250"/>
      <c r="MK232" s="424"/>
      <c r="ML232" s="640"/>
      <c r="MM232" s="251"/>
      <c r="MN232" s="252"/>
      <c r="MO232" s="252"/>
      <c r="MP232" s="252"/>
      <c r="MQ232" s="252"/>
      <c r="MR232" s="252"/>
      <c r="MS232" s="252"/>
      <c r="MT232" s="252"/>
      <c r="MU232" s="252"/>
      <c r="MV232" s="252"/>
      <c r="MW232" s="252"/>
      <c r="MX232" s="252"/>
      <c r="MY232" s="252"/>
      <c r="MZ232" s="252"/>
      <c r="NA232" s="252"/>
      <c r="NB232" s="252"/>
      <c r="NC232" s="251"/>
      <c r="ND232" s="250"/>
      <c r="NE232" s="250"/>
      <c r="NF232" s="250"/>
      <c r="NG232" s="250"/>
      <c r="NH232" s="250"/>
      <c r="NI232" s="250"/>
      <c r="NJ232" s="250"/>
      <c r="NK232" s="250"/>
      <c r="NL232" s="250"/>
      <c r="NM232" s="250"/>
      <c r="NN232" s="250"/>
      <c r="NO232" s="250"/>
      <c r="NP232" s="250"/>
      <c r="NQ232" s="250"/>
      <c r="NR232" s="250"/>
      <c r="NS232" s="250"/>
      <c r="NT232" s="250"/>
      <c r="NU232" s="250"/>
      <c r="NV232" s="250"/>
      <c r="NW232" s="251"/>
      <c r="OT232" s="8"/>
      <c r="QG232" s="8"/>
      <c r="RT232" s="8"/>
    </row>
    <row r="233" spans="1:488" s="282" customFormat="1" x14ac:dyDescent="0.25">
      <c r="A233" s="66"/>
      <c r="B233" s="8"/>
      <c r="C233" s="66"/>
      <c r="D233" s="66"/>
      <c r="E233" s="66"/>
      <c r="F233" s="66"/>
      <c r="G233" s="66"/>
      <c r="H233" s="66"/>
      <c r="I233" s="66"/>
      <c r="J233" s="66"/>
      <c r="K233" s="66"/>
      <c r="L233" s="66"/>
      <c r="M233" s="66"/>
      <c r="N233" s="66"/>
      <c r="O233" s="66"/>
      <c r="P233" s="66"/>
      <c r="Q233" s="66"/>
      <c r="R233" s="66"/>
      <c r="S233" s="66"/>
      <c r="T233" s="68"/>
      <c r="AC233" s="66"/>
      <c r="AD233" s="66"/>
      <c r="AE233" s="68"/>
      <c r="AN233" s="66"/>
      <c r="AO233" s="66"/>
      <c r="AP233" s="68"/>
      <c r="AW233" s="66"/>
      <c r="AX233" s="68"/>
      <c r="BD233" s="66"/>
      <c r="BE233" s="68"/>
      <c r="BF233" s="66"/>
      <c r="BG233" s="66"/>
      <c r="BH233" s="66"/>
      <c r="BI233" s="66"/>
      <c r="BJ233" s="66"/>
      <c r="BK233" s="66"/>
      <c r="BL233" s="68"/>
      <c r="BO233" s="66"/>
      <c r="BP233" s="68"/>
      <c r="BV233" s="66"/>
      <c r="BW233" s="68"/>
      <c r="CB233" s="8"/>
      <c r="CH233" s="8"/>
      <c r="CK233" s="299"/>
      <c r="CL233" s="299"/>
      <c r="CM233" s="66"/>
      <c r="CN233" s="66"/>
      <c r="CO233" s="68"/>
      <c r="CR233" s="8"/>
      <c r="CX233" s="66"/>
      <c r="CY233" s="532"/>
      <c r="DE233" s="66"/>
      <c r="DF233" s="66"/>
      <c r="DG233" s="68"/>
      <c r="DH233" s="68"/>
      <c r="DK233" s="66"/>
      <c r="DL233" s="66"/>
      <c r="DM233" s="66"/>
      <c r="DN233" s="66"/>
      <c r="DO233" s="66"/>
      <c r="DP233" s="66"/>
      <c r="DQ233" s="66"/>
      <c r="DR233" s="66"/>
      <c r="DS233" s="66"/>
      <c r="DT233" s="68"/>
      <c r="DU233" s="66"/>
      <c r="DV233" s="296"/>
      <c r="DW233" s="330"/>
      <c r="DX233" s="631"/>
      <c r="DY233" s="631"/>
      <c r="DZ233" s="631"/>
      <c r="EA233" s="330"/>
      <c r="EC233" s="66"/>
      <c r="ED233" s="68"/>
      <c r="EH233" s="66"/>
      <c r="EI233" s="66"/>
      <c r="EJ233" s="68"/>
      <c r="EK233" s="252"/>
      <c r="EL233" s="252"/>
      <c r="EM233" s="252"/>
      <c r="EO233" s="252"/>
      <c r="EP233" s="252"/>
      <c r="EQ233" s="252"/>
      <c r="ES233" s="252"/>
      <c r="ET233" s="252"/>
      <c r="EU233" s="252"/>
      <c r="EW233" s="252"/>
      <c r="EX233" s="252"/>
      <c r="EY233" s="252"/>
      <c r="FA233" s="250"/>
      <c r="FB233" s="250"/>
      <c r="FC233" s="250"/>
      <c r="FD233" s="250"/>
      <c r="FE233" s="250"/>
      <c r="FF233" s="250"/>
      <c r="FG233" s="250"/>
      <c r="FH233" s="424"/>
      <c r="FI233" s="250"/>
      <c r="FJ233" s="250"/>
      <c r="FK233" s="250"/>
      <c r="FL233" s="256"/>
      <c r="FM233" s="250"/>
      <c r="FN233" s="256"/>
      <c r="FO233" s="250"/>
      <c r="FP233" s="256"/>
      <c r="FQ233" s="250"/>
      <c r="FR233" s="256"/>
      <c r="FS233" s="250"/>
      <c r="FT233" s="256"/>
      <c r="FU233" s="256"/>
      <c r="FV233" s="256"/>
      <c r="FW233" s="250"/>
      <c r="FX233" s="424"/>
      <c r="FY233" s="251"/>
      <c r="GC233" s="252"/>
      <c r="GF233" s="252"/>
      <c r="GG233" s="252"/>
      <c r="GH233" s="252"/>
      <c r="GI233" s="252"/>
      <c r="GJ233" s="252"/>
      <c r="GK233" s="251"/>
      <c r="GL233" s="250"/>
      <c r="GM233" s="250"/>
      <c r="GN233" s="250"/>
      <c r="GO233" s="250"/>
      <c r="GP233" s="250"/>
      <c r="GQ233" s="250"/>
      <c r="GR233" s="250"/>
      <c r="GS233" s="250"/>
      <c r="GT233" s="250"/>
      <c r="GU233" s="251"/>
      <c r="GV233" s="250"/>
      <c r="GW233" s="250"/>
      <c r="GX233" s="250"/>
      <c r="GY233" s="250"/>
      <c r="GZ233" s="250"/>
      <c r="HA233" s="250"/>
      <c r="HB233" s="250"/>
      <c r="HC233" s="250"/>
      <c r="HD233" s="250"/>
      <c r="HE233" s="250"/>
      <c r="HF233" s="250"/>
      <c r="HG233" s="250"/>
      <c r="HH233" s="251"/>
      <c r="HI233" s="424"/>
      <c r="HJ233" s="255"/>
      <c r="HK233" s="255"/>
      <c r="HL233" s="250"/>
      <c r="HM233" s="255"/>
      <c r="HN233" s="255"/>
      <c r="HO233" s="255"/>
      <c r="HP233" s="250"/>
      <c r="HQ233" s="250"/>
      <c r="HR233" s="250"/>
      <c r="HS233" s="250"/>
      <c r="HT233" s="250"/>
      <c r="HU233" s="251"/>
      <c r="HX233" s="252"/>
      <c r="HY233" s="252"/>
      <c r="HZ233" s="252"/>
      <c r="ID233" s="252"/>
      <c r="IE233" s="252"/>
      <c r="IF233" s="252"/>
      <c r="IJ233" s="252"/>
      <c r="IK233" s="252"/>
      <c r="IL233" s="252"/>
      <c r="IP233" s="252"/>
      <c r="IQ233" s="252"/>
      <c r="IR233" s="252"/>
      <c r="IY233" s="66"/>
      <c r="IZ233" s="66"/>
      <c r="JA233" s="66"/>
      <c r="JB233" s="250"/>
      <c r="JC233" s="66"/>
      <c r="JD233" s="66"/>
      <c r="JE233" s="66"/>
      <c r="JF233" s="66"/>
      <c r="JG233" s="66"/>
      <c r="JH233" s="66"/>
      <c r="JI233" s="66"/>
      <c r="JJ233" s="66"/>
      <c r="JK233" s="8"/>
      <c r="JN233" s="252"/>
      <c r="JO233" s="252"/>
      <c r="JP233" s="252"/>
      <c r="JT233" s="252"/>
      <c r="JU233" s="252"/>
      <c r="JV233" s="252"/>
      <c r="JZ233" s="252"/>
      <c r="KA233" s="252"/>
      <c r="KB233" s="252"/>
      <c r="KF233" s="252"/>
      <c r="KG233" s="252"/>
      <c r="KH233" s="252"/>
      <c r="KO233" s="66"/>
      <c r="KP233" s="66"/>
      <c r="KQ233" s="66"/>
      <c r="KR233" s="66"/>
      <c r="KS233" s="66"/>
      <c r="KT233" s="66"/>
      <c r="KU233" s="66"/>
      <c r="KV233" s="66"/>
      <c r="KW233" s="66"/>
      <c r="KX233" s="66"/>
      <c r="KY233" s="66"/>
      <c r="KZ233" s="66"/>
      <c r="LA233" s="8"/>
      <c r="LD233" s="252"/>
      <c r="LE233" s="252"/>
      <c r="LF233" s="252"/>
      <c r="LJ233" s="252"/>
      <c r="LK233" s="252"/>
      <c r="LN233" s="252"/>
      <c r="LO233" s="252"/>
      <c r="LP233" s="252"/>
      <c r="LT233" s="271"/>
      <c r="LU233" s="250"/>
      <c r="LV233" s="250"/>
      <c r="LW233" s="250"/>
      <c r="LX233" s="250"/>
      <c r="LY233" s="250"/>
      <c r="LZ233" s="250"/>
      <c r="MA233" s="250"/>
      <c r="MB233" s="250"/>
      <c r="MC233" s="250"/>
      <c r="MD233" s="250"/>
      <c r="ME233" s="250"/>
      <c r="MF233" s="250"/>
      <c r="MG233" s="250"/>
      <c r="MH233" s="250"/>
      <c r="MI233" s="250"/>
      <c r="MJ233" s="250"/>
      <c r="MK233" s="424"/>
      <c r="ML233" s="640"/>
      <c r="MM233" s="251"/>
      <c r="MN233" s="252"/>
      <c r="MO233" s="252"/>
      <c r="MP233" s="252"/>
      <c r="MQ233" s="252"/>
      <c r="MR233" s="252"/>
      <c r="MS233" s="252"/>
      <c r="MT233" s="252"/>
      <c r="MU233" s="252"/>
      <c r="MV233" s="252"/>
      <c r="MW233" s="252"/>
      <c r="MX233" s="252"/>
      <c r="MY233" s="252"/>
      <c r="MZ233" s="252"/>
      <c r="NA233" s="252"/>
      <c r="NB233" s="252"/>
      <c r="NC233" s="251"/>
      <c r="ND233" s="250"/>
      <c r="NE233" s="250"/>
      <c r="NF233" s="250"/>
      <c r="NG233" s="250"/>
      <c r="NH233" s="250"/>
      <c r="NI233" s="250"/>
      <c r="NJ233" s="250"/>
      <c r="NK233" s="250"/>
      <c r="NL233" s="250"/>
      <c r="NM233" s="250"/>
      <c r="NN233" s="250"/>
      <c r="NO233" s="250"/>
      <c r="NP233" s="250"/>
      <c r="NQ233" s="250"/>
      <c r="NR233" s="250"/>
      <c r="NS233" s="250"/>
      <c r="NT233" s="250"/>
      <c r="NU233" s="250"/>
      <c r="NV233" s="250"/>
      <c r="NW233" s="251"/>
      <c r="OT233" s="8"/>
      <c r="QG233" s="8"/>
      <c r="RT233" s="8"/>
    </row>
    <row r="234" spans="1:488" s="282" customFormat="1" x14ac:dyDescent="0.25">
      <c r="A234" s="66"/>
      <c r="B234" s="8"/>
      <c r="C234" s="66"/>
      <c r="D234" s="66"/>
      <c r="E234" s="66"/>
      <c r="F234" s="66"/>
      <c r="G234" s="66"/>
      <c r="H234" s="66"/>
      <c r="I234" s="66"/>
      <c r="J234" s="66"/>
      <c r="K234" s="66"/>
      <c r="L234" s="66"/>
      <c r="M234" s="66"/>
      <c r="N234" s="66"/>
      <c r="O234" s="66"/>
      <c r="P234" s="66"/>
      <c r="Q234" s="66"/>
      <c r="R234" s="66"/>
      <c r="S234" s="66"/>
      <c r="T234" s="68"/>
      <c r="AC234" s="66"/>
      <c r="AD234" s="66"/>
      <c r="AE234" s="68"/>
      <c r="AN234" s="66"/>
      <c r="AO234" s="66"/>
      <c r="AP234" s="68"/>
      <c r="AW234" s="66"/>
      <c r="AX234" s="68"/>
      <c r="BD234" s="66"/>
      <c r="BE234" s="68"/>
      <c r="BF234" s="66"/>
      <c r="BG234" s="66"/>
      <c r="BH234" s="66"/>
      <c r="BI234" s="66"/>
      <c r="BJ234" s="66"/>
      <c r="BK234" s="66"/>
      <c r="BL234" s="68"/>
      <c r="BO234" s="66"/>
      <c r="BP234" s="68"/>
      <c r="BV234" s="66"/>
      <c r="BW234" s="68"/>
      <c r="CB234" s="8"/>
      <c r="CH234" s="8"/>
      <c r="CK234" s="299"/>
      <c r="CL234" s="299"/>
      <c r="CM234" s="66"/>
      <c r="CN234" s="66"/>
      <c r="CO234" s="68"/>
      <c r="CR234" s="8"/>
      <c r="CX234" s="66"/>
      <c r="CY234" s="532"/>
      <c r="DE234" s="66"/>
      <c r="DF234" s="66"/>
      <c r="DG234" s="68"/>
      <c r="DH234" s="68"/>
      <c r="DK234" s="66"/>
      <c r="DL234" s="66"/>
      <c r="DM234" s="66"/>
      <c r="DN234" s="66"/>
      <c r="DO234" s="66"/>
      <c r="DP234" s="66"/>
      <c r="DQ234" s="66"/>
      <c r="DR234" s="66"/>
      <c r="DS234" s="66"/>
      <c r="DT234" s="68"/>
      <c r="DU234" s="66"/>
      <c r="DV234" s="296"/>
      <c r="DW234" s="330"/>
      <c r="DX234" s="631"/>
      <c r="DY234" s="631"/>
      <c r="DZ234" s="631"/>
      <c r="EA234" s="330"/>
      <c r="EC234" s="66"/>
      <c r="ED234" s="68"/>
      <c r="EH234" s="66"/>
      <c r="EI234" s="66"/>
      <c r="EJ234" s="68"/>
      <c r="EK234" s="252"/>
      <c r="EL234" s="252"/>
      <c r="EM234" s="252"/>
      <c r="EO234" s="252"/>
      <c r="EP234" s="252"/>
      <c r="EQ234" s="252"/>
      <c r="ES234" s="252"/>
      <c r="ET234" s="252"/>
      <c r="EU234" s="252"/>
      <c r="EW234" s="252"/>
      <c r="EX234" s="252"/>
      <c r="EY234" s="252"/>
      <c r="FA234" s="250"/>
      <c r="FB234" s="250"/>
      <c r="FC234" s="250"/>
      <c r="FD234" s="250"/>
      <c r="FE234" s="250"/>
      <c r="FF234" s="250"/>
      <c r="FG234" s="250"/>
      <c r="FH234" s="424"/>
      <c r="FI234" s="250"/>
      <c r="FJ234" s="250"/>
      <c r="FK234" s="250"/>
      <c r="FL234" s="256"/>
      <c r="FM234" s="250"/>
      <c r="FN234" s="256"/>
      <c r="FO234" s="250"/>
      <c r="FP234" s="256"/>
      <c r="FQ234" s="250"/>
      <c r="FR234" s="256"/>
      <c r="FS234" s="250"/>
      <c r="FT234" s="256"/>
      <c r="FU234" s="256"/>
      <c r="FV234" s="256"/>
      <c r="FW234" s="250"/>
      <c r="FX234" s="424"/>
      <c r="FY234" s="251"/>
      <c r="GC234" s="252"/>
      <c r="GF234" s="252"/>
      <c r="GG234" s="252"/>
      <c r="GH234" s="252"/>
      <c r="GI234" s="252"/>
      <c r="GJ234" s="252"/>
      <c r="GK234" s="251"/>
      <c r="GL234" s="250"/>
      <c r="GM234" s="250"/>
      <c r="GN234" s="250"/>
      <c r="GO234" s="250"/>
      <c r="GP234" s="250"/>
      <c r="GQ234" s="250"/>
      <c r="GR234" s="250"/>
      <c r="GS234" s="250"/>
      <c r="GT234" s="250"/>
      <c r="GU234" s="251"/>
      <c r="GV234" s="250"/>
      <c r="GW234" s="250"/>
      <c r="GX234" s="250"/>
      <c r="GY234" s="250"/>
      <c r="GZ234" s="250"/>
      <c r="HA234" s="250"/>
      <c r="HB234" s="250"/>
      <c r="HC234" s="250"/>
      <c r="HD234" s="250"/>
      <c r="HE234" s="250"/>
      <c r="HF234" s="250"/>
      <c r="HG234" s="250"/>
      <c r="HH234" s="251"/>
      <c r="HI234" s="424"/>
      <c r="HJ234" s="255"/>
      <c r="HK234" s="255"/>
      <c r="HL234" s="250"/>
      <c r="HM234" s="255"/>
      <c r="HN234" s="255"/>
      <c r="HO234" s="255"/>
      <c r="HP234" s="250"/>
      <c r="HQ234" s="250"/>
      <c r="HR234" s="250"/>
      <c r="HS234" s="250"/>
      <c r="HT234" s="250"/>
      <c r="HU234" s="251"/>
      <c r="HX234" s="252"/>
      <c r="HY234" s="252"/>
      <c r="HZ234" s="252"/>
      <c r="ID234" s="252"/>
      <c r="IE234" s="252"/>
      <c r="IF234" s="252"/>
      <c r="IJ234" s="252"/>
      <c r="IK234" s="252"/>
      <c r="IL234" s="252"/>
      <c r="IP234" s="252"/>
      <c r="IQ234" s="252"/>
      <c r="IR234" s="252"/>
      <c r="IY234" s="66"/>
      <c r="IZ234" s="66"/>
      <c r="JA234" s="66"/>
      <c r="JB234" s="250"/>
      <c r="JC234" s="66"/>
      <c r="JD234" s="66"/>
      <c r="JE234" s="66"/>
      <c r="JF234" s="66"/>
      <c r="JG234" s="66"/>
      <c r="JH234" s="66"/>
      <c r="JI234" s="66"/>
      <c r="JJ234" s="66"/>
      <c r="JK234" s="8"/>
      <c r="JN234" s="252"/>
      <c r="JO234" s="252"/>
      <c r="JP234" s="252"/>
      <c r="JT234" s="252"/>
      <c r="JU234" s="252"/>
      <c r="JV234" s="252"/>
      <c r="JZ234" s="252"/>
      <c r="KA234" s="252"/>
      <c r="KB234" s="252"/>
      <c r="KF234" s="252"/>
      <c r="KG234" s="252"/>
      <c r="KH234" s="252"/>
      <c r="KO234" s="66"/>
      <c r="KP234" s="66"/>
      <c r="KQ234" s="66"/>
      <c r="KR234" s="66"/>
      <c r="KS234" s="66"/>
      <c r="KT234" s="66"/>
      <c r="KU234" s="66"/>
      <c r="KV234" s="66"/>
      <c r="KW234" s="66"/>
      <c r="KX234" s="66"/>
      <c r="KY234" s="66"/>
      <c r="KZ234" s="66"/>
      <c r="LA234" s="8"/>
      <c r="LD234" s="252"/>
      <c r="LE234" s="252"/>
      <c r="LF234" s="252"/>
      <c r="LJ234" s="252"/>
      <c r="LK234" s="252"/>
      <c r="LN234" s="252"/>
      <c r="LO234" s="252"/>
      <c r="LP234" s="252"/>
      <c r="LT234" s="271"/>
      <c r="LU234" s="250"/>
      <c r="LV234" s="250"/>
      <c r="LW234" s="250"/>
      <c r="LX234" s="250"/>
      <c r="LY234" s="250"/>
      <c r="LZ234" s="250"/>
      <c r="MA234" s="250"/>
      <c r="MB234" s="250"/>
      <c r="MC234" s="250"/>
      <c r="MD234" s="250"/>
      <c r="ME234" s="250"/>
      <c r="MF234" s="250"/>
      <c r="MG234" s="250"/>
      <c r="MH234" s="250"/>
      <c r="MI234" s="250"/>
      <c r="MJ234" s="250"/>
      <c r="MK234" s="424"/>
      <c r="ML234" s="640"/>
      <c r="MM234" s="251"/>
      <c r="MN234" s="252"/>
      <c r="MO234" s="252"/>
      <c r="MP234" s="252"/>
      <c r="MQ234" s="252"/>
      <c r="MR234" s="252"/>
      <c r="MS234" s="252"/>
      <c r="MT234" s="252"/>
      <c r="MU234" s="252"/>
      <c r="MV234" s="252"/>
      <c r="MW234" s="252"/>
      <c r="MX234" s="252"/>
      <c r="MY234" s="252"/>
      <c r="MZ234" s="252"/>
      <c r="NA234" s="252"/>
      <c r="NB234" s="252"/>
      <c r="NC234" s="251"/>
      <c r="ND234" s="250"/>
      <c r="NE234" s="250"/>
      <c r="NF234" s="250"/>
      <c r="NG234" s="250"/>
      <c r="NH234" s="250"/>
      <c r="NI234" s="250"/>
      <c r="NJ234" s="250"/>
      <c r="NK234" s="250"/>
      <c r="NL234" s="250"/>
      <c r="NM234" s="250"/>
      <c r="NN234" s="250"/>
      <c r="NO234" s="250"/>
      <c r="NP234" s="250"/>
      <c r="NQ234" s="250"/>
      <c r="NR234" s="250"/>
      <c r="NS234" s="250"/>
      <c r="NT234" s="250"/>
      <c r="NU234" s="250"/>
      <c r="NV234" s="250"/>
      <c r="NW234" s="251"/>
      <c r="OT234" s="8"/>
      <c r="QG234" s="8"/>
      <c r="RT234" s="8"/>
    </row>
    <row r="235" spans="1:488" s="282" customFormat="1" x14ac:dyDescent="0.25">
      <c r="A235" s="66"/>
      <c r="B235" s="8"/>
      <c r="C235" s="66"/>
      <c r="D235" s="66"/>
      <c r="E235" s="66"/>
      <c r="F235" s="66"/>
      <c r="G235" s="66"/>
      <c r="H235" s="66"/>
      <c r="I235" s="66"/>
      <c r="J235" s="66"/>
      <c r="K235" s="66"/>
      <c r="L235" s="66"/>
      <c r="M235" s="66"/>
      <c r="N235" s="66"/>
      <c r="O235" s="66"/>
      <c r="P235" s="66"/>
      <c r="Q235" s="66"/>
      <c r="R235" s="66"/>
      <c r="S235" s="66"/>
      <c r="T235" s="68"/>
      <c r="AC235" s="66"/>
      <c r="AD235" s="66"/>
      <c r="AE235" s="68"/>
      <c r="AN235" s="66"/>
      <c r="AO235" s="66"/>
      <c r="AP235" s="68"/>
      <c r="AW235" s="66"/>
      <c r="AX235" s="68"/>
      <c r="BD235" s="66"/>
      <c r="BE235" s="68"/>
      <c r="BF235" s="66"/>
      <c r="BG235" s="66"/>
      <c r="BH235" s="66"/>
      <c r="BI235" s="66"/>
      <c r="BJ235" s="66"/>
      <c r="BK235" s="66"/>
      <c r="BL235" s="68"/>
      <c r="BO235" s="66"/>
      <c r="BP235" s="68"/>
      <c r="BV235" s="66"/>
      <c r="BW235" s="68"/>
      <c r="CB235" s="8"/>
      <c r="CH235" s="8"/>
      <c r="CK235" s="299"/>
      <c r="CL235" s="299"/>
      <c r="CM235" s="66"/>
      <c r="CN235" s="66"/>
      <c r="CO235" s="68"/>
      <c r="CR235" s="8"/>
      <c r="CX235" s="66"/>
      <c r="CY235" s="532"/>
      <c r="DE235" s="66"/>
      <c r="DF235" s="66"/>
      <c r="DG235" s="68"/>
      <c r="DH235" s="68"/>
      <c r="DK235" s="66"/>
      <c r="DL235" s="66"/>
      <c r="DM235" s="66"/>
      <c r="DN235" s="66"/>
      <c r="DO235" s="66"/>
      <c r="DP235" s="66"/>
      <c r="DQ235" s="66"/>
      <c r="DR235" s="66"/>
      <c r="DS235" s="66"/>
      <c r="DT235" s="68"/>
      <c r="DU235" s="66"/>
      <c r="DV235" s="296"/>
      <c r="DW235" s="330"/>
      <c r="DX235" s="631"/>
      <c r="DY235" s="631"/>
      <c r="DZ235" s="631"/>
      <c r="EA235" s="330"/>
      <c r="EC235" s="66"/>
      <c r="ED235" s="68"/>
      <c r="EH235" s="66"/>
      <c r="EI235" s="66"/>
      <c r="EJ235" s="68"/>
      <c r="EK235" s="252"/>
      <c r="EL235" s="252"/>
      <c r="EM235" s="252"/>
      <c r="EO235" s="252"/>
      <c r="EP235" s="252"/>
      <c r="EQ235" s="252"/>
      <c r="ES235" s="252"/>
      <c r="ET235" s="252"/>
      <c r="EU235" s="252"/>
      <c r="EW235" s="252"/>
      <c r="EX235" s="252"/>
      <c r="EY235" s="252"/>
      <c r="FA235" s="250"/>
      <c r="FB235" s="250"/>
      <c r="FC235" s="250"/>
      <c r="FD235" s="250"/>
      <c r="FE235" s="250"/>
      <c r="FF235" s="250"/>
      <c r="FG235" s="250"/>
      <c r="FH235" s="424"/>
      <c r="FI235" s="250"/>
      <c r="FJ235" s="250"/>
      <c r="FK235" s="250"/>
      <c r="FL235" s="256"/>
      <c r="FM235" s="250"/>
      <c r="FN235" s="256"/>
      <c r="FO235" s="250"/>
      <c r="FP235" s="256"/>
      <c r="FQ235" s="250"/>
      <c r="FR235" s="256"/>
      <c r="FS235" s="250"/>
      <c r="FT235" s="256"/>
      <c r="FU235" s="256"/>
      <c r="FV235" s="256"/>
      <c r="FW235" s="250"/>
      <c r="FX235" s="424"/>
      <c r="FY235" s="251"/>
      <c r="GC235" s="252"/>
      <c r="GF235" s="252"/>
      <c r="GG235" s="252"/>
      <c r="GH235" s="252"/>
      <c r="GI235" s="252"/>
      <c r="GJ235" s="252"/>
      <c r="GK235" s="251"/>
      <c r="GL235" s="250"/>
      <c r="GM235" s="250"/>
      <c r="GN235" s="250"/>
      <c r="GO235" s="250"/>
      <c r="GP235" s="250"/>
      <c r="GQ235" s="250"/>
      <c r="GR235" s="250"/>
      <c r="GS235" s="250"/>
      <c r="GT235" s="250"/>
      <c r="GU235" s="251"/>
      <c r="GV235" s="250"/>
      <c r="GW235" s="250"/>
      <c r="GX235" s="250"/>
      <c r="GY235" s="250"/>
      <c r="GZ235" s="250"/>
      <c r="HA235" s="250"/>
      <c r="HB235" s="250"/>
      <c r="HC235" s="250"/>
      <c r="HD235" s="250"/>
      <c r="HE235" s="250"/>
      <c r="HF235" s="250"/>
      <c r="HG235" s="250"/>
      <c r="HH235" s="251"/>
      <c r="HI235" s="424"/>
      <c r="HJ235" s="255"/>
      <c r="HK235" s="255"/>
      <c r="HL235" s="250"/>
      <c r="HM235" s="255"/>
      <c r="HN235" s="255"/>
      <c r="HO235" s="255"/>
      <c r="HP235" s="250"/>
      <c r="HQ235" s="250"/>
      <c r="HR235" s="250"/>
      <c r="HS235" s="250"/>
      <c r="HT235" s="250"/>
      <c r="HU235" s="251"/>
      <c r="HX235" s="252"/>
      <c r="HY235" s="252"/>
      <c r="HZ235" s="252"/>
      <c r="ID235" s="252"/>
      <c r="IE235" s="252"/>
      <c r="IF235" s="252"/>
      <c r="IJ235" s="252"/>
      <c r="IK235" s="252"/>
      <c r="IL235" s="252"/>
      <c r="IP235" s="252"/>
      <c r="IQ235" s="252"/>
      <c r="IR235" s="252"/>
      <c r="IY235" s="66"/>
      <c r="IZ235" s="66"/>
      <c r="JA235" s="66"/>
      <c r="JB235" s="250"/>
      <c r="JC235" s="66"/>
      <c r="JD235" s="66"/>
      <c r="JE235" s="66"/>
      <c r="JF235" s="66"/>
      <c r="JG235" s="66"/>
      <c r="JH235" s="66"/>
      <c r="JI235" s="66"/>
      <c r="JJ235" s="66"/>
      <c r="JK235" s="8"/>
      <c r="JN235" s="252"/>
      <c r="JO235" s="252"/>
      <c r="JP235" s="252"/>
      <c r="JT235" s="252"/>
      <c r="JU235" s="252"/>
      <c r="JV235" s="252"/>
      <c r="JZ235" s="252"/>
      <c r="KA235" s="252"/>
      <c r="KB235" s="252"/>
      <c r="KF235" s="252"/>
      <c r="KG235" s="252"/>
      <c r="KH235" s="252"/>
      <c r="KO235" s="66"/>
      <c r="KP235" s="66"/>
      <c r="KQ235" s="66"/>
      <c r="KR235" s="66"/>
      <c r="KS235" s="66"/>
      <c r="KT235" s="66"/>
      <c r="KU235" s="66"/>
      <c r="KV235" s="66"/>
      <c r="KW235" s="66"/>
      <c r="KX235" s="66"/>
      <c r="KY235" s="66"/>
      <c r="KZ235" s="66"/>
      <c r="LA235" s="8"/>
      <c r="LD235" s="252"/>
      <c r="LE235" s="252"/>
      <c r="LF235" s="252"/>
      <c r="LJ235" s="252"/>
      <c r="LK235" s="252"/>
      <c r="LN235" s="252"/>
      <c r="LO235" s="252"/>
      <c r="LP235" s="252"/>
      <c r="LT235" s="271"/>
      <c r="LU235" s="250"/>
      <c r="LV235" s="250"/>
      <c r="LW235" s="250"/>
      <c r="LX235" s="250"/>
      <c r="LY235" s="250"/>
      <c r="LZ235" s="250"/>
      <c r="MA235" s="250"/>
      <c r="MB235" s="250"/>
      <c r="MC235" s="250"/>
      <c r="MD235" s="250"/>
      <c r="ME235" s="250"/>
      <c r="MF235" s="250"/>
      <c r="MG235" s="250"/>
      <c r="MH235" s="250"/>
      <c r="MI235" s="250"/>
      <c r="MJ235" s="250"/>
      <c r="MK235" s="424"/>
      <c r="ML235" s="640"/>
      <c r="MM235" s="251"/>
      <c r="MN235" s="252"/>
      <c r="MO235" s="252"/>
      <c r="MP235" s="252"/>
      <c r="MQ235" s="252"/>
      <c r="MR235" s="252"/>
      <c r="MS235" s="252"/>
      <c r="MT235" s="252"/>
      <c r="MU235" s="252"/>
      <c r="MV235" s="252"/>
      <c r="MW235" s="252"/>
      <c r="MX235" s="252"/>
      <c r="MY235" s="252"/>
      <c r="MZ235" s="252"/>
      <c r="NA235" s="252"/>
      <c r="NB235" s="252"/>
      <c r="NC235" s="251"/>
      <c r="ND235" s="250"/>
      <c r="NE235" s="250"/>
      <c r="NF235" s="250"/>
      <c r="NG235" s="250"/>
      <c r="NH235" s="250"/>
      <c r="NI235" s="250"/>
      <c r="NJ235" s="250"/>
      <c r="NK235" s="250"/>
      <c r="NL235" s="250"/>
      <c r="NM235" s="250"/>
      <c r="NN235" s="250"/>
      <c r="NO235" s="250"/>
      <c r="NP235" s="250"/>
      <c r="NQ235" s="250"/>
      <c r="NR235" s="250"/>
      <c r="NS235" s="250"/>
      <c r="NT235" s="250"/>
      <c r="NU235" s="250"/>
      <c r="NV235" s="250"/>
      <c r="NW235" s="251"/>
      <c r="OT235" s="8"/>
      <c r="QG235" s="8"/>
      <c r="RT235" s="8"/>
    </row>
    <row r="236" spans="1:488" s="282" customFormat="1" x14ac:dyDescent="0.25">
      <c r="A236" s="66"/>
      <c r="B236" s="8"/>
      <c r="C236" s="66"/>
      <c r="D236" s="66"/>
      <c r="E236" s="66"/>
      <c r="F236" s="66"/>
      <c r="G236" s="66"/>
      <c r="H236" s="66"/>
      <c r="I236" s="66"/>
      <c r="J236" s="66"/>
      <c r="K236" s="66"/>
      <c r="L236" s="66"/>
      <c r="M236" s="66"/>
      <c r="N236" s="66"/>
      <c r="O236" s="66"/>
      <c r="P236" s="66"/>
      <c r="Q236" s="66"/>
      <c r="R236" s="66"/>
      <c r="S236" s="66"/>
      <c r="T236" s="68"/>
      <c r="AC236" s="66"/>
      <c r="AD236" s="66"/>
      <c r="AE236" s="68"/>
      <c r="AN236" s="66"/>
      <c r="AO236" s="66"/>
      <c r="AP236" s="68"/>
      <c r="AW236" s="66"/>
      <c r="AX236" s="68"/>
      <c r="BD236" s="66"/>
      <c r="BE236" s="68"/>
      <c r="BF236" s="66"/>
      <c r="BG236" s="66"/>
      <c r="BH236" s="66"/>
      <c r="BI236" s="66"/>
      <c r="BJ236" s="66"/>
      <c r="BK236" s="66"/>
      <c r="BL236" s="68"/>
      <c r="BO236" s="66"/>
      <c r="BP236" s="68"/>
      <c r="BV236" s="66"/>
      <c r="BW236" s="68"/>
      <c r="CB236" s="8"/>
      <c r="CH236" s="8"/>
      <c r="CK236" s="299"/>
      <c r="CL236" s="299"/>
      <c r="CM236" s="66"/>
      <c r="CN236" s="66"/>
      <c r="CO236" s="68"/>
      <c r="CR236" s="8"/>
      <c r="CX236" s="66"/>
      <c r="CY236" s="532"/>
      <c r="DE236" s="66"/>
      <c r="DF236" s="66"/>
      <c r="DG236" s="68"/>
      <c r="DH236" s="68"/>
      <c r="DK236" s="66"/>
      <c r="DL236" s="66"/>
      <c r="DM236" s="66"/>
      <c r="DN236" s="66"/>
      <c r="DO236" s="66"/>
      <c r="DP236" s="66"/>
      <c r="DQ236" s="66"/>
      <c r="DR236" s="66"/>
      <c r="DS236" s="66"/>
      <c r="DT236" s="68"/>
      <c r="DU236" s="66"/>
      <c r="DV236" s="296"/>
      <c r="DW236" s="330"/>
      <c r="DX236" s="631"/>
      <c r="DY236" s="631"/>
      <c r="DZ236" s="631"/>
      <c r="EA236" s="330"/>
      <c r="EC236" s="66"/>
      <c r="ED236" s="68"/>
      <c r="EH236" s="66"/>
      <c r="EI236" s="66"/>
      <c r="EJ236" s="68"/>
      <c r="EK236" s="252"/>
      <c r="EL236" s="252"/>
      <c r="EM236" s="252"/>
      <c r="EO236" s="252"/>
      <c r="EP236" s="252"/>
      <c r="EQ236" s="252"/>
      <c r="ES236" s="252"/>
      <c r="ET236" s="252"/>
      <c r="EU236" s="252"/>
      <c r="EW236" s="252"/>
      <c r="EX236" s="252"/>
      <c r="EY236" s="252"/>
      <c r="FA236" s="250"/>
      <c r="FB236" s="250"/>
      <c r="FC236" s="250"/>
      <c r="FD236" s="250"/>
      <c r="FE236" s="250"/>
      <c r="FF236" s="250"/>
      <c r="FG236" s="250"/>
      <c r="FH236" s="424"/>
      <c r="FI236" s="250"/>
      <c r="FJ236" s="250"/>
      <c r="FK236" s="250"/>
      <c r="FL236" s="256"/>
      <c r="FM236" s="250"/>
      <c r="FN236" s="256"/>
      <c r="FO236" s="250"/>
      <c r="FP236" s="256"/>
      <c r="FQ236" s="250"/>
      <c r="FR236" s="256"/>
      <c r="FS236" s="250"/>
      <c r="FT236" s="256"/>
      <c r="FU236" s="256"/>
      <c r="FV236" s="256"/>
      <c r="FW236" s="250"/>
      <c r="FX236" s="424"/>
      <c r="FY236" s="251"/>
      <c r="GC236" s="252"/>
      <c r="GF236" s="252"/>
      <c r="GG236" s="252"/>
      <c r="GH236" s="252"/>
      <c r="GI236" s="252"/>
      <c r="GJ236" s="252"/>
      <c r="GK236" s="251"/>
      <c r="GL236" s="250"/>
      <c r="GM236" s="250"/>
      <c r="GN236" s="250"/>
      <c r="GO236" s="250"/>
      <c r="GP236" s="250"/>
      <c r="GQ236" s="250"/>
      <c r="GR236" s="250"/>
      <c r="GS236" s="250"/>
      <c r="GT236" s="250"/>
      <c r="GU236" s="251"/>
      <c r="GV236" s="250"/>
      <c r="GW236" s="250"/>
      <c r="GX236" s="250"/>
      <c r="GY236" s="250"/>
      <c r="GZ236" s="250"/>
      <c r="HA236" s="250"/>
      <c r="HB236" s="250"/>
      <c r="HC236" s="250"/>
      <c r="HD236" s="250"/>
      <c r="HE236" s="250"/>
      <c r="HF236" s="250"/>
      <c r="HG236" s="250"/>
      <c r="HH236" s="251"/>
      <c r="HI236" s="424"/>
      <c r="HJ236" s="255"/>
      <c r="HK236" s="255"/>
      <c r="HL236" s="250"/>
      <c r="HM236" s="255"/>
      <c r="HN236" s="255"/>
      <c r="HO236" s="255"/>
      <c r="HP236" s="250"/>
      <c r="HQ236" s="250"/>
      <c r="HR236" s="250"/>
      <c r="HS236" s="250"/>
      <c r="HT236" s="250"/>
      <c r="HU236" s="251"/>
      <c r="HX236" s="252"/>
      <c r="HY236" s="252"/>
      <c r="HZ236" s="252"/>
      <c r="ID236" s="252"/>
      <c r="IE236" s="252"/>
      <c r="IF236" s="252"/>
      <c r="IJ236" s="252"/>
      <c r="IK236" s="252"/>
      <c r="IL236" s="252"/>
      <c r="IP236" s="252"/>
      <c r="IQ236" s="252"/>
      <c r="IR236" s="252"/>
      <c r="IY236" s="66"/>
      <c r="IZ236" s="66"/>
      <c r="JA236" s="66"/>
      <c r="JB236" s="250"/>
      <c r="JC236" s="66"/>
      <c r="JD236" s="66"/>
      <c r="JE236" s="66"/>
      <c r="JF236" s="66"/>
      <c r="JG236" s="66"/>
      <c r="JH236" s="66"/>
      <c r="JI236" s="66"/>
      <c r="JJ236" s="66"/>
      <c r="JK236" s="8"/>
      <c r="JN236" s="252"/>
      <c r="JO236" s="252"/>
      <c r="JP236" s="252"/>
      <c r="JT236" s="252"/>
      <c r="JU236" s="252"/>
      <c r="JV236" s="252"/>
      <c r="JZ236" s="252"/>
      <c r="KA236" s="252"/>
      <c r="KB236" s="252"/>
      <c r="KF236" s="252"/>
      <c r="KG236" s="252"/>
      <c r="KH236" s="252"/>
      <c r="KO236" s="66"/>
      <c r="KP236" s="66"/>
      <c r="KQ236" s="66"/>
      <c r="KR236" s="66"/>
      <c r="KS236" s="66"/>
      <c r="KT236" s="66"/>
      <c r="KU236" s="66"/>
      <c r="KV236" s="66"/>
      <c r="KW236" s="66"/>
      <c r="KX236" s="66"/>
      <c r="KY236" s="66"/>
      <c r="KZ236" s="66"/>
      <c r="LA236" s="8"/>
      <c r="LD236" s="252"/>
      <c r="LE236" s="252"/>
      <c r="LF236" s="252"/>
      <c r="LJ236" s="252"/>
      <c r="LK236" s="252"/>
      <c r="LN236" s="252"/>
      <c r="LO236" s="252"/>
      <c r="LP236" s="252"/>
      <c r="LT236" s="271"/>
      <c r="LU236" s="250"/>
      <c r="LV236" s="250"/>
      <c r="LW236" s="250"/>
      <c r="LX236" s="250"/>
      <c r="LY236" s="250"/>
      <c r="LZ236" s="250"/>
      <c r="MA236" s="250"/>
      <c r="MB236" s="250"/>
      <c r="MC236" s="250"/>
      <c r="MD236" s="250"/>
      <c r="ME236" s="250"/>
      <c r="MF236" s="250"/>
      <c r="MG236" s="250"/>
      <c r="MH236" s="250"/>
      <c r="MI236" s="250"/>
      <c r="MJ236" s="250"/>
      <c r="MK236" s="424"/>
      <c r="ML236" s="640"/>
      <c r="MM236" s="251"/>
      <c r="MN236" s="252"/>
      <c r="MO236" s="252"/>
      <c r="MP236" s="252"/>
      <c r="MQ236" s="252"/>
      <c r="MR236" s="252"/>
      <c r="MS236" s="252"/>
      <c r="MT236" s="252"/>
      <c r="MU236" s="252"/>
      <c r="MV236" s="252"/>
      <c r="MW236" s="252"/>
      <c r="MX236" s="252"/>
      <c r="MY236" s="252"/>
      <c r="MZ236" s="252"/>
      <c r="NA236" s="252"/>
      <c r="NB236" s="252"/>
      <c r="NC236" s="251"/>
      <c r="ND236" s="250"/>
      <c r="NE236" s="250"/>
      <c r="NF236" s="250"/>
      <c r="NG236" s="250"/>
      <c r="NH236" s="250"/>
      <c r="NI236" s="250"/>
      <c r="NJ236" s="250"/>
      <c r="NK236" s="250"/>
      <c r="NL236" s="250"/>
      <c r="NM236" s="250"/>
      <c r="NN236" s="250"/>
      <c r="NO236" s="250"/>
      <c r="NP236" s="250"/>
      <c r="NQ236" s="250"/>
      <c r="NR236" s="250"/>
      <c r="NS236" s="250"/>
      <c r="NT236" s="250"/>
      <c r="NU236" s="250"/>
      <c r="NV236" s="250"/>
      <c r="NW236" s="251"/>
      <c r="OT236" s="8"/>
      <c r="QG236" s="8"/>
      <c r="RT236" s="8"/>
    </row>
    <row r="237" spans="1:488" s="282" customFormat="1" x14ac:dyDescent="0.25">
      <c r="A237" s="66"/>
      <c r="B237" s="8"/>
      <c r="C237" s="66"/>
      <c r="D237" s="66"/>
      <c r="E237" s="66"/>
      <c r="F237" s="66"/>
      <c r="G237" s="66"/>
      <c r="H237" s="66"/>
      <c r="I237" s="66"/>
      <c r="J237" s="66"/>
      <c r="K237" s="66"/>
      <c r="L237" s="66"/>
      <c r="M237" s="66"/>
      <c r="N237" s="66"/>
      <c r="O237" s="66"/>
      <c r="P237" s="66"/>
      <c r="Q237" s="66"/>
      <c r="R237" s="66"/>
      <c r="S237" s="66"/>
      <c r="T237" s="68"/>
      <c r="AC237" s="66"/>
      <c r="AD237" s="66"/>
      <c r="AE237" s="68"/>
      <c r="AN237" s="66"/>
      <c r="AO237" s="66"/>
      <c r="AP237" s="68"/>
      <c r="AW237" s="66"/>
      <c r="AX237" s="68"/>
      <c r="BD237" s="66"/>
      <c r="BE237" s="68"/>
      <c r="BF237" s="66"/>
      <c r="BG237" s="66"/>
      <c r="BH237" s="66"/>
      <c r="BI237" s="66"/>
      <c r="BJ237" s="66"/>
      <c r="BK237" s="66"/>
      <c r="BL237" s="68"/>
      <c r="BO237" s="66"/>
      <c r="BP237" s="68"/>
      <c r="BV237" s="66"/>
      <c r="BW237" s="68"/>
      <c r="CB237" s="8"/>
      <c r="CH237" s="8"/>
      <c r="CK237" s="299"/>
      <c r="CL237" s="299"/>
      <c r="CM237" s="66"/>
      <c r="CN237" s="66"/>
      <c r="CO237" s="68"/>
      <c r="CR237" s="8"/>
      <c r="CX237" s="66"/>
      <c r="CY237" s="532"/>
      <c r="DE237" s="66"/>
      <c r="DF237" s="66"/>
      <c r="DG237" s="68"/>
      <c r="DH237" s="68"/>
      <c r="DK237" s="66"/>
      <c r="DL237" s="66"/>
      <c r="DM237" s="66"/>
      <c r="DN237" s="66"/>
      <c r="DO237" s="66"/>
      <c r="DP237" s="66"/>
      <c r="DQ237" s="66"/>
      <c r="DR237" s="66"/>
      <c r="DS237" s="66"/>
      <c r="DT237" s="68"/>
      <c r="DU237" s="66"/>
      <c r="DV237" s="296"/>
      <c r="DW237" s="330"/>
      <c r="DX237" s="631"/>
      <c r="DY237" s="631"/>
      <c r="DZ237" s="631"/>
      <c r="EA237" s="330"/>
      <c r="EC237" s="66"/>
      <c r="ED237" s="68"/>
      <c r="EH237" s="66"/>
      <c r="EI237" s="66"/>
      <c r="EJ237" s="68"/>
      <c r="EK237" s="252"/>
      <c r="EL237" s="252"/>
      <c r="EM237" s="252"/>
      <c r="EO237" s="252"/>
      <c r="EP237" s="252"/>
      <c r="EQ237" s="252"/>
      <c r="ES237" s="252"/>
      <c r="ET237" s="252"/>
      <c r="EU237" s="252"/>
      <c r="EW237" s="252"/>
      <c r="EX237" s="252"/>
      <c r="EY237" s="252"/>
      <c r="FA237" s="250"/>
      <c r="FB237" s="250"/>
      <c r="FC237" s="250"/>
      <c r="FD237" s="250"/>
      <c r="FE237" s="250"/>
      <c r="FF237" s="250"/>
      <c r="FG237" s="250"/>
      <c r="FH237" s="424"/>
      <c r="FI237" s="250"/>
      <c r="FJ237" s="250"/>
      <c r="FK237" s="250"/>
      <c r="FL237" s="256"/>
      <c r="FM237" s="250"/>
      <c r="FN237" s="256"/>
      <c r="FO237" s="250"/>
      <c r="FP237" s="256"/>
      <c r="FQ237" s="250"/>
      <c r="FR237" s="256"/>
      <c r="FS237" s="250"/>
      <c r="FT237" s="256"/>
      <c r="FU237" s="256"/>
      <c r="FV237" s="256"/>
      <c r="FW237" s="250"/>
      <c r="FX237" s="424"/>
      <c r="FY237" s="251"/>
      <c r="GC237" s="252"/>
      <c r="GF237" s="252"/>
      <c r="GG237" s="252"/>
      <c r="GH237" s="252"/>
      <c r="GI237" s="252"/>
      <c r="GJ237" s="252"/>
      <c r="GK237" s="251"/>
      <c r="GL237" s="250"/>
      <c r="GM237" s="250"/>
      <c r="GN237" s="250"/>
      <c r="GO237" s="250"/>
      <c r="GP237" s="250"/>
      <c r="GQ237" s="250"/>
      <c r="GR237" s="250"/>
      <c r="GS237" s="250"/>
      <c r="GT237" s="250"/>
      <c r="GU237" s="251"/>
      <c r="GV237" s="250"/>
      <c r="GW237" s="250"/>
      <c r="GX237" s="250"/>
      <c r="GY237" s="250"/>
      <c r="GZ237" s="250"/>
      <c r="HA237" s="250"/>
      <c r="HB237" s="250"/>
      <c r="HC237" s="250"/>
      <c r="HD237" s="250"/>
      <c r="HE237" s="250"/>
      <c r="HF237" s="250"/>
      <c r="HG237" s="250"/>
      <c r="HH237" s="251"/>
      <c r="HI237" s="424"/>
      <c r="HJ237" s="255"/>
      <c r="HK237" s="255"/>
      <c r="HL237" s="250"/>
      <c r="HM237" s="255"/>
      <c r="HN237" s="255"/>
      <c r="HO237" s="255"/>
      <c r="HP237" s="250"/>
      <c r="HQ237" s="250"/>
      <c r="HR237" s="250"/>
      <c r="HS237" s="250"/>
      <c r="HT237" s="250"/>
      <c r="HU237" s="251"/>
      <c r="HX237" s="252"/>
      <c r="HY237" s="252"/>
      <c r="HZ237" s="252"/>
      <c r="ID237" s="252"/>
      <c r="IE237" s="252"/>
      <c r="IF237" s="252"/>
      <c r="IJ237" s="252"/>
      <c r="IK237" s="252"/>
      <c r="IL237" s="252"/>
      <c r="IP237" s="252"/>
      <c r="IQ237" s="252"/>
      <c r="IR237" s="252"/>
      <c r="IY237" s="66"/>
      <c r="IZ237" s="66"/>
      <c r="JA237" s="66"/>
      <c r="JB237" s="250"/>
      <c r="JC237" s="66"/>
      <c r="JD237" s="66"/>
      <c r="JE237" s="66"/>
      <c r="JF237" s="66"/>
      <c r="JG237" s="66"/>
      <c r="JH237" s="66"/>
      <c r="JI237" s="66"/>
      <c r="JJ237" s="66"/>
      <c r="JK237" s="8"/>
      <c r="JN237" s="252"/>
      <c r="JO237" s="252"/>
      <c r="JP237" s="252"/>
      <c r="JT237" s="252"/>
      <c r="JU237" s="252"/>
      <c r="JV237" s="252"/>
      <c r="JZ237" s="252"/>
      <c r="KA237" s="252"/>
      <c r="KB237" s="252"/>
      <c r="KF237" s="252"/>
      <c r="KG237" s="252"/>
      <c r="KH237" s="252"/>
      <c r="KO237" s="66"/>
      <c r="KP237" s="66"/>
      <c r="KQ237" s="66"/>
      <c r="KR237" s="66"/>
      <c r="KS237" s="66"/>
      <c r="KT237" s="66"/>
      <c r="KU237" s="66"/>
      <c r="KV237" s="66"/>
      <c r="KW237" s="66"/>
      <c r="KX237" s="66"/>
      <c r="KY237" s="66"/>
      <c r="KZ237" s="66"/>
      <c r="LA237" s="8"/>
      <c r="LD237" s="252"/>
      <c r="LE237" s="252"/>
      <c r="LF237" s="252"/>
      <c r="LJ237" s="252"/>
      <c r="LK237" s="252"/>
      <c r="LN237" s="252"/>
      <c r="LO237" s="252"/>
      <c r="LP237" s="252"/>
      <c r="LT237" s="271"/>
      <c r="LU237" s="250"/>
      <c r="LV237" s="250"/>
      <c r="LW237" s="250"/>
      <c r="LX237" s="250"/>
      <c r="LY237" s="250"/>
      <c r="LZ237" s="250"/>
      <c r="MA237" s="250"/>
      <c r="MB237" s="250"/>
      <c r="MC237" s="250"/>
      <c r="MD237" s="250"/>
      <c r="ME237" s="250"/>
      <c r="MF237" s="250"/>
      <c r="MG237" s="250"/>
      <c r="MH237" s="250"/>
      <c r="MI237" s="250"/>
      <c r="MJ237" s="250"/>
      <c r="MK237" s="424"/>
      <c r="ML237" s="640"/>
      <c r="MM237" s="251"/>
      <c r="MN237" s="252"/>
      <c r="MO237" s="252"/>
      <c r="MP237" s="252"/>
      <c r="MQ237" s="252"/>
      <c r="MR237" s="252"/>
      <c r="MS237" s="252"/>
      <c r="MT237" s="252"/>
      <c r="MU237" s="252"/>
      <c r="MV237" s="252"/>
      <c r="MW237" s="252"/>
      <c r="MX237" s="252"/>
      <c r="MY237" s="252"/>
      <c r="MZ237" s="252"/>
      <c r="NA237" s="252"/>
      <c r="NB237" s="252"/>
      <c r="NC237" s="251"/>
      <c r="ND237" s="250"/>
      <c r="NE237" s="250"/>
      <c r="NF237" s="250"/>
      <c r="NG237" s="250"/>
      <c r="NH237" s="250"/>
      <c r="NI237" s="250"/>
      <c r="NJ237" s="250"/>
      <c r="NK237" s="250"/>
      <c r="NL237" s="250"/>
      <c r="NM237" s="250"/>
      <c r="NN237" s="250"/>
      <c r="NO237" s="250"/>
      <c r="NP237" s="250"/>
      <c r="NQ237" s="250"/>
      <c r="NR237" s="250"/>
      <c r="NS237" s="250"/>
      <c r="NT237" s="250"/>
      <c r="NU237" s="250"/>
      <c r="NV237" s="250"/>
      <c r="NW237" s="251"/>
      <c r="OT237" s="8"/>
      <c r="QG237" s="8"/>
      <c r="RT237" s="8"/>
    </row>
    <row r="238" spans="1:488" s="282" customFormat="1" x14ac:dyDescent="0.25">
      <c r="A238" s="66"/>
      <c r="B238" s="8"/>
      <c r="C238" s="66"/>
      <c r="D238" s="66"/>
      <c r="E238" s="66"/>
      <c r="F238" s="66"/>
      <c r="G238" s="66"/>
      <c r="H238" s="66"/>
      <c r="I238" s="66"/>
      <c r="J238" s="66"/>
      <c r="K238" s="66"/>
      <c r="L238" s="66"/>
      <c r="M238" s="66"/>
      <c r="N238" s="66"/>
      <c r="O238" s="66"/>
      <c r="P238" s="66"/>
      <c r="Q238" s="66"/>
      <c r="R238" s="66"/>
      <c r="S238" s="66"/>
      <c r="T238" s="68"/>
      <c r="AC238" s="66"/>
      <c r="AD238" s="66"/>
      <c r="AE238" s="68"/>
      <c r="AN238" s="66"/>
      <c r="AO238" s="66"/>
      <c r="AP238" s="68"/>
      <c r="AW238" s="66"/>
      <c r="AX238" s="68"/>
      <c r="BD238" s="66"/>
      <c r="BE238" s="68"/>
      <c r="BF238" s="66"/>
      <c r="BG238" s="66"/>
      <c r="BH238" s="66"/>
      <c r="BI238" s="66"/>
      <c r="BJ238" s="66"/>
      <c r="BK238" s="66"/>
      <c r="BL238" s="68"/>
      <c r="BO238" s="66"/>
      <c r="BP238" s="68"/>
      <c r="BV238" s="66"/>
      <c r="BW238" s="68"/>
      <c r="CB238" s="8"/>
      <c r="CH238" s="8"/>
      <c r="CK238" s="299"/>
      <c r="CL238" s="299"/>
      <c r="CM238" s="66"/>
      <c r="CN238" s="66"/>
      <c r="CO238" s="68"/>
      <c r="CR238" s="8"/>
      <c r="CX238" s="66"/>
      <c r="CY238" s="532"/>
      <c r="DE238" s="66"/>
      <c r="DF238" s="66"/>
      <c r="DG238" s="68"/>
      <c r="DH238" s="68"/>
      <c r="DK238" s="66"/>
      <c r="DL238" s="66"/>
      <c r="DM238" s="66"/>
      <c r="DN238" s="66"/>
      <c r="DO238" s="66"/>
      <c r="DP238" s="66"/>
      <c r="DQ238" s="66"/>
      <c r="DR238" s="66"/>
      <c r="DS238" s="66"/>
      <c r="DT238" s="68"/>
      <c r="DU238" s="66"/>
      <c r="DV238" s="296"/>
      <c r="DW238" s="330"/>
      <c r="DX238" s="631"/>
      <c r="DY238" s="631"/>
      <c r="DZ238" s="631"/>
      <c r="EA238" s="330"/>
      <c r="EC238" s="66"/>
      <c r="ED238" s="68"/>
      <c r="EH238" s="66"/>
      <c r="EI238" s="66"/>
      <c r="EJ238" s="68"/>
      <c r="EK238" s="252"/>
      <c r="EL238" s="252"/>
      <c r="EM238" s="252"/>
      <c r="EO238" s="252"/>
      <c r="EP238" s="252"/>
      <c r="EQ238" s="252"/>
      <c r="ES238" s="252"/>
      <c r="ET238" s="252"/>
      <c r="EU238" s="252"/>
      <c r="EW238" s="252"/>
      <c r="EX238" s="252"/>
      <c r="EY238" s="252"/>
      <c r="FA238" s="250"/>
      <c r="FB238" s="250"/>
      <c r="FC238" s="250"/>
      <c r="FD238" s="250"/>
      <c r="FE238" s="250"/>
      <c r="FF238" s="250"/>
      <c r="FG238" s="250"/>
      <c r="FH238" s="424"/>
      <c r="FI238" s="250"/>
      <c r="FJ238" s="250"/>
      <c r="FK238" s="250"/>
      <c r="FL238" s="256"/>
      <c r="FM238" s="250"/>
      <c r="FN238" s="256"/>
      <c r="FO238" s="250"/>
      <c r="FP238" s="256"/>
      <c r="FQ238" s="250"/>
      <c r="FR238" s="256"/>
      <c r="FS238" s="250"/>
      <c r="FT238" s="256"/>
      <c r="FU238" s="256"/>
      <c r="FV238" s="256"/>
      <c r="FW238" s="250"/>
      <c r="FX238" s="424"/>
      <c r="FY238" s="251"/>
      <c r="GC238" s="252"/>
      <c r="GF238" s="252"/>
      <c r="GG238" s="252"/>
      <c r="GH238" s="252"/>
      <c r="GI238" s="252"/>
      <c r="GJ238" s="252"/>
      <c r="GK238" s="251"/>
      <c r="GL238" s="250"/>
      <c r="GM238" s="250"/>
      <c r="GN238" s="250"/>
      <c r="GO238" s="250"/>
      <c r="GP238" s="250"/>
      <c r="GQ238" s="250"/>
      <c r="GR238" s="250"/>
      <c r="GS238" s="250"/>
      <c r="GT238" s="250"/>
      <c r="GU238" s="251"/>
      <c r="GV238" s="250"/>
      <c r="GW238" s="250"/>
      <c r="GX238" s="250"/>
      <c r="GY238" s="250"/>
      <c r="GZ238" s="250"/>
      <c r="HA238" s="250"/>
      <c r="HB238" s="250"/>
      <c r="HC238" s="250"/>
      <c r="HD238" s="250"/>
      <c r="HE238" s="250"/>
      <c r="HF238" s="250"/>
      <c r="HG238" s="250"/>
      <c r="HH238" s="251"/>
      <c r="HI238" s="424"/>
      <c r="HJ238" s="255"/>
      <c r="HK238" s="255"/>
      <c r="HL238" s="250"/>
      <c r="HM238" s="255"/>
      <c r="HN238" s="255"/>
      <c r="HO238" s="255"/>
      <c r="HP238" s="250"/>
      <c r="HQ238" s="250"/>
      <c r="HR238" s="250"/>
      <c r="HS238" s="250"/>
      <c r="HT238" s="250"/>
      <c r="HU238" s="251"/>
      <c r="HX238" s="252"/>
      <c r="HY238" s="252"/>
      <c r="HZ238" s="252"/>
      <c r="ID238" s="252"/>
      <c r="IE238" s="252"/>
      <c r="IF238" s="252"/>
      <c r="IJ238" s="252"/>
      <c r="IK238" s="252"/>
      <c r="IL238" s="252"/>
      <c r="IP238" s="252"/>
      <c r="IQ238" s="252"/>
      <c r="IR238" s="252"/>
      <c r="IY238" s="66"/>
      <c r="IZ238" s="66"/>
      <c r="JA238" s="66"/>
      <c r="JB238" s="250"/>
      <c r="JC238" s="66"/>
      <c r="JD238" s="66"/>
      <c r="JE238" s="66"/>
      <c r="JF238" s="66"/>
      <c r="JG238" s="66"/>
      <c r="JH238" s="66"/>
      <c r="JI238" s="66"/>
      <c r="JJ238" s="66"/>
      <c r="JK238" s="8"/>
      <c r="JN238" s="252"/>
      <c r="JO238" s="252"/>
      <c r="JP238" s="252"/>
      <c r="JT238" s="252"/>
      <c r="JU238" s="252"/>
      <c r="JV238" s="252"/>
      <c r="JZ238" s="252"/>
      <c r="KA238" s="252"/>
      <c r="KB238" s="252"/>
      <c r="KF238" s="252"/>
      <c r="KG238" s="252"/>
      <c r="KH238" s="252"/>
      <c r="KO238" s="66"/>
      <c r="KP238" s="66"/>
      <c r="KQ238" s="66"/>
      <c r="KR238" s="66"/>
      <c r="KS238" s="66"/>
      <c r="KT238" s="66"/>
      <c r="KU238" s="66"/>
      <c r="KV238" s="66"/>
      <c r="KW238" s="66"/>
      <c r="KX238" s="66"/>
      <c r="KY238" s="66"/>
      <c r="KZ238" s="66"/>
      <c r="LA238" s="8"/>
      <c r="LD238" s="252"/>
      <c r="LE238" s="252"/>
      <c r="LF238" s="252"/>
      <c r="LJ238" s="252"/>
      <c r="LK238" s="252"/>
      <c r="LN238" s="252"/>
      <c r="LO238" s="252"/>
      <c r="LP238" s="252"/>
      <c r="LT238" s="271"/>
      <c r="LU238" s="250"/>
      <c r="LV238" s="250"/>
      <c r="LW238" s="250"/>
      <c r="LX238" s="250"/>
      <c r="LY238" s="250"/>
      <c r="LZ238" s="250"/>
      <c r="MA238" s="250"/>
      <c r="MB238" s="250"/>
      <c r="MC238" s="250"/>
      <c r="MD238" s="250"/>
      <c r="ME238" s="250"/>
      <c r="MF238" s="250"/>
      <c r="MG238" s="250"/>
      <c r="MH238" s="250"/>
      <c r="MI238" s="250"/>
      <c r="MJ238" s="250"/>
      <c r="MK238" s="424"/>
      <c r="ML238" s="640"/>
      <c r="MM238" s="251"/>
      <c r="MN238" s="252"/>
      <c r="MO238" s="252"/>
      <c r="MP238" s="252"/>
      <c r="MQ238" s="252"/>
      <c r="MR238" s="252"/>
      <c r="MS238" s="252"/>
      <c r="MT238" s="252"/>
      <c r="MU238" s="252"/>
      <c r="MV238" s="252"/>
      <c r="MW238" s="252"/>
      <c r="MX238" s="252"/>
      <c r="MY238" s="252"/>
      <c r="MZ238" s="252"/>
      <c r="NA238" s="252"/>
      <c r="NB238" s="252"/>
      <c r="NC238" s="251"/>
      <c r="ND238" s="250"/>
      <c r="NE238" s="250"/>
      <c r="NF238" s="250"/>
      <c r="NG238" s="250"/>
      <c r="NH238" s="250"/>
      <c r="NI238" s="250"/>
      <c r="NJ238" s="250"/>
      <c r="NK238" s="250"/>
      <c r="NL238" s="250"/>
      <c r="NM238" s="250"/>
      <c r="NN238" s="250"/>
      <c r="NO238" s="250"/>
      <c r="NP238" s="250"/>
      <c r="NQ238" s="250"/>
      <c r="NR238" s="250"/>
      <c r="NS238" s="250"/>
      <c r="NT238" s="250"/>
      <c r="NU238" s="250"/>
      <c r="NV238" s="250"/>
      <c r="NW238" s="251"/>
      <c r="OT238" s="8"/>
      <c r="QG238" s="8"/>
      <c r="RT238" s="8"/>
    </row>
    <row r="239" spans="1:488" s="282" customFormat="1" x14ac:dyDescent="0.25">
      <c r="A239" s="66"/>
      <c r="B239" s="8"/>
      <c r="C239" s="66"/>
      <c r="D239" s="66"/>
      <c r="E239" s="66"/>
      <c r="F239" s="66"/>
      <c r="G239" s="66"/>
      <c r="H239" s="66"/>
      <c r="I239" s="66"/>
      <c r="J239" s="66"/>
      <c r="K239" s="66"/>
      <c r="L239" s="66"/>
      <c r="M239" s="66"/>
      <c r="N239" s="66"/>
      <c r="O239" s="66"/>
      <c r="P239" s="66"/>
      <c r="Q239" s="66"/>
      <c r="R239" s="66"/>
      <c r="S239" s="66"/>
      <c r="T239" s="68"/>
      <c r="AC239" s="66"/>
      <c r="AD239" s="66"/>
      <c r="AE239" s="68"/>
      <c r="AN239" s="66"/>
      <c r="AO239" s="66"/>
      <c r="AP239" s="68"/>
      <c r="AW239" s="66"/>
      <c r="AX239" s="68"/>
      <c r="BD239" s="66"/>
      <c r="BE239" s="68"/>
      <c r="BF239" s="66"/>
      <c r="BG239" s="66"/>
      <c r="BH239" s="66"/>
      <c r="BI239" s="66"/>
      <c r="BJ239" s="66"/>
      <c r="BK239" s="66"/>
      <c r="BL239" s="68"/>
      <c r="BO239" s="66"/>
      <c r="BP239" s="68"/>
      <c r="BV239" s="66"/>
      <c r="BW239" s="68"/>
      <c r="CB239" s="8"/>
      <c r="CH239" s="8"/>
      <c r="CK239" s="299"/>
      <c r="CL239" s="299"/>
      <c r="CM239" s="66"/>
      <c r="CN239" s="66"/>
      <c r="CO239" s="68"/>
      <c r="CR239" s="8"/>
      <c r="CX239" s="66"/>
      <c r="CY239" s="532"/>
      <c r="DE239" s="66"/>
      <c r="DF239" s="66"/>
      <c r="DG239" s="68"/>
      <c r="DH239" s="68"/>
      <c r="DK239" s="66"/>
      <c r="DL239" s="66"/>
      <c r="DM239" s="66"/>
      <c r="DN239" s="66"/>
      <c r="DO239" s="66"/>
      <c r="DP239" s="66"/>
      <c r="DQ239" s="66"/>
      <c r="DR239" s="66"/>
      <c r="DS239" s="66"/>
      <c r="DT239" s="68"/>
      <c r="DU239" s="66"/>
      <c r="DV239" s="296"/>
      <c r="DW239" s="330"/>
      <c r="DX239" s="631"/>
      <c r="DY239" s="631"/>
      <c r="DZ239" s="631"/>
      <c r="EA239" s="330"/>
      <c r="EC239" s="66"/>
      <c r="ED239" s="68"/>
      <c r="EH239" s="66"/>
      <c r="EI239" s="66"/>
      <c r="EJ239" s="68"/>
      <c r="EK239" s="252"/>
      <c r="EL239" s="252"/>
      <c r="EM239" s="252"/>
      <c r="EO239" s="252"/>
      <c r="EP239" s="252"/>
      <c r="EQ239" s="252"/>
      <c r="ES239" s="252"/>
      <c r="ET239" s="252"/>
      <c r="EU239" s="252"/>
      <c r="EW239" s="252"/>
      <c r="EX239" s="252"/>
      <c r="EY239" s="252"/>
      <c r="FA239" s="250"/>
      <c r="FB239" s="250"/>
      <c r="FC239" s="250"/>
      <c r="FD239" s="250"/>
      <c r="FE239" s="250"/>
      <c r="FF239" s="250"/>
      <c r="FG239" s="250"/>
      <c r="FH239" s="424"/>
      <c r="FI239" s="250"/>
      <c r="FJ239" s="250"/>
      <c r="FK239" s="250"/>
      <c r="FL239" s="256"/>
      <c r="FM239" s="250"/>
      <c r="FN239" s="256"/>
      <c r="FO239" s="250"/>
      <c r="FP239" s="256"/>
      <c r="FQ239" s="250"/>
      <c r="FR239" s="256"/>
      <c r="FS239" s="250"/>
      <c r="FT239" s="256"/>
      <c r="FU239" s="256"/>
      <c r="FV239" s="256"/>
      <c r="FW239" s="250"/>
      <c r="FX239" s="424"/>
      <c r="FY239" s="251"/>
      <c r="GC239" s="252"/>
      <c r="GF239" s="252"/>
      <c r="GG239" s="252"/>
      <c r="GH239" s="252"/>
      <c r="GI239" s="252"/>
      <c r="GJ239" s="252"/>
      <c r="GK239" s="251"/>
      <c r="GL239" s="250"/>
      <c r="GM239" s="250"/>
      <c r="GN239" s="250"/>
      <c r="GO239" s="250"/>
      <c r="GP239" s="250"/>
      <c r="GQ239" s="250"/>
      <c r="GR239" s="250"/>
      <c r="GS239" s="250"/>
      <c r="GT239" s="250"/>
      <c r="GU239" s="251"/>
      <c r="GV239" s="250"/>
      <c r="GW239" s="250"/>
      <c r="GX239" s="250"/>
      <c r="GY239" s="250"/>
      <c r="GZ239" s="250"/>
      <c r="HA239" s="250"/>
      <c r="HB239" s="250"/>
      <c r="HC239" s="250"/>
      <c r="HD239" s="250"/>
      <c r="HE239" s="250"/>
      <c r="HF239" s="250"/>
      <c r="HG239" s="250"/>
      <c r="HH239" s="251"/>
      <c r="HI239" s="424"/>
      <c r="HJ239" s="255"/>
      <c r="HK239" s="255"/>
      <c r="HL239" s="250"/>
      <c r="HM239" s="255"/>
      <c r="HN239" s="255"/>
      <c r="HO239" s="255"/>
      <c r="HP239" s="250"/>
      <c r="HQ239" s="250"/>
      <c r="HR239" s="250"/>
      <c r="HS239" s="250"/>
      <c r="HT239" s="250"/>
      <c r="HU239" s="251"/>
      <c r="HX239" s="252"/>
      <c r="HY239" s="252"/>
      <c r="HZ239" s="252"/>
      <c r="ID239" s="252"/>
      <c r="IE239" s="252"/>
      <c r="IF239" s="252"/>
      <c r="IJ239" s="252"/>
      <c r="IK239" s="252"/>
      <c r="IL239" s="252"/>
      <c r="IP239" s="252"/>
      <c r="IQ239" s="252"/>
      <c r="IR239" s="252"/>
      <c r="IY239" s="66"/>
      <c r="IZ239" s="66"/>
      <c r="JA239" s="66"/>
      <c r="JB239" s="250"/>
      <c r="JC239" s="66"/>
      <c r="JD239" s="66"/>
      <c r="JE239" s="66"/>
      <c r="JF239" s="66"/>
      <c r="JG239" s="66"/>
      <c r="JH239" s="66"/>
      <c r="JI239" s="66"/>
      <c r="JJ239" s="66"/>
      <c r="JK239" s="8"/>
      <c r="JN239" s="252"/>
      <c r="JO239" s="252"/>
      <c r="JP239" s="252"/>
      <c r="JT239" s="252"/>
      <c r="JU239" s="252"/>
      <c r="JV239" s="252"/>
      <c r="JZ239" s="252"/>
      <c r="KA239" s="252"/>
      <c r="KB239" s="252"/>
      <c r="KF239" s="252"/>
      <c r="KG239" s="252"/>
      <c r="KH239" s="252"/>
      <c r="KO239" s="66"/>
      <c r="KP239" s="66"/>
      <c r="KQ239" s="66"/>
      <c r="KR239" s="66"/>
      <c r="KS239" s="66"/>
      <c r="KT239" s="66"/>
      <c r="KU239" s="66"/>
      <c r="KV239" s="66"/>
      <c r="KW239" s="66"/>
      <c r="KX239" s="66"/>
      <c r="KY239" s="66"/>
      <c r="KZ239" s="66"/>
      <c r="LA239" s="8"/>
      <c r="LD239" s="252"/>
      <c r="LE239" s="252"/>
      <c r="LF239" s="252"/>
      <c r="LJ239" s="252"/>
      <c r="LK239" s="252"/>
      <c r="LN239" s="252"/>
      <c r="LO239" s="252"/>
      <c r="LP239" s="252"/>
      <c r="LT239" s="271"/>
      <c r="LU239" s="250"/>
      <c r="LV239" s="250"/>
      <c r="LW239" s="250"/>
      <c r="LX239" s="250"/>
      <c r="LY239" s="250"/>
      <c r="LZ239" s="250"/>
      <c r="MA239" s="250"/>
      <c r="MB239" s="250"/>
      <c r="MC239" s="250"/>
      <c r="MD239" s="250"/>
      <c r="ME239" s="250"/>
      <c r="MF239" s="250"/>
      <c r="MG239" s="250"/>
      <c r="MH239" s="250"/>
      <c r="MI239" s="250"/>
      <c r="MJ239" s="250"/>
      <c r="MK239" s="424"/>
      <c r="ML239" s="640"/>
      <c r="MM239" s="251"/>
      <c r="MN239" s="252"/>
      <c r="MO239" s="252"/>
      <c r="MP239" s="252"/>
      <c r="MQ239" s="252"/>
      <c r="MR239" s="252"/>
      <c r="MS239" s="252"/>
      <c r="MT239" s="252"/>
      <c r="MU239" s="252"/>
      <c r="MV239" s="252"/>
      <c r="MW239" s="252"/>
      <c r="MX239" s="252"/>
      <c r="MY239" s="252"/>
      <c r="MZ239" s="252"/>
      <c r="NA239" s="252"/>
      <c r="NB239" s="252"/>
      <c r="NC239" s="251"/>
      <c r="ND239" s="250"/>
      <c r="NE239" s="250"/>
      <c r="NF239" s="250"/>
      <c r="NG239" s="250"/>
      <c r="NH239" s="250"/>
      <c r="NI239" s="250"/>
      <c r="NJ239" s="250"/>
      <c r="NK239" s="250"/>
      <c r="NL239" s="250"/>
      <c r="NM239" s="250"/>
      <c r="NN239" s="250"/>
      <c r="NO239" s="250"/>
      <c r="NP239" s="250"/>
      <c r="NQ239" s="250"/>
      <c r="NR239" s="250"/>
      <c r="NS239" s="250"/>
      <c r="NT239" s="250"/>
      <c r="NU239" s="250"/>
      <c r="NV239" s="250"/>
      <c r="NW239" s="251"/>
      <c r="OT239" s="8"/>
      <c r="QG239" s="8"/>
      <c r="RT239" s="8"/>
    </row>
    <row r="240" spans="1:488" s="282" customFormat="1" x14ac:dyDescent="0.25">
      <c r="A240" s="66"/>
      <c r="B240" s="8"/>
      <c r="C240" s="66"/>
      <c r="D240" s="66"/>
      <c r="E240" s="66"/>
      <c r="F240" s="66"/>
      <c r="G240" s="66"/>
      <c r="H240" s="66"/>
      <c r="I240" s="66"/>
      <c r="J240" s="66"/>
      <c r="K240" s="66"/>
      <c r="L240" s="66"/>
      <c r="M240" s="66"/>
      <c r="N240" s="66"/>
      <c r="O240" s="66"/>
      <c r="P240" s="66"/>
      <c r="Q240" s="66"/>
      <c r="R240" s="66"/>
      <c r="S240" s="66"/>
      <c r="T240" s="68"/>
      <c r="AC240" s="66"/>
      <c r="AD240" s="66"/>
      <c r="AE240" s="68"/>
      <c r="AN240" s="66"/>
      <c r="AO240" s="66"/>
      <c r="AP240" s="68"/>
      <c r="AW240" s="66"/>
      <c r="AX240" s="68"/>
      <c r="BD240" s="66"/>
      <c r="BE240" s="68"/>
      <c r="BF240" s="66"/>
      <c r="BG240" s="66"/>
      <c r="BH240" s="66"/>
      <c r="BI240" s="66"/>
      <c r="BJ240" s="66"/>
      <c r="BK240" s="66"/>
      <c r="BL240" s="68"/>
      <c r="BO240" s="66"/>
      <c r="BP240" s="68"/>
      <c r="BV240" s="66"/>
      <c r="BW240" s="68"/>
      <c r="CB240" s="8"/>
      <c r="CH240" s="8"/>
      <c r="CK240" s="299"/>
      <c r="CL240" s="299"/>
      <c r="CM240" s="66"/>
      <c r="CN240" s="66"/>
      <c r="CO240" s="68"/>
      <c r="CR240" s="8"/>
      <c r="CX240" s="66"/>
      <c r="CY240" s="532"/>
      <c r="DE240" s="66"/>
      <c r="DF240" s="66"/>
      <c r="DG240" s="68"/>
      <c r="DH240" s="68"/>
      <c r="DK240" s="66"/>
      <c r="DL240" s="66"/>
      <c r="DM240" s="66"/>
      <c r="DN240" s="66"/>
      <c r="DO240" s="66"/>
      <c r="DP240" s="66"/>
      <c r="DQ240" s="66"/>
      <c r="DR240" s="66"/>
      <c r="DS240" s="66"/>
      <c r="DT240" s="68"/>
      <c r="DU240" s="66"/>
      <c r="DV240" s="296"/>
      <c r="DW240" s="330"/>
      <c r="DX240" s="631"/>
      <c r="DY240" s="631"/>
      <c r="DZ240" s="631"/>
      <c r="EA240" s="330"/>
      <c r="EC240" s="66"/>
      <c r="ED240" s="68"/>
      <c r="EH240" s="66"/>
      <c r="EI240" s="66"/>
      <c r="EJ240" s="68"/>
      <c r="EK240" s="252"/>
      <c r="EL240" s="252"/>
      <c r="EM240" s="252"/>
      <c r="EO240" s="252"/>
      <c r="EP240" s="252"/>
      <c r="EQ240" s="252"/>
      <c r="ES240" s="252"/>
      <c r="ET240" s="252"/>
      <c r="EU240" s="252"/>
      <c r="EW240" s="252"/>
      <c r="EX240" s="252"/>
      <c r="EY240" s="252"/>
      <c r="FA240" s="250"/>
      <c r="FB240" s="250"/>
      <c r="FC240" s="250"/>
      <c r="FD240" s="250"/>
      <c r="FE240" s="250"/>
      <c r="FF240" s="250"/>
      <c r="FG240" s="250"/>
      <c r="FH240" s="424"/>
      <c r="FI240" s="250"/>
      <c r="FJ240" s="250"/>
      <c r="FK240" s="250"/>
      <c r="FL240" s="256"/>
      <c r="FM240" s="250"/>
      <c r="FN240" s="256"/>
      <c r="FO240" s="250"/>
      <c r="FP240" s="256"/>
      <c r="FQ240" s="250"/>
      <c r="FR240" s="256"/>
      <c r="FS240" s="250"/>
      <c r="FT240" s="256"/>
      <c r="FU240" s="256"/>
      <c r="FV240" s="256"/>
      <c r="FW240" s="250"/>
      <c r="FX240" s="424"/>
      <c r="FY240" s="251"/>
      <c r="GC240" s="252"/>
      <c r="GF240" s="252"/>
      <c r="GG240" s="252"/>
      <c r="GH240" s="252"/>
      <c r="GI240" s="252"/>
      <c r="GJ240" s="252"/>
      <c r="GK240" s="251"/>
      <c r="GL240" s="250"/>
      <c r="GM240" s="250"/>
      <c r="GN240" s="250"/>
      <c r="GO240" s="250"/>
      <c r="GP240" s="250"/>
      <c r="GQ240" s="250"/>
      <c r="GR240" s="250"/>
      <c r="GS240" s="250"/>
      <c r="GT240" s="250"/>
      <c r="GU240" s="251"/>
      <c r="GV240" s="250"/>
      <c r="GW240" s="250"/>
      <c r="GX240" s="250"/>
      <c r="GY240" s="250"/>
      <c r="GZ240" s="250"/>
      <c r="HA240" s="250"/>
      <c r="HB240" s="250"/>
      <c r="HC240" s="250"/>
      <c r="HD240" s="250"/>
      <c r="HE240" s="250"/>
      <c r="HF240" s="250"/>
      <c r="HG240" s="250"/>
      <c r="HH240" s="251"/>
      <c r="HI240" s="424"/>
      <c r="HJ240" s="255"/>
      <c r="HK240" s="255"/>
      <c r="HL240" s="250"/>
      <c r="HM240" s="255"/>
      <c r="HN240" s="255"/>
      <c r="HO240" s="255"/>
      <c r="HP240" s="250"/>
      <c r="HQ240" s="250"/>
      <c r="HR240" s="250"/>
      <c r="HS240" s="250"/>
      <c r="HT240" s="250"/>
      <c r="HU240" s="251"/>
      <c r="HX240" s="252"/>
      <c r="HY240" s="252"/>
      <c r="HZ240" s="252"/>
      <c r="ID240" s="252"/>
      <c r="IE240" s="252"/>
      <c r="IF240" s="252"/>
      <c r="IJ240" s="252"/>
      <c r="IK240" s="252"/>
      <c r="IL240" s="252"/>
      <c r="IP240" s="252"/>
      <c r="IQ240" s="252"/>
      <c r="IR240" s="252"/>
      <c r="IY240" s="66"/>
      <c r="IZ240" s="66"/>
      <c r="JA240" s="66"/>
      <c r="JB240" s="250"/>
      <c r="JC240" s="66"/>
      <c r="JD240" s="66"/>
      <c r="JE240" s="66"/>
      <c r="JF240" s="66"/>
      <c r="JG240" s="66"/>
      <c r="JH240" s="66"/>
      <c r="JI240" s="66"/>
      <c r="JJ240" s="66"/>
      <c r="JK240" s="8"/>
      <c r="JN240" s="252"/>
      <c r="JO240" s="252"/>
      <c r="JP240" s="252"/>
      <c r="JT240" s="252"/>
      <c r="JU240" s="252"/>
      <c r="JV240" s="252"/>
      <c r="JZ240" s="252"/>
      <c r="KA240" s="252"/>
      <c r="KB240" s="252"/>
      <c r="KF240" s="252"/>
      <c r="KG240" s="252"/>
      <c r="KH240" s="252"/>
      <c r="KO240" s="66"/>
      <c r="KP240" s="66"/>
      <c r="KQ240" s="66"/>
      <c r="KR240" s="66"/>
      <c r="KS240" s="66"/>
      <c r="KT240" s="66"/>
      <c r="KU240" s="66"/>
      <c r="KV240" s="66"/>
      <c r="KW240" s="66"/>
      <c r="KX240" s="66"/>
      <c r="KY240" s="66"/>
      <c r="KZ240" s="66"/>
      <c r="LA240" s="8"/>
      <c r="LD240" s="252"/>
      <c r="LE240" s="252"/>
      <c r="LF240" s="252"/>
      <c r="LJ240" s="252"/>
      <c r="LK240" s="252"/>
      <c r="LN240" s="252"/>
      <c r="LO240" s="252"/>
      <c r="LP240" s="252"/>
      <c r="LT240" s="271"/>
      <c r="LU240" s="250"/>
      <c r="LV240" s="250"/>
      <c r="LW240" s="250"/>
      <c r="LX240" s="250"/>
      <c r="LY240" s="250"/>
      <c r="LZ240" s="250"/>
      <c r="MA240" s="250"/>
      <c r="MB240" s="250"/>
      <c r="MC240" s="250"/>
      <c r="MD240" s="250"/>
      <c r="ME240" s="250"/>
      <c r="MF240" s="250"/>
      <c r="MG240" s="250"/>
      <c r="MH240" s="250"/>
      <c r="MI240" s="250"/>
      <c r="MJ240" s="250"/>
      <c r="MK240" s="424"/>
      <c r="ML240" s="640"/>
      <c r="MM240" s="251"/>
      <c r="MN240" s="252"/>
      <c r="MO240" s="252"/>
      <c r="MP240" s="252"/>
      <c r="MQ240" s="252"/>
      <c r="MR240" s="252"/>
      <c r="MS240" s="252"/>
      <c r="MT240" s="252"/>
      <c r="MU240" s="252"/>
      <c r="MV240" s="252"/>
      <c r="MW240" s="252"/>
      <c r="MX240" s="252"/>
      <c r="MY240" s="252"/>
      <c r="MZ240" s="252"/>
      <c r="NA240" s="252"/>
      <c r="NB240" s="252"/>
      <c r="NC240" s="251"/>
      <c r="ND240" s="250"/>
      <c r="NE240" s="250"/>
      <c r="NF240" s="250"/>
      <c r="NG240" s="250"/>
      <c r="NH240" s="250"/>
      <c r="NI240" s="250"/>
      <c r="NJ240" s="250"/>
      <c r="NK240" s="250"/>
      <c r="NL240" s="250"/>
      <c r="NM240" s="250"/>
      <c r="NN240" s="250"/>
      <c r="NO240" s="250"/>
      <c r="NP240" s="250"/>
      <c r="NQ240" s="250"/>
      <c r="NR240" s="250"/>
      <c r="NS240" s="250"/>
      <c r="NT240" s="250"/>
      <c r="NU240" s="250"/>
      <c r="NV240" s="250"/>
      <c r="NW240" s="251"/>
      <c r="OT240" s="8"/>
      <c r="QG240" s="8"/>
      <c r="RT240" s="8"/>
    </row>
    <row r="241" spans="1:488" s="282" customFormat="1" x14ac:dyDescent="0.25">
      <c r="A241" s="66"/>
      <c r="B241" s="8"/>
      <c r="C241" s="66"/>
      <c r="D241" s="66"/>
      <c r="E241" s="66"/>
      <c r="F241" s="66"/>
      <c r="G241" s="66"/>
      <c r="H241" s="66"/>
      <c r="I241" s="66"/>
      <c r="J241" s="66"/>
      <c r="K241" s="66"/>
      <c r="L241" s="66"/>
      <c r="M241" s="66"/>
      <c r="N241" s="66"/>
      <c r="O241" s="66"/>
      <c r="P241" s="66"/>
      <c r="Q241" s="66"/>
      <c r="R241" s="66"/>
      <c r="S241" s="66"/>
      <c r="T241" s="68"/>
      <c r="AC241" s="66"/>
      <c r="AD241" s="66"/>
      <c r="AE241" s="68"/>
      <c r="AN241" s="66"/>
      <c r="AO241" s="66"/>
      <c r="AP241" s="68"/>
      <c r="AW241" s="66"/>
      <c r="AX241" s="68"/>
      <c r="BD241" s="66"/>
      <c r="BE241" s="68"/>
      <c r="BF241" s="66"/>
      <c r="BG241" s="66"/>
      <c r="BH241" s="66"/>
      <c r="BI241" s="66"/>
      <c r="BJ241" s="66"/>
      <c r="BK241" s="66"/>
      <c r="BL241" s="68"/>
      <c r="BO241" s="66"/>
      <c r="BP241" s="68"/>
      <c r="BV241" s="66"/>
      <c r="BW241" s="68"/>
      <c r="CB241" s="8"/>
      <c r="CH241" s="8"/>
      <c r="CK241" s="299"/>
      <c r="CL241" s="299"/>
      <c r="CM241" s="66"/>
      <c r="CN241" s="66"/>
      <c r="CO241" s="68"/>
      <c r="CR241" s="8"/>
      <c r="CX241" s="66"/>
      <c r="CY241" s="532"/>
      <c r="DE241" s="66"/>
      <c r="DF241" s="66"/>
      <c r="DG241" s="68"/>
      <c r="DH241" s="68"/>
      <c r="DK241" s="66"/>
      <c r="DL241" s="66"/>
      <c r="DM241" s="66"/>
      <c r="DN241" s="66"/>
      <c r="DO241" s="66"/>
      <c r="DP241" s="66"/>
      <c r="DQ241" s="66"/>
      <c r="DR241" s="66"/>
      <c r="DS241" s="66"/>
      <c r="DT241" s="68"/>
      <c r="DU241" s="66"/>
      <c r="DV241" s="296"/>
      <c r="DW241" s="330"/>
      <c r="DX241" s="631"/>
      <c r="DY241" s="631"/>
      <c r="DZ241" s="631"/>
      <c r="EA241" s="330"/>
      <c r="EC241" s="66"/>
      <c r="ED241" s="68"/>
      <c r="EH241" s="66"/>
      <c r="EI241" s="66"/>
      <c r="EJ241" s="68"/>
      <c r="EK241" s="252"/>
      <c r="EL241" s="252"/>
      <c r="EM241" s="252"/>
      <c r="EO241" s="252"/>
      <c r="EP241" s="252"/>
      <c r="EQ241" s="252"/>
      <c r="ES241" s="252"/>
      <c r="ET241" s="252"/>
      <c r="EU241" s="252"/>
      <c r="EW241" s="252"/>
      <c r="EX241" s="252"/>
      <c r="EY241" s="252"/>
      <c r="FA241" s="250"/>
      <c r="FB241" s="250"/>
      <c r="FC241" s="250"/>
      <c r="FD241" s="250"/>
      <c r="FE241" s="250"/>
      <c r="FF241" s="250"/>
      <c r="FG241" s="250"/>
      <c r="FH241" s="424"/>
      <c r="FI241" s="250"/>
      <c r="FJ241" s="250"/>
      <c r="FK241" s="250"/>
      <c r="FL241" s="256"/>
      <c r="FM241" s="250"/>
      <c r="FN241" s="256"/>
      <c r="FO241" s="250"/>
      <c r="FP241" s="256"/>
      <c r="FQ241" s="250"/>
      <c r="FR241" s="256"/>
      <c r="FS241" s="250"/>
      <c r="FT241" s="256"/>
      <c r="FU241" s="256"/>
      <c r="FV241" s="256"/>
      <c r="FW241" s="250"/>
      <c r="FX241" s="424"/>
      <c r="FY241" s="251"/>
      <c r="GC241" s="252"/>
      <c r="GF241" s="252"/>
      <c r="GG241" s="252"/>
      <c r="GH241" s="252"/>
      <c r="GI241" s="252"/>
      <c r="GJ241" s="252"/>
      <c r="GK241" s="251"/>
      <c r="GL241" s="250"/>
      <c r="GM241" s="250"/>
      <c r="GN241" s="250"/>
      <c r="GO241" s="250"/>
      <c r="GP241" s="250"/>
      <c r="GQ241" s="250"/>
      <c r="GR241" s="250"/>
      <c r="GS241" s="250"/>
      <c r="GT241" s="250"/>
      <c r="GU241" s="251"/>
      <c r="GV241" s="250"/>
      <c r="GW241" s="250"/>
      <c r="GX241" s="250"/>
      <c r="GY241" s="250"/>
      <c r="GZ241" s="250"/>
      <c r="HA241" s="250"/>
      <c r="HB241" s="250"/>
      <c r="HC241" s="250"/>
      <c r="HD241" s="250"/>
      <c r="HE241" s="250"/>
      <c r="HF241" s="250"/>
      <c r="HG241" s="250"/>
      <c r="HH241" s="251"/>
      <c r="HI241" s="424"/>
      <c r="HJ241" s="255"/>
      <c r="HK241" s="255"/>
      <c r="HL241" s="250"/>
      <c r="HM241" s="255"/>
      <c r="HN241" s="255"/>
      <c r="HO241" s="255"/>
      <c r="HP241" s="250"/>
      <c r="HQ241" s="250"/>
      <c r="HR241" s="250"/>
      <c r="HS241" s="250"/>
      <c r="HT241" s="250"/>
      <c r="HU241" s="251"/>
      <c r="HX241" s="252"/>
      <c r="HY241" s="252"/>
      <c r="HZ241" s="252"/>
      <c r="ID241" s="252"/>
      <c r="IE241" s="252"/>
      <c r="IF241" s="252"/>
      <c r="IJ241" s="252"/>
      <c r="IK241" s="252"/>
      <c r="IL241" s="252"/>
      <c r="IP241" s="252"/>
      <c r="IQ241" s="252"/>
      <c r="IR241" s="252"/>
      <c r="IY241" s="66"/>
      <c r="IZ241" s="66"/>
      <c r="JA241" s="66"/>
      <c r="JB241" s="250"/>
      <c r="JC241" s="66"/>
      <c r="JD241" s="66"/>
      <c r="JE241" s="66"/>
      <c r="JF241" s="66"/>
      <c r="JG241" s="66"/>
      <c r="JH241" s="66"/>
      <c r="JI241" s="66"/>
      <c r="JJ241" s="66"/>
      <c r="JK241" s="8"/>
      <c r="JN241" s="252"/>
      <c r="JO241" s="252"/>
      <c r="JP241" s="252"/>
      <c r="JT241" s="252"/>
      <c r="JU241" s="252"/>
      <c r="JV241" s="252"/>
      <c r="JZ241" s="252"/>
      <c r="KA241" s="252"/>
      <c r="KB241" s="252"/>
      <c r="KF241" s="252"/>
      <c r="KG241" s="252"/>
      <c r="KH241" s="252"/>
      <c r="KO241" s="66"/>
      <c r="KP241" s="66"/>
      <c r="KQ241" s="66"/>
      <c r="KR241" s="66"/>
      <c r="KS241" s="66"/>
      <c r="KT241" s="66"/>
      <c r="KU241" s="66"/>
      <c r="KV241" s="66"/>
      <c r="KW241" s="66"/>
      <c r="KX241" s="66"/>
      <c r="KY241" s="66"/>
      <c r="KZ241" s="66"/>
      <c r="LA241" s="8"/>
      <c r="LD241" s="252"/>
      <c r="LE241" s="252"/>
      <c r="LF241" s="252"/>
      <c r="LJ241" s="252"/>
      <c r="LK241" s="252"/>
      <c r="LN241" s="252"/>
      <c r="LO241" s="252"/>
      <c r="LP241" s="252"/>
      <c r="LT241" s="271"/>
      <c r="LU241" s="250"/>
      <c r="LV241" s="250"/>
      <c r="LW241" s="250"/>
      <c r="LX241" s="250"/>
      <c r="LY241" s="250"/>
      <c r="LZ241" s="250"/>
      <c r="MA241" s="250"/>
      <c r="MB241" s="250"/>
      <c r="MC241" s="250"/>
      <c r="MD241" s="250"/>
      <c r="ME241" s="250"/>
      <c r="MF241" s="250"/>
      <c r="MG241" s="250"/>
      <c r="MH241" s="250"/>
      <c r="MI241" s="250"/>
      <c r="MJ241" s="250"/>
      <c r="MK241" s="424"/>
      <c r="ML241" s="640"/>
      <c r="MM241" s="251"/>
      <c r="MN241" s="252"/>
      <c r="MO241" s="252"/>
      <c r="MP241" s="252"/>
      <c r="MQ241" s="252"/>
      <c r="MR241" s="252"/>
      <c r="MS241" s="252"/>
      <c r="MT241" s="252"/>
      <c r="MU241" s="252"/>
      <c r="MV241" s="252"/>
      <c r="MW241" s="252"/>
      <c r="MX241" s="252"/>
      <c r="MY241" s="252"/>
      <c r="MZ241" s="252"/>
      <c r="NA241" s="252"/>
      <c r="NB241" s="252"/>
      <c r="NC241" s="251"/>
      <c r="ND241" s="250"/>
      <c r="NE241" s="250"/>
      <c r="NF241" s="250"/>
      <c r="NG241" s="250"/>
      <c r="NH241" s="250"/>
      <c r="NI241" s="250"/>
      <c r="NJ241" s="250"/>
      <c r="NK241" s="250"/>
      <c r="NL241" s="250"/>
      <c r="NM241" s="250"/>
      <c r="NN241" s="250"/>
      <c r="NO241" s="250"/>
      <c r="NP241" s="250"/>
      <c r="NQ241" s="250"/>
      <c r="NR241" s="250"/>
      <c r="NS241" s="250"/>
      <c r="NT241" s="250"/>
      <c r="NU241" s="250"/>
      <c r="NV241" s="250"/>
      <c r="NW241" s="251"/>
      <c r="OT241" s="8"/>
      <c r="QG241" s="8"/>
      <c r="RT241" s="8"/>
    </row>
    <row r="242" spans="1:488" s="282" customFormat="1" x14ac:dyDescent="0.25">
      <c r="A242" s="66"/>
      <c r="B242" s="8"/>
      <c r="C242" s="66"/>
      <c r="D242" s="66"/>
      <c r="E242" s="66"/>
      <c r="F242" s="66"/>
      <c r="G242" s="66"/>
      <c r="H242" s="66"/>
      <c r="I242" s="66"/>
      <c r="J242" s="66"/>
      <c r="K242" s="66"/>
      <c r="L242" s="66"/>
      <c r="M242" s="66"/>
      <c r="N242" s="66"/>
      <c r="O242" s="66"/>
      <c r="P242" s="66"/>
      <c r="Q242" s="66"/>
      <c r="R242" s="66"/>
      <c r="S242" s="66"/>
      <c r="T242" s="68"/>
      <c r="AC242" s="66"/>
      <c r="AD242" s="66"/>
      <c r="AE242" s="68"/>
      <c r="AN242" s="66"/>
      <c r="AO242" s="66"/>
      <c r="AP242" s="68"/>
      <c r="AW242" s="66"/>
      <c r="AX242" s="68"/>
      <c r="BD242" s="66"/>
      <c r="BE242" s="68"/>
      <c r="BF242" s="66"/>
      <c r="BG242" s="66"/>
      <c r="BH242" s="66"/>
      <c r="BI242" s="66"/>
      <c r="BJ242" s="66"/>
      <c r="BK242" s="66"/>
      <c r="BL242" s="68"/>
      <c r="BO242" s="66"/>
      <c r="BP242" s="68"/>
      <c r="BV242" s="66"/>
      <c r="BW242" s="68"/>
      <c r="CB242" s="8"/>
      <c r="CH242" s="8"/>
      <c r="CK242" s="299"/>
      <c r="CL242" s="299"/>
      <c r="CM242" s="66"/>
      <c r="CN242" s="66"/>
      <c r="CO242" s="68"/>
      <c r="CR242" s="8"/>
      <c r="CX242" s="66"/>
      <c r="CY242" s="532"/>
      <c r="DE242" s="66"/>
      <c r="DF242" s="66"/>
      <c r="DG242" s="68"/>
      <c r="DH242" s="68"/>
      <c r="DK242" s="66"/>
      <c r="DL242" s="66"/>
      <c r="DM242" s="66"/>
      <c r="DN242" s="66"/>
      <c r="DO242" s="66"/>
      <c r="DP242" s="66"/>
      <c r="DQ242" s="66"/>
      <c r="DR242" s="66"/>
      <c r="DS242" s="66"/>
      <c r="DT242" s="68"/>
      <c r="DU242" s="66"/>
      <c r="DV242" s="296"/>
      <c r="DW242" s="330"/>
      <c r="DX242" s="631"/>
      <c r="DY242" s="631"/>
      <c r="DZ242" s="631"/>
      <c r="EA242" s="330"/>
      <c r="EC242" s="66"/>
      <c r="ED242" s="68"/>
      <c r="EH242" s="66"/>
      <c r="EI242" s="66"/>
      <c r="EJ242" s="68"/>
      <c r="EK242" s="252"/>
      <c r="EL242" s="252"/>
      <c r="EM242" s="252"/>
      <c r="EO242" s="252"/>
      <c r="EP242" s="252"/>
      <c r="EQ242" s="252"/>
      <c r="ES242" s="252"/>
      <c r="ET242" s="252"/>
      <c r="EU242" s="252"/>
      <c r="EW242" s="252"/>
      <c r="EX242" s="252"/>
      <c r="EY242" s="252"/>
      <c r="FA242" s="250"/>
      <c r="FB242" s="250"/>
      <c r="FC242" s="250"/>
      <c r="FD242" s="250"/>
      <c r="FE242" s="250"/>
      <c r="FF242" s="250"/>
      <c r="FG242" s="250"/>
      <c r="FH242" s="424"/>
      <c r="FI242" s="250"/>
      <c r="FJ242" s="250"/>
      <c r="FK242" s="250"/>
      <c r="FL242" s="256"/>
      <c r="FM242" s="250"/>
      <c r="FN242" s="256"/>
      <c r="FO242" s="250"/>
      <c r="FP242" s="256"/>
      <c r="FQ242" s="250"/>
      <c r="FR242" s="256"/>
      <c r="FS242" s="250"/>
      <c r="FT242" s="256"/>
      <c r="FU242" s="256"/>
      <c r="FV242" s="256"/>
      <c r="FW242" s="250"/>
      <c r="FX242" s="424"/>
      <c r="FY242" s="251"/>
      <c r="GC242" s="252"/>
      <c r="GF242" s="252"/>
      <c r="GG242" s="252"/>
      <c r="GH242" s="252"/>
      <c r="GI242" s="252"/>
      <c r="GJ242" s="252"/>
      <c r="GK242" s="251"/>
      <c r="GL242" s="250"/>
      <c r="GM242" s="250"/>
      <c r="GN242" s="250"/>
      <c r="GO242" s="250"/>
      <c r="GP242" s="250"/>
      <c r="GQ242" s="250"/>
      <c r="GR242" s="250"/>
      <c r="GS242" s="250"/>
      <c r="GT242" s="250"/>
      <c r="GU242" s="251"/>
      <c r="GV242" s="250"/>
      <c r="GW242" s="250"/>
      <c r="GX242" s="250"/>
      <c r="GY242" s="250"/>
      <c r="GZ242" s="250"/>
      <c r="HA242" s="250"/>
      <c r="HB242" s="250"/>
      <c r="HC242" s="250"/>
      <c r="HD242" s="250"/>
      <c r="HE242" s="250"/>
      <c r="HF242" s="250"/>
      <c r="HG242" s="250"/>
      <c r="HH242" s="251"/>
      <c r="HI242" s="424"/>
      <c r="HJ242" s="255"/>
      <c r="HK242" s="255"/>
      <c r="HL242" s="250"/>
      <c r="HM242" s="255"/>
      <c r="HN242" s="255"/>
      <c r="HO242" s="255"/>
      <c r="HP242" s="250"/>
      <c r="HQ242" s="250"/>
      <c r="HR242" s="250"/>
      <c r="HS242" s="250"/>
      <c r="HT242" s="250"/>
      <c r="HU242" s="251"/>
      <c r="HX242" s="252"/>
      <c r="HY242" s="252"/>
      <c r="HZ242" s="252"/>
      <c r="ID242" s="252"/>
      <c r="IE242" s="252"/>
      <c r="IF242" s="252"/>
      <c r="IJ242" s="252"/>
      <c r="IK242" s="252"/>
      <c r="IL242" s="252"/>
      <c r="IP242" s="252"/>
      <c r="IQ242" s="252"/>
      <c r="IR242" s="252"/>
      <c r="IY242" s="66"/>
      <c r="IZ242" s="66"/>
      <c r="JA242" s="66"/>
      <c r="JB242" s="250"/>
      <c r="JC242" s="66"/>
      <c r="JD242" s="66"/>
      <c r="JE242" s="66"/>
      <c r="JF242" s="66"/>
      <c r="JG242" s="66"/>
      <c r="JH242" s="66"/>
      <c r="JI242" s="66"/>
      <c r="JJ242" s="66"/>
      <c r="JK242" s="8"/>
      <c r="JN242" s="252"/>
      <c r="JO242" s="252"/>
      <c r="JP242" s="252"/>
      <c r="JT242" s="252"/>
      <c r="JU242" s="252"/>
      <c r="JV242" s="252"/>
      <c r="JZ242" s="252"/>
      <c r="KA242" s="252"/>
      <c r="KB242" s="252"/>
      <c r="KF242" s="252"/>
      <c r="KG242" s="252"/>
      <c r="KH242" s="252"/>
      <c r="KO242" s="66"/>
      <c r="KP242" s="66"/>
      <c r="KQ242" s="66"/>
      <c r="KR242" s="66"/>
      <c r="KS242" s="66"/>
      <c r="KT242" s="66"/>
      <c r="KU242" s="66"/>
      <c r="KV242" s="66"/>
      <c r="KW242" s="66"/>
      <c r="KX242" s="66"/>
      <c r="KY242" s="66"/>
      <c r="KZ242" s="66"/>
      <c r="LA242" s="8"/>
      <c r="LD242" s="252"/>
      <c r="LE242" s="252"/>
      <c r="LF242" s="252"/>
      <c r="LJ242" s="252"/>
      <c r="LK242" s="252"/>
      <c r="LN242" s="252"/>
      <c r="LO242" s="252"/>
      <c r="LP242" s="252"/>
      <c r="LT242" s="271"/>
      <c r="LU242" s="250"/>
      <c r="LV242" s="250"/>
      <c r="LW242" s="250"/>
      <c r="LX242" s="250"/>
      <c r="LY242" s="250"/>
      <c r="LZ242" s="250"/>
      <c r="MA242" s="250"/>
      <c r="MB242" s="250"/>
      <c r="MC242" s="250"/>
      <c r="MD242" s="250"/>
      <c r="ME242" s="250"/>
      <c r="MF242" s="250"/>
      <c r="MG242" s="250"/>
      <c r="MH242" s="250"/>
      <c r="MI242" s="250"/>
      <c r="MJ242" s="250"/>
      <c r="MK242" s="424"/>
      <c r="ML242" s="640"/>
      <c r="MM242" s="251"/>
      <c r="MN242" s="252"/>
      <c r="MO242" s="252"/>
      <c r="MP242" s="252"/>
      <c r="MQ242" s="252"/>
      <c r="MR242" s="252"/>
      <c r="MS242" s="252"/>
      <c r="MT242" s="252"/>
      <c r="MU242" s="252"/>
      <c r="MV242" s="252"/>
      <c r="MW242" s="252"/>
      <c r="MX242" s="252"/>
      <c r="MY242" s="252"/>
      <c r="MZ242" s="252"/>
      <c r="NA242" s="252"/>
      <c r="NB242" s="252"/>
      <c r="NC242" s="251"/>
      <c r="ND242" s="250"/>
      <c r="NE242" s="250"/>
      <c r="NF242" s="250"/>
      <c r="NG242" s="250"/>
      <c r="NH242" s="250"/>
      <c r="NI242" s="250"/>
      <c r="NJ242" s="250"/>
      <c r="NK242" s="250"/>
      <c r="NL242" s="250"/>
      <c r="NM242" s="250"/>
      <c r="NN242" s="250"/>
      <c r="NO242" s="250"/>
      <c r="NP242" s="250"/>
      <c r="NQ242" s="250"/>
      <c r="NR242" s="250"/>
      <c r="NS242" s="250"/>
      <c r="NT242" s="250"/>
      <c r="NU242" s="250"/>
      <c r="NV242" s="250"/>
      <c r="NW242" s="251"/>
      <c r="OT242" s="8"/>
      <c r="QG242" s="8"/>
      <c r="RT242" s="8"/>
    </row>
    <row r="243" spans="1:488" s="282" customFormat="1" x14ac:dyDescent="0.25">
      <c r="A243" s="66"/>
      <c r="B243" s="8"/>
      <c r="C243" s="66"/>
      <c r="D243" s="66"/>
      <c r="E243" s="66"/>
      <c r="F243" s="66"/>
      <c r="G243" s="66"/>
      <c r="H243" s="66"/>
      <c r="I243" s="66"/>
      <c r="J243" s="66"/>
      <c r="K243" s="66"/>
      <c r="L243" s="66"/>
      <c r="M243" s="66"/>
      <c r="N243" s="66"/>
      <c r="O243" s="66"/>
      <c r="P243" s="66"/>
      <c r="Q243" s="66"/>
      <c r="R243" s="66"/>
      <c r="S243" s="66"/>
      <c r="T243" s="68"/>
      <c r="AC243" s="66"/>
      <c r="AD243" s="66"/>
      <c r="AE243" s="68"/>
      <c r="AN243" s="66"/>
      <c r="AO243" s="66"/>
      <c r="AP243" s="68"/>
      <c r="AW243" s="66"/>
      <c r="AX243" s="68"/>
      <c r="BD243" s="66"/>
      <c r="BE243" s="68"/>
      <c r="BF243" s="66"/>
      <c r="BG243" s="66"/>
      <c r="BH243" s="66"/>
      <c r="BI243" s="66"/>
      <c r="BJ243" s="66"/>
      <c r="BK243" s="66"/>
      <c r="BL243" s="68"/>
      <c r="BO243" s="66"/>
      <c r="BP243" s="68"/>
      <c r="BV243" s="66"/>
      <c r="BW243" s="68"/>
      <c r="CB243" s="8"/>
      <c r="CH243" s="8"/>
      <c r="CK243" s="299"/>
      <c r="CL243" s="299"/>
      <c r="CM243" s="66"/>
      <c r="CN243" s="66"/>
      <c r="CO243" s="68"/>
      <c r="CR243" s="8"/>
      <c r="CX243" s="66"/>
      <c r="CY243" s="532"/>
      <c r="DE243" s="66"/>
      <c r="DF243" s="66"/>
      <c r="DG243" s="68"/>
      <c r="DH243" s="68"/>
      <c r="DK243" s="66"/>
      <c r="DL243" s="66"/>
      <c r="DM243" s="66"/>
      <c r="DN243" s="66"/>
      <c r="DO243" s="66"/>
      <c r="DP243" s="66"/>
      <c r="DQ243" s="66"/>
      <c r="DR243" s="66"/>
      <c r="DS243" s="66"/>
      <c r="DT243" s="68"/>
      <c r="DU243" s="66"/>
      <c r="DV243" s="296"/>
      <c r="DW243" s="330"/>
      <c r="DX243" s="631"/>
      <c r="DY243" s="631"/>
      <c r="DZ243" s="631"/>
      <c r="EA243" s="330"/>
      <c r="EC243" s="66"/>
      <c r="ED243" s="68"/>
      <c r="EH243" s="66"/>
      <c r="EI243" s="66"/>
      <c r="EJ243" s="68"/>
      <c r="EK243" s="252"/>
      <c r="EL243" s="252"/>
      <c r="EM243" s="252"/>
      <c r="EO243" s="252"/>
      <c r="EP243" s="252"/>
      <c r="EQ243" s="252"/>
      <c r="ES243" s="252"/>
      <c r="ET243" s="252"/>
      <c r="EU243" s="252"/>
      <c r="EW243" s="252"/>
      <c r="EX243" s="252"/>
      <c r="EY243" s="252"/>
      <c r="FA243" s="250"/>
      <c r="FB243" s="250"/>
      <c r="FC243" s="250"/>
      <c r="FD243" s="250"/>
      <c r="FE243" s="250"/>
      <c r="FF243" s="250"/>
      <c r="FG243" s="250"/>
      <c r="FH243" s="424"/>
      <c r="FI243" s="250"/>
      <c r="FJ243" s="250"/>
      <c r="FK243" s="250"/>
      <c r="FL243" s="256"/>
      <c r="FM243" s="250"/>
      <c r="FN243" s="256"/>
      <c r="FO243" s="250"/>
      <c r="FP243" s="256"/>
      <c r="FQ243" s="250"/>
      <c r="FR243" s="256"/>
      <c r="FS243" s="250"/>
      <c r="FT243" s="256"/>
      <c r="FU243" s="256"/>
      <c r="FV243" s="256"/>
      <c r="FW243" s="250"/>
      <c r="FX243" s="424"/>
      <c r="FY243" s="251"/>
      <c r="GC243" s="252"/>
      <c r="GF243" s="252"/>
      <c r="GG243" s="252"/>
      <c r="GH243" s="252"/>
      <c r="GI243" s="252"/>
      <c r="GJ243" s="252"/>
      <c r="GK243" s="251"/>
      <c r="GL243" s="250"/>
      <c r="GM243" s="250"/>
      <c r="GN243" s="250"/>
      <c r="GO243" s="250"/>
      <c r="GP243" s="250"/>
      <c r="GQ243" s="250"/>
      <c r="GR243" s="250"/>
      <c r="GS243" s="250"/>
      <c r="GT243" s="250"/>
      <c r="GU243" s="251"/>
      <c r="GV243" s="250"/>
      <c r="GW243" s="250"/>
      <c r="GX243" s="250"/>
      <c r="GY243" s="250"/>
      <c r="GZ243" s="250"/>
      <c r="HA243" s="250"/>
      <c r="HB243" s="250"/>
      <c r="HC243" s="250"/>
      <c r="HD243" s="250"/>
      <c r="HE243" s="250"/>
      <c r="HF243" s="250"/>
      <c r="HG243" s="250"/>
      <c r="HH243" s="251"/>
      <c r="HI243" s="424"/>
      <c r="HJ243" s="255"/>
      <c r="HK243" s="255"/>
      <c r="HL243" s="250"/>
      <c r="HM243" s="255"/>
      <c r="HN243" s="255"/>
      <c r="HO243" s="255"/>
      <c r="HP243" s="250"/>
      <c r="HQ243" s="250"/>
      <c r="HR243" s="250"/>
      <c r="HS243" s="250"/>
      <c r="HT243" s="250"/>
      <c r="HU243" s="251"/>
      <c r="HX243" s="252"/>
      <c r="HY243" s="252"/>
      <c r="HZ243" s="252"/>
      <c r="ID243" s="252"/>
      <c r="IE243" s="252"/>
      <c r="IF243" s="252"/>
      <c r="IJ243" s="252"/>
      <c r="IK243" s="252"/>
      <c r="IL243" s="252"/>
      <c r="IP243" s="252"/>
      <c r="IQ243" s="252"/>
      <c r="IR243" s="252"/>
      <c r="IY243" s="66"/>
      <c r="IZ243" s="66"/>
      <c r="JA243" s="66"/>
      <c r="JB243" s="250"/>
      <c r="JC243" s="66"/>
      <c r="JD243" s="66"/>
      <c r="JE243" s="66"/>
      <c r="JF243" s="66"/>
      <c r="JG243" s="66"/>
      <c r="JH243" s="66"/>
      <c r="JI243" s="66"/>
      <c r="JJ243" s="66"/>
      <c r="JK243" s="8"/>
      <c r="JN243" s="252"/>
      <c r="JO243" s="252"/>
      <c r="JP243" s="252"/>
      <c r="JT243" s="252"/>
      <c r="JU243" s="252"/>
      <c r="JV243" s="252"/>
      <c r="JZ243" s="252"/>
      <c r="KA243" s="252"/>
      <c r="KB243" s="252"/>
      <c r="KF243" s="252"/>
      <c r="KG243" s="252"/>
      <c r="KH243" s="252"/>
      <c r="KO243" s="66"/>
      <c r="KP243" s="66"/>
      <c r="KQ243" s="66"/>
      <c r="KR243" s="66"/>
      <c r="KS243" s="66"/>
      <c r="KT243" s="66"/>
      <c r="KU243" s="66"/>
      <c r="KV243" s="66"/>
      <c r="KW243" s="66"/>
      <c r="KX243" s="66"/>
      <c r="KY243" s="66"/>
      <c r="KZ243" s="66"/>
      <c r="LA243" s="8"/>
      <c r="LD243" s="252"/>
      <c r="LE243" s="252"/>
      <c r="LF243" s="252"/>
      <c r="LJ243" s="252"/>
      <c r="LK243" s="252"/>
      <c r="LN243" s="252"/>
      <c r="LO243" s="252"/>
      <c r="LP243" s="252"/>
      <c r="LT243" s="271"/>
      <c r="LU243" s="250"/>
      <c r="LV243" s="250"/>
      <c r="LW243" s="250"/>
      <c r="LX243" s="250"/>
      <c r="LY243" s="250"/>
      <c r="LZ243" s="250"/>
      <c r="MA243" s="250"/>
      <c r="MB243" s="250"/>
      <c r="MC243" s="250"/>
      <c r="MD243" s="250"/>
      <c r="ME243" s="250"/>
      <c r="MF243" s="250"/>
      <c r="MG243" s="250"/>
      <c r="MH243" s="250"/>
      <c r="MI243" s="250"/>
      <c r="MJ243" s="250"/>
      <c r="MK243" s="424"/>
      <c r="ML243" s="640"/>
      <c r="MM243" s="251"/>
      <c r="MN243" s="252"/>
      <c r="MO243" s="252"/>
      <c r="MP243" s="252"/>
      <c r="MQ243" s="252"/>
      <c r="MR243" s="252"/>
      <c r="MS243" s="252"/>
      <c r="MT243" s="252"/>
      <c r="MU243" s="252"/>
      <c r="MV243" s="252"/>
      <c r="MW243" s="252"/>
      <c r="MX243" s="252"/>
      <c r="MY243" s="252"/>
      <c r="MZ243" s="252"/>
      <c r="NA243" s="252"/>
      <c r="NB243" s="252"/>
      <c r="NC243" s="251"/>
      <c r="ND243" s="250"/>
      <c r="NE243" s="250"/>
      <c r="NF243" s="250"/>
      <c r="NG243" s="250"/>
      <c r="NH243" s="250"/>
      <c r="NI243" s="250"/>
      <c r="NJ243" s="250"/>
      <c r="NK243" s="250"/>
      <c r="NL243" s="250"/>
      <c r="NM243" s="250"/>
      <c r="NN243" s="250"/>
      <c r="NO243" s="250"/>
      <c r="NP243" s="250"/>
      <c r="NQ243" s="250"/>
      <c r="NR243" s="250"/>
      <c r="NS243" s="250"/>
      <c r="NT243" s="250"/>
      <c r="NU243" s="250"/>
      <c r="NV243" s="250"/>
      <c r="NW243" s="251"/>
      <c r="OT243" s="8"/>
      <c r="QG243" s="8"/>
      <c r="RT243" s="8"/>
    </row>
    <row r="244" spans="1:488" s="282" customFormat="1" x14ac:dyDescent="0.25">
      <c r="A244" s="66"/>
      <c r="B244" s="8"/>
      <c r="C244" s="66"/>
      <c r="D244" s="66"/>
      <c r="E244" s="66"/>
      <c r="F244" s="66"/>
      <c r="G244" s="66"/>
      <c r="H244" s="66"/>
      <c r="I244" s="66"/>
      <c r="J244" s="66"/>
      <c r="K244" s="66"/>
      <c r="L244" s="66"/>
      <c r="M244" s="66"/>
      <c r="N244" s="66"/>
      <c r="O244" s="66"/>
      <c r="P244" s="66"/>
      <c r="Q244" s="66"/>
      <c r="R244" s="66"/>
      <c r="S244" s="66"/>
      <c r="T244" s="68"/>
      <c r="AC244" s="66"/>
      <c r="AD244" s="66"/>
      <c r="AE244" s="68"/>
      <c r="AN244" s="66"/>
      <c r="AO244" s="66"/>
      <c r="AP244" s="68"/>
      <c r="AW244" s="66"/>
      <c r="AX244" s="68"/>
      <c r="BD244" s="66"/>
      <c r="BE244" s="68"/>
      <c r="BF244" s="66"/>
      <c r="BG244" s="66"/>
      <c r="BH244" s="66"/>
      <c r="BI244" s="66"/>
      <c r="BJ244" s="66"/>
      <c r="BK244" s="66"/>
      <c r="BL244" s="68"/>
      <c r="BO244" s="66"/>
      <c r="BP244" s="68"/>
      <c r="BV244" s="66"/>
      <c r="BW244" s="68"/>
      <c r="CB244" s="8"/>
      <c r="CH244" s="8"/>
      <c r="CK244" s="299"/>
      <c r="CL244" s="299"/>
      <c r="CM244" s="66"/>
      <c r="CN244" s="66"/>
      <c r="CO244" s="68"/>
      <c r="CR244" s="8"/>
      <c r="CX244" s="66"/>
      <c r="CY244" s="532"/>
      <c r="DE244" s="66"/>
      <c r="DF244" s="66"/>
      <c r="DG244" s="68"/>
      <c r="DH244" s="68"/>
      <c r="DK244" s="66"/>
      <c r="DL244" s="66"/>
      <c r="DM244" s="66"/>
      <c r="DN244" s="66"/>
      <c r="DO244" s="66"/>
      <c r="DP244" s="66"/>
      <c r="DQ244" s="66"/>
      <c r="DR244" s="66"/>
      <c r="DS244" s="66"/>
      <c r="DT244" s="68"/>
      <c r="DU244" s="66"/>
      <c r="DV244" s="296"/>
      <c r="DW244" s="330"/>
      <c r="DX244" s="631"/>
      <c r="DY244" s="631"/>
      <c r="DZ244" s="631"/>
      <c r="EA244" s="330"/>
      <c r="EC244" s="66"/>
      <c r="ED244" s="68"/>
      <c r="EH244" s="66"/>
      <c r="EI244" s="66"/>
      <c r="EJ244" s="68"/>
      <c r="EK244" s="252"/>
      <c r="EL244" s="252"/>
      <c r="EM244" s="252"/>
      <c r="EO244" s="252"/>
      <c r="EP244" s="252"/>
      <c r="EQ244" s="252"/>
      <c r="ES244" s="252"/>
      <c r="ET244" s="252"/>
      <c r="EU244" s="252"/>
      <c r="EW244" s="252"/>
      <c r="EX244" s="252"/>
      <c r="EY244" s="252"/>
      <c r="FA244" s="250"/>
      <c r="FB244" s="250"/>
      <c r="FC244" s="250"/>
      <c r="FD244" s="250"/>
      <c r="FE244" s="250"/>
      <c r="FF244" s="250"/>
      <c r="FG244" s="250"/>
      <c r="FH244" s="424"/>
      <c r="FI244" s="250"/>
      <c r="FJ244" s="250"/>
      <c r="FK244" s="250"/>
      <c r="FL244" s="256"/>
      <c r="FM244" s="250"/>
      <c r="FN244" s="256"/>
      <c r="FO244" s="250"/>
      <c r="FP244" s="256"/>
      <c r="FQ244" s="250"/>
      <c r="FR244" s="256"/>
      <c r="FS244" s="250"/>
      <c r="FT244" s="256"/>
      <c r="FU244" s="256"/>
      <c r="FV244" s="256"/>
      <c r="FW244" s="250"/>
      <c r="FX244" s="424"/>
      <c r="FY244" s="251"/>
      <c r="GC244" s="252"/>
      <c r="GF244" s="252"/>
      <c r="GG244" s="252"/>
      <c r="GH244" s="252"/>
      <c r="GI244" s="252"/>
      <c r="GJ244" s="252"/>
      <c r="GK244" s="251"/>
      <c r="GL244" s="250"/>
      <c r="GM244" s="250"/>
      <c r="GN244" s="250"/>
      <c r="GO244" s="250"/>
      <c r="GP244" s="250"/>
      <c r="GQ244" s="250"/>
      <c r="GR244" s="250"/>
      <c r="GS244" s="250"/>
      <c r="GT244" s="250"/>
      <c r="GU244" s="251"/>
      <c r="GV244" s="250"/>
      <c r="GW244" s="250"/>
      <c r="GX244" s="250"/>
      <c r="GY244" s="250"/>
      <c r="GZ244" s="250"/>
      <c r="HA244" s="250"/>
      <c r="HB244" s="250"/>
      <c r="HC244" s="250"/>
      <c r="HD244" s="250"/>
      <c r="HE244" s="250"/>
      <c r="HF244" s="250"/>
      <c r="HG244" s="250"/>
      <c r="HH244" s="251"/>
      <c r="HI244" s="424"/>
      <c r="HJ244" s="255"/>
      <c r="HK244" s="255"/>
      <c r="HL244" s="250"/>
      <c r="HM244" s="255"/>
      <c r="HN244" s="255"/>
      <c r="HO244" s="255"/>
      <c r="HP244" s="250"/>
      <c r="HQ244" s="250"/>
      <c r="HR244" s="250"/>
      <c r="HS244" s="250"/>
      <c r="HT244" s="250"/>
      <c r="HU244" s="251"/>
      <c r="HX244" s="252"/>
      <c r="HY244" s="252"/>
      <c r="HZ244" s="252"/>
      <c r="ID244" s="252"/>
      <c r="IE244" s="252"/>
      <c r="IF244" s="252"/>
      <c r="IJ244" s="252"/>
      <c r="IK244" s="252"/>
      <c r="IL244" s="252"/>
      <c r="IP244" s="252"/>
      <c r="IQ244" s="252"/>
      <c r="IR244" s="252"/>
      <c r="IY244" s="66"/>
      <c r="IZ244" s="66"/>
      <c r="JA244" s="66"/>
      <c r="JB244" s="250"/>
      <c r="JC244" s="66"/>
      <c r="JD244" s="66"/>
      <c r="JE244" s="66"/>
      <c r="JF244" s="66"/>
      <c r="JG244" s="66"/>
      <c r="JH244" s="66"/>
      <c r="JI244" s="66"/>
      <c r="JJ244" s="66"/>
      <c r="JK244" s="8"/>
      <c r="JN244" s="252"/>
      <c r="JO244" s="252"/>
      <c r="JP244" s="252"/>
      <c r="JT244" s="252"/>
      <c r="JU244" s="252"/>
      <c r="JV244" s="252"/>
      <c r="JZ244" s="252"/>
      <c r="KA244" s="252"/>
      <c r="KB244" s="252"/>
      <c r="KF244" s="252"/>
      <c r="KG244" s="252"/>
      <c r="KH244" s="252"/>
      <c r="KO244" s="66"/>
      <c r="KP244" s="66"/>
      <c r="KQ244" s="66"/>
      <c r="KR244" s="66"/>
      <c r="KS244" s="66"/>
      <c r="KT244" s="66"/>
      <c r="KU244" s="66"/>
      <c r="KV244" s="66"/>
      <c r="KW244" s="66"/>
      <c r="KX244" s="66"/>
      <c r="KY244" s="66"/>
      <c r="KZ244" s="66"/>
      <c r="LA244" s="8"/>
      <c r="LD244" s="252"/>
      <c r="LE244" s="252"/>
      <c r="LF244" s="252"/>
      <c r="LJ244" s="252"/>
      <c r="LK244" s="252"/>
      <c r="LN244" s="252"/>
      <c r="LO244" s="252"/>
      <c r="LP244" s="252"/>
      <c r="LT244" s="271"/>
      <c r="LU244" s="250"/>
      <c r="LV244" s="250"/>
      <c r="LW244" s="250"/>
      <c r="LX244" s="250"/>
      <c r="LY244" s="250"/>
      <c r="LZ244" s="250"/>
      <c r="MA244" s="250"/>
      <c r="MB244" s="250"/>
      <c r="MC244" s="250"/>
      <c r="MD244" s="250"/>
      <c r="ME244" s="250"/>
      <c r="MF244" s="250"/>
      <c r="MG244" s="250"/>
      <c r="MH244" s="250"/>
      <c r="MI244" s="250"/>
      <c r="MJ244" s="250"/>
      <c r="MK244" s="424"/>
      <c r="ML244" s="640"/>
      <c r="MM244" s="251"/>
      <c r="MN244" s="252"/>
      <c r="MO244" s="252"/>
      <c r="MP244" s="252"/>
      <c r="MQ244" s="252"/>
      <c r="MR244" s="252"/>
      <c r="MS244" s="252"/>
      <c r="MT244" s="252"/>
      <c r="MU244" s="252"/>
      <c r="MV244" s="252"/>
      <c r="MW244" s="252"/>
      <c r="MX244" s="252"/>
      <c r="MY244" s="252"/>
      <c r="MZ244" s="252"/>
      <c r="NA244" s="252"/>
      <c r="NB244" s="252"/>
      <c r="NC244" s="251"/>
      <c r="ND244" s="250"/>
      <c r="NE244" s="250"/>
      <c r="NF244" s="250"/>
      <c r="NG244" s="250"/>
      <c r="NH244" s="250"/>
      <c r="NI244" s="250"/>
      <c r="NJ244" s="250"/>
      <c r="NK244" s="250"/>
      <c r="NL244" s="250"/>
      <c r="NM244" s="250"/>
      <c r="NN244" s="250"/>
      <c r="NO244" s="250"/>
      <c r="NP244" s="250"/>
      <c r="NQ244" s="250"/>
      <c r="NR244" s="250"/>
      <c r="NS244" s="250"/>
      <c r="NT244" s="250"/>
      <c r="NU244" s="250"/>
      <c r="NV244" s="250"/>
      <c r="NW244" s="251"/>
      <c r="OT244" s="8"/>
      <c r="QG244" s="8"/>
      <c r="RT244" s="8"/>
    </row>
    <row r="245" spans="1:488" s="282" customFormat="1" x14ac:dyDescent="0.25">
      <c r="A245" s="66"/>
      <c r="B245" s="8"/>
      <c r="C245" s="66"/>
      <c r="D245" s="66"/>
      <c r="E245" s="66"/>
      <c r="F245" s="66"/>
      <c r="G245" s="66"/>
      <c r="H245" s="66"/>
      <c r="I245" s="66"/>
      <c r="J245" s="66"/>
      <c r="K245" s="66"/>
      <c r="L245" s="66"/>
      <c r="M245" s="66"/>
      <c r="N245" s="66"/>
      <c r="O245" s="66"/>
      <c r="P245" s="66"/>
      <c r="Q245" s="66"/>
      <c r="R245" s="66"/>
      <c r="S245" s="66"/>
      <c r="T245" s="68"/>
      <c r="AC245" s="66"/>
      <c r="AD245" s="66"/>
      <c r="AE245" s="68"/>
      <c r="AN245" s="66"/>
      <c r="AO245" s="66"/>
      <c r="AP245" s="68"/>
      <c r="AW245" s="66"/>
      <c r="AX245" s="68"/>
      <c r="BD245" s="66"/>
      <c r="BE245" s="68"/>
      <c r="BF245" s="66"/>
      <c r="BG245" s="66"/>
      <c r="BH245" s="66"/>
      <c r="BI245" s="66"/>
      <c r="BJ245" s="66"/>
      <c r="BK245" s="66"/>
      <c r="BL245" s="68"/>
      <c r="BO245" s="66"/>
      <c r="BP245" s="68"/>
      <c r="BV245" s="66"/>
      <c r="BW245" s="68"/>
      <c r="CB245" s="8"/>
      <c r="CH245" s="8"/>
      <c r="CK245" s="299"/>
      <c r="CL245" s="299"/>
      <c r="CM245" s="66"/>
      <c r="CN245" s="66"/>
      <c r="CO245" s="68"/>
      <c r="CR245" s="8"/>
      <c r="CX245" s="66"/>
      <c r="CY245" s="532"/>
      <c r="DE245" s="66"/>
      <c r="DF245" s="66"/>
      <c r="DG245" s="68"/>
      <c r="DH245" s="68"/>
      <c r="DK245" s="66"/>
      <c r="DL245" s="66"/>
      <c r="DM245" s="66"/>
      <c r="DN245" s="66"/>
      <c r="DO245" s="66"/>
      <c r="DP245" s="66"/>
      <c r="DQ245" s="66"/>
      <c r="DR245" s="66"/>
      <c r="DS245" s="66"/>
      <c r="DT245" s="68"/>
      <c r="DU245" s="66"/>
      <c r="DV245" s="296"/>
      <c r="DW245" s="330"/>
      <c r="DX245" s="631"/>
      <c r="DY245" s="631"/>
      <c r="DZ245" s="631"/>
      <c r="EA245" s="330"/>
      <c r="EC245" s="66"/>
      <c r="ED245" s="68"/>
      <c r="EH245" s="66"/>
      <c r="EI245" s="66"/>
      <c r="EJ245" s="68"/>
      <c r="EK245" s="252"/>
      <c r="EL245" s="252"/>
      <c r="EM245" s="252"/>
      <c r="EO245" s="252"/>
      <c r="EP245" s="252"/>
      <c r="EQ245" s="252"/>
      <c r="ES245" s="252"/>
      <c r="ET245" s="252"/>
      <c r="EU245" s="252"/>
      <c r="EW245" s="252"/>
      <c r="EX245" s="252"/>
      <c r="EY245" s="252"/>
      <c r="FA245" s="250"/>
      <c r="FB245" s="250"/>
      <c r="FC245" s="250"/>
      <c r="FD245" s="250"/>
      <c r="FE245" s="250"/>
      <c r="FF245" s="250"/>
      <c r="FG245" s="250"/>
      <c r="FH245" s="424"/>
      <c r="FI245" s="250"/>
      <c r="FJ245" s="250"/>
      <c r="FK245" s="250"/>
      <c r="FL245" s="256"/>
      <c r="FM245" s="250"/>
      <c r="FN245" s="256"/>
      <c r="FO245" s="250"/>
      <c r="FP245" s="256"/>
      <c r="FQ245" s="250"/>
      <c r="FR245" s="256"/>
      <c r="FS245" s="250"/>
      <c r="FT245" s="256"/>
      <c r="FU245" s="256"/>
      <c r="FV245" s="256"/>
      <c r="FW245" s="250"/>
      <c r="FX245" s="424"/>
      <c r="FY245" s="251"/>
      <c r="GC245" s="252"/>
      <c r="GF245" s="252"/>
      <c r="GG245" s="252"/>
      <c r="GH245" s="252"/>
      <c r="GI245" s="252"/>
      <c r="GJ245" s="252"/>
      <c r="GK245" s="251"/>
      <c r="GL245" s="250"/>
      <c r="GM245" s="250"/>
      <c r="GN245" s="250"/>
      <c r="GO245" s="250"/>
      <c r="GP245" s="250"/>
      <c r="GQ245" s="250"/>
      <c r="GR245" s="250"/>
      <c r="GS245" s="250"/>
      <c r="GT245" s="250"/>
      <c r="GU245" s="251"/>
      <c r="GV245" s="250"/>
      <c r="GW245" s="250"/>
      <c r="GX245" s="250"/>
      <c r="GY245" s="250"/>
      <c r="GZ245" s="250"/>
      <c r="HA245" s="250"/>
      <c r="HB245" s="250"/>
      <c r="HC245" s="250"/>
      <c r="HD245" s="250"/>
      <c r="HE245" s="250"/>
      <c r="HF245" s="250"/>
      <c r="HG245" s="250"/>
      <c r="HH245" s="251"/>
      <c r="HI245" s="424"/>
      <c r="HJ245" s="255"/>
      <c r="HK245" s="255"/>
      <c r="HL245" s="250"/>
      <c r="HM245" s="255"/>
      <c r="HN245" s="255"/>
      <c r="HO245" s="255"/>
      <c r="HP245" s="250"/>
      <c r="HQ245" s="250"/>
      <c r="HR245" s="250"/>
      <c r="HS245" s="250"/>
      <c r="HT245" s="250"/>
      <c r="HU245" s="251"/>
      <c r="HX245" s="252"/>
      <c r="HY245" s="252"/>
      <c r="HZ245" s="252"/>
      <c r="ID245" s="252"/>
      <c r="IE245" s="252"/>
      <c r="IF245" s="252"/>
      <c r="IJ245" s="252"/>
      <c r="IK245" s="252"/>
      <c r="IL245" s="252"/>
      <c r="IP245" s="252"/>
      <c r="IQ245" s="252"/>
      <c r="IR245" s="252"/>
      <c r="IY245" s="66"/>
      <c r="IZ245" s="66"/>
      <c r="JA245" s="66"/>
      <c r="JB245" s="250"/>
      <c r="JC245" s="66"/>
      <c r="JD245" s="66"/>
      <c r="JE245" s="66"/>
      <c r="JF245" s="66"/>
      <c r="JG245" s="66"/>
      <c r="JH245" s="66"/>
      <c r="JI245" s="66"/>
      <c r="JJ245" s="66"/>
      <c r="JK245" s="8"/>
      <c r="JN245" s="252"/>
      <c r="JO245" s="252"/>
      <c r="JP245" s="252"/>
      <c r="JT245" s="252"/>
      <c r="JU245" s="252"/>
      <c r="JV245" s="252"/>
      <c r="JZ245" s="252"/>
      <c r="KA245" s="252"/>
      <c r="KB245" s="252"/>
      <c r="KF245" s="252"/>
      <c r="KG245" s="252"/>
      <c r="KH245" s="252"/>
      <c r="KO245" s="66"/>
      <c r="KP245" s="66"/>
      <c r="KQ245" s="66"/>
      <c r="KR245" s="66"/>
      <c r="KS245" s="66"/>
      <c r="KT245" s="66"/>
      <c r="KU245" s="66"/>
      <c r="KV245" s="66"/>
      <c r="KW245" s="66"/>
      <c r="KX245" s="66"/>
      <c r="KY245" s="66"/>
      <c r="KZ245" s="66"/>
      <c r="LA245" s="8"/>
      <c r="LD245" s="252"/>
      <c r="LE245" s="252"/>
      <c r="LF245" s="252"/>
      <c r="LJ245" s="252"/>
      <c r="LK245" s="252"/>
      <c r="LN245" s="252"/>
      <c r="LO245" s="252"/>
      <c r="LP245" s="252"/>
      <c r="LT245" s="271"/>
      <c r="LU245" s="250"/>
      <c r="LV245" s="250"/>
      <c r="LW245" s="250"/>
      <c r="LX245" s="250"/>
      <c r="LY245" s="250"/>
      <c r="LZ245" s="250"/>
      <c r="MA245" s="250"/>
      <c r="MB245" s="250"/>
      <c r="MC245" s="250"/>
      <c r="MD245" s="250"/>
      <c r="ME245" s="250"/>
      <c r="MF245" s="250"/>
      <c r="MG245" s="250"/>
      <c r="MH245" s="250"/>
      <c r="MI245" s="250"/>
      <c r="MJ245" s="250"/>
      <c r="MK245" s="424"/>
      <c r="ML245" s="640"/>
      <c r="MM245" s="251"/>
      <c r="MN245" s="252"/>
      <c r="MO245" s="252"/>
      <c r="MP245" s="252"/>
      <c r="MQ245" s="252"/>
      <c r="MR245" s="252"/>
      <c r="MS245" s="252"/>
      <c r="MT245" s="252"/>
      <c r="MU245" s="252"/>
      <c r="MV245" s="252"/>
      <c r="MW245" s="252"/>
      <c r="MX245" s="252"/>
      <c r="MY245" s="252"/>
      <c r="MZ245" s="252"/>
      <c r="NA245" s="252"/>
      <c r="NB245" s="252"/>
      <c r="NC245" s="251"/>
      <c r="ND245" s="250"/>
      <c r="NE245" s="250"/>
      <c r="NF245" s="250"/>
      <c r="NG245" s="250"/>
      <c r="NH245" s="250"/>
      <c r="NI245" s="250"/>
      <c r="NJ245" s="250"/>
      <c r="NK245" s="250"/>
      <c r="NL245" s="250"/>
      <c r="NM245" s="250"/>
      <c r="NN245" s="250"/>
      <c r="NO245" s="250"/>
      <c r="NP245" s="250"/>
      <c r="NQ245" s="250"/>
      <c r="NR245" s="250"/>
      <c r="NS245" s="250"/>
      <c r="NT245" s="250"/>
      <c r="NU245" s="250"/>
      <c r="NV245" s="250"/>
      <c r="NW245" s="251"/>
      <c r="OT245" s="8"/>
      <c r="QG245" s="8"/>
      <c r="RT245" s="8"/>
    </row>
    <row r="246" spans="1:488" s="282" customFormat="1" x14ac:dyDescent="0.25">
      <c r="A246" s="66"/>
      <c r="B246" s="8"/>
      <c r="C246" s="66"/>
      <c r="D246" s="66"/>
      <c r="E246" s="66"/>
      <c r="F246" s="66"/>
      <c r="G246" s="66"/>
      <c r="H246" s="66"/>
      <c r="I246" s="66"/>
      <c r="J246" s="66"/>
      <c r="K246" s="66"/>
      <c r="L246" s="66"/>
      <c r="M246" s="66"/>
      <c r="N246" s="66"/>
      <c r="O246" s="66"/>
      <c r="P246" s="66"/>
      <c r="Q246" s="66"/>
      <c r="R246" s="66"/>
      <c r="S246" s="66"/>
      <c r="T246" s="68"/>
      <c r="AC246" s="66"/>
      <c r="AD246" s="66"/>
      <c r="AE246" s="68"/>
      <c r="AN246" s="66"/>
      <c r="AO246" s="66"/>
      <c r="AP246" s="68"/>
      <c r="AW246" s="66"/>
      <c r="AX246" s="68"/>
      <c r="BD246" s="66"/>
      <c r="BE246" s="68"/>
      <c r="BF246" s="66"/>
      <c r="BG246" s="66"/>
      <c r="BH246" s="66"/>
      <c r="BI246" s="66"/>
      <c r="BJ246" s="66"/>
      <c r="BK246" s="66"/>
      <c r="BL246" s="68"/>
      <c r="BO246" s="66"/>
      <c r="BP246" s="68"/>
      <c r="BV246" s="66"/>
      <c r="BW246" s="68"/>
      <c r="CB246" s="8"/>
      <c r="CH246" s="8"/>
      <c r="CK246" s="299"/>
      <c r="CL246" s="299"/>
      <c r="CM246" s="66"/>
      <c r="CN246" s="66"/>
      <c r="CO246" s="68"/>
      <c r="CR246" s="8"/>
      <c r="CX246" s="66"/>
      <c r="CY246" s="532"/>
      <c r="DE246" s="66"/>
      <c r="DF246" s="66"/>
      <c r="DG246" s="68"/>
      <c r="DH246" s="68"/>
      <c r="DK246" s="66"/>
      <c r="DL246" s="66"/>
      <c r="DM246" s="66"/>
      <c r="DN246" s="66"/>
      <c r="DO246" s="66"/>
      <c r="DP246" s="66"/>
      <c r="DQ246" s="66"/>
      <c r="DR246" s="66"/>
      <c r="DS246" s="66"/>
      <c r="DT246" s="68"/>
      <c r="DU246" s="66"/>
      <c r="DV246" s="296"/>
      <c r="DW246" s="330"/>
      <c r="DX246" s="631"/>
      <c r="DY246" s="631"/>
      <c r="DZ246" s="631"/>
      <c r="EA246" s="330"/>
      <c r="EC246" s="66"/>
      <c r="ED246" s="68"/>
      <c r="EH246" s="66"/>
      <c r="EI246" s="66"/>
      <c r="EJ246" s="68"/>
      <c r="EK246" s="252"/>
      <c r="EL246" s="252"/>
      <c r="EM246" s="252"/>
      <c r="EO246" s="252"/>
      <c r="EP246" s="252"/>
      <c r="EQ246" s="252"/>
      <c r="ES246" s="252"/>
      <c r="ET246" s="252"/>
      <c r="EU246" s="252"/>
      <c r="EW246" s="252"/>
      <c r="EX246" s="252"/>
      <c r="EY246" s="252"/>
      <c r="FA246" s="250"/>
      <c r="FB246" s="250"/>
      <c r="FC246" s="250"/>
      <c r="FD246" s="250"/>
      <c r="FE246" s="250"/>
      <c r="FF246" s="250"/>
      <c r="FG246" s="250"/>
      <c r="FH246" s="424"/>
      <c r="FI246" s="250"/>
      <c r="FJ246" s="250"/>
      <c r="FK246" s="250"/>
      <c r="FL246" s="256"/>
      <c r="FM246" s="250"/>
      <c r="FN246" s="256"/>
      <c r="FO246" s="250"/>
      <c r="FP246" s="256"/>
      <c r="FQ246" s="250"/>
      <c r="FR246" s="256"/>
      <c r="FS246" s="250"/>
      <c r="FT246" s="256"/>
      <c r="FU246" s="256"/>
      <c r="FV246" s="256"/>
      <c r="FW246" s="250"/>
      <c r="FX246" s="424"/>
      <c r="FY246" s="251"/>
      <c r="GC246" s="252"/>
      <c r="GF246" s="252"/>
      <c r="GG246" s="252"/>
      <c r="GH246" s="252"/>
      <c r="GI246" s="252"/>
      <c r="GJ246" s="252"/>
      <c r="GK246" s="251"/>
      <c r="GL246" s="250"/>
      <c r="GM246" s="250"/>
      <c r="GN246" s="250"/>
      <c r="GO246" s="250"/>
      <c r="GP246" s="250"/>
      <c r="GQ246" s="250"/>
      <c r="GR246" s="250"/>
      <c r="GS246" s="250"/>
      <c r="GT246" s="250"/>
      <c r="GU246" s="251"/>
      <c r="GV246" s="250"/>
      <c r="GW246" s="250"/>
      <c r="GX246" s="250"/>
      <c r="GY246" s="250"/>
      <c r="GZ246" s="250"/>
      <c r="HA246" s="250"/>
      <c r="HB246" s="250"/>
      <c r="HC246" s="250"/>
      <c r="HD246" s="250"/>
      <c r="HE246" s="250"/>
      <c r="HF246" s="250"/>
      <c r="HG246" s="250"/>
      <c r="HH246" s="251"/>
      <c r="HI246" s="424"/>
      <c r="HJ246" s="255"/>
      <c r="HK246" s="255"/>
      <c r="HL246" s="250"/>
      <c r="HM246" s="255"/>
      <c r="HN246" s="255"/>
      <c r="HO246" s="255"/>
      <c r="HP246" s="250"/>
      <c r="HQ246" s="250"/>
      <c r="HR246" s="250"/>
      <c r="HS246" s="250"/>
      <c r="HT246" s="250"/>
      <c r="HU246" s="251"/>
      <c r="HX246" s="252"/>
      <c r="HY246" s="252"/>
      <c r="HZ246" s="252"/>
      <c r="ID246" s="252"/>
      <c r="IE246" s="252"/>
      <c r="IF246" s="252"/>
      <c r="IJ246" s="252"/>
      <c r="IK246" s="252"/>
      <c r="IL246" s="252"/>
      <c r="IP246" s="252"/>
      <c r="IQ246" s="252"/>
      <c r="IR246" s="252"/>
      <c r="IY246" s="66"/>
      <c r="IZ246" s="66"/>
      <c r="JA246" s="66"/>
      <c r="JB246" s="250"/>
      <c r="JC246" s="66"/>
      <c r="JD246" s="66"/>
      <c r="JE246" s="66"/>
      <c r="JF246" s="66"/>
      <c r="JG246" s="66"/>
      <c r="JH246" s="66"/>
      <c r="JI246" s="66"/>
      <c r="JJ246" s="66"/>
      <c r="JK246" s="8"/>
      <c r="JN246" s="252"/>
      <c r="JO246" s="252"/>
      <c r="JP246" s="252"/>
      <c r="JT246" s="252"/>
      <c r="JU246" s="252"/>
      <c r="JV246" s="252"/>
      <c r="JZ246" s="252"/>
      <c r="KA246" s="252"/>
      <c r="KB246" s="252"/>
      <c r="KF246" s="252"/>
      <c r="KG246" s="252"/>
      <c r="KH246" s="252"/>
      <c r="KO246" s="66"/>
      <c r="KP246" s="66"/>
      <c r="KQ246" s="66"/>
      <c r="KR246" s="66"/>
      <c r="KS246" s="66"/>
      <c r="KT246" s="66"/>
      <c r="KU246" s="66"/>
      <c r="KV246" s="66"/>
      <c r="KW246" s="66"/>
      <c r="KX246" s="66"/>
      <c r="KY246" s="66"/>
      <c r="KZ246" s="66"/>
      <c r="LA246" s="8"/>
      <c r="LD246" s="252"/>
      <c r="LE246" s="252"/>
      <c r="LF246" s="252"/>
      <c r="LJ246" s="252"/>
      <c r="LK246" s="252"/>
      <c r="LN246" s="252"/>
      <c r="LO246" s="252"/>
      <c r="LP246" s="252"/>
      <c r="LT246" s="271"/>
      <c r="LU246" s="250"/>
      <c r="LV246" s="250"/>
      <c r="LW246" s="250"/>
      <c r="LX246" s="250"/>
      <c r="LY246" s="250"/>
      <c r="LZ246" s="250"/>
      <c r="MA246" s="250"/>
      <c r="MB246" s="250"/>
      <c r="MC246" s="250"/>
      <c r="MD246" s="250"/>
      <c r="ME246" s="250"/>
      <c r="MF246" s="250"/>
      <c r="MG246" s="250"/>
      <c r="MH246" s="250"/>
      <c r="MI246" s="250"/>
      <c r="MJ246" s="250"/>
      <c r="MK246" s="424"/>
      <c r="ML246" s="640"/>
      <c r="MM246" s="251"/>
      <c r="MN246" s="252"/>
      <c r="MO246" s="252"/>
      <c r="MP246" s="252"/>
      <c r="MQ246" s="252"/>
      <c r="MR246" s="252"/>
      <c r="MS246" s="252"/>
      <c r="MT246" s="252"/>
      <c r="MU246" s="252"/>
      <c r="MV246" s="252"/>
      <c r="MW246" s="252"/>
      <c r="MX246" s="252"/>
      <c r="MY246" s="252"/>
      <c r="MZ246" s="252"/>
      <c r="NA246" s="252"/>
      <c r="NB246" s="252"/>
      <c r="NC246" s="251"/>
      <c r="ND246" s="250"/>
      <c r="NE246" s="250"/>
      <c r="NF246" s="250"/>
      <c r="NG246" s="250"/>
      <c r="NH246" s="250"/>
      <c r="NI246" s="250"/>
      <c r="NJ246" s="250"/>
      <c r="NK246" s="250"/>
      <c r="NL246" s="250"/>
      <c r="NM246" s="250"/>
      <c r="NN246" s="250"/>
      <c r="NO246" s="250"/>
      <c r="NP246" s="250"/>
      <c r="NQ246" s="250"/>
      <c r="NR246" s="250"/>
      <c r="NS246" s="250"/>
      <c r="NT246" s="250"/>
      <c r="NU246" s="250"/>
      <c r="NV246" s="250"/>
      <c r="NW246" s="251"/>
      <c r="OT246" s="8"/>
      <c r="QG246" s="8"/>
      <c r="RT246" s="8"/>
    </row>
    <row r="247" spans="1:488" s="282" customFormat="1" x14ac:dyDescent="0.25">
      <c r="A247" s="66"/>
      <c r="B247" s="8"/>
      <c r="C247" s="66"/>
      <c r="D247" s="66"/>
      <c r="E247" s="66"/>
      <c r="F247" s="66"/>
      <c r="G247" s="66"/>
      <c r="H247" s="66"/>
      <c r="I247" s="66"/>
      <c r="J247" s="66"/>
      <c r="K247" s="66"/>
      <c r="L247" s="66"/>
      <c r="M247" s="66"/>
      <c r="N247" s="66"/>
      <c r="O247" s="66"/>
      <c r="P247" s="66"/>
      <c r="Q247" s="66"/>
      <c r="R247" s="66"/>
      <c r="S247" s="66"/>
      <c r="T247" s="68"/>
      <c r="AC247" s="66"/>
      <c r="AD247" s="66"/>
      <c r="AE247" s="68"/>
      <c r="AN247" s="66"/>
      <c r="AO247" s="66"/>
      <c r="AP247" s="68"/>
      <c r="AW247" s="66"/>
      <c r="AX247" s="68"/>
      <c r="BD247" s="66"/>
      <c r="BE247" s="68"/>
      <c r="BF247" s="66"/>
      <c r="BG247" s="66"/>
      <c r="BH247" s="66"/>
      <c r="BI247" s="66"/>
      <c r="BJ247" s="66"/>
      <c r="BK247" s="66"/>
      <c r="BL247" s="68"/>
      <c r="BO247" s="66"/>
      <c r="BP247" s="68"/>
      <c r="BV247" s="66"/>
      <c r="BW247" s="68"/>
      <c r="CB247" s="8"/>
      <c r="CH247" s="8"/>
      <c r="CK247" s="299"/>
      <c r="CL247" s="299"/>
      <c r="CM247" s="66"/>
      <c r="CN247" s="66"/>
      <c r="CO247" s="68"/>
      <c r="CR247" s="8"/>
      <c r="CX247" s="66"/>
      <c r="CY247" s="532"/>
      <c r="DE247" s="66"/>
      <c r="DF247" s="66"/>
      <c r="DG247" s="68"/>
      <c r="DH247" s="68"/>
      <c r="DK247" s="66"/>
      <c r="DL247" s="66"/>
      <c r="DM247" s="66"/>
      <c r="DN247" s="66"/>
      <c r="DO247" s="66"/>
      <c r="DP247" s="66"/>
      <c r="DQ247" s="66"/>
      <c r="DR247" s="66"/>
      <c r="DS247" s="66"/>
      <c r="DT247" s="68"/>
      <c r="DU247" s="66"/>
      <c r="DV247" s="296"/>
      <c r="DW247" s="330"/>
      <c r="DX247" s="631"/>
      <c r="DY247" s="631"/>
      <c r="DZ247" s="631"/>
      <c r="EA247" s="330"/>
      <c r="EC247" s="66"/>
      <c r="ED247" s="68"/>
      <c r="EH247" s="66"/>
      <c r="EI247" s="66"/>
      <c r="EJ247" s="68"/>
      <c r="EK247" s="252"/>
      <c r="EL247" s="252"/>
      <c r="EM247" s="252"/>
      <c r="EO247" s="252"/>
      <c r="EP247" s="252"/>
      <c r="EQ247" s="252"/>
      <c r="ES247" s="252"/>
      <c r="ET247" s="252"/>
      <c r="EU247" s="252"/>
      <c r="EW247" s="252"/>
      <c r="EX247" s="252"/>
      <c r="EY247" s="252"/>
      <c r="FA247" s="250"/>
      <c r="FB247" s="250"/>
      <c r="FC247" s="250"/>
      <c r="FD247" s="250"/>
      <c r="FE247" s="250"/>
      <c r="FF247" s="250"/>
      <c r="FG247" s="250"/>
      <c r="FH247" s="424"/>
      <c r="FI247" s="250"/>
      <c r="FJ247" s="250"/>
      <c r="FK247" s="250"/>
      <c r="FL247" s="256"/>
      <c r="FM247" s="250"/>
      <c r="FN247" s="256"/>
      <c r="FO247" s="250"/>
      <c r="FP247" s="256"/>
      <c r="FQ247" s="250"/>
      <c r="FR247" s="256"/>
      <c r="FS247" s="250"/>
      <c r="FT247" s="256"/>
      <c r="FU247" s="256"/>
      <c r="FV247" s="256"/>
      <c r="FW247" s="250"/>
      <c r="FX247" s="424"/>
      <c r="FY247" s="251"/>
      <c r="GC247" s="252"/>
      <c r="GF247" s="252"/>
      <c r="GG247" s="252"/>
      <c r="GH247" s="252"/>
      <c r="GI247" s="252"/>
      <c r="GJ247" s="252"/>
      <c r="GK247" s="251"/>
      <c r="GL247" s="250"/>
      <c r="GM247" s="250"/>
      <c r="GN247" s="250"/>
      <c r="GO247" s="250"/>
      <c r="GP247" s="250"/>
      <c r="GQ247" s="250"/>
      <c r="GR247" s="250"/>
      <c r="GS247" s="250"/>
      <c r="GT247" s="250"/>
      <c r="GU247" s="251"/>
      <c r="GV247" s="250"/>
      <c r="GW247" s="250"/>
      <c r="GX247" s="250"/>
      <c r="GY247" s="250"/>
      <c r="GZ247" s="250"/>
      <c r="HA247" s="250"/>
      <c r="HB247" s="250"/>
      <c r="HC247" s="250"/>
      <c r="HD247" s="250"/>
      <c r="HE247" s="250"/>
      <c r="HF247" s="250"/>
      <c r="HG247" s="250"/>
      <c r="HH247" s="251"/>
      <c r="HI247" s="424"/>
      <c r="HJ247" s="255"/>
      <c r="HK247" s="255"/>
      <c r="HL247" s="250"/>
      <c r="HM247" s="255"/>
      <c r="HN247" s="255"/>
      <c r="HO247" s="255"/>
      <c r="HP247" s="250"/>
      <c r="HQ247" s="250"/>
      <c r="HR247" s="250"/>
      <c r="HS247" s="250"/>
      <c r="HT247" s="250"/>
      <c r="HU247" s="251"/>
      <c r="HX247" s="252"/>
      <c r="HY247" s="252"/>
      <c r="HZ247" s="252"/>
      <c r="ID247" s="252"/>
      <c r="IE247" s="252"/>
      <c r="IF247" s="252"/>
      <c r="IJ247" s="252"/>
      <c r="IK247" s="252"/>
      <c r="IL247" s="252"/>
      <c r="IP247" s="252"/>
      <c r="IQ247" s="252"/>
      <c r="IR247" s="252"/>
      <c r="IY247" s="66"/>
      <c r="IZ247" s="66"/>
      <c r="JA247" s="66"/>
      <c r="JB247" s="250"/>
      <c r="JC247" s="66"/>
      <c r="JD247" s="66"/>
      <c r="JE247" s="66"/>
      <c r="JF247" s="66"/>
      <c r="JG247" s="66"/>
      <c r="JH247" s="66"/>
      <c r="JI247" s="66"/>
      <c r="JJ247" s="66"/>
      <c r="JK247" s="8"/>
      <c r="JN247" s="252"/>
      <c r="JO247" s="252"/>
      <c r="JP247" s="252"/>
      <c r="JT247" s="252"/>
      <c r="JU247" s="252"/>
      <c r="JV247" s="252"/>
      <c r="JZ247" s="252"/>
      <c r="KA247" s="252"/>
      <c r="KB247" s="252"/>
      <c r="KF247" s="252"/>
      <c r="KG247" s="252"/>
      <c r="KH247" s="252"/>
      <c r="KO247" s="66"/>
      <c r="KP247" s="66"/>
      <c r="KQ247" s="66"/>
      <c r="KR247" s="66"/>
      <c r="KS247" s="66"/>
      <c r="KT247" s="66"/>
      <c r="KU247" s="66"/>
      <c r="KV247" s="66"/>
      <c r="KW247" s="66"/>
      <c r="KX247" s="66"/>
      <c r="KY247" s="66"/>
      <c r="KZ247" s="66"/>
      <c r="LA247" s="8"/>
      <c r="LD247" s="252"/>
      <c r="LE247" s="252"/>
      <c r="LF247" s="252"/>
      <c r="LJ247" s="252"/>
      <c r="LK247" s="252"/>
      <c r="LN247" s="252"/>
      <c r="LO247" s="252"/>
      <c r="LP247" s="252"/>
      <c r="LT247" s="271"/>
      <c r="LU247" s="250"/>
      <c r="LV247" s="250"/>
      <c r="LW247" s="250"/>
      <c r="LX247" s="250"/>
      <c r="LY247" s="250"/>
      <c r="LZ247" s="250"/>
      <c r="MA247" s="250"/>
      <c r="MB247" s="250"/>
      <c r="MC247" s="250"/>
      <c r="MD247" s="250"/>
      <c r="ME247" s="250"/>
      <c r="MF247" s="250"/>
      <c r="MG247" s="250"/>
      <c r="MH247" s="250"/>
      <c r="MI247" s="250"/>
      <c r="MJ247" s="250"/>
      <c r="MK247" s="424"/>
      <c r="ML247" s="640"/>
      <c r="MM247" s="251"/>
      <c r="MN247" s="252"/>
      <c r="MO247" s="252"/>
      <c r="MP247" s="252"/>
      <c r="MQ247" s="252"/>
      <c r="MR247" s="252"/>
      <c r="MS247" s="252"/>
      <c r="MT247" s="252"/>
      <c r="MU247" s="252"/>
      <c r="MV247" s="252"/>
      <c r="MW247" s="252"/>
      <c r="MX247" s="252"/>
      <c r="MY247" s="252"/>
      <c r="MZ247" s="252"/>
      <c r="NA247" s="252"/>
      <c r="NB247" s="252"/>
      <c r="NC247" s="251"/>
      <c r="ND247" s="250"/>
      <c r="NE247" s="250"/>
      <c r="NF247" s="250"/>
      <c r="NG247" s="250"/>
      <c r="NH247" s="250"/>
      <c r="NI247" s="250"/>
      <c r="NJ247" s="250"/>
      <c r="NK247" s="250"/>
      <c r="NL247" s="250"/>
      <c r="NM247" s="250"/>
      <c r="NN247" s="250"/>
      <c r="NO247" s="250"/>
      <c r="NP247" s="250"/>
      <c r="NQ247" s="250"/>
      <c r="NR247" s="250"/>
      <c r="NS247" s="250"/>
      <c r="NT247" s="250"/>
      <c r="NU247" s="250"/>
      <c r="NV247" s="250"/>
      <c r="NW247" s="251"/>
      <c r="OT247" s="8"/>
      <c r="QG247" s="8"/>
      <c r="RT247" s="8"/>
    </row>
    <row r="248" spans="1:488" s="282" customFormat="1" x14ac:dyDescent="0.25">
      <c r="A248" s="66"/>
      <c r="B248" s="8"/>
      <c r="C248" s="66"/>
      <c r="D248" s="66"/>
      <c r="E248" s="66"/>
      <c r="F248" s="66"/>
      <c r="G248" s="66"/>
      <c r="H248" s="66"/>
      <c r="I248" s="66"/>
      <c r="J248" s="66"/>
      <c r="K248" s="66"/>
      <c r="L248" s="66"/>
      <c r="M248" s="66"/>
      <c r="N248" s="66"/>
      <c r="O248" s="66"/>
      <c r="P248" s="66"/>
      <c r="Q248" s="66"/>
      <c r="R248" s="66"/>
      <c r="S248" s="66"/>
      <c r="T248" s="68"/>
      <c r="AC248" s="66"/>
      <c r="AD248" s="66"/>
      <c r="AE248" s="68"/>
      <c r="AN248" s="66"/>
      <c r="AO248" s="66"/>
      <c r="AP248" s="68"/>
      <c r="AW248" s="66"/>
      <c r="AX248" s="68"/>
      <c r="BD248" s="66"/>
      <c r="BE248" s="68"/>
      <c r="BF248" s="66"/>
      <c r="BG248" s="66"/>
      <c r="BH248" s="66"/>
      <c r="BI248" s="66"/>
      <c r="BJ248" s="66"/>
      <c r="BK248" s="66"/>
      <c r="BL248" s="68"/>
      <c r="BO248" s="66"/>
      <c r="BP248" s="68"/>
      <c r="BV248" s="66"/>
      <c r="BW248" s="68"/>
      <c r="CB248" s="8"/>
      <c r="CH248" s="8"/>
      <c r="CK248" s="299"/>
      <c r="CL248" s="299"/>
      <c r="CM248" s="66"/>
      <c r="CN248" s="66"/>
      <c r="CO248" s="68"/>
      <c r="CR248" s="8"/>
      <c r="CX248" s="66"/>
      <c r="CY248" s="532"/>
      <c r="DE248" s="66"/>
      <c r="DF248" s="66"/>
      <c r="DG248" s="68"/>
      <c r="DH248" s="68"/>
      <c r="DK248" s="66"/>
      <c r="DL248" s="66"/>
      <c r="DM248" s="66"/>
      <c r="DN248" s="66"/>
      <c r="DO248" s="66"/>
      <c r="DP248" s="66"/>
      <c r="DQ248" s="66"/>
      <c r="DR248" s="66"/>
      <c r="DS248" s="66"/>
      <c r="DT248" s="68"/>
      <c r="DU248" s="66"/>
      <c r="DV248" s="296"/>
      <c r="DW248" s="330"/>
      <c r="DX248" s="631"/>
      <c r="DY248" s="631"/>
      <c r="DZ248" s="631"/>
      <c r="EA248" s="330"/>
      <c r="EC248" s="66"/>
      <c r="ED248" s="68"/>
      <c r="EH248" s="66"/>
      <c r="EI248" s="66"/>
      <c r="EJ248" s="68"/>
      <c r="EK248" s="252"/>
      <c r="EL248" s="252"/>
      <c r="EM248" s="252"/>
      <c r="EO248" s="252"/>
      <c r="EP248" s="252"/>
      <c r="EQ248" s="252"/>
      <c r="ES248" s="252"/>
      <c r="ET248" s="252"/>
      <c r="EU248" s="252"/>
      <c r="EW248" s="252"/>
      <c r="EX248" s="252"/>
      <c r="EY248" s="252"/>
      <c r="FA248" s="250"/>
      <c r="FB248" s="250"/>
      <c r="FC248" s="250"/>
      <c r="FD248" s="250"/>
      <c r="FE248" s="250"/>
      <c r="FF248" s="250"/>
      <c r="FG248" s="250"/>
      <c r="FH248" s="424"/>
      <c r="FI248" s="250"/>
      <c r="FJ248" s="250"/>
      <c r="FK248" s="250"/>
      <c r="FL248" s="256"/>
      <c r="FM248" s="250"/>
      <c r="FN248" s="256"/>
      <c r="FO248" s="250"/>
      <c r="FP248" s="256"/>
      <c r="FQ248" s="250"/>
      <c r="FR248" s="256"/>
      <c r="FS248" s="250"/>
      <c r="FT248" s="256"/>
      <c r="FU248" s="256"/>
      <c r="FV248" s="256"/>
      <c r="FW248" s="250"/>
      <c r="FX248" s="424"/>
      <c r="FY248" s="251"/>
      <c r="GC248" s="252"/>
      <c r="GF248" s="252"/>
      <c r="GG248" s="252"/>
      <c r="GH248" s="252"/>
      <c r="GI248" s="252"/>
      <c r="GJ248" s="252"/>
      <c r="GK248" s="251"/>
      <c r="GL248" s="250"/>
      <c r="GM248" s="250"/>
      <c r="GN248" s="250"/>
      <c r="GO248" s="250"/>
      <c r="GP248" s="250"/>
      <c r="GQ248" s="250"/>
      <c r="GR248" s="250"/>
      <c r="GS248" s="250"/>
      <c r="GT248" s="250"/>
      <c r="GU248" s="251"/>
      <c r="GV248" s="250"/>
      <c r="GW248" s="250"/>
      <c r="GX248" s="250"/>
      <c r="GY248" s="250"/>
      <c r="GZ248" s="250"/>
      <c r="HA248" s="250"/>
      <c r="HB248" s="250"/>
      <c r="HC248" s="250"/>
      <c r="HD248" s="250"/>
      <c r="HE248" s="250"/>
      <c r="HF248" s="250"/>
      <c r="HG248" s="250"/>
      <c r="HH248" s="251"/>
      <c r="HI248" s="424"/>
      <c r="HJ248" s="255"/>
      <c r="HK248" s="255"/>
      <c r="HL248" s="250"/>
      <c r="HM248" s="255"/>
      <c r="HN248" s="255"/>
      <c r="HO248" s="255"/>
      <c r="HP248" s="250"/>
      <c r="HQ248" s="250"/>
      <c r="HR248" s="250"/>
      <c r="HS248" s="250"/>
      <c r="HT248" s="250"/>
      <c r="HU248" s="251"/>
      <c r="HX248" s="252"/>
      <c r="HY248" s="252"/>
      <c r="HZ248" s="252"/>
      <c r="ID248" s="252"/>
      <c r="IE248" s="252"/>
      <c r="IF248" s="252"/>
      <c r="IJ248" s="252"/>
      <c r="IK248" s="252"/>
      <c r="IL248" s="252"/>
      <c r="IP248" s="252"/>
      <c r="IQ248" s="252"/>
      <c r="IR248" s="252"/>
      <c r="IY248" s="66"/>
      <c r="IZ248" s="66"/>
      <c r="JA248" s="66"/>
      <c r="JB248" s="250"/>
      <c r="JC248" s="66"/>
      <c r="JD248" s="66"/>
      <c r="JE248" s="66"/>
      <c r="JF248" s="66"/>
      <c r="JG248" s="66"/>
      <c r="JH248" s="66"/>
      <c r="JI248" s="66"/>
      <c r="JJ248" s="66"/>
      <c r="JK248" s="8"/>
      <c r="JN248" s="252"/>
      <c r="JO248" s="252"/>
      <c r="JP248" s="252"/>
      <c r="JT248" s="252"/>
      <c r="JU248" s="252"/>
      <c r="JV248" s="252"/>
      <c r="JZ248" s="252"/>
      <c r="KA248" s="252"/>
      <c r="KB248" s="252"/>
      <c r="KF248" s="252"/>
      <c r="KG248" s="252"/>
      <c r="KH248" s="252"/>
      <c r="KO248" s="66"/>
      <c r="KP248" s="66"/>
      <c r="KQ248" s="66"/>
      <c r="KR248" s="66"/>
      <c r="KS248" s="66"/>
      <c r="KT248" s="66"/>
      <c r="KU248" s="66"/>
      <c r="KV248" s="66"/>
      <c r="KW248" s="66"/>
      <c r="KX248" s="66"/>
      <c r="KY248" s="66"/>
      <c r="KZ248" s="66"/>
      <c r="LA248" s="8"/>
      <c r="LD248" s="252"/>
      <c r="LE248" s="252"/>
      <c r="LF248" s="252"/>
      <c r="LJ248" s="252"/>
      <c r="LK248" s="252"/>
      <c r="LN248" s="252"/>
      <c r="LO248" s="252"/>
      <c r="LP248" s="252"/>
      <c r="LT248" s="271"/>
      <c r="LU248" s="250"/>
      <c r="LV248" s="250"/>
      <c r="LW248" s="250"/>
      <c r="LX248" s="250"/>
      <c r="LY248" s="250"/>
      <c r="LZ248" s="250"/>
      <c r="MA248" s="250"/>
      <c r="MB248" s="250"/>
      <c r="MC248" s="250"/>
      <c r="MD248" s="250"/>
      <c r="ME248" s="250"/>
      <c r="MF248" s="250"/>
      <c r="MG248" s="250"/>
      <c r="MH248" s="250"/>
      <c r="MI248" s="250"/>
      <c r="MJ248" s="250"/>
      <c r="MK248" s="424"/>
      <c r="ML248" s="640"/>
      <c r="MM248" s="251"/>
      <c r="MN248" s="252"/>
      <c r="MO248" s="252"/>
      <c r="MP248" s="252"/>
      <c r="MQ248" s="252"/>
      <c r="MR248" s="252"/>
      <c r="MS248" s="252"/>
      <c r="MT248" s="252"/>
      <c r="MU248" s="252"/>
      <c r="MV248" s="252"/>
      <c r="MW248" s="252"/>
      <c r="MX248" s="252"/>
      <c r="MY248" s="252"/>
      <c r="MZ248" s="252"/>
      <c r="NA248" s="252"/>
      <c r="NB248" s="252"/>
      <c r="NC248" s="251"/>
      <c r="ND248" s="250"/>
      <c r="NE248" s="250"/>
      <c r="NF248" s="250"/>
      <c r="NG248" s="250"/>
      <c r="NH248" s="250"/>
      <c r="NI248" s="250"/>
      <c r="NJ248" s="250"/>
      <c r="NK248" s="250"/>
      <c r="NL248" s="250"/>
      <c r="NM248" s="250"/>
      <c r="NN248" s="250"/>
      <c r="NO248" s="250"/>
      <c r="NP248" s="250"/>
      <c r="NQ248" s="250"/>
      <c r="NR248" s="250"/>
      <c r="NS248" s="250"/>
      <c r="NT248" s="250"/>
      <c r="NU248" s="250"/>
      <c r="NV248" s="250"/>
      <c r="NW248" s="251"/>
      <c r="OT248" s="8"/>
      <c r="QG248" s="8"/>
      <c r="RT248" s="8"/>
    </row>
    <row r="249" spans="1:488" s="282" customFormat="1" x14ac:dyDescent="0.25">
      <c r="A249" s="66"/>
      <c r="B249" s="8"/>
      <c r="C249" s="66"/>
      <c r="D249" s="66"/>
      <c r="E249" s="66"/>
      <c r="F249" s="66"/>
      <c r="G249" s="66"/>
      <c r="H249" s="66"/>
      <c r="I249" s="66"/>
      <c r="J249" s="66"/>
      <c r="K249" s="66"/>
      <c r="L249" s="66"/>
      <c r="M249" s="66"/>
      <c r="N249" s="66"/>
      <c r="O249" s="66"/>
      <c r="P249" s="66"/>
      <c r="Q249" s="66"/>
      <c r="R249" s="66"/>
      <c r="S249" s="66"/>
      <c r="T249" s="68"/>
      <c r="AC249" s="66"/>
      <c r="AD249" s="66"/>
      <c r="AE249" s="68"/>
      <c r="AN249" s="66"/>
      <c r="AO249" s="66"/>
      <c r="AP249" s="68"/>
      <c r="AW249" s="66"/>
      <c r="AX249" s="68"/>
      <c r="BD249" s="66"/>
      <c r="BE249" s="68"/>
      <c r="BF249" s="66"/>
      <c r="BG249" s="66"/>
      <c r="BH249" s="66"/>
      <c r="BI249" s="66"/>
      <c r="BJ249" s="66"/>
      <c r="BK249" s="66"/>
      <c r="BL249" s="68"/>
      <c r="BO249" s="66"/>
      <c r="BP249" s="68"/>
      <c r="BV249" s="66"/>
      <c r="BW249" s="68"/>
      <c r="CB249" s="8"/>
      <c r="CH249" s="8"/>
      <c r="CK249" s="299"/>
      <c r="CL249" s="299"/>
      <c r="CM249" s="66"/>
      <c r="CN249" s="66"/>
      <c r="CO249" s="68"/>
      <c r="CR249" s="8"/>
      <c r="CX249" s="66"/>
      <c r="CY249" s="532"/>
      <c r="DE249" s="66"/>
      <c r="DF249" s="66"/>
      <c r="DG249" s="68"/>
      <c r="DH249" s="68"/>
      <c r="DK249" s="66"/>
      <c r="DL249" s="66"/>
      <c r="DM249" s="66"/>
      <c r="DN249" s="66"/>
      <c r="DO249" s="66"/>
      <c r="DP249" s="66"/>
      <c r="DQ249" s="66"/>
      <c r="DR249" s="66"/>
      <c r="DS249" s="66"/>
      <c r="DT249" s="68"/>
      <c r="DU249" s="66"/>
      <c r="DV249" s="296"/>
      <c r="DW249" s="330"/>
      <c r="DX249" s="631"/>
      <c r="DY249" s="631"/>
      <c r="DZ249" s="631"/>
      <c r="EA249" s="330"/>
      <c r="EC249" s="66"/>
      <c r="ED249" s="68"/>
      <c r="EH249" s="66"/>
      <c r="EI249" s="66"/>
      <c r="EJ249" s="68"/>
      <c r="EK249" s="252"/>
      <c r="EL249" s="252"/>
      <c r="EM249" s="252"/>
      <c r="EO249" s="252"/>
      <c r="EP249" s="252"/>
      <c r="EQ249" s="252"/>
      <c r="ES249" s="252"/>
      <c r="ET249" s="252"/>
      <c r="EU249" s="252"/>
      <c r="EW249" s="252"/>
      <c r="EX249" s="252"/>
      <c r="EY249" s="252"/>
      <c r="FA249" s="250"/>
      <c r="FB249" s="250"/>
      <c r="FC249" s="250"/>
      <c r="FD249" s="250"/>
      <c r="FE249" s="250"/>
      <c r="FF249" s="250"/>
      <c r="FG249" s="250"/>
      <c r="FH249" s="424"/>
      <c r="FI249" s="250"/>
      <c r="FJ249" s="250"/>
      <c r="FK249" s="250"/>
      <c r="FL249" s="256"/>
      <c r="FM249" s="250"/>
      <c r="FN249" s="256"/>
      <c r="FO249" s="250"/>
      <c r="FP249" s="256"/>
      <c r="FQ249" s="250"/>
      <c r="FR249" s="256"/>
      <c r="FS249" s="250"/>
      <c r="FT249" s="256"/>
      <c r="FU249" s="256"/>
      <c r="FV249" s="256"/>
      <c r="FW249" s="250"/>
      <c r="FX249" s="424"/>
      <c r="FY249" s="251"/>
      <c r="GC249" s="252"/>
      <c r="GF249" s="252"/>
      <c r="GG249" s="252"/>
      <c r="GH249" s="252"/>
      <c r="GI249" s="252"/>
      <c r="GJ249" s="252"/>
      <c r="GK249" s="251"/>
      <c r="GL249" s="250"/>
      <c r="GM249" s="250"/>
      <c r="GN249" s="250"/>
      <c r="GO249" s="250"/>
      <c r="GP249" s="250"/>
      <c r="GQ249" s="250"/>
      <c r="GR249" s="250"/>
      <c r="GS249" s="250"/>
      <c r="GT249" s="250"/>
      <c r="GU249" s="251"/>
      <c r="GV249" s="250"/>
      <c r="GW249" s="250"/>
      <c r="GX249" s="250"/>
      <c r="GY249" s="250"/>
      <c r="GZ249" s="250"/>
      <c r="HA249" s="250"/>
      <c r="HB249" s="250"/>
      <c r="HC249" s="250"/>
      <c r="HD249" s="250"/>
      <c r="HE249" s="250"/>
      <c r="HF249" s="250"/>
      <c r="HG249" s="250"/>
      <c r="HH249" s="251"/>
      <c r="HI249" s="424"/>
      <c r="HJ249" s="255"/>
      <c r="HK249" s="255"/>
      <c r="HL249" s="250"/>
      <c r="HM249" s="255"/>
      <c r="HN249" s="255"/>
      <c r="HO249" s="255"/>
      <c r="HP249" s="250"/>
      <c r="HQ249" s="250"/>
      <c r="HR249" s="250"/>
      <c r="HS249" s="250"/>
      <c r="HT249" s="250"/>
      <c r="HU249" s="251"/>
      <c r="HX249" s="252"/>
      <c r="HY249" s="252"/>
      <c r="HZ249" s="252"/>
      <c r="ID249" s="252"/>
      <c r="IE249" s="252"/>
      <c r="IF249" s="252"/>
      <c r="IJ249" s="252"/>
      <c r="IK249" s="252"/>
      <c r="IL249" s="252"/>
      <c r="IP249" s="252"/>
      <c r="IQ249" s="252"/>
      <c r="IR249" s="252"/>
      <c r="IY249" s="66"/>
      <c r="IZ249" s="66"/>
      <c r="JA249" s="66"/>
      <c r="JB249" s="250"/>
      <c r="JC249" s="66"/>
      <c r="JD249" s="66"/>
      <c r="JE249" s="66"/>
      <c r="JF249" s="66"/>
      <c r="JG249" s="66"/>
      <c r="JH249" s="66"/>
      <c r="JI249" s="66"/>
      <c r="JJ249" s="66"/>
      <c r="JK249" s="8"/>
      <c r="JN249" s="252"/>
      <c r="JO249" s="252"/>
      <c r="JP249" s="252"/>
      <c r="JT249" s="252"/>
      <c r="JU249" s="252"/>
      <c r="JV249" s="252"/>
      <c r="JZ249" s="252"/>
      <c r="KA249" s="252"/>
      <c r="KB249" s="252"/>
      <c r="KF249" s="252"/>
      <c r="KG249" s="252"/>
      <c r="KH249" s="252"/>
      <c r="KO249" s="66"/>
      <c r="KP249" s="66"/>
      <c r="KQ249" s="66"/>
      <c r="KR249" s="66"/>
      <c r="KS249" s="66"/>
      <c r="KT249" s="66"/>
      <c r="KU249" s="66"/>
      <c r="KV249" s="66"/>
      <c r="KW249" s="66"/>
      <c r="KX249" s="66"/>
      <c r="KY249" s="66"/>
      <c r="KZ249" s="66"/>
      <c r="LA249" s="8"/>
      <c r="LD249" s="252"/>
      <c r="LE249" s="252"/>
      <c r="LF249" s="252"/>
      <c r="LJ249" s="252"/>
      <c r="LK249" s="252"/>
      <c r="LN249" s="252"/>
      <c r="LO249" s="252"/>
      <c r="LP249" s="252"/>
      <c r="LT249" s="271"/>
      <c r="LU249" s="250"/>
      <c r="LV249" s="250"/>
      <c r="LW249" s="250"/>
      <c r="LX249" s="250"/>
      <c r="LY249" s="250"/>
      <c r="LZ249" s="250"/>
      <c r="MA249" s="250"/>
      <c r="MB249" s="250"/>
      <c r="MC249" s="250"/>
      <c r="MD249" s="250"/>
      <c r="ME249" s="250"/>
      <c r="MF249" s="250"/>
      <c r="MG249" s="250"/>
      <c r="MH249" s="250"/>
      <c r="MI249" s="250"/>
      <c r="MJ249" s="250"/>
      <c r="MK249" s="424"/>
      <c r="ML249" s="640"/>
      <c r="MM249" s="251"/>
      <c r="MN249" s="252"/>
      <c r="MO249" s="252"/>
      <c r="MP249" s="252"/>
      <c r="MQ249" s="252"/>
      <c r="MR249" s="252"/>
      <c r="MS249" s="252"/>
      <c r="MT249" s="252"/>
      <c r="MU249" s="252"/>
      <c r="MV249" s="252"/>
      <c r="MW249" s="252"/>
      <c r="MX249" s="252"/>
      <c r="MY249" s="252"/>
      <c r="MZ249" s="252"/>
      <c r="NA249" s="252"/>
      <c r="NB249" s="252"/>
      <c r="NC249" s="251"/>
      <c r="ND249" s="250"/>
      <c r="NE249" s="250"/>
      <c r="NF249" s="250"/>
      <c r="NG249" s="250"/>
      <c r="NH249" s="250"/>
      <c r="NI249" s="250"/>
      <c r="NJ249" s="250"/>
      <c r="NK249" s="250"/>
      <c r="NL249" s="250"/>
      <c r="NM249" s="250"/>
      <c r="NN249" s="250"/>
      <c r="NO249" s="250"/>
      <c r="NP249" s="250"/>
      <c r="NQ249" s="250"/>
      <c r="NR249" s="250"/>
      <c r="NS249" s="250"/>
      <c r="NT249" s="250"/>
      <c r="NU249" s="250"/>
      <c r="NV249" s="250"/>
      <c r="NW249" s="251"/>
      <c r="OT249" s="8"/>
      <c r="QG249" s="8"/>
      <c r="RT249" s="8"/>
    </row>
    <row r="250" spans="1:488" s="282" customFormat="1" x14ac:dyDescent="0.25">
      <c r="A250" s="66"/>
      <c r="B250" s="8"/>
      <c r="C250" s="66"/>
      <c r="D250" s="66"/>
      <c r="E250" s="66"/>
      <c r="F250" s="66"/>
      <c r="G250" s="66"/>
      <c r="H250" s="66"/>
      <c r="I250" s="66"/>
      <c r="J250" s="66"/>
      <c r="K250" s="66"/>
      <c r="L250" s="66"/>
      <c r="M250" s="66"/>
      <c r="N250" s="66"/>
      <c r="O250" s="66"/>
      <c r="P250" s="66"/>
      <c r="Q250" s="66"/>
      <c r="R250" s="66"/>
      <c r="S250" s="66"/>
      <c r="T250" s="68"/>
      <c r="AC250" s="66"/>
      <c r="AD250" s="66"/>
      <c r="AE250" s="68"/>
      <c r="AN250" s="66"/>
      <c r="AO250" s="66"/>
      <c r="AP250" s="68"/>
      <c r="AW250" s="66"/>
      <c r="AX250" s="68"/>
      <c r="BD250" s="66"/>
      <c r="BE250" s="68"/>
      <c r="BF250" s="66"/>
      <c r="BG250" s="66"/>
      <c r="BH250" s="66"/>
      <c r="BI250" s="66"/>
      <c r="BJ250" s="66"/>
      <c r="BK250" s="66"/>
      <c r="BL250" s="68"/>
      <c r="BO250" s="66"/>
      <c r="BP250" s="68"/>
      <c r="BV250" s="66"/>
      <c r="BW250" s="68"/>
      <c r="CB250" s="8"/>
      <c r="CH250" s="8"/>
      <c r="CK250" s="299"/>
      <c r="CL250" s="299"/>
      <c r="CM250" s="66"/>
      <c r="CN250" s="66"/>
      <c r="CO250" s="68"/>
      <c r="CR250" s="8"/>
      <c r="CX250" s="66"/>
      <c r="CY250" s="532"/>
      <c r="DE250" s="66"/>
      <c r="DF250" s="66"/>
      <c r="DG250" s="68"/>
      <c r="DH250" s="68"/>
      <c r="DK250" s="66"/>
      <c r="DL250" s="66"/>
      <c r="DM250" s="66"/>
      <c r="DN250" s="66"/>
      <c r="DO250" s="66"/>
      <c r="DP250" s="66"/>
      <c r="DQ250" s="66"/>
      <c r="DR250" s="66"/>
      <c r="DS250" s="66"/>
      <c r="DT250" s="68"/>
      <c r="DU250" s="66"/>
      <c r="DV250" s="296"/>
      <c r="DW250" s="330"/>
      <c r="DX250" s="631"/>
      <c r="DY250" s="631"/>
      <c r="DZ250" s="631"/>
      <c r="EA250" s="330"/>
      <c r="EC250" s="66"/>
      <c r="ED250" s="68"/>
      <c r="EH250" s="66"/>
      <c r="EI250" s="66"/>
      <c r="EJ250" s="68"/>
      <c r="EK250" s="252"/>
      <c r="EL250" s="252"/>
      <c r="EM250" s="252"/>
      <c r="EO250" s="252"/>
      <c r="EP250" s="252"/>
      <c r="EQ250" s="252"/>
      <c r="ES250" s="252"/>
      <c r="ET250" s="252"/>
      <c r="EU250" s="252"/>
      <c r="EW250" s="252"/>
      <c r="EX250" s="252"/>
      <c r="EY250" s="252"/>
      <c r="FA250" s="250"/>
      <c r="FB250" s="250"/>
      <c r="FC250" s="250"/>
      <c r="FD250" s="250"/>
      <c r="FE250" s="250"/>
      <c r="FF250" s="250"/>
      <c r="FG250" s="250"/>
      <c r="FH250" s="424"/>
      <c r="FI250" s="250"/>
      <c r="FJ250" s="250"/>
      <c r="FK250" s="250"/>
      <c r="FL250" s="256"/>
      <c r="FM250" s="250"/>
      <c r="FN250" s="256"/>
      <c r="FO250" s="250"/>
      <c r="FP250" s="256"/>
      <c r="FQ250" s="250"/>
      <c r="FR250" s="256"/>
      <c r="FS250" s="250"/>
      <c r="FT250" s="256"/>
      <c r="FU250" s="256"/>
      <c r="FV250" s="256"/>
      <c r="FW250" s="250"/>
      <c r="FX250" s="424"/>
      <c r="FY250" s="251"/>
      <c r="GC250" s="252"/>
      <c r="GF250" s="252"/>
      <c r="GG250" s="252"/>
      <c r="GH250" s="252"/>
      <c r="GI250" s="252"/>
      <c r="GJ250" s="252"/>
      <c r="GK250" s="251"/>
      <c r="GL250" s="250"/>
      <c r="GM250" s="250"/>
      <c r="GN250" s="250"/>
      <c r="GO250" s="250"/>
      <c r="GP250" s="250"/>
      <c r="GQ250" s="250"/>
      <c r="GR250" s="250"/>
      <c r="GS250" s="250"/>
      <c r="GT250" s="250"/>
      <c r="GU250" s="251"/>
      <c r="GV250" s="250"/>
      <c r="GW250" s="250"/>
      <c r="GX250" s="250"/>
      <c r="GY250" s="250"/>
      <c r="GZ250" s="250"/>
      <c r="HA250" s="250"/>
      <c r="HB250" s="250"/>
      <c r="HC250" s="250"/>
      <c r="HD250" s="250"/>
      <c r="HE250" s="250"/>
      <c r="HF250" s="250"/>
      <c r="HG250" s="250"/>
      <c r="HH250" s="251"/>
      <c r="HI250" s="424"/>
      <c r="HJ250" s="255"/>
      <c r="HK250" s="255"/>
      <c r="HL250" s="250"/>
      <c r="HM250" s="255"/>
      <c r="HN250" s="255"/>
      <c r="HO250" s="255"/>
      <c r="HP250" s="250"/>
      <c r="HQ250" s="250"/>
      <c r="HR250" s="250"/>
      <c r="HS250" s="250"/>
      <c r="HT250" s="250"/>
      <c r="HU250" s="251"/>
      <c r="HX250" s="252"/>
      <c r="HY250" s="252"/>
      <c r="HZ250" s="252"/>
      <c r="ID250" s="252"/>
      <c r="IE250" s="252"/>
      <c r="IF250" s="252"/>
      <c r="IJ250" s="252"/>
      <c r="IK250" s="252"/>
      <c r="IL250" s="252"/>
      <c r="IP250" s="252"/>
      <c r="IQ250" s="252"/>
      <c r="IR250" s="252"/>
      <c r="IY250" s="66"/>
      <c r="IZ250" s="66"/>
      <c r="JA250" s="66"/>
      <c r="JB250" s="250"/>
      <c r="JC250" s="66"/>
      <c r="JD250" s="66"/>
      <c r="JE250" s="66"/>
      <c r="JF250" s="66"/>
      <c r="JG250" s="66"/>
      <c r="JH250" s="66"/>
      <c r="JI250" s="66"/>
      <c r="JJ250" s="66"/>
      <c r="JK250" s="8"/>
      <c r="JN250" s="252"/>
      <c r="JO250" s="252"/>
      <c r="JP250" s="252"/>
      <c r="JT250" s="252"/>
      <c r="JU250" s="252"/>
      <c r="JV250" s="252"/>
      <c r="JZ250" s="252"/>
      <c r="KA250" s="252"/>
      <c r="KB250" s="252"/>
      <c r="KF250" s="252"/>
      <c r="KG250" s="252"/>
      <c r="KH250" s="252"/>
      <c r="KO250" s="66"/>
      <c r="KP250" s="66"/>
      <c r="KQ250" s="66"/>
      <c r="KR250" s="66"/>
      <c r="KS250" s="66"/>
      <c r="KT250" s="66"/>
      <c r="KU250" s="66"/>
      <c r="KV250" s="66"/>
      <c r="KW250" s="66"/>
      <c r="KX250" s="66"/>
      <c r="KY250" s="66"/>
      <c r="KZ250" s="66"/>
      <c r="LA250" s="8"/>
      <c r="LD250" s="252"/>
      <c r="LE250" s="252"/>
      <c r="LF250" s="252"/>
      <c r="LJ250" s="252"/>
      <c r="LK250" s="252"/>
      <c r="LN250" s="252"/>
      <c r="LO250" s="252"/>
      <c r="LP250" s="252"/>
      <c r="LT250" s="271"/>
      <c r="LU250" s="250"/>
      <c r="LV250" s="250"/>
      <c r="LW250" s="250"/>
      <c r="LX250" s="250"/>
      <c r="LY250" s="250"/>
      <c r="LZ250" s="250"/>
      <c r="MA250" s="250"/>
      <c r="MB250" s="250"/>
      <c r="MC250" s="250"/>
      <c r="MD250" s="250"/>
      <c r="ME250" s="250"/>
      <c r="MF250" s="250"/>
      <c r="MG250" s="250"/>
      <c r="MH250" s="250"/>
      <c r="MI250" s="250"/>
      <c r="MJ250" s="250"/>
      <c r="MK250" s="424"/>
      <c r="ML250" s="640"/>
      <c r="MM250" s="251"/>
      <c r="MN250" s="252"/>
      <c r="MO250" s="252"/>
      <c r="MP250" s="252"/>
      <c r="MQ250" s="252"/>
      <c r="MR250" s="252"/>
      <c r="MS250" s="252"/>
      <c r="MT250" s="252"/>
      <c r="MU250" s="252"/>
      <c r="MV250" s="252"/>
      <c r="MW250" s="252"/>
      <c r="MX250" s="252"/>
      <c r="MY250" s="252"/>
      <c r="MZ250" s="252"/>
      <c r="NA250" s="252"/>
      <c r="NB250" s="252"/>
      <c r="NC250" s="251"/>
      <c r="ND250" s="250"/>
      <c r="NE250" s="250"/>
      <c r="NF250" s="250"/>
      <c r="NG250" s="250"/>
      <c r="NH250" s="250"/>
      <c r="NI250" s="250"/>
      <c r="NJ250" s="250"/>
      <c r="NK250" s="250"/>
      <c r="NL250" s="250"/>
      <c r="NM250" s="250"/>
      <c r="NN250" s="250"/>
      <c r="NO250" s="250"/>
      <c r="NP250" s="250"/>
      <c r="NQ250" s="250"/>
      <c r="NR250" s="250"/>
      <c r="NS250" s="250"/>
      <c r="NT250" s="250"/>
      <c r="NU250" s="250"/>
      <c r="NV250" s="250"/>
      <c r="NW250" s="251"/>
      <c r="OT250" s="8"/>
      <c r="QG250" s="8"/>
      <c r="RT250" s="8"/>
    </row>
    <row r="251" spans="1:488" s="282" customFormat="1" x14ac:dyDescent="0.25">
      <c r="A251" s="66"/>
      <c r="B251" s="8"/>
      <c r="C251" s="66"/>
      <c r="D251" s="66"/>
      <c r="E251" s="66"/>
      <c r="F251" s="66"/>
      <c r="G251" s="66"/>
      <c r="H251" s="66"/>
      <c r="I251" s="66"/>
      <c r="J251" s="66"/>
      <c r="K251" s="66"/>
      <c r="L251" s="66"/>
      <c r="M251" s="66"/>
      <c r="N251" s="66"/>
      <c r="O251" s="66"/>
      <c r="P251" s="66"/>
      <c r="Q251" s="66"/>
      <c r="R251" s="66"/>
      <c r="S251" s="66"/>
      <c r="T251" s="68"/>
      <c r="AC251" s="66"/>
      <c r="AD251" s="66"/>
      <c r="AE251" s="68"/>
      <c r="AN251" s="66"/>
      <c r="AO251" s="66"/>
      <c r="AP251" s="68"/>
      <c r="AW251" s="66"/>
      <c r="AX251" s="68"/>
      <c r="BD251" s="66"/>
      <c r="BE251" s="68"/>
      <c r="BF251" s="66"/>
      <c r="BG251" s="66"/>
      <c r="BH251" s="66"/>
      <c r="BI251" s="66"/>
      <c r="BJ251" s="66"/>
      <c r="BK251" s="66"/>
      <c r="BL251" s="68"/>
      <c r="BO251" s="66"/>
      <c r="BP251" s="68"/>
      <c r="BV251" s="66"/>
      <c r="BW251" s="68"/>
      <c r="CB251" s="8"/>
      <c r="CH251" s="8"/>
      <c r="CK251" s="299"/>
      <c r="CL251" s="299"/>
      <c r="CM251" s="66"/>
      <c r="CN251" s="66"/>
      <c r="CO251" s="68"/>
      <c r="CR251" s="8"/>
      <c r="CX251" s="66"/>
      <c r="CY251" s="532"/>
      <c r="DE251" s="66"/>
      <c r="DF251" s="66"/>
      <c r="DG251" s="68"/>
      <c r="DH251" s="68"/>
      <c r="DK251" s="66"/>
      <c r="DL251" s="66"/>
      <c r="DM251" s="66"/>
      <c r="DN251" s="66"/>
      <c r="DO251" s="66"/>
      <c r="DP251" s="66"/>
      <c r="DQ251" s="66"/>
      <c r="DR251" s="66"/>
      <c r="DS251" s="66"/>
      <c r="DT251" s="68"/>
      <c r="DU251" s="66"/>
      <c r="DV251" s="296"/>
      <c r="DW251" s="330"/>
      <c r="DX251" s="631"/>
      <c r="DY251" s="631"/>
      <c r="DZ251" s="631"/>
      <c r="EA251" s="330"/>
      <c r="EC251" s="66"/>
      <c r="ED251" s="68"/>
      <c r="EH251" s="66"/>
      <c r="EI251" s="66"/>
      <c r="EJ251" s="68"/>
      <c r="EK251" s="252"/>
      <c r="EL251" s="252"/>
      <c r="EM251" s="252"/>
      <c r="EO251" s="252"/>
      <c r="EP251" s="252"/>
      <c r="EQ251" s="252"/>
      <c r="ES251" s="252"/>
      <c r="ET251" s="252"/>
      <c r="EU251" s="252"/>
      <c r="EW251" s="252"/>
      <c r="EX251" s="252"/>
      <c r="EY251" s="252"/>
      <c r="FA251" s="250"/>
      <c r="FB251" s="250"/>
      <c r="FC251" s="250"/>
      <c r="FD251" s="250"/>
      <c r="FE251" s="250"/>
      <c r="FF251" s="250"/>
      <c r="FG251" s="250"/>
      <c r="FH251" s="424"/>
      <c r="FI251" s="250"/>
      <c r="FJ251" s="250"/>
      <c r="FK251" s="250"/>
      <c r="FL251" s="256"/>
      <c r="FM251" s="250"/>
      <c r="FN251" s="256"/>
      <c r="FO251" s="250"/>
      <c r="FP251" s="256"/>
      <c r="FQ251" s="250"/>
      <c r="FR251" s="256"/>
      <c r="FS251" s="250"/>
      <c r="FT251" s="256"/>
      <c r="FU251" s="256"/>
      <c r="FV251" s="256"/>
      <c r="FW251" s="250"/>
      <c r="FX251" s="424"/>
      <c r="FY251" s="251"/>
      <c r="GC251" s="252"/>
      <c r="GF251" s="252"/>
      <c r="GG251" s="252"/>
      <c r="GH251" s="252"/>
      <c r="GI251" s="252"/>
      <c r="GJ251" s="252"/>
      <c r="GK251" s="251"/>
      <c r="GL251" s="250"/>
      <c r="GM251" s="250"/>
      <c r="GN251" s="250"/>
      <c r="GO251" s="250"/>
      <c r="GP251" s="250"/>
      <c r="GQ251" s="250"/>
      <c r="GR251" s="250"/>
      <c r="GS251" s="250"/>
      <c r="GT251" s="250"/>
      <c r="GU251" s="251"/>
      <c r="GV251" s="250"/>
      <c r="GW251" s="250"/>
      <c r="GX251" s="250"/>
      <c r="GY251" s="250"/>
      <c r="GZ251" s="250"/>
      <c r="HA251" s="250"/>
      <c r="HB251" s="250"/>
      <c r="HC251" s="250"/>
      <c r="HD251" s="250"/>
      <c r="HE251" s="250"/>
      <c r="HF251" s="250"/>
      <c r="HG251" s="250"/>
      <c r="HH251" s="251"/>
      <c r="HI251" s="424"/>
      <c r="HJ251" s="255"/>
      <c r="HK251" s="255"/>
      <c r="HL251" s="250"/>
      <c r="HM251" s="255"/>
      <c r="HN251" s="255"/>
      <c r="HO251" s="255"/>
      <c r="HP251" s="250"/>
      <c r="HQ251" s="250"/>
      <c r="HR251" s="250"/>
      <c r="HS251" s="250"/>
      <c r="HT251" s="250"/>
      <c r="HU251" s="251"/>
      <c r="HX251" s="252"/>
      <c r="HY251" s="252"/>
      <c r="HZ251" s="252"/>
      <c r="ID251" s="252"/>
      <c r="IE251" s="252"/>
      <c r="IF251" s="252"/>
      <c r="IJ251" s="252"/>
      <c r="IK251" s="252"/>
      <c r="IL251" s="252"/>
      <c r="IP251" s="252"/>
      <c r="IQ251" s="252"/>
      <c r="IR251" s="252"/>
      <c r="IY251" s="66"/>
      <c r="IZ251" s="66"/>
      <c r="JA251" s="66"/>
      <c r="JB251" s="250"/>
      <c r="JC251" s="66"/>
      <c r="JD251" s="66"/>
      <c r="JE251" s="66"/>
      <c r="JF251" s="66"/>
      <c r="JG251" s="66"/>
      <c r="JH251" s="66"/>
      <c r="JI251" s="66"/>
      <c r="JJ251" s="66"/>
      <c r="JK251" s="8"/>
      <c r="JN251" s="252"/>
      <c r="JO251" s="252"/>
      <c r="JP251" s="252"/>
      <c r="JT251" s="252"/>
      <c r="JU251" s="252"/>
      <c r="JV251" s="252"/>
      <c r="JZ251" s="252"/>
      <c r="KA251" s="252"/>
      <c r="KB251" s="252"/>
      <c r="KF251" s="252"/>
      <c r="KG251" s="252"/>
      <c r="KH251" s="252"/>
      <c r="KO251" s="66"/>
      <c r="KP251" s="66"/>
      <c r="KQ251" s="66"/>
      <c r="KR251" s="66"/>
      <c r="KS251" s="66"/>
      <c r="KT251" s="66"/>
      <c r="KU251" s="66"/>
      <c r="KV251" s="66"/>
      <c r="KW251" s="66"/>
      <c r="KX251" s="66"/>
      <c r="KY251" s="66"/>
      <c r="KZ251" s="66"/>
      <c r="LA251" s="8"/>
      <c r="LD251" s="252"/>
      <c r="LE251" s="252"/>
      <c r="LF251" s="252"/>
      <c r="LJ251" s="252"/>
      <c r="LK251" s="252"/>
      <c r="LN251" s="252"/>
      <c r="LO251" s="252"/>
      <c r="LP251" s="252"/>
      <c r="LT251" s="271"/>
      <c r="LU251" s="250"/>
      <c r="LV251" s="250"/>
      <c r="LW251" s="250"/>
      <c r="LX251" s="250"/>
      <c r="LY251" s="250"/>
      <c r="LZ251" s="250"/>
      <c r="MA251" s="250"/>
      <c r="MB251" s="250"/>
      <c r="MC251" s="250"/>
      <c r="MD251" s="250"/>
      <c r="ME251" s="250"/>
      <c r="MF251" s="250"/>
      <c r="MG251" s="250"/>
      <c r="MH251" s="250"/>
      <c r="MI251" s="250"/>
      <c r="MJ251" s="250"/>
      <c r="MK251" s="424"/>
      <c r="ML251" s="640"/>
      <c r="MM251" s="251"/>
      <c r="MN251" s="252"/>
      <c r="MO251" s="252"/>
      <c r="MP251" s="252"/>
      <c r="MQ251" s="252"/>
      <c r="MR251" s="252"/>
      <c r="MS251" s="252"/>
      <c r="MT251" s="252"/>
      <c r="MU251" s="252"/>
      <c r="MV251" s="252"/>
      <c r="MW251" s="252"/>
      <c r="MX251" s="252"/>
      <c r="MY251" s="252"/>
      <c r="MZ251" s="252"/>
      <c r="NA251" s="252"/>
      <c r="NB251" s="252"/>
      <c r="NC251" s="251"/>
      <c r="ND251" s="250"/>
      <c r="NE251" s="250"/>
      <c r="NF251" s="250"/>
      <c r="NG251" s="250"/>
      <c r="NH251" s="250"/>
      <c r="NI251" s="250"/>
      <c r="NJ251" s="250"/>
      <c r="NK251" s="250"/>
      <c r="NL251" s="250"/>
      <c r="NM251" s="250"/>
      <c r="NN251" s="250"/>
      <c r="NO251" s="250"/>
      <c r="NP251" s="250"/>
      <c r="NQ251" s="250"/>
      <c r="NR251" s="250"/>
      <c r="NS251" s="250"/>
      <c r="NT251" s="250"/>
      <c r="NU251" s="250"/>
      <c r="NV251" s="250"/>
      <c r="NW251" s="251"/>
      <c r="OT251" s="8"/>
      <c r="QG251" s="8"/>
      <c r="RT251" s="8"/>
    </row>
    <row r="252" spans="1:488" s="282" customFormat="1" x14ac:dyDescent="0.25">
      <c r="A252" s="66"/>
      <c r="B252" s="8"/>
      <c r="C252" s="66"/>
      <c r="D252" s="66"/>
      <c r="E252" s="66"/>
      <c r="F252" s="66"/>
      <c r="G252" s="66"/>
      <c r="H252" s="66"/>
      <c r="I252" s="66"/>
      <c r="J252" s="66"/>
      <c r="K252" s="66"/>
      <c r="L252" s="66"/>
      <c r="M252" s="66"/>
      <c r="N252" s="66"/>
      <c r="O252" s="66"/>
      <c r="P252" s="66"/>
      <c r="Q252" s="66"/>
      <c r="R252" s="66"/>
      <c r="S252" s="66"/>
      <c r="T252" s="68"/>
      <c r="AC252" s="66"/>
      <c r="AD252" s="66"/>
      <c r="AE252" s="68"/>
      <c r="AN252" s="66"/>
      <c r="AO252" s="66"/>
      <c r="AP252" s="68"/>
      <c r="AW252" s="66"/>
      <c r="AX252" s="68"/>
      <c r="BD252" s="66"/>
      <c r="BE252" s="68"/>
      <c r="BF252" s="66"/>
      <c r="BG252" s="66"/>
      <c r="BH252" s="66"/>
      <c r="BI252" s="66"/>
      <c r="BJ252" s="66"/>
      <c r="BK252" s="66"/>
      <c r="BL252" s="68"/>
      <c r="BO252" s="66"/>
      <c r="BP252" s="68"/>
      <c r="BV252" s="66"/>
      <c r="BW252" s="68"/>
      <c r="CB252" s="8"/>
      <c r="CH252" s="8"/>
      <c r="CK252" s="299"/>
      <c r="CL252" s="299"/>
      <c r="CM252" s="66"/>
      <c r="CN252" s="66"/>
      <c r="CO252" s="68"/>
      <c r="CR252" s="8"/>
      <c r="CX252" s="66"/>
      <c r="CY252" s="532"/>
      <c r="DE252" s="66"/>
      <c r="DF252" s="66"/>
      <c r="DG252" s="68"/>
      <c r="DH252" s="68"/>
      <c r="DK252" s="66"/>
      <c r="DL252" s="66"/>
      <c r="DM252" s="66"/>
      <c r="DN252" s="66"/>
      <c r="DO252" s="66"/>
      <c r="DP252" s="66"/>
      <c r="DQ252" s="66"/>
      <c r="DR252" s="66"/>
      <c r="DS252" s="66"/>
      <c r="DT252" s="68"/>
      <c r="DU252" s="66"/>
      <c r="DV252" s="296"/>
      <c r="DW252" s="330"/>
      <c r="DX252" s="631"/>
      <c r="DY252" s="631"/>
      <c r="DZ252" s="631"/>
      <c r="EA252" s="330"/>
      <c r="EC252" s="66"/>
      <c r="ED252" s="68"/>
      <c r="EH252" s="66"/>
      <c r="EI252" s="66"/>
      <c r="EJ252" s="68"/>
      <c r="EK252" s="252"/>
      <c r="EL252" s="252"/>
      <c r="EM252" s="252"/>
      <c r="EO252" s="252"/>
      <c r="EP252" s="252"/>
      <c r="EQ252" s="252"/>
      <c r="ES252" s="252"/>
      <c r="ET252" s="252"/>
      <c r="EU252" s="252"/>
      <c r="EW252" s="252"/>
      <c r="EX252" s="252"/>
      <c r="EY252" s="252"/>
      <c r="FA252" s="250"/>
      <c r="FB252" s="250"/>
      <c r="FC252" s="250"/>
      <c r="FD252" s="250"/>
      <c r="FE252" s="250"/>
      <c r="FF252" s="250"/>
      <c r="FG252" s="250"/>
      <c r="FH252" s="424"/>
      <c r="FI252" s="250"/>
      <c r="FJ252" s="250"/>
      <c r="FK252" s="250"/>
      <c r="FL252" s="256"/>
      <c r="FM252" s="250"/>
      <c r="FN252" s="256"/>
      <c r="FO252" s="250"/>
      <c r="FP252" s="256"/>
      <c r="FQ252" s="250"/>
      <c r="FR252" s="256"/>
      <c r="FS252" s="250"/>
      <c r="FT252" s="256"/>
      <c r="FU252" s="256"/>
      <c r="FV252" s="256"/>
      <c r="FW252" s="250"/>
      <c r="FX252" s="424"/>
      <c r="FY252" s="251"/>
      <c r="GC252" s="252"/>
      <c r="GF252" s="252"/>
      <c r="GG252" s="252"/>
      <c r="GH252" s="252"/>
      <c r="GI252" s="252"/>
      <c r="GJ252" s="252"/>
      <c r="GK252" s="251"/>
      <c r="GL252" s="250"/>
      <c r="GM252" s="250"/>
      <c r="GN252" s="250"/>
      <c r="GO252" s="250"/>
      <c r="GP252" s="250"/>
      <c r="GQ252" s="250"/>
      <c r="GR252" s="250"/>
      <c r="GS252" s="250"/>
      <c r="GT252" s="250"/>
      <c r="GU252" s="251"/>
      <c r="GV252" s="250"/>
      <c r="GW252" s="250"/>
      <c r="GX252" s="250"/>
      <c r="GY252" s="250"/>
      <c r="GZ252" s="250"/>
      <c r="HA252" s="250"/>
      <c r="HB252" s="250"/>
      <c r="HC252" s="250"/>
      <c r="HD252" s="250"/>
      <c r="HE252" s="250"/>
      <c r="HF252" s="250"/>
      <c r="HG252" s="250"/>
      <c r="HH252" s="251"/>
      <c r="HI252" s="424"/>
      <c r="HJ252" s="255"/>
      <c r="HK252" s="255"/>
      <c r="HL252" s="250"/>
      <c r="HM252" s="255"/>
      <c r="HN252" s="255"/>
      <c r="HO252" s="255"/>
      <c r="HP252" s="250"/>
      <c r="HQ252" s="250"/>
      <c r="HR252" s="250"/>
      <c r="HS252" s="250"/>
      <c r="HT252" s="250"/>
      <c r="HU252" s="251"/>
      <c r="HX252" s="252"/>
      <c r="HY252" s="252"/>
      <c r="HZ252" s="252"/>
      <c r="ID252" s="252"/>
      <c r="IE252" s="252"/>
      <c r="IF252" s="252"/>
      <c r="IJ252" s="252"/>
      <c r="IK252" s="252"/>
      <c r="IL252" s="252"/>
      <c r="IP252" s="252"/>
      <c r="IQ252" s="252"/>
      <c r="IR252" s="252"/>
      <c r="IY252" s="66"/>
      <c r="IZ252" s="66"/>
      <c r="JA252" s="66"/>
      <c r="JB252" s="250"/>
      <c r="JC252" s="66"/>
      <c r="JD252" s="66"/>
      <c r="JE252" s="66"/>
      <c r="JF252" s="66"/>
      <c r="JG252" s="66"/>
      <c r="JH252" s="66"/>
      <c r="JI252" s="66"/>
      <c r="JJ252" s="66"/>
      <c r="JK252" s="8"/>
      <c r="JN252" s="252"/>
      <c r="JO252" s="252"/>
      <c r="JP252" s="252"/>
      <c r="JT252" s="252"/>
      <c r="JU252" s="252"/>
      <c r="JV252" s="252"/>
      <c r="JZ252" s="252"/>
      <c r="KA252" s="252"/>
      <c r="KB252" s="252"/>
      <c r="KF252" s="252"/>
      <c r="KG252" s="252"/>
      <c r="KH252" s="252"/>
      <c r="KO252" s="66"/>
      <c r="KP252" s="66"/>
      <c r="KQ252" s="66"/>
      <c r="KR252" s="66"/>
      <c r="KS252" s="66"/>
      <c r="KT252" s="66"/>
      <c r="KU252" s="66"/>
      <c r="KV252" s="66"/>
      <c r="KW252" s="66"/>
      <c r="KX252" s="66"/>
      <c r="KY252" s="66"/>
      <c r="KZ252" s="66"/>
      <c r="LA252" s="8"/>
      <c r="LD252" s="252"/>
      <c r="LE252" s="252"/>
      <c r="LF252" s="252"/>
      <c r="LJ252" s="252"/>
      <c r="LK252" s="252"/>
      <c r="LN252" s="252"/>
      <c r="LO252" s="252"/>
      <c r="LP252" s="252"/>
      <c r="LT252" s="271"/>
      <c r="LU252" s="250"/>
      <c r="LV252" s="250"/>
      <c r="LW252" s="250"/>
      <c r="LX252" s="250"/>
      <c r="LY252" s="250"/>
      <c r="LZ252" s="250"/>
      <c r="MA252" s="250"/>
      <c r="MB252" s="250"/>
      <c r="MC252" s="250"/>
      <c r="MD252" s="250"/>
      <c r="ME252" s="250"/>
      <c r="MF252" s="250"/>
      <c r="MG252" s="250"/>
      <c r="MH252" s="250"/>
      <c r="MI252" s="250"/>
      <c r="MJ252" s="250"/>
      <c r="MK252" s="424"/>
      <c r="ML252" s="640"/>
      <c r="MM252" s="251"/>
      <c r="MN252" s="252"/>
      <c r="MO252" s="252"/>
      <c r="MP252" s="252"/>
      <c r="MQ252" s="252"/>
      <c r="MR252" s="252"/>
      <c r="MS252" s="252"/>
      <c r="MT252" s="252"/>
      <c r="MU252" s="252"/>
      <c r="MV252" s="252"/>
      <c r="MW252" s="252"/>
      <c r="MX252" s="252"/>
      <c r="MY252" s="252"/>
      <c r="MZ252" s="252"/>
      <c r="NA252" s="252"/>
      <c r="NB252" s="252"/>
      <c r="NC252" s="251"/>
      <c r="ND252" s="250"/>
      <c r="NE252" s="250"/>
      <c r="NF252" s="250"/>
      <c r="NG252" s="250"/>
      <c r="NH252" s="250"/>
      <c r="NI252" s="250"/>
      <c r="NJ252" s="250"/>
      <c r="NK252" s="250"/>
      <c r="NL252" s="250"/>
      <c r="NM252" s="250"/>
      <c r="NN252" s="250"/>
      <c r="NO252" s="250"/>
      <c r="NP252" s="250"/>
      <c r="NQ252" s="250"/>
      <c r="NR252" s="250"/>
      <c r="NS252" s="250"/>
      <c r="NT252" s="250"/>
      <c r="NU252" s="250"/>
      <c r="NV252" s="250"/>
      <c r="NW252" s="251"/>
      <c r="OT252" s="8"/>
      <c r="QG252" s="8"/>
      <c r="RT252" s="8"/>
    </row>
    <row r="253" spans="1:488" s="282" customFormat="1" x14ac:dyDescent="0.25">
      <c r="A253" s="66"/>
      <c r="B253" s="8"/>
      <c r="C253" s="66"/>
      <c r="D253" s="66"/>
      <c r="E253" s="66"/>
      <c r="F253" s="66"/>
      <c r="G253" s="66"/>
      <c r="H253" s="66"/>
      <c r="I253" s="66"/>
      <c r="J253" s="66"/>
      <c r="K253" s="66"/>
      <c r="L253" s="66"/>
      <c r="M253" s="66"/>
      <c r="N253" s="66"/>
      <c r="O253" s="66"/>
      <c r="P253" s="66"/>
      <c r="Q253" s="66"/>
      <c r="R253" s="66"/>
      <c r="S253" s="66"/>
      <c r="T253" s="68"/>
      <c r="AC253" s="66"/>
      <c r="AD253" s="66"/>
      <c r="AE253" s="68"/>
      <c r="AN253" s="66"/>
      <c r="AO253" s="66"/>
      <c r="AP253" s="68"/>
      <c r="AW253" s="66"/>
      <c r="AX253" s="68"/>
      <c r="BD253" s="66"/>
      <c r="BE253" s="68"/>
      <c r="BF253" s="66"/>
      <c r="BG253" s="66"/>
      <c r="BH253" s="66"/>
      <c r="BI253" s="66"/>
      <c r="BJ253" s="66"/>
      <c r="BK253" s="66"/>
      <c r="BL253" s="68"/>
      <c r="BO253" s="66"/>
      <c r="BP253" s="68"/>
      <c r="BV253" s="66"/>
      <c r="BW253" s="68"/>
      <c r="CB253" s="8"/>
      <c r="CH253" s="8"/>
      <c r="CK253" s="299"/>
      <c r="CL253" s="299"/>
      <c r="CM253" s="66"/>
      <c r="CN253" s="66"/>
      <c r="CO253" s="68"/>
      <c r="CR253" s="8"/>
      <c r="CX253" s="66"/>
      <c r="CY253" s="532"/>
      <c r="DE253" s="66"/>
      <c r="DF253" s="66"/>
      <c r="DG253" s="68"/>
      <c r="DH253" s="68"/>
      <c r="DK253" s="66"/>
      <c r="DL253" s="66"/>
      <c r="DM253" s="66"/>
      <c r="DN253" s="66"/>
      <c r="DO253" s="66"/>
      <c r="DP253" s="66"/>
      <c r="DQ253" s="66"/>
      <c r="DR253" s="66"/>
      <c r="DS253" s="66"/>
      <c r="DT253" s="68"/>
      <c r="DU253" s="66"/>
      <c r="DV253" s="296"/>
      <c r="DW253" s="330"/>
      <c r="DX253" s="631"/>
      <c r="DY253" s="631"/>
      <c r="DZ253" s="631"/>
      <c r="EA253" s="330"/>
      <c r="EC253" s="66"/>
      <c r="ED253" s="68"/>
      <c r="EH253" s="66"/>
      <c r="EI253" s="66"/>
      <c r="EJ253" s="68"/>
      <c r="EK253" s="252"/>
      <c r="EL253" s="252"/>
      <c r="EM253" s="252"/>
      <c r="EO253" s="252"/>
      <c r="EP253" s="252"/>
      <c r="EQ253" s="252"/>
      <c r="ES253" s="252"/>
      <c r="ET253" s="252"/>
      <c r="EU253" s="252"/>
      <c r="EW253" s="252"/>
      <c r="EX253" s="252"/>
      <c r="EY253" s="252"/>
      <c r="FA253" s="250"/>
      <c r="FB253" s="250"/>
      <c r="FC253" s="250"/>
      <c r="FD253" s="250"/>
      <c r="FE253" s="250"/>
      <c r="FF253" s="250"/>
      <c r="FG253" s="250"/>
      <c r="FH253" s="424"/>
      <c r="FI253" s="250"/>
      <c r="FJ253" s="250"/>
      <c r="FK253" s="250"/>
      <c r="FL253" s="256"/>
      <c r="FM253" s="250"/>
      <c r="FN253" s="256"/>
      <c r="FO253" s="250"/>
      <c r="FP253" s="256"/>
      <c r="FQ253" s="250"/>
      <c r="FR253" s="256"/>
      <c r="FS253" s="250"/>
      <c r="FT253" s="256"/>
      <c r="FU253" s="256"/>
      <c r="FV253" s="256"/>
      <c r="FW253" s="250"/>
      <c r="FX253" s="424"/>
      <c r="FY253" s="251"/>
      <c r="GC253" s="252"/>
      <c r="GF253" s="252"/>
      <c r="GG253" s="252"/>
      <c r="GH253" s="252"/>
      <c r="GI253" s="252"/>
      <c r="GJ253" s="252"/>
      <c r="GK253" s="251"/>
      <c r="GL253" s="250"/>
      <c r="GM253" s="250"/>
      <c r="GN253" s="250"/>
      <c r="GO253" s="250"/>
      <c r="GP253" s="250"/>
      <c r="GQ253" s="250"/>
      <c r="GR253" s="250"/>
      <c r="GS253" s="250"/>
      <c r="GT253" s="250"/>
      <c r="GU253" s="251"/>
      <c r="GV253" s="250"/>
      <c r="GW253" s="250"/>
      <c r="GX253" s="250"/>
      <c r="GY253" s="250"/>
      <c r="GZ253" s="250"/>
      <c r="HA253" s="250"/>
      <c r="HB253" s="250"/>
      <c r="HC253" s="250"/>
      <c r="HD253" s="250"/>
      <c r="HE253" s="250"/>
      <c r="HF253" s="250"/>
      <c r="HG253" s="250"/>
      <c r="HH253" s="251"/>
      <c r="HI253" s="424"/>
      <c r="HJ253" s="255"/>
      <c r="HK253" s="255"/>
      <c r="HL253" s="250"/>
      <c r="HM253" s="255"/>
      <c r="HN253" s="255"/>
      <c r="HO253" s="255"/>
      <c r="HP253" s="250"/>
      <c r="HQ253" s="250"/>
      <c r="HR253" s="250"/>
      <c r="HS253" s="250"/>
      <c r="HT253" s="250"/>
      <c r="HU253" s="251"/>
      <c r="HX253" s="252"/>
      <c r="HY253" s="252"/>
      <c r="HZ253" s="252"/>
      <c r="ID253" s="252"/>
      <c r="IE253" s="252"/>
      <c r="IF253" s="252"/>
      <c r="IJ253" s="252"/>
      <c r="IK253" s="252"/>
      <c r="IL253" s="252"/>
      <c r="IP253" s="252"/>
      <c r="IQ253" s="252"/>
      <c r="IR253" s="252"/>
      <c r="IY253" s="66"/>
      <c r="IZ253" s="66"/>
      <c r="JA253" s="66"/>
      <c r="JB253" s="250"/>
      <c r="JC253" s="66"/>
      <c r="JD253" s="66"/>
      <c r="JE253" s="66"/>
      <c r="JF253" s="66"/>
      <c r="JG253" s="66"/>
      <c r="JH253" s="66"/>
      <c r="JI253" s="66"/>
      <c r="JJ253" s="66"/>
      <c r="JK253" s="8"/>
      <c r="JN253" s="252"/>
      <c r="JO253" s="252"/>
      <c r="JP253" s="252"/>
      <c r="JT253" s="252"/>
      <c r="JU253" s="252"/>
      <c r="JV253" s="252"/>
      <c r="JZ253" s="252"/>
      <c r="KA253" s="252"/>
      <c r="KB253" s="252"/>
      <c r="KF253" s="252"/>
      <c r="KG253" s="252"/>
      <c r="KH253" s="252"/>
      <c r="KO253" s="66"/>
      <c r="KP253" s="66"/>
      <c r="KQ253" s="66"/>
      <c r="KR253" s="66"/>
      <c r="KS253" s="66"/>
      <c r="KT253" s="66"/>
      <c r="KU253" s="66"/>
      <c r="KV253" s="66"/>
      <c r="KW253" s="66"/>
      <c r="KX253" s="66"/>
      <c r="KY253" s="66"/>
      <c r="KZ253" s="66"/>
      <c r="LA253" s="8"/>
      <c r="LD253" s="252"/>
      <c r="LE253" s="252"/>
      <c r="LF253" s="252"/>
      <c r="LJ253" s="252"/>
      <c r="LK253" s="252"/>
      <c r="LN253" s="252"/>
      <c r="LO253" s="252"/>
      <c r="LP253" s="252"/>
      <c r="LT253" s="271"/>
      <c r="LU253" s="250"/>
      <c r="LV253" s="250"/>
      <c r="LW253" s="250"/>
      <c r="LX253" s="250"/>
      <c r="LY253" s="250"/>
      <c r="LZ253" s="250"/>
      <c r="MA253" s="250"/>
      <c r="MB253" s="250"/>
      <c r="MC253" s="250"/>
      <c r="MD253" s="250"/>
      <c r="ME253" s="250"/>
      <c r="MF253" s="250"/>
      <c r="MG253" s="250"/>
      <c r="MH253" s="250"/>
      <c r="MI253" s="250"/>
      <c r="MJ253" s="250"/>
      <c r="MK253" s="424"/>
      <c r="ML253" s="640"/>
      <c r="MM253" s="251"/>
      <c r="MN253" s="252"/>
      <c r="MO253" s="252"/>
      <c r="MP253" s="252"/>
      <c r="MQ253" s="252"/>
      <c r="MR253" s="252"/>
      <c r="MS253" s="252"/>
      <c r="MT253" s="252"/>
      <c r="MU253" s="252"/>
      <c r="MV253" s="252"/>
      <c r="MW253" s="252"/>
      <c r="MX253" s="252"/>
      <c r="MY253" s="252"/>
      <c r="MZ253" s="252"/>
      <c r="NA253" s="252"/>
      <c r="NB253" s="252"/>
      <c r="NC253" s="251"/>
      <c r="ND253" s="250"/>
      <c r="NE253" s="250"/>
      <c r="NF253" s="250"/>
      <c r="NG253" s="250"/>
      <c r="NH253" s="250"/>
      <c r="NI253" s="250"/>
      <c r="NJ253" s="250"/>
      <c r="NK253" s="250"/>
      <c r="NL253" s="250"/>
      <c r="NM253" s="250"/>
      <c r="NN253" s="250"/>
      <c r="NO253" s="250"/>
      <c r="NP253" s="250"/>
      <c r="NQ253" s="250"/>
      <c r="NR253" s="250"/>
      <c r="NS253" s="250"/>
      <c r="NT253" s="250"/>
      <c r="NU253" s="250"/>
      <c r="NV253" s="250"/>
      <c r="NW253" s="251"/>
      <c r="OT253" s="8"/>
      <c r="QG253" s="8"/>
      <c r="RT253" s="8"/>
    </row>
    <row r="254" spans="1:488" s="282" customFormat="1" x14ac:dyDescent="0.25">
      <c r="A254" s="66"/>
      <c r="B254" s="8"/>
      <c r="C254" s="66"/>
      <c r="D254" s="66"/>
      <c r="E254" s="66"/>
      <c r="F254" s="66"/>
      <c r="G254" s="66"/>
      <c r="H254" s="66"/>
      <c r="I254" s="66"/>
      <c r="J254" s="66"/>
      <c r="K254" s="66"/>
      <c r="L254" s="66"/>
      <c r="M254" s="66"/>
      <c r="N254" s="66"/>
      <c r="O254" s="66"/>
      <c r="P254" s="66"/>
      <c r="Q254" s="66"/>
      <c r="R254" s="66"/>
      <c r="S254" s="66"/>
      <c r="T254" s="68"/>
      <c r="AC254" s="66"/>
      <c r="AD254" s="66"/>
      <c r="AE254" s="68"/>
      <c r="AN254" s="66"/>
      <c r="AO254" s="66"/>
      <c r="AP254" s="68"/>
      <c r="AW254" s="66"/>
      <c r="AX254" s="68"/>
      <c r="BD254" s="66"/>
      <c r="BE254" s="68"/>
      <c r="BF254" s="66"/>
      <c r="BG254" s="66"/>
      <c r="BH254" s="66"/>
      <c r="BI254" s="66"/>
      <c r="BJ254" s="66"/>
      <c r="BK254" s="66"/>
      <c r="BL254" s="68"/>
      <c r="BO254" s="66"/>
      <c r="BP254" s="68"/>
      <c r="BV254" s="66"/>
      <c r="BW254" s="68"/>
      <c r="CB254" s="8"/>
      <c r="CH254" s="8"/>
      <c r="CK254" s="299"/>
      <c r="CL254" s="299"/>
      <c r="CM254" s="66"/>
      <c r="CN254" s="66"/>
      <c r="CO254" s="68"/>
      <c r="CR254" s="8"/>
      <c r="CX254" s="66"/>
      <c r="CY254" s="532"/>
      <c r="DE254" s="66"/>
      <c r="DF254" s="66"/>
      <c r="DG254" s="68"/>
      <c r="DH254" s="68"/>
      <c r="DK254" s="66"/>
      <c r="DL254" s="66"/>
      <c r="DM254" s="66"/>
      <c r="DN254" s="66"/>
      <c r="DO254" s="66"/>
      <c r="DP254" s="66"/>
      <c r="DQ254" s="66"/>
      <c r="DR254" s="66"/>
      <c r="DS254" s="66"/>
      <c r="DT254" s="68"/>
      <c r="DU254" s="66"/>
      <c r="DV254" s="296"/>
      <c r="DW254" s="330"/>
      <c r="DX254" s="631"/>
      <c r="DY254" s="631"/>
      <c r="DZ254" s="631"/>
      <c r="EA254" s="330"/>
      <c r="EC254" s="66"/>
      <c r="ED254" s="68"/>
      <c r="EH254" s="66"/>
      <c r="EI254" s="66"/>
      <c r="EJ254" s="68"/>
      <c r="EK254" s="252"/>
      <c r="EL254" s="252"/>
      <c r="EM254" s="252"/>
      <c r="EO254" s="252"/>
      <c r="EP254" s="252"/>
      <c r="EQ254" s="252"/>
      <c r="ES254" s="252"/>
      <c r="ET254" s="252"/>
      <c r="EU254" s="252"/>
      <c r="EW254" s="252"/>
      <c r="EX254" s="252"/>
      <c r="EY254" s="252"/>
      <c r="FA254" s="250"/>
      <c r="FB254" s="250"/>
      <c r="FC254" s="250"/>
      <c r="FD254" s="250"/>
      <c r="FE254" s="250"/>
      <c r="FF254" s="250"/>
      <c r="FG254" s="250"/>
      <c r="FH254" s="424"/>
      <c r="FI254" s="250"/>
      <c r="FJ254" s="250"/>
      <c r="FK254" s="250"/>
      <c r="FL254" s="256"/>
      <c r="FM254" s="250"/>
      <c r="FN254" s="256"/>
      <c r="FO254" s="250"/>
      <c r="FP254" s="256"/>
      <c r="FQ254" s="250"/>
      <c r="FR254" s="256"/>
      <c r="FS254" s="250"/>
      <c r="FT254" s="256"/>
      <c r="FU254" s="256"/>
      <c r="FV254" s="256"/>
      <c r="FW254" s="250"/>
      <c r="FX254" s="424"/>
      <c r="FY254" s="251"/>
      <c r="GC254" s="252"/>
      <c r="GF254" s="252"/>
      <c r="GG254" s="252"/>
      <c r="GH254" s="252"/>
      <c r="GI254" s="252"/>
      <c r="GJ254" s="252"/>
      <c r="GK254" s="251"/>
      <c r="GL254" s="250"/>
      <c r="GM254" s="250"/>
      <c r="GN254" s="250"/>
      <c r="GO254" s="250"/>
      <c r="GP254" s="250"/>
      <c r="GQ254" s="250"/>
      <c r="GR254" s="250"/>
      <c r="GS254" s="250"/>
      <c r="GT254" s="250"/>
      <c r="GU254" s="251"/>
      <c r="GV254" s="250"/>
      <c r="GW254" s="250"/>
      <c r="GX254" s="250"/>
      <c r="GY254" s="250"/>
      <c r="GZ254" s="250"/>
      <c r="HA254" s="250"/>
      <c r="HB254" s="250"/>
      <c r="HC254" s="250"/>
      <c r="HD254" s="250"/>
      <c r="HE254" s="250"/>
      <c r="HF254" s="250"/>
      <c r="HG254" s="250"/>
      <c r="HH254" s="251"/>
      <c r="HI254" s="424"/>
      <c r="HJ254" s="255"/>
      <c r="HK254" s="255"/>
      <c r="HL254" s="250"/>
      <c r="HM254" s="255"/>
      <c r="HN254" s="255"/>
      <c r="HO254" s="255"/>
      <c r="HP254" s="250"/>
      <c r="HQ254" s="250"/>
      <c r="HR254" s="250"/>
      <c r="HS254" s="250"/>
      <c r="HT254" s="250"/>
      <c r="HU254" s="251"/>
      <c r="HX254" s="252"/>
      <c r="HY254" s="252"/>
      <c r="HZ254" s="252"/>
      <c r="ID254" s="252"/>
      <c r="IE254" s="252"/>
      <c r="IF254" s="252"/>
      <c r="IJ254" s="252"/>
      <c r="IK254" s="252"/>
      <c r="IL254" s="252"/>
      <c r="IP254" s="252"/>
      <c r="IQ254" s="252"/>
      <c r="IR254" s="252"/>
      <c r="IY254" s="66"/>
      <c r="IZ254" s="66"/>
      <c r="JA254" s="66"/>
      <c r="JB254" s="250"/>
      <c r="JC254" s="66"/>
      <c r="JD254" s="66"/>
      <c r="JE254" s="66"/>
      <c r="JF254" s="66"/>
      <c r="JG254" s="66"/>
      <c r="JH254" s="66"/>
      <c r="JI254" s="66"/>
      <c r="JJ254" s="66"/>
      <c r="JK254" s="8"/>
      <c r="JN254" s="252"/>
      <c r="JO254" s="252"/>
      <c r="JP254" s="252"/>
      <c r="JT254" s="252"/>
      <c r="JU254" s="252"/>
      <c r="JV254" s="252"/>
      <c r="JZ254" s="252"/>
      <c r="KA254" s="252"/>
      <c r="KB254" s="252"/>
      <c r="KF254" s="252"/>
      <c r="KG254" s="252"/>
      <c r="KH254" s="252"/>
      <c r="KO254" s="66"/>
      <c r="KP254" s="66"/>
      <c r="KQ254" s="66"/>
      <c r="KR254" s="66"/>
      <c r="KS254" s="66"/>
      <c r="KT254" s="66"/>
      <c r="KU254" s="66"/>
      <c r="KV254" s="66"/>
      <c r="KW254" s="66"/>
      <c r="KX254" s="66"/>
      <c r="KY254" s="66"/>
      <c r="KZ254" s="66"/>
      <c r="LA254" s="8"/>
      <c r="LD254" s="252"/>
      <c r="LE254" s="252"/>
      <c r="LF254" s="252"/>
      <c r="LJ254" s="252"/>
      <c r="LK254" s="252"/>
      <c r="LN254" s="252"/>
      <c r="LO254" s="252"/>
      <c r="LP254" s="252"/>
      <c r="LT254" s="271"/>
      <c r="LU254" s="250"/>
      <c r="LV254" s="250"/>
      <c r="LW254" s="250"/>
      <c r="LX254" s="250"/>
      <c r="LY254" s="250"/>
      <c r="LZ254" s="250"/>
      <c r="MA254" s="250"/>
      <c r="MB254" s="250"/>
      <c r="MC254" s="250"/>
      <c r="MD254" s="250"/>
      <c r="ME254" s="250"/>
      <c r="MF254" s="250"/>
      <c r="MG254" s="250"/>
      <c r="MH254" s="250"/>
      <c r="MI254" s="250"/>
      <c r="MJ254" s="250"/>
      <c r="MK254" s="424"/>
      <c r="ML254" s="640"/>
      <c r="MM254" s="251"/>
      <c r="MN254" s="252"/>
      <c r="MO254" s="252"/>
      <c r="MP254" s="252"/>
      <c r="MQ254" s="252"/>
      <c r="MR254" s="252"/>
      <c r="MS254" s="252"/>
      <c r="MT254" s="252"/>
      <c r="MU254" s="252"/>
      <c r="MV254" s="252"/>
      <c r="MW254" s="252"/>
      <c r="MX254" s="252"/>
      <c r="MY254" s="252"/>
      <c r="MZ254" s="252"/>
      <c r="NA254" s="252"/>
      <c r="NB254" s="252"/>
      <c r="NC254" s="251"/>
      <c r="ND254" s="250"/>
      <c r="NE254" s="250"/>
      <c r="NF254" s="250"/>
      <c r="NG254" s="250"/>
      <c r="NH254" s="250"/>
      <c r="NI254" s="250"/>
      <c r="NJ254" s="250"/>
      <c r="NK254" s="250"/>
      <c r="NL254" s="250"/>
      <c r="NM254" s="250"/>
      <c r="NN254" s="250"/>
      <c r="NO254" s="250"/>
      <c r="NP254" s="250"/>
      <c r="NQ254" s="250"/>
      <c r="NR254" s="250"/>
      <c r="NS254" s="250"/>
      <c r="NT254" s="250"/>
      <c r="NU254" s="250"/>
      <c r="NV254" s="250"/>
      <c r="NW254" s="251"/>
      <c r="OT254" s="8"/>
      <c r="QG254" s="8"/>
      <c r="RT254" s="8"/>
    </row>
    <row r="255" spans="1:488" s="282" customFormat="1" x14ac:dyDescent="0.25">
      <c r="A255" s="66"/>
      <c r="B255" s="8"/>
      <c r="C255" s="66"/>
      <c r="D255" s="66"/>
      <c r="E255" s="66"/>
      <c r="F255" s="66"/>
      <c r="G255" s="66"/>
      <c r="H255" s="66"/>
      <c r="I255" s="66"/>
      <c r="J255" s="66"/>
      <c r="K255" s="66"/>
      <c r="L255" s="66"/>
      <c r="M255" s="66"/>
      <c r="N255" s="66"/>
      <c r="O255" s="66"/>
      <c r="P255" s="66"/>
      <c r="Q255" s="66"/>
      <c r="R255" s="66"/>
      <c r="S255" s="66"/>
      <c r="T255" s="68"/>
      <c r="AC255" s="66"/>
      <c r="AD255" s="66"/>
      <c r="AE255" s="68"/>
      <c r="AN255" s="66"/>
      <c r="AO255" s="66"/>
      <c r="AP255" s="68"/>
      <c r="AW255" s="66"/>
      <c r="AX255" s="68"/>
      <c r="BD255" s="66"/>
      <c r="BE255" s="68"/>
      <c r="BF255" s="66"/>
      <c r="BG255" s="66"/>
      <c r="BH255" s="66"/>
      <c r="BI255" s="66"/>
      <c r="BJ255" s="66"/>
      <c r="BK255" s="66"/>
      <c r="BL255" s="68"/>
      <c r="BO255" s="66"/>
      <c r="BP255" s="68"/>
      <c r="BV255" s="66"/>
      <c r="BW255" s="68"/>
      <c r="CB255" s="8"/>
      <c r="CH255" s="8"/>
      <c r="CK255" s="299"/>
      <c r="CL255" s="299"/>
      <c r="CM255" s="66"/>
      <c r="CN255" s="66"/>
      <c r="CO255" s="68"/>
      <c r="CR255" s="8"/>
      <c r="CX255" s="66"/>
      <c r="CY255" s="532"/>
      <c r="DE255" s="66"/>
      <c r="DF255" s="66"/>
      <c r="DG255" s="68"/>
      <c r="DH255" s="68"/>
      <c r="DK255" s="66"/>
      <c r="DL255" s="66"/>
      <c r="DM255" s="66"/>
      <c r="DN255" s="66"/>
      <c r="DO255" s="66"/>
      <c r="DP255" s="66"/>
      <c r="DQ255" s="66"/>
      <c r="DR255" s="66"/>
      <c r="DS255" s="66"/>
      <c r="DT255" s="68"/>
      <c r="DU255" s="66"/>
      <c r="DV255" s="296"/>
      <c r="DW255" s="330"/>
      <c r="DX255" s="631"/>
      <c r="DY255" s="631"/>
      <c r="DZ255" s="631"/>
      <c r="EA255" s="330"/>
      <c r="EC255" s="66"/>
      <c r="ED255" s="68"/>
      <c r="EH255" s="66"/>
      <c r="EI255" s="66"/>
      <c r="EJ255" s="68"/>
      <c r="EK255" s="252"/>
      <c r="EL255" s="252"/>
      <c r="EM255" s="252"/>
      <c r="EO255" s="252"/>
      <c r="EP255" s="252"/>
      <c r="EQ255" s="252"/>
      <c r="ES255" s="252"/>
      <c r="ET255" s="252"/>
      <c r="EU255" s="252"/>
      <c r="EW255" s="252"/>
      <c r="EX255" s="252"/>
      <c r="EY255" s="252"/>
      <c r="FA255" s="250"/>
      <c r="FB255" s="250"/>
      <c r="FC255" s="250"/>
      <c r="FD255" s="250"/>
      <c r="FE255" s="250"/>
      <c r="FF255" s="250"/>
      <c r="FG255" s="250"/>
      <c r="FH255" s="424"/>
      <c r="FI255" s="250"/>
      <c r="FJ255" s="250"/>
      <c r="FK255" s="250"/>
      <c r="FL255" s="256"/>
      <c r="FM255" s="250"/>
      <c r="FN255" s="256"/>
      <c r="FO255" s="250"/>
      <c r="FP255" s="256"/>
      <c r="FQ255" s="250"/>
      <c r="FR255" s="256"/>
      <c r="FS255" s="250"/>
      <c r="FT255" s="256"/>
      <c r="FU255" s="256"/>
      <c r="FV255" s="256"/>
      <c r="FW255" s="250"/>
      <c r="FX255" s="424"/>
      <c r="FY255" s="251"/>
      <c r="GC255" s="252"/>
      <c r="GF255" s="252"/>
      <c r="GG255" s="252"/>
      <c r="GH255" s="252"/>
      <c r="GI255" s="252"/>
      <c r="GJ255" s="252"/>
      <c r="GK255" s="251"/>
      <c r="GL255" s="250"/>
      <c r="GM255" s="250"/>
      <c r="GN255" s="250"/>
      <c r="GO255" s="250"/>
      <c r="GP255" s="250"/>
      <c r="GQ255" s="250"/>
      <c r="GR255" s="250"/>
      <c r="GS255" s="250"/>
      <c r="GT255" s="250"/>
      <c r="GU255" s="251"/>
      <c r="GV255" s="250"/>
      <c r="GW255" s="250"/>
      <c r="GX255" s="250"/>
      <c r="GY255" s="250"/>
      <c r="GZ255" s="250"/>
      <c r="HA255" s="250"/>
      <c r="HB255" s="250"/>
      <c r="HC255" s="250"/>
      <c r="HD255" s="250"/>
      <c r="HE255" s="250"/>
      <c r="HF255" s="250"/>
      <c r="HG255" s="250"/>
      <c r="HH255" s="251"/>
      <c r="HI255" s="424"/>
      <c r="HJ255" s="255"/>
      <c r="HK255" s="255"/>
      <c r="HL255" s="250"/>
      <c r="HM255" s="255"/>
      <c r="HN255" s="255"/>
      <c r="HO255" s="255"/>
      <c r="HP255" s="250"/>
      <c r="HQ255" s="250"/>
      <c r="HR255" s="250"/>
      <c r="HS255" s="250"/>
      <c r="HT255" s="250"/>
      <c r="HU255" s="251"/>
      <c r="HX255" s="252"/>
      <c r="HY255" s="252"/>
      <c r="HZ255" s="252"/>
      <c r="ID255" s="252"/>
      <c r="IE255" s="252"/>
      <c r="IF255" s="252"/>
      <c r="IJ255" s="252"/>
      <c r="IK255" s="252"/>
      <c r="IL255" s="252"/>
      <c r="IP255" s="252"/>
      <c r="IQ255" s="252"/>
      <c r="IR255" s="252"/>
      <c r="IY255" s="66"/>
      <c r="IZ255" s="66"/>
      <c r="JA255" s="66"/>
      <c r="JB255" s="250"/>
      <c r="JC255" s="66"/>
      <c r="JD255" s="66"/>
      <c r="JE255" s="66"/>
      <c r="JF255" s="66"/>
      <c r="JG255" s="66"/>
      <c r="JH255" s="66"/>
      <c r="JI255" s="66"/>
      <c r="JJ255" s="66"/>
      <c r="JK255" s="8"/>
      <c r="JN255" s="252"/>
      <c r="JO255" s="252"/>
      <c r="JP255" s="252"/>
      <c r="JT255" s="252"/>
      <c r="JU255" s="252"/>
      <c r="JV255" s="252"/>
      <c r="JZ255" s="252"/>
      <c r="KA255" s="252"/>
      <c r="KB255" s="252"/>
      <c r="KF255" s="252"/>
      <c r="KG255" s="252"/>
      <c r="KH255" s="252"/>
      <c r="KO255" s="66"/>
      <c r="KP255" s="66"/>
      <c r="KQ255" s="66"/>
      <c r="KR255" s="66"/>
      <c r="KS255" s="66"/>
      <c r="KT255" s="66"/>
      <c r="KU255" s="66"/>
      <c r="KV255" s="66"/>
      <c r="KW255" s="66"/>
      <c r="KX255" s="66"/>
      <c r="KY255" s="66"/>
      <c r="KZ255" s="66"/>
      <c r="LA255" s="8"/>
      <c r="LD255" s="252"/>
      <c r="LE255" s="252"/>
      <c r="LF255" s="252"/>
      <c r="LJ255" s="252"/>
      <c r="LK255" s="252"/>
      <c r="LN255" s="252"/>
      <c r="LO255" s="252"/>
      <c r="LP255" s="252"/>
      <c r="LT255" s="271"/>
      <c r="LU255" s="250"/>
      <c r="LV255" s="250"/>
      <c r="LW255" s="250"/>
      <c r="LX255" s="250"/>
      <c r="LY255" s="250"/>
      <c r="LZ255" s="250"/>
      <c r="MA255" s="250"/>
      <c r="MB255" s="250"/>
      <c r="MC255" s="250"/>
      <c r="MD255" s="250"/>
      <c r="ME255" s="250"/>
      <c r="MF255" s="250"/>
      <c r="MG255" s="250"/>
      <c r="MH255" s="250"/>
      <c r="MI255" s="250"/>
      <c r="MJ255" s="250"/>
      <c r="MK255" s="424"/>
      <c r="ML255" s="640"/>
      <c r="MM255" s="251"/>
      <c r="MN255" s="252"/>
      <c r="MO255" s="252"/>
      <c r="MP255" s="252"/>
      <c r="MQ255" s="252"/>
      <c r="MR255" s="252"/>
      <c r="MS255" s="252"/>
      <c r="MT255" s="252"/>
      <c r="MU255" s="252"/>
      <c r="MV255" s="252"/>
      <c r="MW255" s="252"/>
      <c r="MX255" s="252"/>
      <c r="MY255" s="252"/>
      <c r="MZ255" s="252"/>
      <c r="NA255" s="252"/>
      <c r="NB255" s="252"/>
      <c r="NC255" s="251"/>
      <c r="ND255" s="250"/>
      <c r="NE255" s="250"/>
      <c r="NF255" s="250"/>
      <c r="NG255" s="250"/>
      <c r="NH255" s="250"/>
      <c r="NI255" s="250"/>
      <c r="NJ255" s="250"/>
      <c r="NK255" s="250"/>
      <c r="NL255" s="250"/>
      <c r="NM255" s="250"/>
      <c r="NN255" s="250"/>
      <c r="NO255" s="250"/>
      <c r="NP255" s="250"/>
      <c r="NQ255" s="250"/>
      <c r="NR255" s="250"/>
      <c r="NS255" s="250"/>
      <c r="NT255" s="250"/>
      <c r="NU255" s="250"/>
      <c r="NV255" s="250"/>
      <c r="NW255" s="251"/>
      <c r="OT255" s="8"/>
      <c r="QG255" s="8"/>
      <c r="RT255" s="8"/>
    </row>
    <row r="256" spans="1:488" s="282" customFormat="1" x14ac:dyDescent="0.25">
      <c r="A256" s="66"/>
      <c r="B256" s="8"/>
      <c r="C256" s="66"/>
      <c r="D256" s="66"/>
      <c r="E256" s="66"/>
      <c r="F256" s="66"/>
      <c r="G256" s="66"/>
      <c r="H256" s="66"/>
      <c r="I256" s="66"/>
      <c r="J256" s="66"/>
      <c r="K256" s="66"/>
      <c r="L256" s="66"/>
      <c r="M256" s="66"/>
      <c r="N256" s="66"/>
      <c r="O256" s="66"/>
      <c r="P256" s="66"/>
      <c r="Q256" s="66"/>
      <c r="R256" s="66"/>
      <c r="S256" s="66"/>
      <c r="T256" s="68"/>
      <c r="AC256" s="66"/>
      <c r="AD256" s="66"/>
      <c r="AE256" s="68"/>
      <c r="AN256" s="66"/>
      <c r="AO256" s="66"/>
      <c r="AP256" s="68"/>
      <c r="AW256" s="66"/>
      <c r="AX256" s="68"/>
      <c r="BD256" s="66"/>
      <c r="BE256" s="68"/>
      <c r="BF256" s="66"/>
      <c r="BG256" s="66"/>
      <c r="BH256" s="66"/>
      <c r="BI256" s="66"/>
      <c r="BJ256" s="66"/>
      <c r="BK256" s="66"/>
      <c r="BL256" s="68"/>
      <c r="BO256" s="66"/>
      <c r="BP256" s="68"/>
      <c r="BV256" s="66"/>
      <c r="BW256" s="68"/>
      <c r="CB256" s="8"/>
      <c r="CH256" s="8"/>
      <c r="CK256" s="299"/>
      <c r="CL256" s="299"/>
      <c r="CM256" s="66"/>
      <c r="CN256" s="66"/>
      <c r="CO256" s="68"/>
      <c r="CR256" s="8"/>
      <c r="CX256" s="66"/>
      <c r="CY256" s="532"/>
      <c r="DE256" s="66"/>
      <c r="DF256" s="66"/>
      <c r="DG256" s="68"/>
      <c r="DH256" s="68"/>
      <c r="DK256" s="66"/>
      <c r="DL256" s="66"/>
      <c r="DM256" s="66"/>
      <c r="DN256" s="66"/>
      <c r="DO256" s="66"/>
      <c r="DP256" s="66"/>
      <c r="DQ256" s="66"/>
      <c r="DR256" s="66"/>
      <c r="DS256" s="66"/>
      <c r="DT256" s="68"/>
      <c r="DU256" s="66"/>
      <c r="DV256" s="296"/>
      <c r="DW256" s="330"/>
      <c r="DX256" s="631"/>
      <c r="DY256" s="631"/>
      <c r="DZ256" s="631"/>
      <c r="EA256" s="330"/>
      <c r="EC256" s="66"/>
      <c r="ED256" s="68"/>
      <c r="EH256" s="66"/>
      <c r="EI256" s="66"/>
      <c r="EJ256" s="68"/>
      <c r="EK256" s="252"/>
      <c r="EL256" s="252"/>
      <c r="EM256" s="252"/>
      <c r="EO256" s="252"/>
      <c r="EP256" s="252"/>
      <c r="EQ256" s="252"/>
      <c r="ES256" s="252"/>
      <c r="ET256" s="252"/>
      <c r="EU256" s="252"/>
      <c r="EW256" s="252"/>
      <c r="EX256" s="252"/>
      <c r="EY256" s="252"/>
      <c r="FA256" s="250"/>
      <c r="FB256" s="250"/>
      <c r="FC256" s="250"/>
      <c r="FD256" s="250"/>
      <c r="FE256" s="250"/>
      <c r="FF256" s="250"/>
      <c r="FG256" s="250"/>
      <c r="FH256" s="424"/>
      <c r="FI256" s="250"/>
      <c r="FJ256" s="250"/>
      <c r="FK256" s="250"/>
      <c r="FL256" s="256"/>
      <c r="FM256" s="250"/>
      <c r="FN256" s="256"/>
      <c r="FO256" s="250"/>
      <c r="FP256" s="256"/>
      <c r="FQ256" s="250"/>
      <c r="FR256" s="256"/>
      <c r="FS256" s="250"/>
      <c r="FT256" s="256"/>
      <c r="FU256" s="256"/>
      <c r="FV256" s="256"/>
      <c r="FW256" s="250"/>
      <c r="FX256" s="424"/>
      <c r="FY256" s="251"/>
      <c r="GC256" s="252"/>
      <c r="GF256" s="252"/>
      <c r="GG256" s="252"/>
      <c r="GH256" s="252"/>
      <c r="GI256" s="252"/>
      <c r="GJ256" s="252"/>
      <c r="GK256" s="251"/>
      <c r="GL256" s="250"/>
      <c r="GM256" s="250"/>
      <c r="GN256" s="250"/>
      <c r="GO256" s="250"/>
      <c r="GP256" s="250"/>
      <c r="GQ256" s="250"/>
      <c r="GR256" s="250"/>
      <c r="GS256" s="250"/>
      <c r="GT256" s="250"/>
      <c r="GU256" s="251"/>
      <c r="GV256" s="250"/>
      <c r="GW256" s="250"/>
      <c r="GX256" s="250"/>
      <c r="GY256" s="250"/>
      <c r="GZ256" s="250"/>
      <c r="HA256" s="250"/>
      <c r="HB256" s="250"/>
      <c r="HC256" s="250"/>
      <c r="HD256" s="250"/>
      <c r="HE256" s="250"/>
      <c r="HF256" s="250"/>
      <c r="HG256" s="250"/>
      <c r="HH256" s="251"/>
      <c r="HI256" s="424"/>
      <c r="HJ256" s="255"/>
      <c r="HK256" s="255"/>
      <c r="HL256" s="250"/>
      <c r="HM256" s="255"/>
      <c r="HN256" s="255"/>
      <c r="HO256" s="255"/>
      <c r="HP256" s="250"/>
      <c r="HQ256" s="250"/>
      <c r="HR256" s="250"/>
      <c r="HS256" s="250"/>
      <c r="HT256" s="250"/>
      <c r="HU256" s="251"/>
      <c r="HX256" s="252"/>
      <c r="HY256" s="252"/>
      <c r="HZ256" s="252"/>
      <c r="ID256" s="252"/>
      <c r="IE256" s="252"/>
      <c r="IF256" s="252"/>
      <c r="IJ256" s="252"/>
      <c r="IK256" s="252"/>
      <c r="IL256" s="252"/>
      <c r="IP256" s="252"/>
      <c r="IQ256" s="252"/>
      <c r="IR256" s="252"/>
      <c r="IY256" s="66"/>
      <c r="IZ256" s="66"/>
      <c r="JA256" s="66"/>
      <c r="JB256" s="250"/>
      <c r="JC256" s="66"/>
      <c r="JD256" s="66"/>
      <c r="JE256" s="66"/>
      <c r="JF256" s="66"/>
      <c r="JG256" s="66"/>
      <c r="JH256" s="66"/>
      <c r="JI256" s="66"/>
      <c r="JJ256" s="66"/>
      <c r="JK256" s="8"/>
      <c r="JN256" s="252"/>
      <c r="JO256" s="252"/>
      <c r="JP256" s="252"/>
      <c r="JT256" s="252"/>
      <c r="JU256" s="252"/>
      <c r="JV256" s="252"/>
      <c r="JZ256" s="252"/>
      <c r="KA256" s="252"/>
      <c r="KB256" s="252"/>
      <c r="KF256" s="252"/>
      <c r="KG256" s="252"/>
      <c r="KH256" s="252"/>
      <c r="KO256" s="66"/>
      <c r="KP256" s="66"/>
      <c r="KQ256" s="66"/>
      <c r="KR256" s="66"/>
      <c r="KS256" s="66"/>
      <c r="KT256" s="66"/>
      <c r="KU256" s="66"/>
      <c r="KV256" s="66"/>
      <c r="KW256" s="66"/>
      <c r="KX256" s="66"/>
      <c r="KY256" s="66"/>
      <c r="KZ256" s="66"/>
      <c r="LA256" s="8"/>
      <c r="LD256" s="252"/>
      <c r="LE256" s="252"/>
      <c r="LF256" s="252"/>
      <c r="LJ256" s="252"/>
      <c r="LK256" s="252"/>
      <c r="LN256" s="252"/>
      <c r="LO256" s="252"/>
      <c r="LP256" s="252"/>
      <c r="LT256" s="271"/>
      <c r="LU256" s="250"/>
      <c r="LV256" s="250"/>
      <c r="LW256" s="250"/>
      <c r="LX256" s="250"/>
      <c r="LY256" s="250"/>
      <c r="LZ256" s="250"/>
      <c r="MA256" s="250"/>
      <c r="MB256" s="250"/>
      <c r="MC256" s="250"/>
      <c r="MD256" s="250"/>
      <c r="ME256" s="250"/>
      <c r="MF256" s="250"/>
      <c r="MG256" s="250"/>
      <c r="MH256" s="250"/>
      <c r="MI256" s="250"/>
      <c r="MJ256" s="250"/>
      <c r="MK256" s="424"/>
      <c r="ML256" s="640"/>
      <c r="MM256" s="251"/>
      <c r="MN256" s="252"/>
      <c r="MO256" s="252"/>
      <c r="MP256" s="252"/>
      <c r="MQ256" s="252"/>
      <c r="MR256" s="252"/>
      <c r="MS256" s="252"/>
      <c r="MT256" s="252"/>
      <c r="MU256" s="252"/>
      <c r="MV256" s="252"/>
      <c r="MW256" s="252"/>
      <c r="MX256" s="252"/>
      <c r="MY256" s="252"/>
      <c r="MZ256" s="252"/>
      <c r="NA256" s="252"/>
      <c r="NB256" s="252"/>
      <c r="NC256" s="251"/>
      <c r="ND256" s="250"/>
      <c r="NE256" s="250"/>
      <c r="NF256" s="250"/>
      <c r="NG256" s="250"/>
      <c r="NH256" s="250"/>
      <c r="NI256" s="250"/>
      <c r="NJ256" s="250"/>
      <c r="NK256" s="250"/>
      <c r="NL256" s="250"/>
      <c r="NM256" s="250"/>
      <c r="NN256" s="250"/>
      <c r="NO256" s="250"/>
      <c r="NP256" s="250"/>
      <c r="NQ256" s="250"/>
      <c r="NR256" s="250"/>
      <c r="NS256" s="250"/>
      <c r="NT256" s="250"/>
      <c r="NU256" s="250"/>
      <c r="NV256" s="250"/>
      <c r="NW256" s="251"/>
      <c r="OT256" s="8"/>
      <c r="QG256" s="8"/>
      <c r="RT256" s="8"/>
    </row>
    <row r="257" spans="1:488" s="282" customFormat="1" x14ac:dyDescent="0.25">
      <c r="A257" s="66"/>
      <c r="B257" s="8"/>
      <c r="C257" s="66"/>
      <c r="D257" s="66"/>
      <c r="E257" s="66"/>
      <c r="F257" s="66"/>
      <c r="G257" s="66"/>
      <c r="H257" s="66"/>
      <c r="I257" s="66"/>
      <c r="J257" s="66"/>
      <c r="K257" s="66"/>
      <c r="L257" s="66"/>
      <c r="M257" s="66"/>
      <c r="N257" s="66"/>
      <c r="O257" s="66"/>
      <c r="P257" s="66"/>
      <c r="Q257" s="66"/>
      <c r="R257" s="66"/>
      <c r="S257" s="66"/>
      <c r="T257" s="68"/>
      <c r="AC257" s="66"/>
      <c r="AD257" s="66"/>
      <c r="AE257" s="68"/>
      <c r="AN257" s="66"/>
      <c r="AO257" s="66"/>
      <c r="AP257" s="68"/>
      <c r="AW257" s="66"/>
      <c r="AX257" s="68"/>
      <c r="BD257" s="66"/>
      <c r="BE257" s="68"/>
      <c r="BF257" s="66"/>
      <c r="BG257" s="66"/>
      <c r="BH257" s="66"/>
      <c r="BI257" s="66"/>
      <c r="BJ257" s="66"/>
      <c r="BK257" s="66"/>
      <c r="BL257" s="68"/>
      <c r="BO257" s="66"/>
      <c r="BP257" s="68"/>
      <c r="BV257" s="66"/>
      <c r="BW257" s="68"/>
      <c r="CB257" s="8"/>
      <c r="CH257" s="8"/>
      <c r="CK257" s="299"/>
      <c r="CL257" s="299"/>
      <c r="CM257" s="66"/>
      <c r="CN257" s="66"/>
      <c r="CO257" s="68"/>
      <c r="CR257" s="8"/>
      <c r="CX257" s="66"/>
      <c r="CY257" s="532"/>
      <c r="DE257" s="66"/>
      <c r="DF257" s="66"/>
      <c r="DG257" s="68"/>
      <c r="DH257" s="68"/>
      <c r="DK257" s="66"/>
      <c r="DL257" s="66"/>
      <c r="DM257" s="66"/>
      <c r="DN257" s="66"/>
      <c r="DO257" s="66"/>
      <c r="DP257" s="66"/>
      <c r="DQ257" s="66"/>
      <c r="DR257" s="66"/>
      <c r="DS257" s="66"/>
      <c r="DT257" s="68"/>
      <c r="DU257" s="66"/>
      <c r="DV257" s="296"/>
      <c r="DW257" s="330"/>
      <c r="DX257" s="631"/>
      <c r="DY257" s="631"/>
      <c r="DZ257" s="631"/>
      <c r="EA257" s="330"/>
      <c r="EC257" s="66"/>
      <c r="ED257" s="68"/>
      <c r="EH257" s="66"/>
      <c r="EI257" s="66"/>
      <c r="EJ257" s="68"/>
      <c r="EK257" s="252"/>
      <c r="EL257" s="252"/>
      <c r="EM257" s="252"/>
      <c r="EO257" s="252"/>
      <c r="EP257" s="252"/>
      <c r="EQ257" s="252"/>
      <c r="ES257" s="252"/>
      <c r="ET257" s="252"/>
      <c r="EU257" s="252"/>
      <c r="EW257" s="252"/>
      <c r="EX257" s="252"/>
      <c r="EY257" s="252"/>
      <c r="FA257" s="250"/>
      <c r="FB257" s="250"/>
      <c r="FC257" s="250"/>
      <c r="FD257" s="250"/>
      <c r="FE257" s="250"/>
      <c r="FF257" s="250"/>
      <c r="FG257" s="250"/>
      <c r="FH257" s="424"/>
      <c r="FI257" s="250"/>
      <c r="FJ257" s="250"/>
      <c r="FK257" s="250"/>
      <c r="FL257" s="256"/>
      <c r="FM257" s="250"/>
      <c r="FN257" s="256"/>
      <c r="FO257" s="250"/>
      <c r="FP257" s="256"/>
      <c r="FQ257" s="250"/>
      <c r="FR257" s="256"/>
      <c r="FS257" s="250"/>
      <c r="FT257" s="256"/>
      <c r="FU257" s="256"/>
      <c r="FV257" s="256"/>
      <c r="FW257" s="250"/>
      <c r="FX257" s="424"/>
      <c r="FY257" s="251"/>
      <c r="GC257" s="252"/>
      <c r="GF257" s="252"/>
      <c r="GG257" s="252"/>
      <c r="GH257" s="252"/>
      <c r="GI257" s="252"/>
      <c r="GJ257" s="252"/>
      <c r="GK257" s="251"/>
      <c r="GL257" s="250"/>
      <c r="GM257" s="250"/>
      <c r="GN257" s="250"/>
      <c r="GO257" s="250"/>
      <c r="GP257" s="250"/>
      <c r="GQ257" s="250"/>
      <c r="GR257" s="250"/>
      <c r="GS257" s="250"/>
      <c r="GT257" s="250"/>
      <c r="GU257" s="251"/>
      <c r="GV257" s="250"/>
      <c r="GW257" s="250"/>
      <c r="GX257" s="250"/>
      <c r="GY257" s="250"/>
      <c r="GZ257" s="250"/>
      <c r="HA257" s="250"/>
      <c r="HB257" s="250"/>
      <c r="HC257" s="250"/>
      <c r="HD257" s="250"/>
      <c r="HE257" s="250"/>
      <c r="HF257" s="250"/>
      <c r="HG257" s="250"/>
      <c r="HH257" s="251"/>
      <c r="HI257" s="424"/>
      <c r="HJ257" s="255"/>
      <c r="HK257" s="255"/>
      <c r="HL257" s="250"/>
      <c r="HM257" s="255"/>
      <c r="HN257" s="255"/>
      <c r="HO257" s="255"/>
      <c r="HP257" s="250"/>
      <c r="HQ257" s="250"/>
      <c r="HR257" s="250"/>
      <c r="HS257" s="250"/>
      <c r="HT257" s="250"/>
      <c r="HU257" s="251"/>
      <c r="HX257" s="252"/>
      <c r="HY257" s="252"/>
      <c r="HZ257" s="252"/>
      <c r="ID257" s="252"/>
      <c r="IE257" s="252"/>
      <c r="IF257" s="252"/>
      <c r="IJ257" s="252"/>
      <c r="IK257" s="252"/>
      <c r="IL257" s="252"/>
      <c r="IP257" s="252"/>
      <c r="IQ257" s="252"/>
      <c r="IR257" s="252"/>
      <c r="IY257" s="66"/>
      <c r="IZ257" s="66"/>
      <c r="JA257" s="66"/>
      <c r="JB257" s="250"/>
      <c r="JC257" s="66"/>
      <c r="JD257" s="66"/>
      <c r="JE257" s="66"/>
      <c r="JF257" s="66"/>
      <c r="JG257" s="66"/>
      <c r="JH257" s="66"/>
      <c r="JI257" s="66"/>
      <c r="JJ257" s="66"/>
      <c r="JK257" s="8"/>
      <c r="JN257" s="252"/>
      <c r="JO257" s="252"/>
      <c r="JP257" s="252"/>
      <c r="JT257" s="252"/>
      <c r="JU257" s="252"/>
      <c r="JV257" s="252"/>
      <c r="JZ257" s="252"/>
      <c r="KA257" s="252"/>
      <c r="KB257" s="252"/>
      <c r="KF257" s="252"/>
      <c r="KG257" s="252"/>
      <c r="KH257" s="252"/>
      <c r="KO257" s="66"/>
      <c r="KP257" s="66"/>
      <c r="KQ257" s="66"/>
      <c r="KR257" s="66"/>
      <c r="KS257" s="66"/>
      <c r="KT257" s="66"/>
      <c r="KU257" s="66"/>
      <c r="KV257" s="66"/>
      <c r="KW257" s="66"/>
      <c r="KX257" s="66"/>
      <c r="KY257" s="66"/>
      <c r="KZ257" s="66"/>
      <c r="LA257" s="8"/>
      <c r="LD257" s="252"/>
      <c r="LE257" s="252"/>
      <c r="LF257" s="252"/>
      <c r="LJ257" s="252"/>
      <c r="LK257" s="252"/>
      <c r="LN257" s="252"/>
      <c r="LO257" s="252"/>
      <c r="LP257" s="252"/>
      <c r="LT257" s="271"/>
      <c r="LU257" s="250"/>
      <c r="LV257" s="250"/>
      <c r="LW257" s="250"/>
      <c r="LX257" s="250"/>
      <c r="LY257" s="250"/>
      <c r="LZ257" s="250"/>
      <c r="MA257" s="250"/>
      <c r="MB257" s="250"/>
      <c r="MC257" s="250"/>
      <c r="MD257" s="250"/>
      <c r="ME257" s="250"/>
      <c r="MF257" s="250"/>
      <c r="MG257" s="250"/>
      <c r="MH257" s="250"/>
      <c r="MI257" s="250"/>
      <c r="MJ257" s="250"/>
      <c r="MK257" s="424"/>
      <c r="ML257" s="640"/>
      <c r="MM257" s="251"/>
      <c r="MN257" s="252"/>
      <c r="MO257" s="252"/>
      <c r="MP257" s="252"/>
      <c r="MQ257" s="252"/>
      <c r="MR257" s="252"/>
      <c r="MS257" s="252"/>
      <c r="MT257" s="252"/>
      <c r="MU257" s="252"/>
      <c r="MV257" s="252"/>
      <c r="MW257" s="252"/>
      <c r="MX257" s="252"/>
      <c r="MY257" s="252"/>
      <c r="MZ257" s="252"/>
      <c r="NA257" s="252"/>
      <c r="NB257" s="252"/>
      <c r="NC257" s="251"/>
      <c r="ND257" s="250"/>
      <c r="NE257" s="250"/>
      <c r="NF257" s="250"/>
      <c r="NG257" s="250"/>
      <c r="NH257" s="250"/>
      <c r="NI257" s="250"/>
      <c r="NJ257" s="250"/>
      <c r="NK257" s="250"/>
      <c r="NL257" s="250"/>
      <c r="NM257" s="250"/>
      <c r="NN257" s="250"/>
      <c r="NO257" s="250"/>
      <c r="NP257" s="250"/>
      <c r="NQ257" s="250"/>
      <c r="NR257" s="250"/>
      <c r="NS257" s="250"/>
      <c r="NT257" s="250"/>
      <c r="NU257" s="250"/>
      <c r="NV257" s="250"/>
      <c r="NW257" s="251"/>
      <c r="OT257" s="8"/>
      <c r="QG257" s="8"/>
      <c r="RT257" s="8"/>
    </row>
    <row r="258" spans="1:488" s="282" customFormat="1" x14ac:dyDescent="0.25">
      <c r="A258" s="66"/>
      <c r="B258" s="8"/>
      <c r="C258" s="66"/>
      <c r="D258" s="66"/>
      <c r="E258" s="66"/>
      <c r="F258" s="66"/>
      <c r="G258" s="66"/>
      <c r="H258" s="66"/>
      <c r="I258" s="66"/>
      <c r="J258" s="66"/>
      <c r="K258" s="66"/>
      <c r="L258" s="66"/>
      <c r="M258" s="66"/>
      <c r="N258" s="66"/>
      <c r="O258" s="66"/>
      <c r="P258" s="66"/>
      <c r="Q258" s="66"/>
      <c r="R258" s="66"/>
      <c r="S258" s="66"/>
      <c r="T258" s="68"/>
      <c r="AC258" s="66"/>
      <c r="AD258" s="66"/>
      <c r="AE258" s="68"/>
      <c r="AN258" s="66"/>
      <c r="AO258" s="66"/>
      <c r="AP258" s="68"/>
      <c r="AW258" s="66"/>
      <c r="AX258" s="68"/>
      <c r="BD258" s="66"/>
      <c r="BE258" s="68"/>
      <c r="BF258" s="66"/>
      <c r="BG258" s="66"/>
      <c r="BH258" s="66"/>
      <c r="BI258" s="66"/>
      <c r="BJ258" s="66"/>
      <c r="BK258" s="66"/>
      <c r="BL258" s="68"/>
      <c r="BO258" s="66"/>
      <c r="BP258" s="68"/>
      <c r="BV258" s="66"/>
      <c r="BW258" s="68"/>
      <c r="CB258" s="8"/>
      <c r="CH258" s="8"/>
      <c r="CK258" s="299"/>
      <c r="CL258" s="299"/>
      <c r="CM258" s="66"/>
      <c r="CN258" s="66"/>
      <c r="CO258" s="68"/>
      <c r="CR258" s="8"/>
      <c r="CX258" s="66"/>
      <c r="CY258" s="532"/>
      <c r="DE258" s="66"/>
      <c r="DF258" s="66"/>
      <c r="DG258" s="68"/>
      <c r="DH258" s="68"/>
      <c r="DK258" s="66"/>
      <c r="DL258" s="66"/>
      <c r="DM258" s="66"/>
      <c r="DN258" s="66"/>
      <c r="DO258" s="66"/>
      <c r="DP258" s="66"/>
      <c r="DQ258" s="66"/>
      <c r="DR258" s="66"/>
      <c r="DS258" s="66"/>
      <c r="DT258" s="68"/>
      <c r="DU258" s="66"/>
      <c r="DV258" s="296"/>
      <c r="DW258" s="330"/>
      <c r="DX258" s="631"/>
      <c r="DY258" s="631"/>
      <c r="DZ258" s="631"/>
      <c r="EA258" s="330"/>
      <c r="EC258" s="66"/>
      <c r="ED258" s="68"/>
      <c r="EH258" s="66"/>
      <c r="EI258" s="66"/>
      <c r="EJ258" s="68"/>
      <c r="EK258" s="252"/>
      <c r="EL258" s="252"/>
      <c r="EM258" s="252"/>
      <c r="EO258" s="252"/>
      <c r="EP258" s="252"/>
      <c r="EQ258" s="252"/>
      <c r="ES258" s="252"/>
      <c r="ET258" s="252"/>
      <c r="EU258" s="252"/>
      <c r="EW258" s="252"/>
      <c r="EX258" s="252"/>
      <c r="EY258" s="252"/>
      <c r="FA258" s="250"/>
      <c r="FB258" s="250"/>
      <c r="FC258" s="250"/>
      <c r="FD258" s="250"/>
      <c r="FE258" s="250"/>
      <c r="FF258" s="250"/>
      <c r="FG258" s="250"/>
      <c r="FH258" s="424"/>
      <c r="FI258" s="250"/>
      <c r="FJ258" s="250"/>
      <c r="FK258" s="250"/>
      <c r="FL258" s="256"/>
      <c r="FM258" s="250"/>
      <c r="FN258" s="256"/>
      <c r="FO258" s="250"/>
      <c r="FP258" s="256"/>
      <c r="FQ258" s="250"/>
      <c r="FR258" s="256"/>
      <c r="FS258" s="250"/>
      <c r="FT258" s="256"/>
      <c r="FU258" s="256"/>
      <c r="FV258" s="256"/>
      <c r="FW258" s="250"/>
      <c r="FX258" s="424"/>
      <c r="FY258" s="251"/>
      <c r="GC258" s="252"/>
      <c r="GF258" s="252"/>
      <c r="GG258" s="252"/>
      <c r="GH258" s="252"/>
      <c r="GI258" s="252"/>
      <c r="GJ258" s="252"/>
      <c r="GK258" s="251"/>
      <c r="GL258" s="250"/>
      <c r="GM258" s="250"/>
      <c r="GN258" s="250"/>
      <c r="GO258" s="250"/>
      <c r="GP258" s="250"/>
      <c r="GQ258" s="250"/>
      <c r="GR258" s="250"/>
      <c r="GS258" s="250"/>
      <c r="GT258" s="250"/>
      <c r="GU258" s="251"/>
      <c r="GV258" s="250"/>
      <c r="GW258" s="250"/>
      <c r="GX258" s="250"/>
      <c r="GY258" s="250"/>
      <c r="GZ258" s="250"/>
      <c r="HA258" s="250"/>
      <c r="HB258" s="250"/>
      <c r="HC258" s="250"/>
      <c r="HD258" s="250"/>
      <c r="HE258" s="250"/>
      <c r="HF258" s="250"/>
      <c r="HG258" s="250"/>
      <c r="HH258" s="251"/>
      <c r="HI258" s="424"/>
      <c r="HJ258" s="255"/>
      <c r="HK258" s="255"/>
      <c r="HL258" s="250"/>
      <c r="HM258" s="255"/>
      <c r="HN258" s="255"/>
      <c r="HO258" s="255"/>
      <c r="HP258" s="250"/>
      <c r="HQ258" s="250"/>
      <c r="HR258" s="250"/>
      <c r="HS258" s="250"/>
      <c r="HT258" s="250"/>
      <c r="HU258" s="251"/>
      <c r="HX258" s="252"/>
      <c r="HY258" s="252"/>
      <c r="HZ258" s="252"/>
      <c r="ID258" s="252"/>
      <c r="IE258" s="252"/>
      <c r="IF258" s="252"/>
      <c r="IJ258" s="252"/>
      <c r="IK258" s="252"/>
      <c r="IL258" s="252"/>
      <c r="IP258" s="252"/>
      <c r="IQ258" s="252"/>
      <c r="IR258" s="252"/>
      <c r="IY258" s="66"/>
      <c r="IZ258" s="66"/>
      <c r="JA258" s="66"/>
      <c r="JB258" s="250"/>
      <c r="JC258" s="66"/>
      <c r="JD258" s="66"/>
      <c r="JE258" s="66"/>
      <c r="JF258" s="66"/>
      <c r="JG258" s="66"/>
      <c r="JH258" s="66"/>
      <c r="JI258" s="66"/>
      <c r="JJ258" s="66"/>
      <c r="JK258" s="8"/>
      <c r="JN258" s="252"/>
      <c r="JO258" s="252"/>
      <c r="JP258" s="252"/>
      <c r="JT258" s="252"/>
      <c r="JU258" s="252"/>
      <c r="JV258" s="252"/>
      <c r="JZ258" s="252"/>
      <c r="KA258" s="252"/>
      <c r="KB258" s="252"/>
      <c r="KF258" s="252"/>
      <c r="KG258" s="252"/>
      <c r="KH258" s="252"/>
      <c r="KO258" s="66"/>
      <c r="KP258" s="66"/>
      <c r="KQ258" s="66"/>
      <c r="KR258" s="66"/>
      <c r="KS258" s="66"/>
      <c r="KT258" s="66"/>
      <c r="KU258" s="66"/>
      <c r="KV258" s="66"/>
      <c r="KW258" s="66"/>
      <c r="KX258" s="66"/>
      <c r="KY258" s="66"/>
      <c r="KZ258" s="66"/>
      <c r="LA258" s="8"/>
      <c r="LD258" s="252"/>
      <c r="LE258" s="252"/>
      <c r="LF258" s="252"/>
      <c r="LJ258" s="252"/>
      <c r="LK258" s="252"/>
      <c r="LN258" s="252"/>
      <c r="LO258" s="252"/>
      <c r="LP258" s="252"/>
      <c r="LT258" s="271"/>
      <c r="LU258" s="250"/>
      <c r="LV258" s="250"/>
      <c r="LW258" s="250"/>
      <c r="LX258" s="250"/>
      <c r="LY258" s="250"/>
      <c r="LZ258" s="250"/>
      <c r="MA258" s="250"/>
      <c r="MB258" s="250"/>
      <c r="MC258" s="250"/>
      <c r="MD258" s="250"/>
      <c r="ME258" s="250"/>
      <c r="MF258" s="250"/>
      <c r="MG258" s="250"/>
      <c r="MH258" s="250"/>
      <c r="MI258" s="250"/>
      <c r="MJ258" s="250"/>
      <c r="MK258" s="424"/>
      <c r="ML258" s="640"/>
      <c r="MM258" s="251"/>
      <c r="MN258" s="252"/>
      <c r="MO258" s="252"/>
      <c r="MP258" s="252"/>
      <c r="MQ258" s="252"/>
      <c r="MR258" s="252"/>
      <c r="MS258" s="252"/>
      <c r="MT258" s="252"/>
      <c r="MU258" s="252"/>
      <c r="MV258" s="252"/>
      <c r="MW258" s="252"/>
      <c r="MX258" s="252"/>
      <c r="MY258" s="252"/>
      <c r="MZ258" s="252"/>
      <c r="NA258" s="252"/>
      <c r="NB258" s="252"/>
      <c r="NC258" s="251"/>
      <c r="ND258" s="250"/>
      <c r="NE258" s="250"/>
      <c r="NF258" s="250"/>
      <c r="NG258" s="250"/>
      <c r="NH258" s="250"/>
      <c r="NI258" s="250"/>
      <c r="NJ258" s="250"/>
      <c r="NK258" s="250"/>
      <c r="NL258" s="250"/>
      <c r="NM258" s="250"/>
      <c r="NN258" s="250"/>
      <c r="NO258" s="250"/>
      <c r="NP258" s="250"/>
      <c r="NQ258" s="250"/>
      <c r="NR258" s="250"/>
      <c r="NS258" s="250"/>
      <c r="NT258" s="250"/>
      <c r="NU258" s="250"/>
      <c r="NV258" s="250"/>
      <c r="NW258" s="251"/>
      <c r="OT258" s="8"/>
      <c r="QG258" s="8"/>
      <c r="RT258" s="8"/>
    </row>
    <row r="259" spans="1:488" s="282" customFormat="1" x14ac:dyDescent="0.25">
      <c r="A259" s="66"/>
      <c r="B259" s="8"/>
      <c r="C259" s="66"/>
      <c r="D259" s="66"/>
      <c r="E259" s="66"/>
      <c r="F259" s="66"/>
      <c r="G259" s="66"/>
      <c r="H259" s="66"/>
      <c r="I259" s="66"/>
      <c r="J259" s="66"/>
      <c r="K259" s="66"/>
      <c r="L259" s="66"/>
      <c r="M259" s="66"/>
      <c r="N259" s="66"/>
      <c r="O259" s="66"/>
      <c r="P259" s="66"/>
      <c r="Q259" s="66"/>
      <c r="R259" s="66"/>
      <c r="S259" s="66"/>
      <c r="T259" s="68"/>
      <c r="AC259" s="66"/>
      <c r="AD259" s="66"/>
      <c r="AE259" s="68"/>
      <c r="AN259" s="66"/>
      <c r="AO259" s="66"/>
      <c r="AP259" s="68"/>
      <c r="AW259" s="66"/>
      <c r="AX259" s="68"/>
      <c r="BD259" s="66"/>
      <c r="BE259" s="68"/>
      <c r="BF259" s="66"/>
      <c r="BG259" s="66"/>
      <c r="BH259" s="66"/>
      <c r="BI259" s="66"/>
      <c r="BJ259" s="66"/>
      <c r="BK259" s="66"/>
      <c r="BL259" s="68"/>
      <c r="BO259" s="66"/>
      <c r="BP259" s="68"/>
      <c r="BV259" s="66"/>
      <c r="BW259" s="68"/>
      <c r="CB259" s="8"/>
      <c r="CH259" s="8"/>
      <c r="CK259" s="299"/>
      <c r="CL259" s="299"/>
      <c r="CM259" s="66"/>
      <c r="CN259" s="66"/>
      <c r="CO259" s="68"/>
      <c r="CR259" s="8"/>
      <c r="CX259" s="66"/>
      <c r="CY259" s="532"/>
      <c r="DE259" s="66"/>
      <c r="DF259" s="66"/>
      <c r="DG259" s="68"/>
      <c r="DH259" s="68"/>
      <c r="DK259" s="66"/>
      <c r="DL259" s="66"/>
      <c r="DM259" s="66"/>
      <c r="DN259" s="66"/>
      <c r="DO259" s="66"/>
      <c r="DP259" s="66"/>
      <c r="DQ259" s="66"/>
      <c r="DR259" s="66"/>
      <c r="DS259" s="66"/>
      <c r="DT259" s="68"/>
      <c r="DU259" s="66"/>
      <c r="DV259" s="296"/>
      <c r="DW259" s="330"/>
      <c r="DX259" s="631"/>
      <c r="DY259" s="631"/>
      <c r="DZ259" s="631"/>
      <c r="EA259" s="330"/>
      <c r="EC259" s="66"/>
      <c r="ED259" s="68"/>
      <c r="EH259" s="66"/>
      <c r="EI259" s="66"/>
      <c r="EJ259" s="68"/>
      <c r="EK259" s="252"/>
      <c r="EL259" s="252"/>
      <c r="EM259" s="252"/>
      <c r="EO259" s="252"/>
      <c r="EP259" s="252"/>
      <c r="EQ259" s="252"/>
      <c r="ES259" s="252"/>
      <c r="ET259" s="252"/>
      <c r="EU259" s="252"/>
      <c r="EW259" s="252"/>
      <c r="EX259" s="252"/>
      <c r="EY259" s="252"/>
      <c r="FA259" s="250"/>
      <c r="FB259" s="250"/>
      <c r="FC259" s="250"/>
      <c r="FD259" s="250"/>
      <c r="FE259" s="250"/>
      <c r="FF259" s="250"/>
      <c r="FG259" s="250"/>
      <c r="FH259" s="424"/>
      <c r="FI259" s="250"/>
      <c r="FJ259" s="250"/>
      <c r="FK259" s="250"/>
      <c r="FL259" s="256"/>
      <c r="FM259" s="250"/>
      <c r="FN259" s="256"/>
      <c r="FO259" s="250"/>
      <c r="FP259" s="256"/>
      <c r="FQ259" s="250"/>
      <c r="FR259" s="256"/>
      <c r="FS259" s="250"/>
      <c r="FT259" s="256"/>
      <c r="FU259" s="256"/>
      <c r="FV259" s="256"/>
      <c r="FW259" s="250"/>
      <c r="FX259" s="424"/>
      <c r="FY259" s="251"/>
      <c r="GC259" s="252"/>
      <c r="GF259" s="252"/>
      <c r="GG259" s="252"/>
      <c r="GH259" s="252"/>
      <c r="GI259" s="252"/>
      <c r="GJ259" s="252"/>
      <c r="GK259" s="251"/>
      <c r="GL259" s="250"/>
      <c r="GM259" s="250"/>
      <c r="GN259" s="250"/>
      <c r="GO259" s="250"/>
      <c r="GP259" s="250"/>
      <c r="GQ259" s="250"/>
      <c r="GR259" s="250"/>
      <c r="GS259" s="250"/>
      <c r="GT259" s="250"/>
      <c r="GU259" s="251"/>
      <c r="GV259" s="250"/>
      <c r="GW259" s="250"/>
      <c r="GX259" s="250"/>
      <c r="GY259" s="250"/>
      <c r="GZ259" s="250"/>
      <c r="HA259" s="250"/>
      <c r="HB259" s="250"/>
      <c r="HC259" s="250"/>
      <c r="HD259" s="250"/>
      <c r="HE259" s="250"/>
      <c r="HF259" s="250"/>
      <c r="HG259" s="250"/>
      <c r="HH259" s="251"/>
      <c r="HI259" s="424"/>
      <c r="HJ259" s="255"/>
      <c r="HK259" s="255"/>
      <c r="HL259" s="250"/>
      <c r="HM259" s="255"/>
      <c r="HN259" s="255"/>
      <c r="HO259" s="255"/>
      <c r="HP259" s="250"/>
      <c r="HQ259" s="250"/>
      <c r="HR259" s="250"/>
      <c r="HS259" s="250"/>
      <c r="HT259" s="250"/>
      <c r="HU259" s="251"/>
      <c r="HX259" s="252"/>
      <c r="HY259" s="252"/>
      <c r="HZ259" s="252"/>
      <c r="ID259" s="252"/>
      <c r="IE259" s="252"/>
      <c r="IF259" s="252"/>
      <c r="IJ259" s="252"/>
      <c r="IK259" s="252"/>
      <c r="IL259" s="252"/>
      <c r="IP259" s="252"/>
      <c r="IQ259" s="252"/>
      <c r="IR259" s="252"/>
      <c r="IY259" s="66"/>
      <c r="IZ259" s="66"/>
      <c r="JA259" s="66"/>
      <c r="JB259" s="250"/>
      <c r="JC259" s="66"/>
      <c r="JD259" s="66"/>
      <c r="JE259" s="66"/>
      <c r="JF259" s="66"/>
      <c r="JG259" s="66"/>
      <c r="JH259" s="66"/>
      <c r="JI259" s="66"/>
      <c r="JJ259" s="66"/>
      <c r="JK259" s="8"/>
      <c r="JN259" s="252"/>
      <c r="JO259" s="252"/>
      <c r="JP259" s="252"/>
      <c r="JT259" s="252"/>
      <c r="JU259" s="252"/>
      <c r="JV259" s="252"/>
      <c r="JZ259" s="252"/>
      <c r="KA259" s="252"/>
      <c r="KB259" s="252"/>
      <c r="KF259" s="252"/>
      <c r="KG259" s="252"/>
      <c r="KH259" s="252"/>
      <c r="KO259" s="66"/>
      <c r="KP259" s="66"/>
      <c r="KQ259" s="66"/>
      <c r="KR259" s="66"/>
      <c r="KS259" s="66"/>
      <c r="KT259" s="66"/>
      <c r="KU259" s="66"/>
      <c r="KV259" s="66"/>
      <c r="KW259" s="66"/>
      <c r="KX259" s="66"/>
      <c r="KY259" s="66"/>
      <c r="KZ259" s="66"/>
      <c r="LA259" s="8"/>
      <c r="LD259" s="252"/>
      <c r="LE259" s="252"/>
      <c r="LF259" s="252"/>
      <c r="LJ259" s="252"/>
      <c r="LK259" s="252"/>
      <c r="LN259" s="252"/>
      <c r="LO259" s="252"/>
      <c r="LP259" s="252"/>
      <c r="LT259" s="271"/>
      <c r="LU259" s="250"/>
      <c r="LV259" s="250"/>
      <c r="LW259" s="250"/>
      <c r="LX259" s="250"/>
      <c r="LY259" s="250"/>
      <c r="LZ259" s="250"/>
      <c r="MA259" s="250"/>
      <c r="MB259" s="250"/>
      <c r="MC259" s="250"/>
      <c r="MD259" s="250"/>
      <c r="ME259" s="250"/>
      <c r="MF259" s="250"/>
      <c r="MG259" s="250"/>
      <c r="MH259" s="250"/>
      <c r="MI259" s="250"/>
      <c r="MJ259" s="250"/>
      <c r="MK259" s="424"/>
      <c r="ML259" s="640"/>
      <c r="MM259" s="251"/>
      <c r="MN259" s="252"/>
      <c r="MO259" s="252"/>
      <c r="MP259" s="252"/>
      <c r="MQ259" s="252"/>
      <c r="MR259" s="252"/>
      <c r="MS259" s="252"/>
      <c r="MT259" s="252"/>
      <c r="MU259" s="252"/>
      <c r="MV259" s="252"/>
      <c r="MW259" s="252"/>
      <c r="MX259" s="252"/>
      <c r="MY259" s="252"/>
      <c r="MZ259" s="252"/>
      <c r="NA259" s="252"/>
      <c r="NB259" s="252"/>
      <c r="NC259" s="251"/>
      <c r="ND259" s="250"/>
      <c r="NE259" s="250"/>
      <c r="NF259" s="250"/>
      <c r="NG259" s="250"/>
      <c r="NH259" s="250"/>
      <c r="NI259" s="250"/>
      <c r="NJ259" s="250"/>
      <c r="NK259" s="250"/>
      <c r="NL259" s="250"/>
      <c r="NM259" s="250"/>
      <c r="NN259" s="250"/>
      <c r="NO259" s="250"/>
      <c r="NP259" s="250"/>
      <c r="NQ259" s="250"/>
      <c r="NR259" s="250"/>
      <c r="NS259" s="250"/>
      <c r="NT259" s="250"/>
      <c r="NU259" s="250"/>
      <c r="NV259" s="250"/>
      <c r="NW259" s="251"/>
      <c r="OT259" s="8"/>
      <c r="QG259" s="8"/>
      <c r="RT259" s="8"/>
    </row>
    <row r="260" spans="1:488" s="282" customFormat="1" x14ac:dyDescent="0.25">
      <c r="A260" s="66"/>
      <c r="B260" s="8"/>
      <c r="C260" s="66"/>
      <c r="D260" s="66"/>
      <c r="E260" s="66"/>
      <c r="F260" s="66"/>
      <c r="G260" s="66"/>
      <c r="H260" s="66"/>
      <c r="I260" s="66"/>
      <c r="J260" s="66"/>
      <c r="K260" s="66"/>
      <c r="L260" s="66"/>
      <c r="M260" s="66"/>
      <c r="N260" s="66"/>
      <c r="O260" s="66"/>
      <c r="P260" s="66"/>
      <c r="Q260" s="66"/>
      <c r="R260" s="66"/>
      <c r="S260" s="66"/>
      <c r="T260" s="68"/>
      <c r="AC260" s="66"/>
      <c r="AD260" s="66"/>
      <c r="AE260" s="68"/>
      <c r="AN260" s="66"/>
      <c r="AO260" s="66"/>
      <c r="AP260" s="68"/>
      <c r="AW260" s="66"/>
      <c r="AX260" s="68"/>
      <c r="BD260" s="66"/>
      <c r="BE260" s="68"/>
      <c r="BF260" s="66"/>
      <c r="BG260" s="66"/>
      <c r="BH260" s="66"/>
      <c r="BI260" s="66"/>
      <c r="BJ260" s="66"/>
      <c r="BK260" s="66"/>
      <c r="BL260" s="68"/>
      <c r="BO260" s="66"/>
      <c r="BP260" s="68"/>
      <c r="BV260" s="66"/>
      <c r="BW260" s="68"/>
      <c r="CB260" s="8"/>
      <c r="CH260" s="8"/>
      <c r="CK260" s="299"/>
      <c r="CL260" s="299"/>
      <c r="CM260" s="66"/>
      <c r="CN260" s="66"/>
      <c r="CO260" s="68"/>
      <c r="CR260" s="8"/>
      <c r="CX260" s="66"/>
      <c r="CY260" s="532"/>
      <c r="DE260" s="66"/>
      <c r="DF260" s="66"/>
      <c r="DG260" s="68"/>
      <c r="DH260" s="68"/>
      <c r="DK260" s="66"/>
      <c r="DL260" s="66"/>
      <c r="DM260" s="66"/>
      <c r="DN260" s="66"/>
      <c r="DO260" s="66"/>
      <c r="DP260" s="66"/>
      <c r="DQ260" s="66"/>
      <c r="DR260" s="66"/>
      <c r="DS260" s="66"/>
      <c r="DT260" s="68"/>
      <c r="DU260" s="66"/>
      <c r="DV260" s="296"/>
      <c r="DW260" s="330"/>
      <c r="DX260" s="631"/>
      <c r="DY260" s="631"/>
      <c r="DZ260" s="631"/>
      <c r="EA260" s="330"/>
      <c r="EC260" s="66"/>
      <c r="ED260" s="68"/>
      <c r="EH260" s="66"/>
      <c r="EI260" s="66"/>
      <c r="EJ260" s="68"/>
      <c r="EK260" s="252"/>
      <c r="EL260" s="252"/>
      <c r="EM260" s="252"/>
      <c r="EO260" s="252"/>
      <c r="EP260" s="252"/>
      <c r="EQ260" s="252"/>
      <c r="ES260" s="252"/>
      <c r="ET260" s="252"/>
      <c r="EU260" s="252"/>
      <c r="EW260" s="252"/>
      <c r="EX260" s="252"/>
      <c r="EY260" s="252"/>
      <c r="FA260" s="250"/>
      <c r="FB260" s="250"/>
      <c r="FC260" s="250"/>
      <c r="FD260" s="250"/>
      <c r="FE260" s="250"/>
      <c r="FF260" s="250"/>
      <c r="FG260" s="250"/>
      <c r="FH260" s="424"/>
      <c r="FI260" s="250"/>
      <c r="FJ260" s="250"/>
      <c r="FK260" s="250"/>
      <c r="FL260" s="256"/>
      <c r="FM260" s="250"/>
      <c r="FN260" s="256"/>
      <c r="FO260" s="250"/>
      <c r="FP260" s="256"/>
      <c r="FQ260" s="250"/>
      <c r="FR260" s="256"/>
      <c r="FS260" s="250"/>
      <c r="FT260" s="256"/>
      <c r="FU260" s="256"/>
      <c r="FV260" s="256"/>
      <c r="FW260" s="250"/>
      <c r="FX260" s="424"/>
      <c r="FY260" s="251"/>
      <c r="GC260" s="252"/>
      <c r="GF260" s="252"/>
      <c r="GG260" s="252"/>
      <c r="GH260" s="252"/>
      <c r="GI260" s="252"/>
      <c r="GJ260" s="252"/>
      <c r="GK260" s="251"/>
      <c r="GL260" s="250"/>
      <c r="GM260" s="250"/>
      <c r="GN260" s="250"/>
      <c r="GO260" s="250"/>
      <c r="GP260" s="250"/>
      <c r="GQ260" s="250"/>
      <c r="GR260" s="250"/>
      <c r="GS260" s="250"/>
      <c r="GT260" s="250"/>
      <c r="GU260" s="251"/>
      <c r="GV260" s="250"/>
      <c r="GW260" s="250"/>
      <c r="GX260" s="250"/>
      <c r="GY260" s="250"/>
      <c r="GZ260" s="250"/>
      <c r="HA260" s="250"/>
      <c r="HB260" s="250"/>
      <c r="HC260" s="250"/>
      <c r="HD260" s="250"/>
      <c r="HE260" s="250"/>
      <c r="HF260" s="250"/>
      <c r="HG260" s="250"/>
      <c r="HH260" s="251"/>
      <c r="HI260" s="424"/>
      <c r="HJ260" s="255"/>
      <c r="HK260" s="255"/>
      <c r="HL260" s="250"/>
      <c r="HM260" s="255"/>
      <c r="HN260" s="255"/>
      <c r="HO260" s="255"/>
      <c r="HP260" s="250"/>
      <c r="HQ260" s="250"/>
      <c r="HR260" s="250"/>
      <c r="HS260" s="250"/>
      <c r="HT260" s="250"/>
      <c r="HU260" s="251"/>
      <c r="HX260" s="252"/>
      <c r="HY260" s="252"/>
      <c r="HZ260" s="252"/>
      <c r="ID260" s="252"/>
      <c r="IE260" s="252"/>
      <c r="IF260" s="252"/>
      <c r="IJ260" s="252"/>
      <c r="IK260" s="252"/>
      <c r="IL260" s="252"/>
      <c r="IP260" s="252"/>
      <c r="IQ260" s="252"/>
      <c r="IR260" s="252"/>
      <c r="IY260" s="66"/>
      <c r="IZ260" s="66"/>
      <c r="JA260" s="66"/>
      <c r="JB260" s="250"/>
      <c r="JC260" s="66"/>
      <c r="JD260" s="66"/>
      <c r="JE260" s="66"/>
      <c r="JF260" s="66"/>
      <c r="JG260" s="66"/>
      <c r="JH260" s="66"/>
      <c r="JI260" s="66"/>
      <c r="JJ260" s="66"/>
      <c r="JK260" s="8"/>
      <c r="JN260" s="252"/>
      <c r="JO260" s="252"/>
      <c r="JP260" s="252"/>
      <c r="JT260" s="252"/>
      <c r="JU260" s="252"/>
      <c r="JV260" s="252"/>
      <c r="JZ260" s="252"/>
      <c r="KA260" s="252"/>
      <c r="KB260" s="252"/>
      <c r="KF260" s="252"/>
      <c r="KG260" s="252"/>
      <c r="KH260" s="252"/>
      <c r="KO260" s="66"/>
      <c r="KP260" s="66"/>
      <c r="KQ260" s="66"/>
      <c r="KR260" s="66"/>
      <c r="KS260" s="66"/>
      <c r="KT260" s="66"/>
      <c r="KU260" s="66"/>
      <c r="KV260" s="66"/>
      <c r="KW260" s="66"/>
      <c r="KX260" s="66"/>
      <c r="KY260" s="66"/>
      <c r="KZ260" s="66"/>
      <c r="LA260" s="8"/>
      <c r="LD260" s="252"/>
      <c r="LE260" s="252"/>
      <c r="LF260" s="252"/>
      <c r="LJ260" s="252"/>
      <c r="LK260" s="252"/>
      <c r="LN260" s="252"/>
      <c r="LO260" s="252"/>
      <c r="LP260" s="252"/>
      <c r="LT260" s="271"/>
      <c r="LU260" s="250"/>
      <c r="LV260" s="250"/>
      <c r="LW260" s="250"/>
      <c r="LX260" s="250"/>
      <c r="LY260" s="250"/>
      <c r="LZ260" s="250"/>
      <c r="MA260" s="250"/>
      <c r="MB260" s="250"/>
      <c r="MC260" s="250"/>
      <c r="MD260" s="250"/>
      <c r="ME260" s="250"/>
      <c r="MF260" s="250"/>
      <c r="MG260" s="250"/>
      <c r="MH260" s="250"/>
      <c r="MI260" s="250"/>
      <c r="MJ260" s="250"/>
      <c r="MK260" s="424"/>
      <c r="ML260" s="640"/>
      <c r="MM260" s="251"/>
      <c r="MN260" s="252"/>
      <c r="MO260" s="252"/>
      <c r="MP260" s="252"/>
      <c r="MQ260" s="252"/>
      <c r="MR260" s="252"/>
      <c r="MS260" s="252"/>
      <c r="MT260" s="252"/>
      <c r="MU260" s="252"/>
      <c r="MV260" s="252"/>
      <c r="MW260" s="252"/>
      <c r="MX260" s="252"/>
      <c r="MY260" s="252"/>
      <c r="MZ260" s="252"/>
      <c r="NA260" s="252"/>
      <c r="NB260" s="252"/>
      <c r="NC260" s="251"/>
      <c r="ND260" s="250"/>
      <c r="NE260" s="250"/>
      <c r="NF260" s="250"/>
      <c r="NG260" s="250"/>
      <c r="NH260" s="250"/>
      <c r="NI260" s="250"/>
      <c r="NJ260" s="250"/>
      <c r="NK260" s="250"/>
      <c r="NL260" s="250"/>
      <c r="NM260" s="250"/>
      <c r="NN260" s="250"/>
      <c r="NO260" s="250"/>
      <c r="NP260" s="250"/>
      <c r="NQ260" s="250"/>
      <c r="NR260" s="250"/>
      <c r="NS260" s="250"/>
      <c r="NT260" s="250"/>
      <c r="NU260" s="250"/>
      <c r="NV260" s="250"/>
      <c r="NW260" s="251"/>
      <c r="OT260" s="8"/>
      <c r="QG260" s="8"/>
      <c r="RT260" s="8"/>
    </row>
    <row r="261" spans="1:488" s="282" customFormat="1" x14ac:dyDescent="0.25">
      <c r="A261" s="66"/>
      <c r="B261" s="8"/>
      <c r="C261" s="66"/>
      <c r="D261" s="66"/>
      <c r="E261" s="66"/>
      <c r="F261" s="66"/>
      <c r="G261" s="66"/>
      <c r="H261" s="66"/>
      <c r="I261" s="66"/>
      <c r="J261" s="66"/>
      <c r="K261" s="66"/>
      <c r="L261" s="66"/>
      <c r="M261" s="66"/>
      <c r="N261" s="66"/>
      <c r="O261" s="66"/>
      <c r="P261" s="66"/>
      <c r="Q261" s="66"/>
      <c r="R261" s="66"/>
      <c r="S261" s="66"/>
      <c r="T261" s="68"/>
      <c r="AC261" s="66"/>
      <c r="AD261" s="66"/>
      <c r="AE261" s="68"/>
      <c r="AN261" s="66"/>
      <c r="AO261" s="66"/>
      <c r="AP261" s="68"/>
      <c r="AW261" s="66"/>
      <c r="AX261" s="68"/>
      <c r="BD261" s="66"/>
      <c r="BE261" s="68"/>
      <c r="BF261" s="66"/>
      <c r="BG261" s="66"/>
      <c r="BH261" s="66"/>
      <c r="BI261" s="66"/>
      <c r="BJ261" s="66"/>
      <c r="BK261" s="66"/>
      <c r="BL261" s="68"/>
      <c r="BO261" s="66"/>
      <c r="BP261" s="68"/>
      <c r="BV261" s="66"/>
      <c r="BW261" s="68"/>
      <c r="CB261" s="8"/>
      <c r="CH261" s="8"/>
      <c r="CK261" s="299"/>
      <c r="CL261" s="299"/>
      <c r="CM261" s="66"/>
      <c r="CN261" s="66"/>
      <c r="CO261" s="68"/>
      <c r="CR261" s="8"/>
      <c r="CX261" s="66"/>
      <c r="CY261" s="532"/>
      <c r="DE261" s="66"/>
      <c r="DF261" s="66"/>
      <c r="DG261" s="68"/>
      <c r="DH261" s="68"/>
      <c r="DK261" s="66"/>
      <c r="DL261" s="66"/>
      <c r="DM261" s="66"/>
      <c r="DN261" s="66"/>
      <c r="DO261" s="66"/>
      <c r="DP261" s="66"/>
      <c r="DQ261" s="66"/>
      <c r="DR261" s="66"/>
      <c r="DS261" s="66"/>
      <c r="DT261" s="68"/>
      <c r="DU261" s="66"/>
      <c r="DV261" s="296"/>
      <c r="DW261" s="330"/>
      <c r="DX261" s="631"/>
      <c r="DY261" s="631"/>
      <c r="DZ261" s="631"/>
      <c r="EA261" s="330"/>
      <c r="EC261" s="66"/>
      <c r="ED261" s="68"/>
      <c r="EH261" s="66"/>
      <c r="EI261" s="66"/>
      <c r="EJ261" s="68"/>
      <c r="EK261" s="252"/>
      <c r="EL261" s="252"/>
      <c r="EM261" s="252"/>
      <c r="EO261" s="252"/>
      <c r="EP261" s="252"/>
      <c r="EQ261" s="252"/>
      <c r="ES261" s="252"/>
      <c r="ET261" s="252"/>
      <c r="EU261" s="252"/>
      <c r="EW261" s="252"/>
      <c r="EX261" s="252"/>
      <c r="EY261" s="252"/>
      <c r="FA261" s="250"/>
      <c r="FB261" s="250"/>
      <c r="FC261" s="250"/>
      <c r="FD261" s="250"/>
      <c r="FE261" s="250"/>
      <c r="FF261" s="250"/>
      <c r="FG261" s="250"/>
      <c r="FH261" s="424"/>
      <c r="FI261" s="250"/>
      <c r="FJ261" s="250"/>
      <c r="FK261" s="250"/>
      <c r="FL261" s="256"/>
      <c r="FM261" s="250"/>
      <c r="FN261" s="256"/>
      <c r="FO261" s="250"/>
      <c r="FP261" s="256"/>
      <c r="FQ261" s="250"/>
      <c r="FR261" s="256"/>
      <c r="FS261" s="250"/>
      <c r="FT261" s="256"/>
      <c r="FU261" s="256"/>
      <c r="FV261" s="256"/>
      <c r="FW261" s="250"/>
      <c r="FX261" s="424"/>
      <c r="FY261" s="251"/>
      <c r="GC261" s="252"/>
      <c r="GF261" s="252"/>
      <c r="GG261" s="252"/>
      <c r="GH261" s="252"/>
      <c r="GI261" s="252"/>
      <c r="GJ261" s="252"/>
      <c r="GK261" s="251"/>
      <c r="GL261" s="250"/>
      <c r="GM261" s="250"/>
      <c r="GN261" s="250"/>
      <c r="GO261" s="250"/>
      <c r="GP261" s="250"/>
      <c r="GQ261" s="250"/>
      <c r="GR261" s="250"/>
      <c r="GS261" s="250"/>
      <c r="GT261" s="250"/>
      <c r="GU261" s="251"/>
      <c r="GV261" s="250"/>
      <c r="GW261" s="250"/>
      <c r="GX261" s="250"/>
      <c r="GY261" s="250"/>
      <c r="GZ261" s="250"/>
      <c r="HA261" s="250"/>
      <c r="HB261" s="250"/>
      <c r="HC261" s="250"/>
      <c r="HD261" s="250"/>
      <c r="HE261" s="250"/>
      <c r="HF261" s="250"/>
      <c r="HG261" s="250"/>
      <c r="HH261" s="251"/>
      <c r="HI261" s="424"/>
      <c r="HJ261" s="255"/>
      <c r="HK261" s="255"/>
      <c r="HL261" s="250"/>
      <c r="HM261" s="255"/>
      <c r="HN261" s="255"/>
      <c r="HO261" s="255"/>
      <c r="HP261" s="250"/>
      <c r="HQ261" s="250"/>
      <c r="HR261" s="250"/>
      <c r="HS261" s="250"/>
      <c r="HT261" s="250"/>
      <c r="HU261" s="251"/>
      <c r="HX261" s="252"/>
      <c r="HY261" s="252"/>
      <c r="HZ261" s="252"/>
      <c r="ID261" s="252"/>
      <c r="IE261" s="252"/>
      <c r="IF261" s="252"/>
      <c r="IJ261" s="252"/>
      <c r="IK261" s="252"/>
      <c r="IL261" s="252"/>
      <c r="IP261" s="252"/>
      <c r="IQ261" s="252"/>
      <c r="IR261" s="252"/>
      <c r="IY261" s="66"/>
      <c r="IZ261" s="66"/>
      <c r="JA261" s="66"/>
      <c r="JB261" s="250"/>
      <c r="JC261" s="66"/>
      <c r="JD261" s="66"/>
      <c r="JE261" s="66"/>
      <c r="JF261" s="66"/>
      <c r="JG261" s="66"/>
      <c r="JH261" s="66"/>
      <c r="JI261" s="66"/>
      <c r="JJ261" s="66"/>
      <c r="JK261" s="8"/>
      <c r="JN261" s="252"/>
      <c r="JO261" s="252"/>
      <c r="JP261" s="252"/>
      <c r="JT261" s="252"/>
      <c r="JU261" s="252"/>
      <c r="JV261" s="252"/>
      <c r="JZ261" s="252"/>
      <c r="KA261" s="252"/>
      <c r="KB261" s="252"/>
      <c r="KF261" s="252"/>
      <c r="KG261" s="252"/>
      <c r="KH261" s="252"/>
      <c r="KO261" s="66"/>
      <c r="KP261" s="66"/>
      <c r="KQ261" s="66"/>
      <c r="KR261" s="66"/>
      <c r="KS261" s="66"/>
      <c r="KT261" s="66"/>
      <c r="KU261" s="66"/>
      <c r="KV261" s="66"/>
      <c r="KW261" s="66"/>
      <c r="KX261" s="66"/>
      <c r="KY261" s="66"/>
      <c r="KZ261" s="66"/>
      <c r="LA261" s="8"/>
      <c r="LD261" s="252"/>
      <c r="LE261" s="252"/>
      <c r="LF261" s="252"/>
      <c r="LJ261" s="252"/>
      <c r="LK261" s="252"/>
      <c r="LN261" s="252"/>
      <c r="LO261" s="252"/>
      <c r="LP261" s="252"/>
      <c r="LT261" s="271"/>
      <c r="LU261" s="250"/>
      <c r="LV261" s="250"/>
      <c r="LW261" s="250"/>
      <c r="LX261" s="250"/>
      <c r="LY261" s="250"/>
      <c r="LZ261" s="250"/>
      <c r="MA261" s="250"/>
      <c r="MB261" s="250"/>
      <c r="MC261" s="250"/>
      <c r="MD261" s="250"/>
      <c r="ME261" s="250"/>
      <c r="MF261" s="250"/>
      <c r="MG261" s="250"/>
      <c r="MH261" s="250"/>
      <c r="MI261" s="250"/>
      <c r="MJ261" s="250"/>
      <c r="MK261" s="424"/>
      <c r="ML261" s="640"/>
      <c r="MM261" s="251"/>
      <c r="MN261" s="252"/>
      <c r="MO261" s="252"/>
      <c r="MP261" s="252"/>
      <c r="MQ261" s="252"/>
      <c r="MR261" s="252"/>
      <c r="MS261" s="252"/>
      <c r="MT261" s="252"/>
      <c r="MU261" s="252"/>
      <c r="MV261" s="252"/>
      <c r="MW261" s="252"/>
      <c r="MX261" s="252"/>
      <c r="MY261" s="252"/>
      <c r="MZ261" s="252"/>
      <c r="NA261" s="252"/>
      <c r="NB261" s="252"/>
      <c r="NC261" s="251"/>
      <c r="ND261" s="250"/>
      <c r="NE261" s="250"/>
      <c r="NF261" s="250"/>
      <c r="NG261" s="250"/>
      <c r="NH261" s="250"/>
      <c r="NI261" s="250"/>
      <c r="NJ261" s="250"/>
      <c r="NK261" s="250"/>
      <c r="NL261" s="250"/>
      <c r="NM261" s="250"/>
      <c r="NN261" s="250"/>
      <c r="NO261" s="250"/>
      <c r="NP261" s="250"/>
      <c r="NQ261" s="250"/>
      <c r="NR261" s="250"/>
      <c r="NS261" s="250"/>
      <c r="NT261" s="250"/>
      <c r="NU261" s="250"/>
      <c r="NV261" s="250"/>
      <c r="NW261" s="251"/>
      <c r="OT261" s="8"/>
      <c r="QG261" s="8"/>
      <c r="RT261" s="8"/>
    </row>
    <row r="262" spans="1:488" s="282" customFormat="1" x14ac:dyDescent="0.25">
      <c r="A262" s="66"/>
      <c r="B262" s="8"/>
      <c r="C262" s="66"/>
      <c r="D262" s="66"/>
      <c r="E262" s="66"/>
      <c r="F262" s="66"/>
      <c r="G262" s="66"/>
      <c r="H262" s="66"/>
      <c r="I262" s="66"/>
      <c r="J262" s="66"/>
      <c r="K262" s="66"/>
      <c r="L262" s="66"/>
      <c r="M262" s="66"/>
      <c r="N262" s="66"/>
      <c r="O262" s="66"/>
      <c r="P262" s="66"/>
      <c r="Q262" s="66"/>
      <c r="R262" s="66"/>
      <c r="S262" s="66"/>
      <c r="T262" s="68"/>
      <c r="AC262" s="66"/>
      <c r="AD262" s="66"/>
      <c r="AE262" s="68"/>
      <c r="AN262" s="66"/>
      <c r="AO262" s="66"/>
      <c r="AP262" s="68"/>
      <c r="AW262" s="66"/>
      <c r="AX262" s="68"/>
      <c r="BD262" s="66"/>
      <c r="BE262" s="68"/>
      <c r="BF262" s="66"/>
      <c r="BG262" s="66"/>
      <c r="BH262" s="66"/>
      <c r="BI262" s="66"/>
      <c r="BJ262" s="66"/>
      <c r="BK262" s="66"/>
      <c r="BL262" s="68"/>
      <c r="BO262" s="66"/>
      <c r="BP262" s="68"/>
      <c r="BV262" s="66"/>
      <c r="BW262" s="68"/>
      <c r="CB262" s="8"/>
      <c r="CH262" s="8"/>
      <c r="CK262" s="299"/>
      <c r="CL262" s="299"/>
      <c r="CM262" s="66"/>
      <c r="CN262" s="66"/>
      <c r="CO262" s="68"/>
      <c r="CR262" s="8"/>
      <c r="CX262" s="66"/>
      <c r="CY262" s="532"/>
      <c r="DE262" s="66"/>
      <c r="DF262" s="66"/>
      <c r="DG262" s="68"/>
      <c r="DH262" s="68"/>
      <c r="DK262" s="66"/>
      <c r="DL262" s="66"/>
      <c r="DM262" s="66"/>
      <c r="DN262" s="66"/>
      <c r="DO262" s="66"/>
      <c r="DP262" s="66"/>
      <c r="DQ262" s="66"/>
      <c r="DR262" s="66"/>
      <c r="DS262" s="66"/>
      <c r="DT262" s="68"/>
      <c r="DU262" s="66"/>
      <c r="DV262" s="296"/>
      <c r="DW262" s="330"/>
      <c r="DX262" s="631"/>
      <c r="DY262" s="631"/>
      <c r="DZ262" s="631"/>
      <c r="EA262" s="330"/>
      <c r="EC262" s="66"/>
      <c r="ED262" s="68"/>
      <c r="EH262" s="66"/>
      <c r="EI262" s="66"/>
      <c r="EJ262" s="68"/>
      <c r="EK262" s="252"/>
      <c r="EL262" s="252"/>
      <c r="EM262" s="252"/>
      <c r="EO262" s="252"/>
      <c r="EP262" s="252"/>
      <c r="EQ262" s="252"/>
      <c r="ES262" s="252"/>
      <c r="ET262" s="252"/>
      <c r="EU262" s="252"/>
      <c r="EW262" s="252"/>
      <c r="EX262" s="252"/>
      <c r="EY262" s="252"/>
      <c r="FA262" s="250"/>
      <c r="FB262" s="250"/>
      <c r="FC262" s="250"/>
      <c r="FD262" s="250"/>
      <c r="FE262" s="250"/>
      <c r="FF262" s="250"/>
      <c r="FG262" s="250"/>
      <c r="FH262" s="424"/>
      <c r="FI262" s="250"/>
      <c r="FJ262" s="250"/>
      <c r="FK262" s="250"/>
      <c r="FL262" s="256"/>
      <c r="FM262" s="250"/>
      <c r="FN262" s="256"/>
      <c r="FO262" s="250"/>
      <c r="FP262" s="256"/>
      <c r="FQ262" s="250"/>
      <c r="FR262" s="256"/>
      <c r="FS262" s="250"/>
      <c r="FT262" s="256"/>
      <c r="FU262" s="256"/>
      <c r="FV262" s="256"/>
      <c r="FW262" s="250"/>
      <c r="FX262" s="424"/>
      <c r="FY262" s="251"/>
      <c r="GC262" s="252"/>
      <c r="GF262" s="252"/>
      <c r="GG262" s="252"/>
      <c r="GH262" s="252"/>
      <c r="GI262" s="252"/>
      <c r="GJ262" s="252"/>
      <c r="GK262" s="251"/>
      <c r="GL262" s="250"/>
      <c r="GM262" s="250"/>
      <c r="GN262" s="250"/>
      <c r="GO262" s="250"/>
      <c r="GP262" s="250"/>
      <c r="GQ262" s="250"/>
      <c r="GR262" s="250"/>
      <c r="GS262" s="250"/>
      <c r="GT262" s="250"/>
      <c r="GU262" s="251"/>
      <c r="GV262" s="250"/>
      <c r="GW262" s="250"/>
      <c r="GX262" s="250"/>
      <c r="GY262" s="250"/>
      <c r="GZ262" s="250"/>
      <c r="HA262" s="250"/>
      <c r="HB262" s="250"/>
      <c r="HC262" s="250"/>
      <c r="HD262" s="250"/>
      <c r="HE262" s="250"/>
      <c r="HF262" s="250"/>
      <c r="HG262" s="250"/>
      <c r="HH262" s="251"/>
      <c r="HI262" s="424"/>
      <c r="HJ262" s="255"/>
      <c r="HK262" s="255"/>
      <c r="HL262" s="250"/>
      <c r="HM262" s="255"/>
      <c r="HN262" s="255"/>
      <c r="HO262" s="255"/>
      <c r="HP262" s="250"/>
      <c r="HQ262" s="250"/>
      <c r="HR262" s="250"/>
      <c r="HS262" s="250"/>
      <c r="HT262" s="250"/>
      <c r="HU262" s="251"/>
      <c r="HX262" s="252"/>
      <c r="HY262" s="252"/>
      <c r="HZ262" s="252"/>
      <c r="ID262" s="252"/>
      <c r="IE262" s="252"/>
      <c r="IF262" s="252"/>
      <c r="IJ262" s="252"/>
      <c r="IK262" s="252"/>
      <c r="IL262" s="252"/>
      <c r="IP262" s="252"/>
      <c r="IQ262" s="252"/>
      <c r="IR262" s="252"/>
      <c r="IY262" s="66"/>
      <c r="IZ262" s="66"/>
      <c r="JA262" s="66"/>
      <c r="JB262" s="250"/>
      <c r="JC262" s="66"/>
      <c r="JD262" s="66"/>
      <c r="JE262" s="66"/>
      <c r="JF262" s="66"/>
      <c r="JG262" s="66"/>
      <c r="JH262" s="66"/>
      <c r="JI262" s="66"/>
      <c r="JJ262" s="66"/>
      <c r="JK262" s="8"/>
      <c r="JN262" s="252"/>
      <c r="JO262" s="252"/>
      <c r="JP262" s="252"/>
      <c r="JT262" s="252"/>
      <c r="JU262" s="252"/>
      <c r="JV262" s="252"/>
      <c r="JZ262" s="252"/>
      <c r="KA262" s="252"/>
      <c r="KB262" s="252"/>
      <c r="KF262" s="252"/>
      <c r="KG262" s="252"/>
      <c r="KH262" s="252"/>
      <c r="KO262" s="66"/>
      <c r="KP262" s="66"/>
      <c r="KQ262" s="66"/>
      <c r="KR262" s="66"/>
      <c r="KS262" s="66"/>
      <c r="KT262" s="66"/>
      <c r="KU262" s="66"/>
      <c r="KV262" s="66"/>
      <c r="KW262" s="66"/>
      <c r="KX262" s="66"/>
      <c r="KY262" s="66"/>
      <c r="KZ262" s="66"/>
      <c r="LA262" s="8"/>
      <c r="LD262" s="252"/>
      <c r="LE262" s="252"/>
      <c r="LF262" s="252"/>
      <c r="LJ262" s="252"/>
      <c r="LK262" s="252"/>
      <c r="LN262" s="252"/>
      <c r="LO262" s="252"/>
      <c r="LP262" s="252"/>
      <c r="LT262" s="271"/>
      <c r="LU262" s="250"/>
      <c r="LV262" s="250"/>
      <c r="LW262" s="250"/>
      <c r="LX262" s="250"/>
      <c r="LY262" s="250"/>
      <c r="LZ262" s="250"/>
      <c r="MA262" s="250"/>
      <c r="MB262" s="250"/>
      <c r="MC262" s="250"/>
      <c r="MD262" s="250"/>
      <c r="ME262" s="250"/>
      <c r="MF262" s="250"/>
      <c r="MG262" s="250"/>
      <c r="MH262" s="250"/>
      <c r="MI262" s="250"/>
      <c r="MJ262" s="250"/>
      <c r="MK262" s="424"/>
      <c r="ML262" s="640"/>
      <c r="MM262" s="251"/>
      <c r="MN262" s="252"/>
      <c r="MO262" s="252"/>
      <c r="MP262" s="252"/>
      <c r="MQ262" s="252"/>
      <c r="MR262" s="252"/>
      <c r="MS262" s="252"/>
      <c r="MT262" s="252"/>
      <c r="MU262" s="252"/>
      <c r="MV262" s="252"/>
      <c r="MW262" s="252"/>
      <c r="MX262" s="252"/>
      <c r="MY262" s="252"/>
      <c r="MZ262" s="252"/>
      <c r="NA262" s="252"/>
      <c r="NB262" s="252"/>
      <c r="NC262" s="251"/>
      <c r="ND262" s="250"/>
      <c r="NE262" s="250"/>
      <c r="NF262" s="250"/>
      <c r="NG262" s="250"/>
      <c r="NH262" s="250"/>
      <c r="NI262" s="250"/>
      <c r="NJ262" s="250"/>
      <c r="NK262" s="250"/>
      <c r="NL262" s="250"/>
      <c r="NM262" s="250"/>
      <c r="NN262" s="250"/>
      <c r="NO262" s="250"/>
      <c r="NP262" s="250"/>
      <c r="NQ262" s="250"/>
      <c r="NR262" s="250"/>
      <c r="NS262" s="250"/>
      <c r="NT262" s="250"/>
      <c r="NU262" s="250"/>
      <c r="NV262" s="250"/>
      <c r="NW262" s="251"/>
      <c r="OT262" s="8"/>
      <c r="QG262" s="8"/>
      <c r="RT262" s="8"/>
    </row>
    <row r="263" spans="1:488" s="282" customFormat="1" x14ac:dyDescent="0.25">
      <c r="A263" s="66"/>
      <c r="B263" s="8"/>
      <c r="C263" s="66"/>
      <c r="D263" s="66"/>
      <c r="E263" s="66"/>
      <c r="F263" s="66"/>
      <c r="G263" s="66"/>
      <c r="H263" s="66"/>
      <c r="I263" s="66"/>
      <c r="J263" s="66"/>
      <c r="K263" s="66"/>
      <c r="L263" s="66"/>
      <c r="M263" s="66"/>
      <c r="N263" s="66"/>
      <c r="O263" s="66"/>
      <c r="P263" s="66"/>
      <c r="Q263" s="66"/>
      <c r="R263" s="66"/>
      <c r="S263" s="66"/>
      <c r="T263" s="68"/>
      <c r="AC263" s="66"/>
      <c r="AD263" s="66"/>
      <c r="AE263" s="68"/>
      <c r="AN263" s="66"/>
      <c r="AO263" s="66"/>
      <c r="AP263" s="68"/>
      <c r="AW263" s="66"/>
      <c r="AX263" s="68"/>
      <c r="BD263" s="66"/>
      <c r="BE263" s="68"/>
      <c r="BF263" s="66"/>
      <c r="BG263" s="66"/>
      <c r="BH263" s="66"/>
      <c r="BI263" s="66"/>
      <c r="BJ263" s="66"/>
      <c r="BK263" s="66"/>
      <c r="BL263" s="68"/>
      <c r="BO263" s="66"/>
      <c r="BP263" s="68"/>
      <c r="BV263" s="66"/>
      <c r="BW263" s="68"/>
      <c r="CB263" s="8"/>
      <c r="CH263" s="8"/>
      <c r="CK263" s="299"/>
      <c r="CL263" s="299"/>
      <c r="CM263" s="66"/>
      <c r="CN263" s="66"/>
      <c r="CO263" s="68"/>
      <c r="CR263" s="8"/>
      <c r="CX263" s="66"/>
      <c r="CY263" s="532"/>
      <c r="DE263" s="66"/>
      <c r="DF263" s="66"/>
      <c r="DG263" s="68"/>
      <c r="DH263" s="68"/>
      <c r="DK263" s="66"/>
      <c r="DL263" s="66"/>
      <c r="DM263" s="66"/>
      <c r="DN263" s="66"/>
      <c r="DO263" s="66"/>
      <c r="DP263" s="66"/>
      <c r="DQ263" s="66"/>
      <c r="DR263" s="66"/>
      <c r="DS263" s="66"/>
      <c r="DT263" s="68"/>
      <c r="DU263" s="66"/>
      <c r="DV263" s="296"/>
      <c r="DW263" s="330"/>
      <c r="DX263" s="631"/>
      <c r="DY263" s="631"/>
      <c r="DZ263" s="631"/>
      <c r="EA263" s="330"/>
      <c r="EC263" s="66"/>
      <c r="ED263" s="68"/>
      <c r="EH263" s="66"/>
      <c r="EI263" s="66"/>
      <c r="EJ263" s="68"/>
      <c r="EK263" s="252"/>
      <c r="EL263" s="252"/>
      <c r="EM263" s="252"/>
      <c r="EO263" s="252"/>
      <c r="EP263" s="252"/>
      <c r="EQ263" s="252"/>
      <c r="ES263" s="252"/>
      <c r="ET263" s="252"/>
      <c r="EU263" s="252"/>
      <c r="EW263" s="252"/>
      <c r="EX263" s="252"/>
      <c r="EY263" s="252"/>
      <c r="FA263" s="250"/>
      <c r="FB263" s="250"/>
      <c r="FC263" s="250"/>
      <c r="FD263" s="250"/>
      <c r="FE263" s="250"/>
      <c r="FF263" s="250"/>
      <c r="FG263" s="250"/>
      <c r="FH263" s="424"/>
      <c r="FI263" s="250"/>
      <c r="FJ263" s="250"/>
      <c r="FK263" s="250"/>
      <c r="FL263" s="256"/>
      <c r="FM263" s="250"/>
      <c r="FN263" s="256"/>
      <c r="FO263" s="250"/>
      <c r="FP263" s="256"/>
      <c r="FQ263" s="250"/>
      <c r="FR263" s="256"/>
      <c r="FS263" s="250"/>
      <c r="FT263" s="256"/>
      <c r="FU263" s="256"/>
      <c r="FV263" s="256"/>
      <c r="FW263" s="250"/>
      <c r="FX263" s="424"/>
      <c r="FY263" s="251"/>
      <c r="GC263" s="252"/>
      <c r="GF263" s="252"/>
      <c r="GG263" s="252"/>
      <c r="GH263" s="252"/>
      <c r="GI263" s="252"/>
      <c r="GJ263" s="252"/>
      <c r="GK263" s="251"/>
      <c r="GL263" s="250"/>
      <c r="GM263" s="250"/>
      <c r="GN263" s="250"/>
      <c r="GO263" s="250"/>
      <c r="GP263" s="250"/>
      <c r="GQ263" s="250"/>
      <c r="GR263" s="250"/>
      <c r="GS263" s="250"/>
      <c r="GT263" s="250"/>
      <c r="GU263" s="251"/>
      <c r="GV263" s="250"/>
      <c r="GW263" s="250"/>
      <c r="GX263" s="250"/>
      <c r="GY263" s="250"/>
      <c r="GZ263" s="250"/>
      <c r="HA263" s="250"/>
      <c r="HB263" s="250"/>
      <c r="HC263" s="250"/>
      <c r="HD263" s="250"/>
      <c r="HE263" s="250"/>
      <c r="HF263" s="250"/>
      <c r="HG263" s="250"/>
      <c r="HH263" s="251"/>
      <c r="HI263" s="424"/>
      <c r="HJ263" s="255"/>
      <c r="HK263" s="255"/>
      <c r="HL263" s="250"/>
      <c r="HM263" s="255"/>
      <c r="HN263" s="255"/>
      <c r="HO263" s="255"/>
      <c r="HP263" s="250"/>
      <c r="HQ263" s="250"/>
      <c r="HR263" s="250"/>
      <c r="HS263" s="250"/>
      <c r="HT263" s="250"/>
      <c r="HU263" s="251"/>
      <c r="HX263" s="252"/>
      <c r="HY263" s="252"/>
      <c r="HZ263" s="252"/>
      <c r="ID263" s="252"/>
      <c r="IE263" s="252"/>
      <c r="IF263" s="252"/>
      <c r="IJ263" s="252"/>
      <c r="IK263" s="252"/>
      <c r="IL263" s="252"/>
      <c r="IP263" s="252"/>
      <c r="IQ263" s="252"/>
      <c r="IR263" s="252"/>
      <c r="IY263" s="66"/>
      <c r="IZ263" s="66"/>
      <c r="JA263" s="66"/>
      <c r="JB263" s="250"/>
      <c r="JC263" s="66"/>
      <c r="JD263" s="66"/>
      <c r="JE263" s="66"/>
      <c r="JF263" s="66"/>
      <c r="JG263" s="66"/>
      <c r="JH263" s="66"/>
      <c r="JI263" s="66"/>
      <c r="JJ263" s="66"/>
      <c r="JK263" s="8"/>
      <c r="JN263" s="252"/>
      <c r="JO263" s="252"/>
      <c r="JP263" s="252"/>
      <c r="JT263" s="252"/>
      <c r="JU263" s="252"/>
      <c r="JV263" s="252"/>
      <c r="JZ263" s="252"/>
      <c r="KA263" s="252"/>
      <c r="KB263" s="252"/>
      <c r="KF263" s="252"/>
      <c r="KG263" s="252"/>
      <c r="KH263" s="252"/>
      <c r="KO263" s="66"/>
      <c r="KP263" s="66"/>
      <c r="KQ263" s="66"/>
      <c r="KR263" s="66"/>
      <c r="KS263" s="66"/>
      <c r="KT263" s="66"/>
      <c r="KU263" s="66"/>
      <c r="KV263" s="66"/>
      <c r="KW263" s="66"/>
      <c r="KX263" s="66"/>
      <c r="KY263" s="66"/>
      <c r="KZ263" s="66"/>
      <c r="LA263" s="8"/>
      <c r="LD263" s="252"/>
      <c r="LE263" s="252"/>
      <c r="LF263" s="252"/>
      <c r="LJ263" s="252"/>
      <c r="LK263" s="252"/>
      <c r="LN263" s="252"/>
      <c r="LO263" s="252"/>
      <c r="LP263" s="252"/>
      <c r="LT263" s="271"/>
      <c r="LU263" s="250"/>
      <c r="LV263" s="250"/>
      <c r="LW263" s="250"/>
      <c r="LX263" s="250"/>
      <c r="LY263" s="250"/>
      <c r="LZ263" s="250"/>
      <c r="MA263" s="250"/>
      <c r="MB263" s="250"/>
      <c r="MC263" s="250"/>
      <c r="MD263" s="250"/>
      <c r="ME263" s="250"/>
      <c r="MF263" s="250"/>
      <c r="MG263" s="250"/>
      <c r="MH263" s="250"/>
      <c r="MI263" s="250"/>
      <c r="MJ263" s="250"/>
      <c r="MK263" s="424"/>
      <c r="ML263" s="640"/>
      <c r="MM263" s="251"/>
      <c r="MN263" s="252"/>
      <c r="MO263" s="252"/>
      <c r="MP263" s="252"/>
      <c r="MQ263" s="252"/>
      <c r="MR263" s="252"/>
      <c r="MS263" s="252"/>
      <c r="MT263" s="252"/>
      <c r="MU263" s="252"/>
      <c r="MV263" s="252"/>
      <c r="MW263" s="252"/>
      <c r="MX263" s="252"/>
      <c r="MY263" s="252"/>
      <c r="MZ263" s="252"/>
      <c r="NA263" s="252"/>
      <c r="NB263" s="252"/>
      <c r="NC263" s="251"/>
      <c r="ND263" s="250"/>
      <c r="NE263" s="250"/>
      <c r="NF263" s="250"/>
      <c r="NG263" s="250"/>
      <c r="NH263" s="250"/>
      <c r="NI263" s="250"/>
      <c r="NJ263" s="250"/>
      <c r="NK263" s="250"/>
      <c r="NL263" s="250"/>
      <c r="NM263" s="250"/>
      <c r="NN263" s="250"/>
      <c r="NO263" s="250"/>
      <c r="NP263" s="250"/>
      <c r="NQ263" s="250"/>
      <c r="NR263" s="250"/>
      <c r="NS263" s="250"/>
      <c r="NT263" s="250"/>
      <c r="NU263" s="250"/>
      <c r="NV263" s="250"/>
      <c r="NW263" s="251"/>
      <c r="OT263" s="8"/>
      <c r="QG263" s="8"/>
      <c r="RT263" s="8"/>
    </row>
    <row r="264" spans="1:488" s="282" customFormat="1" x14ac:dyDescent="0.25">
      <c r="A264" s="66"/>
      <c r="B264" s="8"/>
      <c r="C264" s="66"/>
      <c r="D264" s="66"/>
      <c r="E264" s="66"/>
      <c r="F264" s="66"/>
      <c r="G264" s="66"/>
      <c r="H264" s="66"/>
      <c r="I264" s="66"/>
      <c r="J264" s="66"/>
      <c r="K264" s="66"/>
      <c r="L264" s="66"/>
      <c r="M264" s="66"/>
      <c r="N264" s="66"/>
      <c r="O264" s="66"/>
      <c r="P264" s="66"/>
      <c r="Q264" s="66"/>
      <c r="R264" s="66"/>
      <c r="S264" s="66"/>
      <c r="T264" s="68"/>
      <c r="AC264" s="66"/>
      <c r="AD264" s="66"/>
      <c r="AE264" s="68"/>
      <c r="AN264" s="66"/>
      <c r="AO264" s="66"/>
      <c r="AP264" s="68"/>
      <c r="AW264" s="66"/>
      <c r="AX264" s="68"/>
      <c r="BD264" s="66"/>
      <c r="BE264" s="68"/>
      <c r="BF264" s="66"/>
      <c r="BG264" s="66"/>
      <c r="BH264" s="66"/>
      <c r="BI264" s="66"/>
      <c r="BJ264" s="66"/>
      <c r="BK264" s="66"/>
      <c r="BL264" s="68"/>
      <c r="BO264" s="66"/>
      <c r="BP264" s="68"/>
      <c r="BV264" s="66"/>
      <c r="BW264" s="68"/>
      <c r="CB264" s="8"/>
      <c r="CH264" s="8"/>
      <c r="CK264" s="299"/>
      <c r="CL264" s="299"/>
      <c r="CM264" s="66"/>
      <c r="CN264" s="66"/>
      <c r="CO264" s="68"/>
      <c r="CR264" s="8"/>
      <c r="CX264" s="66"/>
      <c r="CY264" s="532"/>
      <c r="DE264" s="66"/>
      <c r="DF264" s="66"/>
      <c r="DG264" s="68"/>
      <c r="DH264" s="68"/>
      <c r="DK264" s="66"/>
      <c r="DL264" s="66"/>
      <c r="DM264" s="66"/>
      <c r="DN264" s="66"/>
      <c r="DO264" s="66"/>
      <c r="DP264" s="66"/>
      <c r="DQ264" s="66"/>
      <c r="DR264" s="66"/>
      <c r="DS264" s="66"/>
      <c r="DT264" s="68"/>
      <c r="DU264" s="66"/>
      <c r="DV264" s="296"/>
      <c r="DW264" s="330"/>
      <c r="DX264" s="631"/>
      <c r="DY264" s="631"/>
      <c r="DZ264" s="631"/>
      <c r="EA264" s="330"/>
      <c r="EC264" s="66"/>
      <c r="ED264" s="68"/>
      <c r="EH264" s="66"/>
      <c r="EI264" s="66"/>
      <c r="EJ264" s="68"/>
      <c r="EK264" s="252"/>
      <c r="EL264" s="252"/>
      <c r="EM264" s="252"/>
      <c r="EO264" s="252"/>
      <c r="EP264" s="252"/>
      <c r="EQ264" s="252"/>
      <c r="ES264" s="252"/>
      <c r="ET264" s="252"/>
      <c r="EU264" s="252"/>
      <c r="EW264" s="252"/>
      <c r="EX264" s="252"/>
      <c r="EY264" s="252"/>
      <c r="FA264" s="250"/>
      <c r="FB264" s="250"/>
      <c r="FC264" s="250"/>
      <c r="FD264" s="250"/>
      <c r="FE264" s="250"/>
      <c r="FF264" s="250"/>
      <c r="FG264" s="250"/>
      <c r="FH264" s="424"/>
      <c r="FI264" s="250"/>
      <c r="FJ264" s="250"/>
      <c r="FK264" s="250"/>
      <c r="FL264" s="256"/>
      <c r="FM264" s="250"/>
      <c r="FN264" s="256"/>
      <c r="FO264" s="250"/>
      <c r="FP264" s="256"/>
      <c r="FQ264" s="250"/>
      <c r="FR264" s="256"/>
      <c r="FS264" s="250"/>
      <c r="FT264" s="256"/>
      <c r="FU264" s="256"/>
      <c r="FV264" s="256"/>
      <c r="FW264" s="250"/>
      <c r="FX264" s="424"/>
      <c r="FY264" s="251"/>
      <c r="GC264" s="252"/>
      <c r="GF264" s="252"/>
      <c r="GG264" s="252"/>
      <c r="GH264" s="252"/>
      <c r="GI264" s="252"/>
      <c r="GJ264" s="252"/>
      <c r="GK264" s="251"/>
      <c r="GL264" s="250"/>
      <c r="GM264" s="250"/>
      <c r="GN264" s="250"/>
      <c r="GO264" s="250"/>
      <c r="GP264" s="250"/>
      <c r="GQ264" s="250"/>
      <c r="GR264" s="250"/>
      <c r="GS264" s="250"/>
      <c r="GT264" s="250"/>
      <c r="GU264" s="251"/>
      <c r="GV264" s="250"/>
      <c r="GW264" s="250"/>
      <c r="GX264" s="250"/>
      <c r="GY264" s="250"/>
      <c r="GZ264" s="250"/>
      <c r="HA264" s="250"/>
      <c r="HB264" s="250"/>
      <c r="HC264" s="250"/>
      <c r="HD264" s="250"/>
      <c r="HE264" s="250"/>
      <c r="HF264" s="250"/>
      <c r="HG264" s="250"/>
      <c r="HH264" s="251"/>
      <c r="HI264" s="424"/>
      <c r="HJ264" s="255"/>
      <c r="HK264" s="255"/>
      <c r="HL264" s="250"/>
      <c r="HM264" s="255"/>
      <c r="HN264" s="255"/>
      <c r="HO264" s="255"/>
      <c r="HP264" s="250"/>
      <c r="HQ264" s="250"/>
      <c r="HR264" s="250"/>
      <c r="HS264" s="250"/>
      <c r="HT264" s="250"/>
      <c r="HU264" s="251"/>
      <c r="HX264" s="252"/>
      <c r="HY264" s="252"/>
      <c r="HZ264" s="252"/>
      <c r="ID264" s="252"/>
      <c r="IE264" s="252"/>
      <c r="IF264" s="252"/>
      <c r="IJ264" s="252"/>
      <c r="IK264" s="252"/>
      <c r="IL264" s="252"/>
      <c r="IP264" s="252"/>
      <c r="IQ264" s="252"/>
      <c r="IR264" s="252"/>
      <c r="IY264" s="66"/>
      <c r="IZ264" s="66"/>
      <c r="JA264" s="66"/>
      <c r="JB264" s="250"/>
      <c r="JC264" s="66"/>
      <c r="JD264" s="66"/>
      <c r="JE264" s="66"/>
      <c r="JF264" s="66"/>
      <c r="JG264" s="66"/>
      <c r="JH264" s="66"/>
      <c r="JI264" s="66"/>
      <c r="JJ264" s="66"/>
      <c r="JK264" s="8"/>
      <c r="JN264" s="252"/>
      <c r="JO264" s="252"/>
      <c r="JP264" s="252"/>
      <c r="JT264" s="252"/>
      <c r="JU264" s="252"/>
      <c r="JV264" s="252"/>
      <c r="JZ264" s="252"/>
      <c r="KA264" s="252"/>
      <c r="KB264" s="252"/>
      <c r="KF264" s="252"/>
      <c r="KG264" s="252"/>
      <c r="KH264" s="252"/>
      <c r="KO264" s="66"/>
      <c r="KP264" s="66"/>
      <c r="KQ264" s="66"/>
      <c r="KR264" s="66"/>
      <c r="KS264" s="66"/>
      <c r="KT264" s="66"/>
      <c r="KU264" s="66"/>
      <c r="KV264" s="66"/>
      <c r="KW264" s="66"/>
      <c r="KX264" s="66"/>
      <c r="KY264" s="66"/>
      <c r="KZ264" s="66"/>
      <c r="LA264" s="8"/>
      <c r="LD264" s="252"/>
      <c r="LE264" s="252"/>
      <c r="LF264" s="252"/>
      <c r="LJ264" s="252"/>
      <c r="LK264" s="252"/>
      <c r="LN264" s="252"/>
      <c r="LO264" s="252"/>
      <c r="LP264" s="252"/>
      <c r="LT264" s="271"/>
      <c r="LU264" s="250"/>
      <c r="LV264" s="250"/>
      <c r="LW264" s="250"/>
      <c r="LX264" s="250"/>
      <c r="LY264" s="250"/>
      <c r="LZ264" s="250"/>
      <c r="MA264" s="250"/>
      <c r="MB264" s="250"/>
      <c r="MC264" s="250"/>
      <c r="MD264" s="250"/>
      <c r="ME264" s="250"/>
      <c r="MF264" s="250"/>
      <c r="MG264" s="250"/>
      <c r="MH264" s="250"/>
      <c r="MI264" s="250"/>
      <c r="MJ264" s="250"/>
      <c r="MK264" s="424"/>
      <c r="ML264" s="640"/>
      <c r="MM264" s="251"/>
      <c r="MN264" s="252"/>
      <c r="MO264" s="252"/>
      <c r="MP264" s="252"/>
      <c r="MQ264" s="252"/>
      <c r="MR264" s="252"/>
      <c r="MS264" s="252"/>
      <c r="MT264" s="252"/>
      <c r="MU264" s="252"/>
      <c r="MV264" s="252"/>
      <c r="MW264" s="252"/>
      <c r="MX264" s="252"/>
      <c r="MY264" s="252"/>
      <c r="MZ264" s="252"/>
      <c r="NA264" s="252"/>
      <c r="NB264" s="252"/>
      <c r="NC264" s="251"/>
      <c r="ND264" s="250"/>
      <c r="NE264" s="250"/>
      <c r="NF264" s="250"/>
      <c r="NG264" s="250"/>
      <c r="NH264" s="250"/>
      <c r="NI264" s="250"/>
      <c r="NJ264" s="250"/>
      <c r="NK264" s="250"/>
      <c r="NL264" s="250"/>
      <c r="NM264" s="250"/>
      <c r="NN264" s="250"/>
      <c r="NO264" s="250"/>
      <c r="NP264" s="250"/>
      <c r="NQ264" s="250"/>
      <c r="NR264" s="250"/>
      <c r="NS264" s="250"/>
      <c r="NT264" s="250"/>
      <c r="NU264" s="250"/>
      <c r="NV264" s="250"/>
      <c r="NW264" s="251"/>
      <c r="OT264" s="8"/>
      <c r="QG264" s="8"/>
      <c r="RT264" s="8"/>
    </row>
    <row r="265" spans="1:488" s="282" customFormat="1" x14ac:dyDescent="0.25">
      <c r="A265" s="66"/>
      <c r="B265" s="8"/>
      <c r="C265" s="66"/>
      <c r="D265" s="66"/>
      <c r="E265" s="66"/>
      <c r="F265" s="66"/>
      <c r="G265" s="66"/>
      <c r="H265" s="66"/>
      <c r="I265" s="66"/>
      <c r="J265" s="66"/>
      <c r="K265" s="66"/>
      <c r="L265" s="66"/>
      <c r="M265" s="66"/>
      <c r="N265" s="66"/>
      <c r="O265" s="66"/>
      <c r="P265" s="66"/>
      <c r="Q265" s="66"/>
      <c r="R265" s="66"/>
      <c r="S265" s="66"/>
      <c r="T265" s="68"/>
      <c r="AC265" s="66"/>
      <c r="AD265" s="66"/>
      <c r="AE265" s="68"/>
      <c r="AN265" s="66"/>
      <c r="AO265" s="66"/>
      <c r="AP265" s="68"/>
      <c r="AW265" s="66"/>
      <c r="AX265" s="68"/>
      <c r="BD265" s="66"/>
      <c r="BE265" s="68"/>
      <c r="BF265" s="66"/>
      <c r="BG265" s="66"/>
      <c r="BH265" s="66"/>
      <c r="BI265" s="66"/>
      <c r="BJ265" s="66"/>
      <c r="BK265" s="66"/>
      <c r="BL265" s="68"/>
      <c r="BO265" s="66"/>
      <c r="BP265" s="68"/>
      <c r="BV265" s="66"/>
      <c r="BW265" s="68"/>
      <c r="CB265" s="8"/>
      <c r="CH265" s="8"/>
      <c r="CK265" s="299"/>
      <c r="CL265" s="299"/>
      <c r="CM265" s="66"/>
      <c r="CN265" s="66"/>
      <c r="CO265" s="68"/>
      <c r="CR265" s="8"/>
      <c r="CX265" s="66"/>
      <c r="CY265" s="532"/>
      <c r="DE265" s="66"/>
      <c r="DF265" s="66"/>
      <c r="DG265" s="68"/>
      <c r="DH265" s="68"/>
      <c r="DK265" s="66"/>
      <c r="DL265" s="66"/>
      <c r="DM265" s="66"/>
      <c r="DN265" s="66"/>
      <c r="DO265" s="66"/>
      <c r="DP265" s="66"/>
      <c r="DQ265" s="66"/>
      <c r="DR265" s="66"/>
      <c r="DS265" s="66"/>
      <c r="DT265" s="68"/>
      <c r="DU265" s="66"/>
      <c r="DV265" s="296"/>
      <c r="DW265" s="330"/>
      <c r="DX265" s="631"/>
      <c r="DY265" s="631"/>
      <c r="DZ265" s="631"/>
      <c r="EA265" s="330"/>
      <c r="EC265" s="66"/>
      <c r="ED265" s="68"/>
      <c r="EH265" s="66"/>
      <c r="EI265" s="66"/>
      <c r="EJ265" s="68"/>
      <c r="EK265" s="252"/>
      <c r="EL265" s="252"/>
      <c r="EM265" s="252"/>
      <c r="EO265" s="252"/>
      <c r="EP265" s="252"/>
      <c r="EQ265" s="252"/>
      <c r="ES265" s="252"/>
      <c r="ET265" s="252"/>
      <c r="EU265" s="252"/>
      <c r="EW265" s="252"/>
      <c r="EX265" s="252"/>
      <c r="EY265" s="252"/>
      <c r="FA265" s="250"/>
      <c r="FB265" s="250"/>
      <c r="FC265" s="250"/>
      <c r="FD265" s="250"/>
      <c r="FE265" s="250"/>
      <c r="FF265" s="250"/>
      <c r="FG265" s="250"/>
      <c r="FH265" s="424"/>
      <c r="FI265" s="250"/>
      <c r="FJ265" s="250"/>
      <c r="FK265" s="250"/>
      <c r="FL265" s="256"/>
      <c r="FM265" s="250"/>
      <c r="FN265" s="256"/>
      <c r="FO265" s="250"/>
      <c r="FP265" s="256"/>
      <c r="FQ265" s="250"/>
      <c r="FR265" s="256"/>
      <c r="FS265" s="250"/>
      <c r="FT265" s="256"/>
      <c r="FU265" s="256"/>
      <c r="FV265" s="256"/>
      <c r="FW265" s="250"/>
      <c r="FX265" s="424"/>
      <c r="FY265" s="251"/>
      <c r="GC265" s="252"/>
      <c r="GF265" s="252"/>
      <c r="GG265" s="252"/>
      <c r="GH265" s="252"/>
      <c r="GI265" s="252"/>
      <c r="GJ265" s="252"/>
      <c r="GK265" s="251"/>
      <c r="GL265" s="250"/>
      <c r="GM265" s="250"/>
      <c r="GN265" s="250"/>
      <c r="GO265" s="250"/>
      <c r="GP265" s="250"/>
      <c r="GQ265" s="250"/>
      <c r="GR265" s="250"/>
      <c r="GS265" s="250"/>
      <c r="GT265" s="250"/>
      <c r="GU265" s="251"/>
      <c r="GV265" s="250"/>
      <c r="GW265" s="250"/>
      <c r="GX265" s="250"/>
      <c r="GY265" s="250"/>
      <c r="GZ265" s="250"/>
      <c r="HA265" s="250"/>
      <c r="HB265" s="250"/>
      <c r="HC265" s="250"/>
      <c r="HD265" s="250"/>
      <c r="HE265" s="250"/>
      <c r="HF265" s="250"/>
      <c r="HG265" s="250"/>
      <c r="HH265" s="251"/>
      <c r="HI265" s="424"/>
      <c r="HJ265" s="255"/>
      <c r="HK265" s="255"/>
      <c r="HL265" s="250"/>
      <c r="HM265" s="255"/>
      <c r="HN265" s="255"/>
      <c r="HO265" s="255"/>
      <c r="HP265" s="250"/>
      <c r="HQ265" s="250"/>
      <c r="HR265" s="250"/>
      <c r="HS265" s="250"/>
      <c r="HT265" s="250"/>
      <c r="HU265" s="251"/>
      <c r="HX265" s="252"/>
      <c r="HY265" s="252"/>
      <c r="HZ265" s="252"/>
      <c r="ID265" s="252"/>
      <c r="IE265" s="252"/>
      <c r="IF265" s="252"/>
      <c r="IJ265" s="252"/>
      <c r="IK265" s="252"/>
      <c r="IL265" s="252"/>
      <c r="IP265" s="252"/>
      <c r="IQ265" s="252"/>
      <c r="IR265" s="252"/>
      <c r="IY265" s="66"/>
      <c r="IZ265" s="66"/>
      <c r="JA265" s="66"/>
      <c r="JB265" s="250"/>
      <c r="JC265" s="66"/>
      <c r="JD265" s="66"/>
      <c r="JE265" s="66"/>
      <c r="JF265" s="66"/>
      <c r="JG265" s="66"/>
      <c r="JH265" s="66"/>
      <c r="JI265" s="66"/>
      <c r="JJ265" s="66"/>
      <c r="JK265" s="8"/>
      <c r="JN265" s="252"/>
      <c r="JO265" s="252"/>
      <c r="JP265" s="252"/>
      <c r="JT265" s="252"/>
      <c r="JU265" s="252"/>
      <c r="JV265" s="252"/>
      <c r="JZ265" s="252"/>
      <c r="KA265" s="252"/>
      <c r="KB265" s="252"/>
      <c r="KF265" s="252"/>
      <c r="KG265" s="252"/>
      <c r="KH265" s="252"/>
      <c r="KO265" s="66"/>
      <c r="KP265" s="66"/>
      <c r="KQ265" s="66"/>
      <c r="KR265" s="66"/>
      <c r="KS265" s="66"/>
      <c r="KT265" s="66"/>
      <c r="KU265" s="66"/>
      <c r="KV265" s="66"/>
      <c r="KW265" s="66"/>
      <c r="KX265" s="66"/>
      <c r="KY265" s="66"/>
      <c r="KZ265" s="66"/>
      <c r="LA265" s="8"/>
      <c r="LD265" s="252"/>
      <c r="LE265" s="252"/>
      <c r="LF265" s="252"/>
      <c r="LJ265" s="252"/>
      <c r="LK265" s="252"/>
      <c r="LN265" s="252"/>
      <c r="LO265" s="252"/>
      <c r="LP265" s="252"/>
      <c r="LT265" s="271"/>
      <c r="LU265" s="250"/>
      <c r="LV265" s="250"/>
      <c r="LW265" s="250"/>
      <c r="LX265" s="250"/>
      <c r="LY265" s="250"/>
      <c r="LZ265" s="250"/>
      <c r="MA265" s="250"/>
      <c r="MB265" s="250"/>
      <c r="MC265" s="250"/>
      <c r="MD265" s="250"/>
      <c r="ME265" s="250"/>
      <c r="MF265" s="250"/>
      <c r="MG265" s="250"/>
      <c r="MH265" s="250"/>
      <c r="MI265" s="250"/>
      <c r="MJ265" s="250"/>
      <c r="MK265" s="424"/>
      <c r="ML265" s="640"/>
      <c r="MM265" s="251"/>
      <c r="MN265" s="252"/>
      <c r="MO265" s="252"/>
      <c r="MP265" s="252"/>
      <c r="MQ265" s="252"/>
      <c r="MR265" s="252"/>
      <c r="MS265" s="252"/>
      <c r="MT265" s="252"/>
      <c r="MU265" s="252"/>
      <c r="MV265" s="252"/>
      <c r="MW265" s="252"/>
      <c r="MX265" s="252"/>
      <c r="MY265" s="252"/>
      <c r="MZ265" s="252"/>
      <c r="NA265" s="252"/>
      <c r="NB265" s="252"/>
      <c r="NC265" s="251"/>
      <c r="ND265" s="250"/>
      <c r="NE265" s="250"/>
      <c r="NF265" s="250"/>
      <c r="NG265" s="250"/>
      <c r="NH265" s="250"/>
      <c r="NI265" s="250"/>
      <c r="NJ265" s="250"/>
      <c r="NK265" s="250"/>
      <c r="NL265" s="250"/>
      <c r="NM265" s="250"/>
      <c r="NN265" s="250"/>
      <c r="NO265" s="250"/>
      <c r="NP265" s="250"/>
      <c r="NQ265" s="250"/>
      <c r="NR265" s="250"/>
      <c r="NS265" s="250"/>
      <c r="NT265" s="250"/>
      <c r="NU265" s="250"/>
      <c r="NV265" s="250"/>
      <c r="NW265" s="251"/>
      <c r="OT265" s="8"/>
      <c r="QG265" s="8"/>
      <c r="RT265" s="8"/>
    </row>
    <row r="266" spans="1:488" s="282" customFormat="1" x14ac:dyDescent="0.25">
      <c r="A266" s="66"/>
      <c r="B266" s="8"/>
      <c r="C266" s="66"/>
      <c r="D266" s="66"/>
      <c r="E266" s="66"/>
      <c r="F266" s="66"/>
      <c r="G266" s="66"/>
      <c r="H266" s="66"/>
      <c r="I266" s="66"/>
      <c r="J266" s="66"/>
      <c r="K266" s="66"/>
      <c r="L266" s="66"/>
      <c r="M266" s="66"/>
      <c r="N266" s="66"/>
      <c r="O266" s="66"/>
      <c r="P266" s="66"/>
      <c r="Q266" s="66"/>
      <c r="R266" s="66"/>
      <c r="S266" s="66"/>
      <c r="T266" s="68"/>
      <c r="AC266" s="66"/>
      <c r="AD266" s="66"/>
      <c r="AE266" s="68"/>
      <c r="AN266" s="66"/>
      <c r="AO266" s="66"/>
      <c r="AP266" s="68"/>
      <c r="AW266" s="66"/>
      <c r="AX266" s="68"/>
      <c r="BD266" s="66"/>
      <c r="BE266" s="68"/>
      <c r="BF266" s="66"/>
      <c r="BG266" s="66"/>
      <c r="BH266" s="66"/>
      <c r="BI266" s="66"/>
      <c r="BJ266" s="66"/>
      <c r="BK266" s="66"/>
      <c r="BL266" s="68"/>
      <c r="BO266" s="66"/>
      <c r="BP266" s="68"/>
      <c r="BV266" s="66"/>
      <c r="BW266" s="68"/>
      <c r="CB266" s="8"/>
      <c r="CH266" s="8"/>
      <c r="CK266" s="299"/>
      <c r="CL266" s="299"/>
      <c r="CM266" s="66"/>
      <c r="CN266" s="66"/>
      <c r="CO266" s="68"/>
      <c r="CR266" s="8"/>
      <c r="CX266" s="66"/>
      <c r="CY266" s="532"/>
      <c r="DE266" s="66"/>
      <c r="DF266" s="66"/>
      <c r="DG266" s="68"/>
      <c r="DH266" s="68"/>
      <c r="DK266" s="66"/>
      <c r="DL266" s="66"/>
      <c r="DM266" s="66"/>
      <c r="DN266" s="66"/>
      <c r="DO266" s="66"/>
      <c r="DP266" s="66"/>
      <c r="DQ266" s="66"/>
      <c r="DR266" s="66"/>
      <c r="DS266" s="66"/>
      <c r="DT266" s="68"/>
      <c r="DU266" s="66"/>
      <c r="DV266" s="296"/>
      <c r="DW266" s="330"/>
      <c r="DX266" s="631"/>
      <c r="DY266" s="631"/>
      <c r="DZ266" s="631"/>
      <c r="EA266" s="330"/>
      <c r="EC266" s="66"/>
      <c r="ED266" s="68"/>
      <c r="EH266" s="66"/>
      <c r="EI266" s="66"/>
      <c r="EJ266" s="68"/>
      <c r="EK266" s="252"/>
      <c r="EL266" s="252"/>
      <c r="EM266" s="252"/>
      <c r="EO266" s="252"/>
      <c r="EP266" s="252"/>
      <c r="EQ266" s="252"/>
      <c r="ES266" s="252"/>
      <c r="ET266" s="252"/>
      <c r="EU266" s="252"/>
      <c r="EW266" s="252"/>
      <c r="EX266" s="252"/>
      <c r="EY266" s="252"/>
      <c r="FA266" s="250"/>
      <c r="FB266" s="250"/>
      <c r="FC266" s="250"/>
      <c r="FD266" s="250"/>
      <c r="FE266" s="250"/>
      <c r="FF266" s="250"/>
      <c r="FG266" s="250"/>
      <c r="FH266" s="424"/>
      <c r="FI266" s="250"/>
      <c r="FJ266" s="250"/>
      <c r="FK266" s="250"/>
      <c r="FL266" s="256"/>
      <c r="FM266" s="250"/>
      <c r="FN266" s="256"/>
      <c r="FO266" s="250"/>
      <c r="FP266" s="256"/>
      <c r="FQ266" s="250"/>
      <c r="FR266" s="256"/>
      <c r="FS266" s="250"/>
      <c r="FT266" s="256"/>
      <c r="FU266" s="256"/>
      <c r="FV266" s="256"/>
      <c r="FW266" s="250"/>
      <c r="FX266" s="424"/>
      <c r="FY266" s="251"/>
      <c r="GC266" s="252"/>
      <c r="GF266" s="252"/>
      <c r="GG266" s="252"/>
      <c r="GH266" s="252"/>
      <c r="GI266" s="252"/>
      <c r="GJ266" s="252"/>
      <c r="GK266" s="251"/>
      <c r="GL266" s="250"/>
      <c r="GM266" s="250"/>
      <c r="GN266" s="250"/>
      <c r="GO266" s="250"/>
      <c r="GP266" s="250"/>
      <c r="GQ266" s="250"/>
      <c r="GR266" s="250"/>
      <c r="GS266" s="250"/>
      <c r="GT266" s="250"/>
      <c r="GU266" s="251"/>
      <c r="GV266" s="250"/>
      <c r="GW266" s="250"/>
      <c r="GX266" s="250"/>
      <c r="GY266" s="250"/>
      <c r="GZ266" s="250"/>
      <c r="HA266" s="250"/>
      <c r="HB266" s="250"/>
      <c r="HC266" s="250"/>
      <c r="HD266" s="250"/>
      <c r="HE266" s="250"/>
      <c r="HF266" s="250"/>
      <c r="HG266" s="250"/>
      <c r="HH266" s="251"/>
      <c r="HI266" s="424"/>
      <c r="HJ266" s="255"/>
      <c r="HK266" s="255"/>
      <c r="HL266" s="250"/>
      <c r="HM266" s="255"/>
      <c r="HN266" s="255"/>
      <c r="HO266" s="255"/>
      <c r="HP266" s="250"/>
      <c r="HQ266" s="250"/>
      <c r="HR266" s="250"/>
      <c r="HS266" s="250"/>
      <c r="HT266" s="250"/>
      <c r="HU266" s="251"/>
      <c r="HX266" s="252"/>
      <c r="HY266" s="252"/>
      <c r="HZ266" s="252"/>
      <c r="ID266" s="252"/>
      <c r="IE266" s="252"/>
      <c r="IF266" s="252"/>
      <c r="IJ266" s="252"/>
      <c r="IK266" s="252"/>
      <c r="IL266" s="252"/>
      <c r="IP266" s="252"/>
      <c r="IQ266" s="252"/>
      <c r="IR266" s="252"/>
      <c r="IY266" s="66"/>
      <c r="IZ266" s="66"/>
      <c r="JA266" s="66"/>
      <c r="JB266" s="250"/>
      <c r="JC266" s="66"/>
      <c r="JD266" s="66"/>
      <c r="JE266" s="66"/>
      <c r="JF266" s="66"/>
      <c r="JG266" s="66"/>
      <c r="JH266" s="66"/>
      <c r="JI266" s="66"/>
      <c r="JJ266" s="66"/>
      <c r="JK266" s="8"/>
      <c r="JN266" s="252"/>
      <c r="JO266" s="252"/>
      <c r="JP266" s="252"/>
      <c r="JT266" s="252"/>
      <c r="JU266" s="252"/>
      <c r="JV266" s="252"/>
      <c r="JZ266" s="252"/>
      <c r="KA266" s="252"/>
      <c r="KB266" s="252"/>
      <c r="KF266" s="252"/>
      <c r="KG266" s="252"/>
      <c r="KH266" s="252"/>
      <c r="KO266" s="66"/>
      <c r="KP266" s="66"/>
      <c r="KQ266" s="66"/>
      <c r="KR266" s="66"/>
      <c r="KS266" s="66"/>
      <c r="KT266" s="66"/>
      <c r="KU266" s="66"/>
      <c r="KV266" s="66"/>
      <c r="KW266" s="66"/>
      <c r="KX266" s="66"/>
      <c r="KY266" s="66"/>
      <c r="KZ266" s="66"/>
      <c r="LA266" s="8"/>
      <c r="LD266" s="252"/>
      <c r="LE266" s="252"/>
      <c r="LF266" s="252"/>
      <c r="LJ266" s="252"/>
      <c r="LK266" s="252"/>
      <c r="LN266" s="252"/>
      <c r="LO266" s="252"/>
      <c r="LP266" s="252"/>
      <c r="LT266" s="271"/>
      <c r="LU266" s="250"/>
      <c r="LV266" s="250"/>
      <c r="LW266" s="250"/>
      <c r="LX266" s="250"/>
      <c r="LY266" s="250"/>
      <c r="LZ266" s="250"/>
      <c r="MA266" s="250"/>
      <c r="MB266" s="250"/>
      <c r="MC266" s="250"/>
      <c r="MD266" s="250"/>
      <c r="ME266" s="250"/>
      <c r="MF266" s="250"/>
      <c r="MG266" s="250"/>
      <c r="MH266" s="250"/>
      <c r="MI266" s="250"/>
      <c r="MJ266" s="250"/>
      <c r="MK266" s="424"/>
      <c r="ML266" s="640"/>
      <c r="MM266" s="251"/>
      <c r="MN266" s="252"/>
      <c r="MO266" s="252"/>
      <c r="MP266" s="252"/>
      <c r="MQ266" s="252"/>
      <c r="MR266" s="252"/>
      <c r="MS266" s="252"/>
      <c r="MT266" s="252"/>
      <c r="MU266" s="252"/>
      <c r="MV266" s="252"/>
      <c r="MW266" s="252"/>
      <c r="MX266" s="252"/>
      <c r="MY266" s="252"/>
      <c r="MZ266" s="252"/>
      <c r="NA266" s="252"/>
      <c r="NB266" s="252"/>
      <c r="NC266" s="251"/>
      <c r="ND266" s="250"/>
      <c r="NE266" s="250"/>
      <c r="NF266" s="250"/>
      <c r="NG266" s="250"/>
      <c r="NH266" s="250"/>
      <c r="NI266" s="250"/>
      <c r="NJ266" s="250"/>
      <c r="NK266" s="250"/>
      <c r="NL266" s="250"/>
      <c r="NM266" s="250"/>
      <c r="NN266" s="250"/>
      <c r="NO266" s="250"/>
      <c r="NP266" s="250"/>
      <c r="NQ266" s="250"/>
      <c r="NR266" s="250"/>
      <c r="NS266" s="250"/>
      <c r="NT266" s="250"/>
      <c r="NU266" s="250"/>
      <c r="NV266" s="250"/>
      <c r="NW266" s="251"/>
      <c r="OT266" s="8"/>
      <c r="QG266" s="8"/>
      <c r="RT266" s="8"/>
    </row>
    <row r="267" spans="1:488" s="282" customFormat="1" x14ac:dyDescent="0.25">
      <c r="A267" s="66"/>
      <c r="B267" s="8"/>
      <c r="C267" s="66"/>
      <c r="D267" s="66"/>
      <c r="E267" s="66"/>
      <c r="F267" s="66"/>
      <c r="G267" s="66"/>
      <c r="H267" s="66"/>
      <c r="I267" s="66"/>
      <c r="J267" s="66"/>
      <c r="K267" s="66"/>
      <c r="L267" s="66"/>
      <c r="M267" s="66"/>
      <c r="N267" s="66"/>
      <c r="O267" s="66"/>
      <c r="P267" s="66"/>
      <c r="Q267" s="66"/>
      <c r="R267" s="66"/>
      <c r="S267" s="66"/>
      <c r="T267" s="68"/>
      <c r="AC267" s="66"/>
      <c r="AD267" s="66"/>
      <c r="AE267" s="68"/>
      <c r="AN267" s="66"/>
      <c r="AO267" s="66"/>
      <c r="AP267" s="68"/>
      <c r="AW267" s="66"/>
      <c r="AX267" s="68"/>
      <c r="BD267" s="66"/>
      <c r="BE267" s="68"/>
      <c r="BF267" s="66"/>
      <c r="BG267" s="66"/>
      <c r="BH267" s="66"/>
      <c r="BI267" s="66"/>
      <c r="BJ267" s="66"/>
      <c r="BK267" s="66"/>
      <c r="BL267" s="68"/>
      <c r="BO267" s="66"/>
      <c r="BP267" s="68"/>
      <c r="BV267" s="66"/>
      <c r="BW267" s="68"/>
      <c r="CB267" s="8"/>
      <c r="CH267" s="8"/>
      <c r="CK267" s="299"/>
      <c r="CL267" s="299"/>
      <c r="CM267" s="66"/>
      <c r="CN267" s="66"/>
      <c r="CO267" s="68"/>
      <c r="CR267" s="8"/>
      <c r="CX267" s="66"/>
      <c r="CY267" s="532"/>
      <c r="DE267" s="66"/>
      <c r="DF267" s="66"/>
      <c r="DG267" s="68"/>
      <c r="DH267" s="68"/>
      <c r="DK267" s="66"/>
      <c r="DL267" s="66"/>
      <c r="DM267" s="66"/>
      <c r="DN267" s="66"/>
      <c r="DO267" s="66"/>
      <c r="DP267" s="66"/>
      <c r="DQ267" s="66"/>
      <c r="DR267" s="66"/>
      <c r="DS267" s="66"/>
      <c r="DT267" s="68"/>
      <c r="DU267" s="66"/>
      <c r="DV267" s="296"/>
      <c r="DW267" s="330"/>
      <c r="DX267" s="631"/>
      <c r="DY267" s="631"/>
      <c r="DZ267" s="631"/>
      <c r="EA267" s="330"/>
      <c r="EC267" s="66"/>
      <c r="ED267" s="68"/>
      <c r="EH267" s="66"/>
      <c r="EI267" s="66"/>
      <c r="EJ267" s="68"/>
      <c r="EK267" s="252"/>
      <c r="EL267" s="252"/>
      <c r="EM267" s="252"/>
      <c r="EO267" s="252"/>
      <c r="EP267" s="252"/>
      <c r="EQ267" s="252"/>
      <c r="ES267" s="252"/>
      <c r="ET267" s="252"/>
      <c r="EU267" s="252"/>
      <c r="EW267" s="252"/>
      <c r="EX267" s="252"/>
      <c r="EY267" s="252"/>
      <c r="FA267" s="250"/>
      <c r="FB267" s="250"/>
      <c r="FC267" s="250"/>
      <c r="FD267" s="250"/>
      <c r="FE267" s="250"/>
      <c r="FF267" s="250"/>
      <c r="FG267" s="250"/>
      <c r="FH267" s="424"/>
      <c r="FI267" s="250"/>
      <c r="FJ267" s="250"/>
      <c r="FK267" s="250"/>
      <c r="FL267" s="256"/>
      <c r="FM267" s="250"/>
      <c r="FN267" s="256"/>
      <c r="FO267" s="250"/>
      <c r="FP267" s="256"/>
      <c r="FQ267" s="250"/>
      <c r="FR267" s="256"/>
      <c r="FS267" s="250"/>
      <c r="FT267" s="256"/>
      <c r="FU267" s="256"/>
      <c r="FV267" s="256"/>
      <c r="FW267" s="250"/>
      <c r="FX267" s="424"/>
      <c r="FY267" s="251"/>
      <c r="GC267" s="252"/>
      <c r="GF267" s="252"/>
      <c r="GG267" s="252"/>
      <c r="GH267" s="252"/>
      <c r="GI267" s="252"/>
      <c r="GJ267" s="252"/>
      <c r="GK267" s="251"/>
      <c r="GL267" s="250"/>
      <c r="GM267" s="250"/>
      <c r="GN267" s="250"/>
      <c r="GO267" s="250"/>
      <c r="GP267" s="250"/>
      <c r="GQ267" s="250"/>
      <c r="GR267" s="250"/>
      <c r="GS267" s="250"/>
      <c r="GT267" s="250"/>
      <c r="GU267" s="251"/>
      <c r="GV267" s="250"/>
      <c r="GW267" s="250"/>
      <c r="GX267" s="250"/>
      <c r="GY267" s="250"/>
      <c r="GZ267" s="250"/>
      <c r="HA267" s="250"/>
      <c r="HB267" s="250"/>
      <c r="HC267" s="250"/>
      <c r="HD267" s="250"/>
      <c r="HE267" s="250"/>
      <c r="HF267" s="250"/>
      <c r="HG267" s="250"/>
      <c r="HH267" s="251"/>
      <c r="HI267" s="424"/>
      <c r="HJ267" s="255"/>
      <c r="HK267" s="255"/>
      <c r="HL267" s="250"/>
      <c r="HM267" s="255"/>
      <c r="HN267" s="255"/>
      <c r="HO267" s="255"/>
      <c r="HP267" s="250"/>
      <c r="HQ267" s="250"/>
      <c r="HR267" s="250"/>
      <c r="HS267" s="250"/>
      <c r="HT267" s="250"/>
      <c r="HU267" s="251"/>
      <c r="HX267" s="252"/>
      <c r="HY267" s="252"/>
      <c r="HZ267" s="252"/>
      <c r="ID267" s="252"/>
      <c r="IE267" s="252"/>
      <c r="IF267" s="252"/>
      <c r="IJ267" s="252"/>
      <c r="IK267" s="252"/>
      <c r="IL267" s="252"/>
      <c r="IP267" s="252"/>
      <c r="IQ267" s="252"/>
      <c r="IR267" s="252"/>
      <c r="IY267" s="66"/>
      <c r="IZ267" s="66"/>
      <c r="JA267" s="66"/>
      <c r="JB267" s="250"/>
      <c r="JC267" s="66"/>
      <c r="JD267" s="66"/>
      <c r="JE267" s="66"/>
      <c r="JF267" s="66"/>
      <c r="JG267" s="66"/>
      <c r="JH267" s="66"/>
      <c r="JI267" s="66"/>
      <c r="JJ267" s="66"/>
      <c r="JK267" s="8"/>
      <c r="JN267" s="252"/>
      <c r="JO267" s="252"/>
      <c r="JP267" s="252"/>
      <c r="JT267" s="252"/>
      <c r="JU267" s="252"/>
      <c r="JV267" s="252"/>
      <c r="JZ267" s="252"/>
      <c r="KA267" s="252"/>
      <c r="KB267" s="252"/>
      <c r="KF267" s="252"/>
      <c r="KG267" s="252"/>
      <c r="KH267" s="252"/>
      <c r="KO267" s="66"/>
      <c r="KP267" s="66"/>
      <c r="KQ267" s="66"/>
      <c r="KR267" s="66"/>
      <c r="KS267" s="66"/>
      <c r="KT267" s="66"/>
      <c r="KU267" s="66"/>
      <c r="KV267" s="66"/>
      <c r="KW267" s="66"/>
      <c r="KX267" s="66"/>
      <c r="KY267" s="66"/>
      <c r="KZ267" s="66"/>
      <c r="LA267" s="8"/>
      <c r="LD267" s="252"/>
      <c r="LE267" s="252"/>
      <c r="LF267" s="252"/>
      <c r="LJ267" s="252"/>
      <c r="LK267" s="252"/>
      <c r="LN267" s="252"/>
      <c r="LO267" s="252"/>
      <c r="LP267" s="252"/>
      <c r="LT267" s="271"/>
      <c r="LU267" s="250"/>
      <c r="LV267" s="250"/>
      <c r="LW267" s="250"/>
      <c r="LX267" s="250"/>
      <c r="LY267" s="250"/>
      <c r="LZ267" s="250"/>
      <c r="MA267" s="250"/>
      <c r="MB267" s="250"/>
      <c r="MC267" s="250"/>
      <c r="MD267" s="250"/>
      <c r="ME267" s="250"/>
      <c r="MF267" s="250"/>
      <c r="MG267" s="250"/>
      <c r="MH267" s="250"/>
      <c r="MI267" s="250"/>
      <c r="MJ267" s="250"/>
      <c r="MK267" s="424"/>
      <c r="ML267" s="640"/>
      <c r="MM267" s="251"/>
      <c r="MN267" s="252"/>
      <c r="MO267" s="252"/>
      <c r="MP267" s="252"/>
      <c r="MQ267" s="252"/>
      <c r="MR267" s="252"/>
      <c r="MS267" s="252"/>
      <c r="MT267" s="252"/>
      <c r="MU267" s="252"/>
      <c r="MV267" s="252"/>
      <c r="MW267" s="252"/>
      <c r="MX267" s="252"/>
      <c r="MY267" s="252"/>
      <c r="MZ267" s="252"/>
      <c r="NA267" s="252"/>
      <c r="NB267" s="252"/>
      <c r="NC267" s="251"/>
      <c r="ND267" s="250"/>
      <c r="NE267" s="250"/>
      <c r="NF267" s="250"/>
      <c r="NG267" s="250"/>
      <c r="NH267" s="250"/>
      <c r="NI267" s="250"/>
      <c r="NJ267" s="250"/>
      <c r="NK267" s="250"/>
      <c r="NL267" s="250"/>
      <c r="NM267" s="250"/>
      <c r="NN267" s="250"/>
      <c r="NO267" s="250"/>
      <c r="NP267" s="250"/>
      <c r="NQ267" s="250"/>
      <c r="NR267" s="250"/>
      <c r="NS267" s="250"/>
      <c r="NT267" s="250"/>
      <c r="NU267" s="250"/>
      <c r="NV267" s="250"/>
      <c r="NW267" s="251"/>
      <c r="OT267" s="8"/>
      <c r="QG267" s="8"/>
      <c r="RT267" s="8"/>
    </row>
    <row r="268" spans="1:488" s="282" customFormat="1" x14ac:dyDescent="0.25">
      <c r="A268" s="66"/>
      <c r="B268" s="8"/>
      <c r="C268" s="66"/>
      <c r="D268" s="66"/>
      <c r="E268" s="66"/>
      <c r="F268" s="66"/>
      <c r="G268" s="66"/>
      <c r="H268" s="66"/>
      <c r="I268" s="66"/>
      <c r="J268" s="66"/>
      <c r="K268" s="66"/>
      <c r="L268" s="66"/>
      <c r="M268" s="66"/>
      <c r="N268" s="66"/>
      <c r="O268" s="66"/>
      <c r="P268" s="66"/>
      <c r="Q268" s="66"/>
      <c r="R268" s="66"/>
      <c r="S268" s="66"/>
      <c r="T268" s="68"/>
      <c r="AC268" s="66"/>
      <c r="AD268" s="66"/>
      <c r="AE268" s="68"/>
      <c r="AN268" s="66"/>
      <c r="AO268" s="66"/>
      <c r="AP268" s="68"/>
      <c r="AW268" s="66"/>
      <c r="AX268" s="68"/>
      <c r="BD268" s="66"/>
      <c r="BE268" s="68"/>
      <c r="BF268" s="66"/>
      <c r="BG268" s="66"/>
      <c r="BH268" s="66"/>
      <c r="BI268" s="66"/>
      <c r="BJ268" s="66"/>
      <c r="BK268" s="66"/>
      <c r="BL268" s="68"/>
      <c r="BO268" s="66"/>
      <c r="BP268" s="68"/>
      <c r="BV268" s="66"/>
      <c r="BW268" s="68"/>
      <c r="CB268" s="8"/>
      <c r="CH268" s="8"/>
      <c r="CK268" s="299"/>
      <c r="CL268" s="299"/>
      <c r="CM268" s="66"/>
      <c r="CN268" s="66"/>
      <c r="CO268" s="68"/>
      <c r="CR268" s="8"/>
      <c r="CX268" s="66"/>
      <c r="CY268" s="532"/>
      <c r="DE268" s="66"/>
      <c r="DF268" s="66"/>
      <c r="DG268" s="68"/>
      <c r="DH268" s="68"/>
      <c r="DK268" s="66"/>
      <c r="DL268" s="66"/>
      <c r="DM268" s="66"/>
      <c r="DN268" s="66"/>
      <c r="DO268" s="66"/>
      <c r="DP268" s="66"/>
      <c r="DQ268" s="66"/>
      <c r="DR268" s="66"/>
      <c r="DS268" s="66"/>
      <c r="DT268" s="68"/>
      <c r="DU268" s="66"/>
      <c r="DV268" s="296"/>
      <c r="DW268" s="330"/>
      <c r="DX268" s="631"/>
      <c r="DY268" s="631"/>
      <c r="DZ268" s="631"/>
      <c r="EA268" s="330"/>
      <c r="EC268" s="66"/>
      <c r="ED268" s="68"/>
      <c r="EH268" s="66"/>
      <c r="EI268" s="66"/>
      <c r="EJ268" s="68"/>
      <c r="EK268" s="252"/>
      <c r="EL268" s="252"/>
      <c r="EM268" s="252"/>
      <c r="EO268" s="252"/>
      <c r="EP268" s="252"/>
      <c r="EQ268" s="252"/>
      <c r="ES268" s="252"/>
      <c r="ET268" s="252"/>
      <c r="EU268" s="252"/>
      <c r="EW268" s="252"/>
      <c r="EX268" s="252"/>
      <c r="EY268" s="252"/>
      <c r="FA268" s="250"/>
      <c r="FB268" s="250"/>
      <c r="FC268" s="250"/>
      <c r="FD268" s="250"/>
      <c r="FE268" s="250"/>
      <c r="FF268" s="250"/>
      <c r="FG268" s="250"/>
      <c r="FH268" s="424"/>
      <c r="FI268" s="250"/>
      <c r="FJ268" s="250"/>
      <c r="FK268" s="250"/>
      <c r="FL268" s="256"/>
      <c r="FM268" s="250"/>
      <c r="FN268" s="256"/>
      <c r="FO268" s="250"/>
      <c r="FP268" s="256"/>
      <c r="FQ268" s="250"/>
      <c r="FR268" s="256"/>
      <c r="FS268" s="250"/>
      <c r="FT268" s="256"/>
      <c r="FU268" s="256"/>
      <c r="FV268" s="256"/>
      <c r="FW268" s="250"/>
      <c r="FX268" s="424"/>
      <c r="FY268" s="251"/>
      <c r="GC268" s="252"/>
      <c r="GF268" s="252"/>
      <c r="GG268" s="252"/>
      <c r="GH268" s="252"/>
      <c r="GI268" s="252"/>
      <c r="GJ268" s="252"/>
      <c r="GK268" s="251"/>
      <c r="GL268" s="250"/>
      <c r="GM268" s="250"/>
      <c r="GN268" s="250"/>
      <c r="GO268" s="250"/>
      <c r="GP268" s="250"/>
      <c r="GQ268" s="250"/>
      <c r="GR268" s="250"/>
      <c r="GS268" s="250"/>
      <c r="GT268" s="250"/>
      <c r="GU268" s="251"/>
      <c r="GV268" s="250"/>
      <c r="GW268" s="250"/>
      <c r="GX268" s="250"/>
      <c r="GY268" s="250"/>
      <c r="GZ268" s="250"/>
      <c r="HA268" s="250"/>
      <c r="HB268" s="250"/>
      <c r="HC268" s="250"/>
      <c r="HD268" s="250"/>
      <c r="HE268" s="250"/>
      <c r="HF268" s="250"/>
      <c r="HG268" s="250"/>
      <c r="HH268" s="251"/>
      <c r="HI268" s="424"/>
      <c r="HJ268" s="255"/>
      <c r="HK268" s="255"/>
      <c r="HL268" s="250"/>
      <c r="HM268" s="255"/>
      <c r="HN268" s="255"/>
      <c r="HO268" s="255"/>
      <c r="HP268" s="250"/>
      <c r="HQ268" s="250"/>
      <c r="HR268" s="250"/>
      <c r="HS268" s="250"/>
      <c r="HT268" s="250"/>
      <c r="HU268" s="251"/>
      <c r="HX268" s="252"/>
      <c r="HY268" s="252"/>
      <c r="HZ268" s="252"/>
      <c r="ID268" s="252"/>
      <c r="IE268" s="252"/>
      <c r="IF268" s="252"/>
      <c r="IJ268" s="252"/>
      <c r="IK268" s="252"/>
      <c r="IL268" s="252"/>
      <c r="IP268" s="252"/>
      <c r="IQ268" s="252"/>
      <c r="IR268" s="252"/>
      <c r="IY268" s="66"/>
      <c r="IZ268" s="66"/>
      <c r="JA268" s="66"/>
      <c r="JB268" s="250"/>
      <c r="JC268" s="66"/>
      <c r="JD268" s="66"/>
      <c r="JE268" s="66"/>
      <c r="JF268" s="66"/>
      <c r="JG268" s="66"/>
      <c r="JH268" s="66"/>
      <c r="JI268" s="66"/>
      <c r="JJ268" s="66"/>
      <c r="JK268" s="8"/>
      <c r="JN268" s="252"/>
      <c r="JO268" s="252"/>
      <c r="JP268" s="252"/>
      <c r="JT268" s="252"/>
      <c r="JU268" s="252"/>
      <c r="JV268" s="252"/>
      <c r="JZ268" s="252"/>
      <c r="KA268" s="252"/>
      <c r="KB268" s="252"/>
      <c r="KF268" s="252"/>
      <c r="KG268" s="252"/>
      <c r="KH268" s="252"/>
      <c r="KO268" s="66"/>
      <c r="KP268" s="66"/>
      <c r="KQ268" s="66"/>
      <c r="KR268" s="66"/>
      <c r="KS268" s="66"/>
      <c r="KT268" s="66"/>
      <c r="KU268" s="66"/>
      <c r="KV268" s="66"/>
      <c r="KW268" s="66"/>
      <c r="KX268" s="66"/>
      <c r="KY268" s="66"/>
      <c r="KZ268" s="66"/>
      <c r="LA268" s="8"/>
      <c r="LD268" s="252"/>
      <c r="LE268" s="252"/>
      <c r="LF268" s="252"/>
      <c r="LJ268" s="252"/>
      <c r="LK268" s="252"/>
      <c r="LN268" s="252"/>
      <c r="LO268" s="252"/>
      <c r="LP268" s="252"/>
      <c r="LT268" s="271"/>
      <c r="LU268" s="250"/>
      <c r="LV268" s="250"/>
      <c r="LW268" s="250"/>
      <c r="LX268" s="250"/>
      <c r="LY268" s="250"/>
      <c r="LZ268" s="250"/>
      <c r="MA268" s="250"/>
      <c r="MB268" s="250"/>
      <c r="MC268" s="250"/>
      <c r="MD268" s="250"/>
      <c r="ME268" s="250"/>
      <c r="MF268" s="250"/>
      <c r="MG268" s="250"/>
      <c r="MH268" s="250"/>
      <c r="MI268" s="250"/>
      <c r="MJ268" s="250"/>
      <c r="MK268" s="424"/>
      <c r="ML268" s="640"/>
      <c r="MM268" s="251"/>
      <c r="MN268" s="252"/>
      <c r="MO268" s="252"/>
      <c r="MP268" s="252"/>
      <c r="MQ268" s="252"/>
      <c r="MR268" s="252"/>
      <c r="MS268" s="252"/>
      <c r="MT268" s="252"/>
      <c r="MU268" s="252"/>
      <c r="MV268" s="252"/>
      <c r="MW268" s="252"/>
      <c r="MX268" s="252"/>
      <c r="MY268" s="252"/>
      <c r="MZ268" s="252"/>
      <c r="NA268" s="252"/>
      <c r="NB268" s="252"/>
      <c r="NC268" s="251"/>
      <c r="ND268" s="250"/>
      <c r="NE268" s="250"/>
      <c r="NF268" s="250"/>
      <c r="NG268" s="250"/>
      <c r="NH268" s="250"/>
      <c r="NI268" s="250"/>
      <c r="NJ268" s="250"/>
      <c r="NK268" s="250"/>
      <c r="NL268" s="250"/>
      <c r="NM268" s="250"/>
      <c r="NN268" s="250"/>
      <c r="NO268" s="250"/>
      <c r="NP268" s="250"/>
      <c r="NQ268" s="250"/>
      <c r="NR268" s="250"/>
      <c r="NS268" s="250"/>
      <c r="NT268" s="250"/>
      <c r="NU268" s="250"/>
      <c r="NV268" s="250"/>
      <c r="NW268" s="251"/>
      <c r="OT268" s="8"/>
      <c r="QG268" s="8"/>
      <c r="RT268" s="8"/>
    </row>
    <row r="269" spans="1:488" s="282" customFormat="1" x14ac:dyDescent="0.25">
      <c r="A269" s="66"/>
      <c r="B269" s="8"/>
      <c r="C269" s="66"/>
      <c r="D269" s="66"/>
      <c r="E269" s="66"/>
      <c r="F269" s="66"/>
      <c r="G269" s="66"/>
      <c r="H269" s="66"/>
      <c r="I269" s="66"/>
      <c r="J269" s="66"/>
      <c r="K269" s="66"/>
      <c r="L269" s="66"/>
      <c r="M269" s="66"/>
      <c r="N269" s="66"/>
      <c r="O269" s="66"/>
      <c r="P269" s="66"/>
      <c r="Q269" s="66"/>
      <c r="R269" s="66"/>
      <c r="S269" s="66"/>
      <c r="T269" s="68"/>
      <c r="AC269" s="66"/>
      <c r="AD269" s="66"/>
      <c r="AE269" s="68"/>
      <c r="AN269" s="66"/>
      <c r="AO269" s="66"/>
      <c r="AP269" s="68"/>
      <c r="AW269" s="66"/>
      <c r="AX269" s="68"/>
      <c r="BD269" s="66"/>
      <c r="BE269" s="68"/>
      <c r="BF269" s="66"/>
      <c r="BG269" s="66"/>
      <c r="BH269" s="66"/>
      <c r="BI269" s="66"/>
      <c r="BJ269" s="66"/>
      <c r="BK269" s="66"/>
      <c r="BL269" s="68"/>
      <c r="BO269" s="66"/>
      <c r="BP269" s="68"/>
      <c r="BV269" s="66"/>
      <c r="BW269" s="68"/>
      <c r="CB269" s="8"/>
      <c r="CH269" s="8"/>
      <c r="CK269" s="299"/>
      <c r="CL269" s="299"/>
      <c r="CM269" s="66"/>
      <c r="CN269" s="66"/>
      <c r="CO269" s="68"/>
      <c r="CR269" s="8"/>
      <c r="CX269" s="66"/>
      <c r="CY269" s="532"/>
      <c r="DE269" s="66"/>
      <c r="DF269" s="66"/>
      <c r="DG269" s="68"/>
      <c r="DH269" s="68"/>
      <c r="DK269" s="66"/>
      <c r="DL269" s="66"/>
      <c r="DM269" s="66"/>
      <c r="DN269" s="66"/>
      <c r="DO269" s="66"/>
      <c r="DP269" s="66"/>
      <c r="DQ269" s="66"/>
      <c r="DR269" s="66"/>
      <c r="DS269" s="66"/>
      <c r="DT269" s="68"/>
      <c r="DU269" s="66"/>
      <c r="DV269" s="296"/>
      <c r="DW269" s="330"/>
      <c r="DX269" s="631"/>
      <c r="DY269" s="631"/>
      <c r="DZ269" s="631"/>
      <c r="EA269" s="330"/>
      <c r="EC269" s="66"/>
      <c r="ED269" s="68"/>
      <c r="EH269" s="66"/>
      <c r="EI269" s="66"/>
      <c r="EJ269" s="68"/>
      <c r="EK269" s="252"/>
      <c r="EL269" s="252"/>
      <c r="EM269" s="252"/>
      <c r="EO269" s="252"/>
      <c r="EP269" s="252"/>
      <c r="EQ269" s="252"/>
      <c r="ES269" s="252"/>
      <c r="ET269" s="252"/>
      <c r="EU269" s="252"/>
      <c r="EW269" s="252"/>
      <c r="EX269" s="252"/>
      <c r="EY269" s="252"/>
      <c r="FA269" s="250"/>
      <c r="FB269" s="250"/>
      <c r="FC269" s="250"/>
      <c r="FD269" s="250"/>
      <c r="FE269" s="250"/>
      <c r="FF269" s="250"/>
      <c r="FG269" s="250"/>
      <c r="FH269" s="424"/>
      <c r="FI269" s="250"/>
      <c r="FJ269" s="250"/>
      <c r="FK269" s="250"/>
      <c r="FL269" s="256"/>
      <c r="FM269" s="250"/>
      <c r="FN269" s="256"/>
      <c r="FO269" s="250"/>
      <c r="FP269" s="256"/>
      <c r="FQ269" s="250"/>
      <c r="FR269" s="256"/>
      <c r="FS269" s="250"/>
      <c r="FT269" s="256"/>
      <c r="FU269" s="256"/>
      <c r="FV269" s="256"/>
      <c r="FW269" s="250"/>
      <c r="FX269" s="424"/>
      <c r="FY269" s="251"/>
      <c r="GC269" s="252"/>
      <c r="GF269" s="252"/>
      <c r="GG269" s="252"/>
      <c r="GH269" s="252"/>
      <c r="GI269" s="252"/>
      <c r="GJ269" s="252"/>
      <c r="GK269" s="251"/>
      <c r="GL269" s="250"/>
      <c r="GM269" s="250"/>
      <c r="GN269" s="250"/>
      <c r="GO269" s="250"/>
      <c r="GP269" s="250"/>
      <c r="GQ269" s="250"/>
      <c r="GR269" s="250"/>
      <c r="GS269" s="250"/>
      <c r="GT269" s="250"/>
      <c r="GU269" s="251"/>
      <c r="GV269" s="250"/>
      <c r="GW269" s="250"/>
      <c r="GX269" s="250"/>
      <c r="GY269" s="250"/>
      <c r="GZ269" s="250"/>
      <c r="HA269" s="250"/>
      <c r="HB269" s="250"/>
      <c r="HC269" s="250"/>
      <c r="HD269" s="250"/>
      <c r="HE269" s="250"/>
      <c r="HF269" s="250"/>
      <c r="HG269" s="250"/>
      <c r="HH269" s="251"/>
      <c r="HI269" s="424"/>
      <c r="HJ269" s="255"/>
      <c r="HK269" s="255"/>
      <c r="HL269" s="250"/>
      <c r="HM269" s="255"/>
      <c r="HN269" s="255"/>
      <c r="HO269" s="255"/>
      <c r="HP269" s="250"/>
      <c r="HQ269" s="250"/>
      <c r="HR269" s="250"/>
      <c r="HS269" s="250"/>
      <c r="HT269" s="250"/>
      <c r="HU269" s="251"/>
      <c r="HX269" s="252"/>
      <c r="HY269" s="252"/>
      <c r="HZ269" s="252"/>
      <c r="ID269" s="252"/>
      <c r="IE269" s="252"/>
      <c r="IF269" s="252"/>
      <c r="IJ269" s="252"/>
      <c r="IK269" s="252"/>
      <c r="IL269" s="252"/>
      <c r="IP269" s="252"/>
      <c r="IQ269" s="252"/>
      <c r="IR269" s="252"/>
      <c r="IY269" s="66"/>
      <c r="IZ269" s="66"/>
      <c r="JA269" s="66"/>
      <c r="JB269" s="250"/>
      <c r="JC269" s="66"/>
      <c r="JD269" s="66"/>
      <c r="JE269" s="66"/>
      <c r="JF269" s="66"/>
      <c r="JG269" s="66"/>
      <c r="JH269" s="66"/>
      <c r="JI269" s="66"/>
      <c r="JJ269" s="66"/>
      <c r="JK269" s="8"/>
      <c r="JN269" s="252"/>
      <c r="JO269" s="252"/>
      <c r="JP269" s="252"/>
      <c r="JT269" s="252"/>
      <c r="JU269" s="252"/>
      <c r="JV269" s="252"/>
      <c r="JZ269" s="252"/>
      <c r="KA269" s="252"/>
      <c r="KB269" s="252"/>
      <c r="KF269" s="252"/>
      <c r="KG269" s="252"/>
      <c r="KH269" s="252"/>
      <c r="KO269" s="66"/>
      <c r="KP269" s="66"/>
      <c r="KQ269" s="66"/>
      <c r="KR269" s="66"/>
      <c r="KS269" s="66"/>
      <c r="KT269" s="66"/>
      <c r="KU269" s="66"/>
      <c r="KV269" s="66"/>
      <c r="KW269" s="66"/>
      <c r="KX269" s="66"/>
      <c r="KY269" s="66"/>
      <c r="KZ269" s="66"/>
      <c r="LA269" s="8"/>
      <c r="LD269" s="252"/>
      <c r="LE269" s="252"/>
      <c r="LF269" s="252"/>
      <c r="LJ269" s="252"/>
      <c r="LK269" s="252"/>
      <c r="LN269" s="252"/>
      <c r="LO269" s="252"/>
      <c r="LP269" s="252"/>
      <c r="LT269" s="271"/>
      <c r="LU269" s="250"/>
      <c r="LV269" s="250"/>
      <c r="LW269" s="250"/>
      <c r="LX269" s="250"/>
      <c r="LY269" s="250"/>
      <c r="LZ269" s="250"/>
      <c r="MA269" s="250"/>
      <c r="MB269" s="250"/>
      <c r="MC269" s="250"/>
      <c r="MD269" s="250"/>
      <c r="ME269" s="250"/>
      <c r="MF269" s="250"/>
      <c r="MG269" s="250"/>
      <c r="MH269" s="250"/>
      <c r="MI269" s="250"/>
      <c r="MJ269" s="250"/>
      <c r="MK269" s="424"/>
      <c r="ML269" s="640"/>
      <c r="MM269" s="251"/>
      <c r="MN269" s="252"/>
      <c r="MO269" s="252"/>
      <c r="MP269" s="252"/>
      <c r="MQ269" s="252"/>
      <c r="MR269" s="252"/>
      <c r="MS269" s="252"/>
      <c r="MT269" s="252"/>
      <c r="MU269" s="252"/>
      <c r="MV269" s="252"/>
      <c r="MW269" s="252"/>
      <c r="MX269" s="252"/>
      <c r="MY269" s="252"/>
      <c r="MZ269" s="252"/>
      <c r="NA269" s="252"/>
      <c r="NB269" s="252"/>
      <c r="NC269" s="251"/>
      <c r="ND269" s="250"/>
      <c r="NE269" s="250"/>
      <c r="NF269" s="250"/>
      <c r="NG269" s="250"/>
      <c r="NH269" s="250"/>
      <c r="NI269" s="250"/>
      <c r="NJ269" s="250"/>
      <c r="NK269" s="250"/>
      <c r="NL269" s="250"/>
      <c r="NM269" s="250"/>
      <c r="NN269" s="250"/>
      <c r="NO269" s="250"/>
      <c r="NP269" s="250"/>
      <c r="NQ269" s="250"/>
      <c r="NR269" s="250"/>
      <c r="NS269" s="250"/>
      <c r="NT269" s="250"/>
      <c r="NU269" s="250"/>
      <c r="NV269" s="250"/>
      <c r="NW269" s="251"/>
      <c r="OT269" s="8"/>
      <c r="QG269" s="8"/>
      <c r="RT269" s="8"/>
    </row>
    <row r="270" spans="1:488" s="282" customFormat="1" x14ac:dyDescent="0.25">
      <c r="A270" s="66"/>
      <c r="B270" s="8"/>
      <c r="C270" s="66"/>
      <c r="D270" s="66"/>
      <c r="E270" s="66"/>
      <c r="F270" s="66"/>
      <c r="G270" s="66"/>
      <c r="H270" s="66"/>
      <c r="I270" s="66"/>
      <c r="J270" s="66"/>
      <c r="K270" s="66"/>
      <c r="L270" s="66"/>
      <c r="M270" s="66"/>
      <c r="N270" s="66"/>
      <c r="O270" s="66"/>
      <c r="P270" s="66"/>
      <c r="Q270" s="66"/>
      <c r="R270" s="66"/>
      <c r="S270" s="66"/>
      <c r="T270" s="68"/>
      <c r="AC270" s="66"/>
      <c r="AD270" s="66"/>
      <c r="AE270" s="68"/>
      <c r="AN270" s="66"/>
      <c r="AO270" s="66"/>
      <c r="AP270" s="68"/>
      <c r="AW270" s="66"/>
      <c r="AX270" s="68"/>
      <c r="BD270" s="66"/>
      <c r="BE270" s="68"/>
      <c r="BF270" s="66"/>
      <c r="BG270" s="66"/>
      <c r="BH270" s="66"/>
      <c r="BI270" s="66"/>
      <c r="BJ270" s="66"/>
      <c r="BK270" s="66"/>
      <c r="BL270" s="68"/>
      <c r="BO270" s="66"/>
      <c r="BP270" s="68"/>
      <c r="BV270" s="66"/>
      <c r="BW270" s="68"/>
      <c r="CB270" s="8"/>
      <c r="CH270" s="8"/>
      <c r="CK270" s="299"/>
      <c r="CL270" s="299"/>
      <c r="CM270" s="66"/>
      <c r="CN270" s="66"/>
      <c r="CO270" s="68"/>
      <c r="CR270" s="8"/>
      <c r="CX270" s="66"/>
      <c r="CY270" s="532"/>
      <c r="DE270" s="66"/>
      <c r="DF270" s="66"/>
      <c r="DG270" s="68"/>
      <c r="DH270" s="68"/>
      <c r="DK270" s="66"/>
      <c r="DL270" s="66"/>
      <c r="DM270" s="66"/>
      <c r="DN270" s="66"/>
      <c r="DO270" s="66"/>
      <c r="DP270" s="66"/>
      <c r="DQ270" s="66"/>
      <c r="DR270" s="66"/>
      <c r="DS270" s="66"/>
      <c r="DT270" s="68"/>
      <c r="DU270" s="66"/>
      <c r="DV270" s="296"/>
      <c r="DW270" s="330"/>
      <c r="DX270" s="631"/>
      <c r="DY270" s="631"/>
      <c r="DZ270" s="631"/>
      <c r="EA270" s="330"/>
      <c r="EC270" s="66"/>
      <c r="ED270" s="68"/>
      <c r="EH270" s="66"/>
      <c r="EI270" s="66"/>
      <c r="EJ270" s="68"/>
      <c r="EK270" s="252"/>
      <c r="EL270" s="252"/>
      <c r="EM270" s="252"/>
      <c r="EO270" s="252"/>
      <c r="EP270" s="252"/>
      <c r="EQ270" s="252"/>
      <c r="ES270" s="252"/>
      <c r="ET270" s="252"/>
      <c r="EU270" s="252"/>
      <c r="EW270" s="252"/>
      <c r="EX270" s="252"/>
      <c r="EY270" s="252"/>
      <c r="FA270" s="250"/>
      <c r="FB270" s="250"/>
      <c r="FC270" s="250"/>
      <c r="FD270" s="250"/>
      <c r="FE270" s="250"/>
      <c r="FF270" s="250"/>
      <c r="FG270" s="250"/>
      <c r="FH270" s="424"/>
      <c r="FI270" s="250"/>
      <c r="FJ270" s="250"/>
      <c r="FK270" s="250"/>
      <c r="FL270" s="256"/>
      <c r="FM270" s="250"/>
      <c r="FN270" s="256"/>
      <c r="FO270" s="250"/>
      <c r="FP270" s="256"/>
      <c r="FQ270" s="250"/>
      <c r="FR270" s="256"/>
      <c r="FS270" s="250"/>
      <c r="FT270" s="256"/>
      <c r="FU270" s="256"/>
      <c r="FV270" s="256"/>
      <c r="FW270" s="250"/>
      <c r="FX270" s="424"/>
      <c r="FY270" s="251"/>
      <c r="GC270" s="252"/>
      <c r="GF270" s="252"/>
      <c r="GG270" s="252"/>
      <c r="GH270" s="252"/>
      <c r="GI270" s="252"/>
      <c r="GJ270" s="252"/>
      <c r="GK270" s="251"/>
      <c r="GL270" s="250"/>
      <c r="GM270" s="250"/>
      <c r="GN270" s="250"/>
      <c r="GO270" s="250"/>
      <c r="GP270" s="250"/>
      <c r="GQ270" s="250"/>
      <c r="GR270" s="250"/>
      <c r="GS270" s="250"/>
      <c r="GT270" s="250"/>
      <c r="GU270" s="251"/>
      <c r="GV270" s="250"/>
      <c r="GW270" s="250"/>
      <c r="GX270" s="250"/>
      <c r="GY270" s="250"/>
      <c r="GZ270" s="250"/>
      <c r="HA270" s="250"/>
      <c r="HB270" s="250"/>
      <c r="HC270" s="250"/>
      <c r="HD270" s="250"/>
      <c r="HE270" s="250"/>
      <c r="HF270" s="250"/>
      <c r="HG270" s="250"/>
      <c r="HH270" s="251"/>
      <c r="HI270" s="424"/>
      <c r="HJ270" s="255"/>
      <c r="HK270" s="255"/>
      <c r="HL270" s="250"/>
      <c r="HM270" s="255"/>
      <c r="HN270" s="255"/>
      <c r="HO270" s="255"/>
      <c r="HP270" s="250"/>
      <c r="HQ270" s="250"/>
      <c r="HR270" s="250"/>
      <c r="HS270" s="250"/>
      <c r="HT270" s="250"/>
      <c r="HU270" s="251"/>
      <c r="HX270" s="252"/>
      <c r="HY270" s="252"/>
      <c r="HZ270" s="252"/>
      <c r="ID270" s="252"/>
      <c r="IE270" s="252"/>
      <c r="IF270" s="252"/>
      <c r="IJ270" s="252"/>
      <c r="IK270" s="252"/>
      <c r="IL270" s="252"/>
      <c r="IP270" s="252"/>
      <c r="IQ270" s="252"/>
      <c r="IR270" s="252"/>
      <c r="IY270" s="66"/>
      <c r="IZ270" s="66"/>
      <c r="JA270" s="66"/>
      <c r="JB270" s="250"/>
      <c r="JC270" s="66"/>
      <c r="JD270" s="66"/>
      <c r="JE270" s="66"/>
      <c r="JF270" s="66"/>
      <c r="JG270" s="66"/>
      <c r="JH270" s="66"/>
      <c r="JI270" s="66"/>
      <c r="JJ270" s="66"/>
      <c r="JK270" s="8"/>
      <c r="JN270" s="252"/>
      <c r="JO270" s="252"/>
      <c r="JP270" s="252"/>
      <c r="JT270" s="252"/>
      <c r="JU270" s="252"/>
      <c r="JV270" s="252"/>
      <c r="JZ270" s="252"/>
      <c r="KA270" s="252"/>
      <c r="KB270" s="252"/>
      <c r="KF270" s="252"/>
      <c r="KG270" s="252"/>
      <c r="KH270" s="252"/>
      <c r="KO270" s="66"/>
      <c r="KP270" s="66"/>
      <c r="KQ270" s="66"/>
      <c r="KR270" s="66"/>
      <c r="KS270" s="66"/>
      <c r="KT270" s="66"/>
      <c r="KU270" s="66"/>
      <c r="KV270" s="66"/>
      <c r="KW270" s="66"/>
      <c r="KX270" s="66"/>
      <c r="KY270" s="66"/>
      <c r="KZ270" s="66"/>
      <c r="LA270" s="8"/>
      <c r="LD270" s="252"/>
      <c r="LE270" s="252"/>
      <c r="LF270" s="252"/>
      <c r="LJ270" s="252"/>
      <c r="LK270" s="252"/>
      <c r="LN270" s="252"/>
      <c r="LO270" s="252"/>
      <c r="LP270" s="252"/>
      <c r="LT270" s="271"/>
      <c r="LU270" s="250"/>
      <c r="LV270" s="250"/>
      <c r="LW270" s="250"/>
      <c r="LX270" s="250"/>
      <c r="LY270" s="250"/>
      <c r="LZ270" s="250"/>
      <c r="MA270" s="250"/>
      <c r="MB270" s="250"/>
      <c r="MC270" s="250"/>
      <c r="MD270" s="250"/>
      <c r="ME270" s="250"/>
      <c r="MF270" s="250"/>
      <c r="MG270" s="250"/>
      <c r="MH270" s="250"/>
      <c r="MI270" s="250"/>
      <c r="MJ270" s="250"/>
      <c r="MK270" s="424"/>
      <c r="ML270" s="640"/>
      <c r="MM270" s="251"/>
      <c r="MN270" s="252"/>
      <c r="MO270" s="252"/>
      <c r="MP270" s="252"/>
      <c r="MQ270" s="252"/>
      <c r="MR270" s="252"/>
      <c r="MS270" s="252"/>
      <c r="MT270" s="252"/>
      <c r="MU270" s="252"/>
      <c r="MV270" s="252"/>
      <c r="MW270" s="252"/>
      <c r="MX270" s="252"/>
      <c r="MY270" s="252"/>
      <c r="MZ270" s="252"/>
      <c r="NA270" s="252"/>
      <c r="NB270" s="252"/>
      <c r="NC270" s="251"/>
      <c r="ND270" s="250"/>
      <c r="NE270" s="250"/>
      <c r="NF270" s="250"/>
      <c r="NG270" s="250"/>
      <c r="NH270" s="250"/>
      <c r="NI270" s="250"/>
      <c r="NJ270" s="250"/>
      <c r="NK270" s="250"/>
      <c r="NL270" s="250"/>
      <c r="NM270" s="250"/>
      <c r="NN270" s="250"/>
      <c r="NO270" s="250"/>
      <c r="NP270" s="250"/>
      <c r="NQ270" s="250"/>
      <c r="NR270" s="250"/>
      <c r="NS270" s="250"/>
      <c r="NT270" s="250"/>
      <c r="NU270" s="250"/>
      <c r="NV270" s="250"/>
      <c r="NW270" s="251"/>
      <c r="OT270" s="8"/>
      <c r="QG270" s="8"/>
      <c r="RT270" s="8"/>
    </row>
    <row r="271" spans="1:488" s="282" customFormat="1" x14ac:dyDescent="0.25">
      <c r="A271" s="66"/>
      <c r="B271" s="8"/>
      <c r="C271" s="66"/>
      <c r="D271" s="66"/>
      <c r="E271" s="66"/>
      <c r="F271" s="66"/>
      <c r="G271" s="66"/>
      <c r="H271" s="66"/>
      <c r="I271" s="66"/>
      <c r="J271" s="66"/>
      <c r="K271" s="66"/>
      <c r="L271" s="66"/>
      <c r="M271" s="66"/>
      <c r="N271" s="66"/>
      <c r="O271" s="66"/>
      <c r="P271" s="66"/>
      <c r="Q271" s="66"/>
      <c r="R271" s="66"/>
      <c r="S271" s="66"/>
      <c r="T271" s="68"/>
      <c r="AC271" s="66"/>
      <c r="AD271" s="66"/>
      <c r="AE271" s="68"/>
      <c r="AN271" s="66"/>
      <c r="AO271" s="66"/>
      <c r="AP271" s="68"/>
      <c r="AW271" s="66"/>
      <c r="AX271" s="68"/>
      <c r="BD271" s="66"/>
      <c r="BE271" s="68"/>
      <c r="BF271" s="66"/>
      <c r="BG271" s="66"/>
      <c r="BH271" s="66"/>
      <c r="BI271" s="66"/>
      <c r="BJ271" s="66"/>
      <c r="BK271" s="66"/>
      <c r="BL271" s="68"/>
      <c r="BO271" s="66"/>
      <c r="BP271" s="68"/>
      <c r="BV271" s="66"/>
      <c r="BW271" s="68"/>
      <c r="CB271" s="8"/>
      <c r="CH271" s="8"/>
      <c r="CK271" s="299"/>
      <c r="CL271" s="299"/>
      <c r="CM271" s="66"/>
      <c r="CN271" s="66"/>
      <c r="CO271" s="68"/>
      <c r="CR271" s="8"/>
      <c r="CX271" s="66"/>
      <c r="CY271" s="532"/>
      <c r="DE271" s="66"/>
      <c r="DF271" s="66"/>
      <c r="DG271" s="68"/>
      <c r="DH271" s="68"/>
      <c r="DK271" s="66"/>
      <c r="DL271" s="66"/>
      <c r="DM271" s="66"/>
      <c r="DN271" s="66"/>
      <c r="DO271" s="66"/>
      <c r="DP271" s="66"/>
      <c r="DQ271" s="66"/>
      <c r="DR271" s="66"/>
      <c r="DS271" s="66"/>
      <c r="DT271" s="68"/>
      <c r="DU271" s="66"/>
      <c r="DV271" s="296"/>
      <c r="DW271" s="330"/>
      <c r="DX271" s="631"/>
      <c r="DY271" s="631"/>
      <c r="DZ271" s="631"/>
      <c r="EA271" s="330"/>
      <c r="EC271" s="66"/>
      <c r="ED271" s="68"/>
      <c r="EH271" s="66"/>
      <c r="EI271" s="66"/>
      <c r="EJ271" s="68"/>
      <c r="EK271" s="252"/>
      <c r="EL271" s="252"/>
      <c r="EM271" s="252"/>
      <c r="EO271" s="252"/>
      <c r="EP271" s="252"/>
      <c r="EQ271" s="252"/>
      <c r="ES271" s="252"/>
      <c r="ET271" s="252"/>
      <c r="EU271" s="252"/>
      <c r="EW271" s="252"/>
      <c r="EX271" s="252"/>
      <c r="EY271" s="252"/>
      <c r="FA271" s="250"/>
      <c r="FB271" s="250"/>
      <c r="FC271" s="250"/>
      <c r="FD271" s="250"/>
      <c r="FE271" s="250"/>
      <c r="FF271" s="250"/>
      <c r="FG271" s="250"/>
      <c r="FH271" s="424"/>
      <c r="FI271" s="250"/>
      <c r="FJ271" s="250"/>
      <c r="FK271" s="250"/>
      <c r="FL271" s="256"/>
      <c r="FM271" s="250"/>
      <c r="FN271" s="256"/>
      <c r="FO271" s="250"/>
      <c r="FP271" s="256"/>
      <c r="FQ271" s="250"/>
      <c r="FR271" s="256"/>
      <c r="FS271" s="250"/>
      <c r="FT271" s="256"/>
      <c r="FU271" s="256"/>
      <c r="FV271" s="256"/>
      <c r="FW271" s="250"/>
      <c r="FX271" s="424"/>
      <c r="FY271" s="251"/>
      <c r="GC271" s="252"/>
      <c r="GF271" s="252"/>
      <c r="GG271" s="252"/>
      <c r="GH271" s="252"/>
      <c r="GI271" s="252"/>
      <c r="GJ271" s="252"/>
      <c r="GK271" s="251"/>
      <c r="GL271" s="250"/>
      <c r="GM271" s="250"/>
      <c r="GN271" s="250"/>
      <c r="GO271" s="250"/>
      <c r="GP271" s="250"/>
      <c r="GQ271" s="250"/>
      <c r="GR271" s="250"/>
      <c r="GS271" s="250"/>
      <c r="GT271" s="250"/>
      <c r="GU271" s="251"/>
      <c r="GV271" s="250"/>
      <c r="GW271" s="250"/>
      <c r="GX271" s="250"/>
      <c r="GY271" s="250"/>
      <c r="GZ271" s="250"/>
      <c r="HA271" s="250"/>
      <c r="HB271" s="250"/>
      <c r="HC271" s="250"/>
      <c r="HD271" s="250"/>
      <c r="HE271" s="250"/>
      <c r="HF271" s="250"/>
      <c r="HG271" s="250"/>
      <c r="HH271" s="251"/>
      <c r="HI271" s="424"/>
      <c r="HJ271" s="255"/>
      <c r="HK271" s="255"/>
      <c r="HL271" s="250"/>
      <c r="HM271" s="255"/>
      <c r="HN271" s="255"/>
      <c r="HO271" s="255"/>
      <c r="HP271" s="250"/>
      <c r="HQ271" s="250"/>
      <c r="HR271" s="250"/>
      <c r="HS271" s="250"/>
      <c r="HT271" s="250"/>
      <c r="HU271" s="251"/>
      <c r="HX271" s="252"/>
      <c r="HY271" s="252"/>
      <c r="HZ271" s="252"/>
      <c r="ID271" s="252"/>
      <c r="IE271" s="252"/>
      <c r="IF271" s="252"/>
      <c r="IJ271" s="252"/>
      <c r="IK271" s="252"/>
      <c r="IL271" s="252"/>
      <c r="IP271" s="252"/>
      <c r="IQ271" s="252"/>
      <c r="IR271" s="252"/>
      <c r="IY271" s="66"/>
      <c r="IZ271" s="66"/>
      <c r="JA271" s="66"/>
      <c r="JB271" s="250"/>
      <c r="JC271" s="66"/>
      <c r="JD271" s="66"/>
      <c r="JE271" s="66"/>
      <c r="JF271" s="66"/>
      <c r="JG271" s="66"/>
      <c r="JH271" s="66"/>
      <c r="JI271" s="66"/>
      <c r="JJ271" s="66"/>
      <c r="JK271" s="8"/>
      <c r="JN271" s="252"/>
      <c r="JO271" s="252"/>
      <c r="JP271" s="252"/>
      <c r="JT271" s="252"/>
      <c r="JU271" s="252"/>
      <c r="JV271" s="252"/>
      <c r="JZ271" s="252"/>
      <c r="KA271" s="252"/>
      <c r="KB271" s="252"/>
      <c r="KF271" s="252"/>
      <c r="KG271" s="252"/>
      <c r="KH271" s="252"/>
      <c r="KO271" s="66"/>
      <c r="KP271" s="66"/>
      <c r="KQ271" s="66"/>
      <c r="KR271" s="66"/>
      <c r="KS271" s="66"/>
      <c r="KT271" s="66"/>
      <c r="KU271" s="66"/>
      <c r="KV271" s="66"/>
      <c r="KW271" s="66"/>
      <c r="KX271" s="66"/>
      <c r="KY271" s="66"/>
      <c r="KZ271" s="66"/>
      <c r="LA271" s="8"/>
      <c r="LD271" s="252"/>
      <c r="LE271" s="252"/>
      <c r="LF271" s="252"/>
      <c r="LJ271" s="252"/>
      <c r="LK271" s="252"/>
      <c r="LN271" s="252"/>
      <c r="LO271" s="252"/>
      <c r="LP271" s="252"/>
      <c r="LT271" s="271"/>
      <c r="LU271" s="250"/>
      <c r="LV271" s="250"/>
      <c r="LW271" s="250"/>
      <c r="LX271" s="250"/>
      <c r="LY271" s="250"/>
      <c r="LZ271" s="250"/>
      <c r="MA271" s="250"/>
      <c r="MB271" s="250"/>
      <c r="MC271" s="250"/>
      <c r="MD271" s="250"/>
      <c r="ME271" s="250"/>
      <c r="MF271" s="250"/>
      <c r="MG271" s="250"/>
      <c r="MH271" s="250"/>
      <c r="MI271" s="250"/>
      <c r="MJ271" s="250"/>
      <c r="MK271" s="424"/>
      <c r="ML271" s="640"/>
      <c r="MM271" s="251"/>
      <c r="MN271" s="252"/>
      <c r="MO271" s="252"/>
      <c r="MP271" s="252"/>
      <c r="MQ271" s="252"/>
      <c r="MR271" s="252"/>
      <c r="MS271" s="252"/>
      <c r="MT271" s="252"/>
      <c r="MU271" s="252"/>
      <c r="MV271" s="252"/>
      <c r="MW271" s="252"/>
      <c r="MX271" s="252"/>
      <c r="MY271" s="252"/>
      <c r="MZ271" s="252"/>
      <c r="NA271" s="252"/>
      <c r="NB271" s="252"/>
      <c r="NC271" s="251"/>
      <c r="ND271" s="250"/>
      <c r="NE271" s="250"/>
      <c r="NF271" s="250"/>
      <c r="NG271" s="250"/>
      <c r="NH271" s="250"/>
      <c r="NI271" s="250"/>
      <c r="NJ271" s="250"/>
      <c r="NK271" s="250"/>
      <c r="NL271" s="250"/>
      <c r="NM271" s="250"/>
      <c r="NN271" s="250"/>
      <c r="NO271" s="250"/>
      <c r="NP271" s="250"/>
      <c r="NQ271" s="250"/>
      <c r="NR271" s="250"/>
      <c r="NS271" s="250"/>
      <c r="NT271" s="250"/>
      <c r="NU271" s="250"/>
      <c r="NV271" s="250"/>
      <c r="NW271" s="251"/>
      <c r="OT271" s="8"/>
      <c r="QG271" s="8"/>
      <c r="RT271" s="8"/>
    </row>
    <row r="272" spans="1:488" s="282" customFormat="1" x14ac:dyDescent="0.25">
      <c r="A272" s="66"/>
      <c r="B272" s="8"/>
      <c r="C272" s="66"/>
      <c r="D272" s="66"/>
      <c r="E272" s="66"/>
      <c r="F272" s="66"/>
      <c r="G272" s="66"/>
      <c r="H272" s="66"/>
      <c r="I272" s="66"/>
      <c r="J272" s="66"/>
      <c r="K272" s="66"/>
      <c r="L272" s="66"/>
      <c r="M272" s="66"/>
      <c r="N272" s="66"/>
      <c r="O272" s="66"/>
      <c r="P272" s="66"/>
      <c r="Q272" s="66"/>
      <c r="R272" s="66"/>
      <c r="S272" s="66"/>
      <c r="T272" s="68"/>
      <c r="AC272" s="66"/>
      <c r="AD272" s="66"/>
      <c r="AE272" s="68"/>
      <c r="AN272" s="66"/>
      <c r="AO272" s="66"/>
      <c r="AP272" s="68"/>
      <c r="AW272" s="66"/>
      <c r="AX272" s="68"/>
      <c r="BD272" s="66"/>
      <c r="BE272" s="68"/>
      <c r="BF272" s="66"/>
      <c r="BG272" s="66"/>
      <c r="BH272" s="66"/>
      <c r="BI272" s="66"/>
      <c r="BJ272" s="66"/>
      <c r="BK272" s="66"/>
      <c r="BL272" s="68"/>
      <c r="BO272" s="66"/>
      <c r="BP272" s="68"/>
      <c r="BV272" s="66"/>
      <c r="BW272" s="68"/>
      <c r="CB272" s="8"/>
      <c r="CH272" s="8"/>
      <c r="CK272" s="299"/>
      <c r="CL272" s="299"/>
      <c r="CM272" s="66"/>
      <c r="CN272" s="66"/>
      <c r="CO272" s="68"/>
      <c r="CR272" s="8"/>
      <c r="CX272" s="66"/>
      <c r="CY272" s="532"/>
      <c r="DE272" s="66"/>
      <c r="DF272" s="66"/>
      <c r="DG272" s="68"/>
      <c r="DH272" s="68"/>
      <c r="DK272" s="66"/>
      <c r="DL272" s="66"/>
      <c r="DM272" s="66"/>
      <c r="DN272" s="66"/>
      <c r="DO272" s="66"/>
      <c r="DP272" s="66"/>
      <c r="DQ272" s="66"/>
      <c r="DR272" s="66"/>
      <c r="DS272" s="66"/>
      <c r="DT272" s="68"/>
      <c r="DU272" s="66"/>
      <c r="DV272" s="296"/>
      <c r="DW272" s="330"/>
      <c r="DX272" s="631"/>
      <c r="DY272" s="631"/>
      <c r="DZ272" s="631"/>
      <c r="EA272" s="330"/>
      <c r="EC272" s="66"/>
      <c r="ED272" s="68"/>
      <c r="EH272" s="66"/>
      <c r="EI272" s="66"/>
      <c r="EJ272" s="68"/>
      <c r="EK272" s="252"/>
      <c r="EL272" s="252"/>
      <c r="EM272" s="252"/>
      <c r="EO272" s="252"/>
      <c r="EP272" s="252"/>
      <c r="EQ272" s="252"/>
      <c r="ES272" s="252"/>
      <c r="ET272" s="252"/>
      <c r="EU272" s="252"/>
      <c r="EW272" s="252"/>
      <c r="EX272" s="252"/>
      <c r="EY272" s="252"/>
      <c r="FA272" s="250"/>
      <c r="FB272" s="250"/>
      <c r="FC272" s="250"/>
      <c r="FD272" s="250"/>
      <c r="FE272" s="250"/>
      <c r="FF272" s="250"/>
      <c r="FG272" s="250"/>
      <c r="FH272" s="424"/>
      <c r="FI272" s="250"/>
      <c r="FJ272" s="250"/>
      <c r="FK272" s="250"/>
      <c r="FL272" s="256"/>
      <c r="FM272" s="250"/>
      <c r="FN272" s="256"/>
      <c r="FO272" s="250"/>
      <c r="FP272" s="256"/>
      <c r="FQ272" s="250"/>
      <c r="FR272" s="256"/>
      <c r="FS272" s="250"/>
      <c r="FT272" s="256"/>
      <c r="FU272" s="256"/>
      <c r="FV272" s="256"/>
      <c r="FW272" s="250"/>
      <c r="FX272" s="424"/>
      <c r="FY272" s="251"/>
      <c r="GC272" s="252"/>
      <c r="GF272" s="252"/>
      <c r="GG272" s="252"/>
      <c r="GH272" s="252"/>
      <c r="GI272" s="252"/>
      <c r="GJ272" s="252"/>
      <c r="GK272" s="251"/>
      <c r="GL272" s="250"/>
      <c r="GM272" s="250"/>
      <c r="GN272" s="250"/>
      <c r="GO272" s="250"/>
      <c r="GP272" s="250"/>
      <c r="GQ272" s="250"/>
      <c r="GR272" s="250"/>
      <c r="GS272" s="250"/>
      <c r="GT272" s="250"/>
      <c r="GU272" s="251"/>
      <c r="GV272" s="250"/>
      <c r="GW272" s="250"/>
      <c r="GX272" s="250"/>
      <c r="GY272" s="250"/>
      <c r="GZ272" s="250"/>
      <c r="HA272" s="250"/>
      <c r="HB272" s="250"/>
      <c r="HC272" s="250"/>
      <c r="HD272" s="250"/>
      <c r="HE272" s="250"/>
      <c r="HF272" s="250"/>
      <c r="HG272" s="250"/>
      <c r="HH272" s="251"/>
      <c r="HI272" s="424"/>
      <c r="HJ272" s="255"/>
      <c r="HK272" s="255"/>
      <c r="HL272" s="250"/>
      <c r="HM272" s="255"/>
      <c r="HN272" s="255"/>
      <c r="HO272" s="255"/>
      <c r="HP272" s="250"/>
      <c r="HQ272" s="250"/>
      <c r="HR272" s="250"/>
      <c r="HS272" s="250"/>
      <c r="HT272" s="250"/>
      <c r="HU272" s="251"/>
      <c r="HX272" s="252"/>
      <c r="HY272" s="252"/>
      <c r="HZ272" s="252"/>
      <c r="ID272" s="252"/>
      <c r="IE272" s="252"/>
      <c r="IF272" s="252"/>
      <c r="IJ272" s="252"/>
      <c r="IK272" s="252"/>
      <c r="IL272" s="252"/>
      <c r="IP272" s="252"/>
      <c r="IQ272" s="252"/>
      <c r="IR272" s="252"/>
      <c r="IY272" s="66"/>
      <c r="IZ272" s="66"/>
      <c r="JA272" s="66"/>
      <c r="JB272" s="250"/>
      <c r="JC272" s="66"/>
      <c r="JD272" s="66"/>
      <c r="JE272" s="66"/>
      <c r="JF272" s="66"/>
      <c r="JG272" s="66"/>
      <c r="JH272" s="66"/>
      <c r="JI272" s="66"/>
      <c r="JJ272" s="66"/>
      <c r="JK272" s="8"/>
      <c r="JN272" s="252"/>
      <c r="JO272" s="252"/>
      <c r="JP272" s="252"/>
      <c r="JT272" s="252"/>
      <c r="JU272" s="252"/>
      <c r="JV272" s="252"/>
      <c r="JZ272" s="252"/>
      <c r="KA272" s="252"/>
      <c r="KB272" s="252"/>
      <c r="KF272" s="252"/>
      <c r="KG272" s="252"/>
      <c r="KH272" s="252"/>
      <c r="KO272" s="66"/>
      <c r="KP272" s="66"/>
      <c r="KQ272" s="66"/>
      <c r="KR272" s="66"/>
      <c r="KS272" s="66"/>
      <c r="KT272" s="66"/>
      <c r="KU272" s="66"/>
      <c r="KV272" s="66"/>
      <c r="KW272" s="66"/>
      <c r="KX272" s="66"/>
      <c r="KY272" s="66"/>
      <c r="KZ272" s="66"/>
      <c r="LA272" s="8"/>
      <c r="LD272" s="252"/>
      <c r="LE272" s="252"/>
      <c r="LF272" s="252"/>
      <c r="LJ272" s="252"/>
      <c r="LK272" s="252"/>
      <c r="LN272" s="252"/>
      <c r="LO272" s="252"/>
      <c r="LP272" s="252"/>
      <c r="LT272" s="271"/>
      <c r="LU272" s="250"/>
      <c r="LV272" s="250"/>
      <c r="LW272" s="250"/>
      <c r="LX272" s="250"/>
      <c r="LY272" s="250"/>
      <c r="LZ272" s="250"/>
      <c r="MA272" s="250"/>
      <c r="MB272" s="250"/>
      <c r="MC272" s="250"/>
      <c r="MD272" s="250"/>
      <c r="ME272" s="250"/>
      <c r="MF272" s="250"/>
      <c r="MG272" s="250"/>
      <c r="MH272" s="250"/>
      <c r="MI272" s="250"/>
      <c r="MJ272" s="250"/>
      <c r="MK272" s="424"/>
      <c r="ML272" s="640"/>
      <c r="MM272" s="251"/>
      <c r="MN272" s="252"/>
      <c r="MO272" s="252"/>
      <c r="MP272" s="252"/>
      <c r="MQ272" s="252"/>
      <c r="MR272" s="252"/>
      <c r="MS272" s="252"/>
      <c r="MT272" s="252"/>
      <c r="MU272" s="252"/>
      <c r="MV272" s="252"/>
      <c r="MW272" s="252"/>
      <c r="MX272" s="252"/>
      <c r="MY272" s="252"/>
      <c r="MZ272" s="252"/>
      <c r="NA272" s="252"/>
      <c r="NB272" s="252"/>
      <c r="NC272" s="251"/>
      <c r="ND272" s="250"/>
      <c r="NE272" s="250"/>
      <c r="NF272" s="250"/>
      <c r="NG272" s="250"/>
      <c r="NH272" s="250"/>
      <c r="NI272" s="250"/>
      <c r="NJ272" s="250"/>
      <c r="NK272" s="250"/>
      <c r="NL272" s="250"/>
      <c r="NM272" s="250"/>
      <c r="NN272" s="250"/>
      <c r="NO272" s="250"/>
      <c r="NP272" s="250"/>
      <c r="NQ272" s="250"/>
      <c r="NR272" s="250"/>
      <c r="NS272" s="250"/>
      <c r="NT272" s="250"/>
      <c r="NU272" s="250"/>
      <c r="NV272" s="250"/>
      <c r="NW272" s="251"/>
      <c r="OT272" s="8"/>
      <c r="QG272" s="8"/>
      <c r="RT272" s="8"/>
    </row>
    <row r="273" spans="1:488" s="282" customFormat="1" x14ac:dyDescent="0.25">
      <c r="A273" s="66"/>
      <c r="B273" s="8"/>
      <c r="C273" s="66"/>
      <c r="D273" s="66"/>
      <c r="E273" s="66"/>
      <c r="F273" s="66"/>
      <c r="G273" s="66"/>
      <c r="H273" s="66"/>
      <c r="I273" s="66"/>
      <c r="J273" s="66"/>
      <c r="K273" s="66"/>
      <c r="L273" s="66"/>
      <c r="M273" s="66"/>
      <c r="N273" s="66"/>
      <c r="O273" s="66"/>
      <c r="P273" s="66"/>
      <c r="Q273" s="66"/>
      <c r="R273" s="66"/>
      <c r="S273" s="66"/>
      <c r="T273" s="68"/>
      <c r="AC273" s="66"/>
      <c r="AD273" s="66"/>
      <c r="AE273" s="68"/>
      <c r="AN273" s="66"/>
      <c r="AO273" s="66"/>
      <c r="AP273" s="68"/>
      <c r="AW273" s="66"/>
      <c r="AX273" s="68"/>
      <c r="BD273" s="66"/>
      <c r="BE273" s="68"/>
      <c r="BF273" s="66"/>
      <c r="BG273" s="66"/>
      <c r="BH273" s="66"/>
      <c r="BI273" s="66"/>
      <c r="BJ273" s="66"/>
      <c r="BK273" s="66"/>
      <c r="BL273" s="68"/>
      <c r="BO273" s="66"/>
      <c r="BP273" s="68"/>
      <c r="BV273" s="66"/>
      <c r="BW273" s="68"/>
      <c r="CB273" s="8"/>
      <c r="CH273" s="8"/>
      <c r="CK273" s="299"/>
      <c r="CL273" s="299"/>
      <c r="CM273" s="66"/>
      <c r="CN273" s="66"/>
      <c r="CO273" s="68"/>
      <c r="CR273" s="8"/>
      <c r="CX273" s="66"/>
      <c r="CY273" s="532"/>
      <c r="DE273" s="66"/>
      <c r="DF273" s="66"/>
      <c r="DG273" s="68"/>
      <c r="DH273" s="68"/>
      <c r="DK273" s="66"/>
      <c r="DL273" s="66"/>
      <c r="DM273" s="66"/>
      <c r="DN273" s="66"/>
      <c r="DO273" s="66"/>
      <c r="DP273" s="66"/>
      <c r="DQ273" s="66"/>
      <c r="DR273" s="66"/>
      <c r="DS273" s="66"/>
      <c r="DT273" s="68"/>
      <c r="DU273" s="66"/>
      <c r="DV273" s="296"/>
      <c r="DW273" s="330"/>
      <c r="DX273" s="631"/>
      <c r="DY273" s="631"/>
      <c r="DZ273" s="631"/>
      <c r="EA273" s="330"/>
      <c r="EC273" s="66"/>
      <c r="ED273" s="68"/>
      <c r="EH273" s="66"/>
      <c r="EI273" s="66"/>
      <c r="EJ273" s="68"/>
      <c r="EK273" s="252"/>
      <c r="EL273" s="252"/>
      <c r="EM273" s="252"/>
      <c r="EO273" s="252"/>
      <c r="EP273" s="252"/>
      <c r="EQ273" s="252"/>
      <c r="ES273" s="252"/>
      <c r="ET273" s="252"/>
      <c r="EU273" s="252"/>
      <c r="EW273" s="252"/>
      <c r="EX273" s="252"/>
      <c r="EY273" s="252"/>
      <c r="FA273" s="250"/>
      <c r="FB273" s="250"/>
      <c r="FC273" s="250"/>
      <c r="FD273" s="250"/>
      <c r="FE273" s="250"/>
      <c r="FF273" s="250"/>
      <c r="FG273" s="250"/>
      <c r="FH273" s="424"/>
      <c r="FI273" s="250"/>
      <c r="FJ273" s="250"/>
      <c r="FK273" s="250"/>
      <c r="FL273" s="256"/>
      <c r="FM273" s="250"/>
      <c r="FN273" s="256"/>
      <c r="FO273" s="250"/>
      <c r="FP273" s="256"/>
      <c r="FQ273" s="250"/>
      <c r="FR273" s="256"/>
      <c r="FS273" s="250"/>
      <c r="FT273" s="256"/>
      <c r="FU273" s="256"/>
      <c r="FV273" s="256"/>
      <c r="FW273" s="250"/>
      <c r="FX273" s="424"/>
      <c r="FY273" s="251"/>
      <c r="GC273" s="252"/>
      <c r="GF273" s="252"/>
      <c r="GG273" s="252"/>
      <c r="GH273" s="252"/>
      <c r="GI273" s="252"/>
      <c r="GJ273" s="252"/>
      <c r="GK273" s="251"/>
      <c r="GL273" s="250"/>
      <c r="GM273" s="250"/>
      <c r="GN273" s="250"/>
      <c r="GO273" s="250"/>
      <c r="GP273" s="250"/>
      <c r="GQ273" s="250"/>
      <c r="GR273" s="250"/>
      <c r="GS273" s="250"/>
      <c r="GT273" s="250"/>
      <c r="GU273" s="251"/>
      <c r="GV273" s="250"/>
      <c r="GW273" s="250"/>
      <c r="GX273" s="250"/>
      <c r="GY273" s="250"/>
      <c r="GZ273" s="250"/>
      <c r="HA273" s="250"/>
      <c r="HB273" s="250"/>
      <c r="HC273" s="250"/>
      <c r="HD273" s="250"/>
      <c r="HE273" s="250"/>
      <c r="HF273" s="250"/>
      <c r="HG273" s="250"/>
      <c r="HH273" s="251"/>
      <c r="HI273" s="424"/>
      <c r="HJ273" s="255"/>
      <c r="HK273" s="255"/>
      <c r="HL273" s="250"/>
      <c r="HM273" s="255"/>
      <c r="HN273" s="255"/>
      <c r="HO273" s="255"/>
      <c r="HP273" s="250"/>
      <c r="HQ273" s="250"/>
      <c r="HR273" s="250"/>
      <c r="HS273" s="250"/>
      <c r="HT273" s="250"/>
      <c r="HU273" s="251"/>
      <c r="HX273" s="252"/>
      <c r="HY273" s="252"/>
      <c r="HZ273" s="252"/>
      <c r="ID273" s="252"/>
      <c r="IE273" s="252"/>
      <c r="IF273" s="252"/>
      <c r="IJ273" s="252"/>
      <c r="IK273" s="252"/>
      <c r="IL273" s="252"/>
      <c r="IP273" s="252"/>
      <c r="IQ273" s="252"/>
      <c r="IR273" s="252"/>
      <c r="IY273" s="66"/>
      <c r="IZ273" s="66"/>
      <c r="JA273" s="66"/>
      <c r="JB273" s="250"/>
      <c r="JC273" s="66"/>
      <c r="JD273" s="66"/>
      <c r="JE273" s="66"/>
      <c r="JF273" s="66"/>
      <c r="JG273" s="66"/>
      <c r="JH273" s="66"/>
      <c r="JI273" s="66"/>
      <c r="JJ273" s="66"/>
      <c r="JK273" s="8"/>
      <c r="JN273" s="252"/>
      <c r="JO273" s="252"/>
      <c r="JP273" s="252"/>
      <c r="JT273" s="252"/>
      <c r="JU273" s="252"/>
      <c r="JV273" s="252"/>
      <c r="JZ273" s="252"/>
      <c r="KA273" s="252"/>
      <c r="KB273" s="252"/>
      <c r="KF273" s="252"/>
      <c r="KG273" s="252"/>
      <c r="KH273" s="252"/>
      <c r="KO273" s="66"/>
      <c r="KP273" s="66"/>
      <c r="KQ273" s="66"/>
      <c r="KR273" s="66"/>
      <c r="KS273" s="66"/>
      <c r="KT273" s="66"/>
      <c r="KU273" s="66"/>
      <c r="KV273" s="66"/>
      <c r="KW273" s="66"/>
      <c r="KX273" s="66"/>
      <c r="KY273" s="66"/>
      <c r="KZ273" s="66"/>
      <c r="LA273" s="8"/>
      <c r="LD273" s="252"/>
      <c r="LE273" s="252"/>
      <c r="LF273" s="252"/>
      <c r="LJ273" s="252"/>
      <c r="LK273" s="252"/>
      <c r="LN273" s="252"/>
      <c r="LO273" s="252"/>
      <c r="LP273" s="252"/>
      <c r="LT273" s="271"/>
      <c r="LU273" s="250"/>
      <c r="LV273" s="250"/>
      <c r="LW273" s="250"/>
      <c r="LX273" s="250"/>
      <c r="LY273" s="250"/>
      <c r="LZ273" s="250"/>
      <c r="MA273" s="250"/>
      <c r="MB273" s="250"/>
      <c r="MC273" s="250"/>
      <c r="MD273" s="250"/>
      <c r="ME273" s="250"/>
      <c r="MF273" s="250"/>
      <c r="MG273" s="250"/>
      <c r="MH273" s="250"/>
      <c r="MI273" s="250"/>
      <c r="MJ273" s="250"/>
      <c r="MK273" s="424"/>
      <c r="ML273" s="640"/>
      <c r="MM273" s="251"/>
      <c r="MN273" s="252"/>
      <c r="MO273" s="252"/>
      <c r="MP273" s="252"/>
      <c r="MQ273" s="252"/>
      <c r="MR273" s="252"/>
      <c r="MS273" s="252"/>
      <c r="MT273" s="252"/>
      <c r="MU273" s="252"/>
      <c r="MV273" s="252"/>
      <c r="MW273" s="252"/>
      <c r="MX273" s="252"/>
      <c r="MY273" s="252"/>
      <c r="MZ273" s="252"/>
      <c r="NA273" s="252"/>
      <c r="NB273" s="252"/>
      <c r="NC273" s="251"/>
      <c r="ND273" s="250"/>
      <c r="NE273" s="250"/>
      <c r="NF273" s="250"/>
      <c r="NG273" s="250"/>
      <c r="NH273" s="250"/>
      <c r="NI273" s="250"/>
      <c r="NJ273" s="250"/>
      <c r="NK273" s="250"/>
      <c r="NL273" s="250"/>
      <c r="NM273" s="250"/>
      <c r="NN273" s="250"/>
      <c r="NO273" s="250"/>
      <c r="NP273" s="250"/>
      <c r="NQ273" s="250"/>
      <c r="NR273" s="250"/>
      <c r="NS273" s="250"/>
      <c r="NT273" s="250"/>
      <c r="NU273" s="250"/>
      <c r="NV273" s="250"/>
      <c r="NW273" s="251"/>
      <c r="OT273" s="8"/>
      <c r="QG273" s="8"/>
      <c r="RT273" s="8"/>
    </row>
    <row r="274" spans="1:488" s="282" customFormat="1" x14ac:dyDescent="0.25">
      <c r="A274" s="66"/>
      <c r="B274" s="8"/>
      <c r="C274" s="66"/>
      <c r="D274" s="66"/>
      <c r="E274" s="66"/>
      <c r="F274" s="66"/>
      <c r="G274" s="66"/>
      <c r="H274" s="66"/>
      <c r="I274" s="66"/>
      <c r="J274" s="66"/>
      <c r="K274" s="66"/>
      <c r="L274" s="66"/>
      <c r="M274" s="66"/>
      <c r="N274" s="66"/>
      <c r="O274" s="66"/>
      <c r="P274" s="66"/>
      <c r="Q274" s="66"/>
      <c r="R274" s="66"/>
      <c r="S274" s="66"/>
      <c r="T274" s="68"/>
      <c r="AC274" s="66"/>
      <c r="AD274" s="66"/>
      <c r="AE274" s="68"/>
      <c r="AN274" s="66"/>
      <c r="AO274" s="66"/>
      <c r="AP274" s="68"/>
      <c r="AW274" s="66"/>
      <c r="AX274" s="68"/>
      <c r="BD274" s="66"/>
      <c r="BE274" s="68"/>
      <c r="BF274" s="66"/>
      <c r="BG274" s="66"/>
      <c r="BH274" s="66"/>
      <c r="BI274" s="66"/>
      <c r="BJ274" s="66"/>
      <c r="BK274" s="66"/>
      <c r="BL274" s="68"/>
      <c r="BO274" s="66"/>
      <c r="BP274" s="68"/>
      <c r="BV274" s="66"/>
      <c r="BW274" s="68"/>
      <c r="CB274" s="8"/>
      <c r="CH274" s="8"/>
      <c r="CK274" s="299"/>
      <c r="CL274" s="299"/>
      <c r="CM274" s="66"/>
      <c r="CN274" s="66"/>
      <c r="CO274" s="68"/>
      <c r="CR274" s="8"/>
      <c r="CX274" s="66"/>
      <c r="CY274" s="532"/>
      <c r="DE274" s="66"/>
      <c r="DF274" s="66"/>
      <c r="DG274" s="68"/>
      <c r="DH274" s="68"/>
      <c r="DK274" s="66"/>
      <c r="DL274" s="66"/>
      <c r="DM274" s="66"/>
      <c r="DN274" s="66"/>
      <c r="DO274" s="66"/>
      <c r="DP274" s="66"/>
      <c r="DQ274" s="66"/>
      <c r="DR274" s="66"/>
      <c r="DS274" s="66"/>
      <c r="DT274" s="68"/>
      <c r="DU274" s="66"/>
      <c r="DV274" s="296"/>
      <c r="DW274" s="330"/>
      <c r="DX274" s="631"/>
      <c r="DY274" s="631"/>
      <c r="DZ274" s="631"/>
      <c r="EA274" s="330"/>
      <c r="EC274" s="66"/>
      <c r="ED274" s="68"/>
      <c r="EH274" s="66"/>
      <c r="EI274" s="66"/>
      <c r="EJ274" s="68"/>
      <c r="EK274" s="252"/>
      <c r="EL274" s="252"/>
      <c r="EM274" s="252"/>
      <c r="EO274" s="252"/>
      <c r="EP274" s="252"/>
      <c r="EQ274" s="252"/>
      <c r="ES274" s="252"/>
      <c r="ET274" s="252"/>
      <c r="EU274" s="252"/>
      <c r="EW274" s="252"/>
      <c r="EX274" s="252"/>
      <c r="EY274" s="252"/>
      <c r="FA274" s="250"/>
      <c r="FB274" s="250"/>
      <c r="FC274" s="250"/>
      <c r="FD274" s="250"/>
      <c r="FE274" s="250"/>
      <c r="FF274" s="250"/>
      <c r="FG274" s="250"/>
      <c r="FH274" s="424"/>
      <c r="FI274" s="250"/>
      <c r="FJ274" s="250"/>
      <c r="FK274" s="250"/>
      <c r="FL274" s="256"/>
      <c r="FM274" s="250"/>
      <c r="FN274" s="256"/>
      <c r="FO274" s="250"/>
      <c r="FP274" s="256"/>
      <c r="FQ274" s="250"/>
      <c r="FR274" s="256"/>
      <c r="FS274" s="250"/>
      <c r="FT274" s="256"/>
      <c r="FU274" s="256"/>
      <c r="FV274" s="256"/>
      <c r="FW274" s="250"/>
      <c r="FX274" s="424"/>
      <c r="FY274" s="251"/>
      <c r="GC274" s="252"/>
      <c r="GF274" s="252"/>
      <c r="GG274" s="252"/>
      <c r="GH274" s="252"/>
      <c r="GI274" s="252"/>
      <c r="GJ274" s="252"/>
      <c r="GK274" s="251"/>
      <c r="GL274" s="250"/>
      <c r="GM274" s="250"/>
      <c r="GN274" s="250"/>
      <c r="GO274" s="250"/>
      <c r="GP274" s="250"/>
      <c r="GQ274" s="250"/>
      <c r="GR274" s="250"/>
      <c r="GS274" s="250"/>
      <c r="GT274" s="250"/>
      <c r="GU274" s="251"/>
      <c r="GV274" s="250"/>
      <c r="GW274" s="250"/>
      <c r="GX274" s="250"/>
      <c r="GY274" s="250"/>
      <c r="GZ274" s="250"/>
      <c r="HA274" s="250"/>
      <c r="HB274" s="250"/>
      <c r="HC274" s="250"/>
      <c r="HD274" s="250"/>
      <c r="HE274" s="250"/>
      <c r="HF274" s="250"/>
      <c r="HG274" s="250"/>
      <c r="HH274" s="251"/>
      <c r="HI274" s="424"/>
      <c r="HJ274" s="255"/>
      <c r="HK274" s="255"/>
      <c r="HL274" s="250"/>
      <c r="HM274" s="255"/>
      <c r="HN274" s="255"/>
      <c r="HO274" s="255"/>
      <c r="HP274" s="250"/>
      <c r="HQ274" s="250"/>
      <c r="HR274" s="250"/>
      <c r="HS274" s="250"/>
      <c r="HT274" s="250"/>
      <c r="HU274" s="251"/>
      <c r="HX274" s="252"/>
      <c r="HY274" s="252"/>
      <c r="HZ274" s="252"/>
      <c r="ID274" s="252"/>
      <c r="IE274" s="252"/>
      <c r="IF274" s="252"/>
      <c r="IJ274" s="252"/>
      <c r="IK274" s="252"/>
      <c r="IL274" s="252"/>
      <c r="IP274" s="252"/>
      <c r="IQ274" s="252"/>
      <c r="IR274" s="252"/>
      <c r="IY274" s="66"/>
      <c r="IZ274" s="66"/>
      <c r="JA274" s="66"/>
      <c r="JB274" s="250"/>
      <c r="JC274" s="66"/>
      <c r="JD274" s="66"/>
      <c r="JE274" s="66"/>
      <c r="JF274" s="66"/>
      <c r="JG274" s="66"/>
      <c r="JH274" s="66"/>
      <c r="JI274" s="66"/>
      <c r="JJ274" s="66"/>
      <c r="JK274" s="8"/>
      <c r="JN274" s="252"/>
      <c r="JO274" s="252"/>
      <c r="JP274" s="252"/>
      <c r="JT274" s="252"/>
      <c r="JU274" s="252"/>
      <c r="JV274" s="252"/>
      <c r="JZ274" s="252"/>
      <c r="KA274" s="252"/>
      <c r="KB274" s="252"/>
      <c r="KF274" s="252"/>
      <c r="KG274" s="252"/>
      <c r="KH274" s="252"/>
      <c r="KO274" s="66"/>
      <c r="KP274" s="66"/>
      <c r="KQ274" s="66"/>
      <c r="KR274" s="66"/>
      <c r="KS274" s="66"/>
      <c r="KT274" s="66"/>
      <c r="KU274" s="66"/>
      <c r="KV274" s="66"/>
      <c r="KW274" s="66"/>
      <c r="KX274" s="66"/>
      <c r="KY274" s="66"/>
      <c r="KZ274" s="66"/>
      <c r="LA274" s="8"/>
      <c r="LD274" s="252"/>
      <c r="LE274" s="252"/>
      <c r="LF274" s="252"/>
      <c r="LJ274" s="252"/>
      <c r="LK274" s="252"/>
      <c r="LN274" s="252"/>
      <c r="LO274" s="252"/>
      <c r="LP274" s="252"/>
      <c r="LT274" s="271"/>
      <c r="LU274" s="250"/>
      <c r="LV274" s="250"/>
      <c r="LW274" s="250"/>
      <c r="LX274" s="250"/>
      <c r="LY274" s="250"/>
      <c r="LZ274" s="250"/>
      <c r="MA274" s="250"/>
      <c r="MB274" s="250"/>
      <c r="MC274" s="250"/>
      <c r="MD274" s="250"/>
      <c r="ME274" s="250"/>
      <c r="MF274" s="250"/>
      <c r="MG274" s="250"/>
      <c r="MH274" s="250"/>
      <c r="MI274" s="250"/>
      <c r="MJ274" s="250"/>
      <c r="MK274" s="424"/>
      <c r="ML274" s="640"/>
      <c r="MM274" s="251"/>
      <c r="MN274" s="252"/>
      <c r="MO274" s="252"/>
      <c r="MP274" s="252"/>
      <c r="MQ274" s="252"/>
      <c r="MR274" s="252"/>
      <c r="MS274" s="252"/>
      <c r="MT274" s="252"/>
      <c r="MU274" s="252"/>
      <c r="MV274" s="252"/>
      <c r="MW274" s="252"/>
      <c r="MX274" s="252"/>
      <c r="MY274" s="252"/>
      <c r="MZ274" s="252"/>
      <c r="NA274" s="252"/>
      <c r="NB274" s="252"/>
      <c r="NC274" s="251"/>
      <c r="ND274" s="250"/>
      <c r="NE274" s="250"/>
      <c r="NF274" s="250"/>
      <c r="NG274" s="250"/>
      <c r="NH274" s="250"/>
      <c r="NI274" s="250"/>
      <c r="NJ274" s="250"/>
      <c r="NK274" s="250"/>
      <c r="NL274" s="250"/>
      <c r="NM274" s="250"/>
      <c r="NN274" s="250"/>
      <c r="NO274" s="250"/>
      <c r="NP274" s="250"/>
      <c r="NQ274" s="250"/>
      <c r="NR274" s="250"/>
      <c r="NS274" s="250"/>
      <c r="NT274" s="250"/>
      <c r="NU274" s="250"/>
      <c r="NV274" s="250"/>
      <c r="NW274" s="251"/>
      <c r="OT274" s="8"/>
      <c r="QG274" s="8"/>
      <c r="RT274" s="8"/>
    </row>
    <row r="275" spans="1:488" s="282" customFormat="1" x14ac:dyDescent="0.25">
      <c r="A275" s="66"/>
      <c r="B275" s="8"/>
      <c r="C275" s="66"/>
      <c r="D275" s="66"/>
      <c r="E275" s="66"/>
      <c r="F275" s="66"/>
      <c r="G275" s="66"/>
      <c r="H275" s="66"/>
      <c r="I275" s="66"/>
      <c r="J275" s="66"/>
      <c r="K275" s="66"/>
      <c r="L275" s="66"/>
      <c r="M275" s="66"/>
      <c r="N275" s="66"/>
      <c r="O275" s="66"/>
      <c r="P275" s="66"/>
      <c r="Q275" s="66"/>
      <c r="R275" s="66"/>
      <c r="S275" s="66"/>
      <c r="T275" s="68"/>
      <c r="AC275" s="66"/>
      <c r="AD275" s="66"/>
      <c r="AE275" s="68"/>
      <c r="AN275" s="66"/>
      <c r="AO275" s="66"/>
      <c r="AP275" s="68"/>
      <c r="AW275" s="66"/>
      <c r="AX275" s="68"/>
      <c r="BD275" s="66"/>
      <c r="BE275" s="68"/>
      <c r="BF275" s="66"/>
      <c r="BG275" s="66"/>
      <c r="BH275" s="66"/>
      <c r="BI275" s="66"/>
      <c r="BJ275" s="66"/>
      <c r="BK275" s="66"/>
      <c r="BL275" s="68"/>
      <c r="BO275" s="66"/>
      <c r="BP275" s="68"/>
      <c r="BV275" s="66"/>
      <c r="BW275" s="68"/>
      <c r="CB275" s="8"/>
      <c r="CH275" s="8"/>
      <c r="CK275" s="299"/>
      <c r="CL275" s="299"/>
      <c r="CM275" s="66"/>
      <c r="CN275" s="66"/>
      <c r="CO275" s="68"/>
      <c r="CR275" s="8"/>
      <c r="CX275" s="66"/>
      <c r="CY275" s="532"/>
      <c r="DE275" s="66"/>
      <c r="DF275" s="66"/>
      <c r="DG275" s="68"/>
      <c r="DH275" s="68"/>
      <c r="DK275" s="66"/>
      <c r="DL275" s="66"/>
      <c r="DM275" s="66"/>
      <c r="DN275" s="66"/>
      <c r="DO275" s="66"/>
      <c r="DP275" s="66"/>
      <c r="DQ275" s="66"/>
      <c r="DR275" s="66"/>
      <c r="DS275" s="66"/>
      <c r="DT275" s="68"/>
      <c r="DU275" s="66"/>
      <c r="DV275" s="296"/>
      <c r="DW275" s="330"/>
      <c r="DX275" s="631"/>
      <c r="DY275" s="631"/>
      <c r="DZ275" s="631"/>
      <c r="EA275" s="330"/>
      <c r="EC275" s="66"/>
      <c r="ED275" s="68"/>
      <c r="EH275" s="66"/>
      <c r="EI275" s="66"/>
      <c r="EJ275" s="68"/>
      <c r="EK275" s="252"/>
      <c r="EL275" s="252"/>
      <c r="EM275" s="252"/>
      <c r="EO275" s="252"/>
      <c r="EP275" s="252"/>
      <c r="EQ275" s="252"/>
      <c r="ES275" s="252"/>
      <c r="ET275" s="252"/>
      <c r="EU275" s="252"/>
      <c r="EW275" s="252"/>
      <c r="EX275" s="252"/>
      <c r="EY275" s="252"/>
      <c r="FA275" s="250"/>
      <c r="FB275" s="250"/>
      <c r="FC275" s="250"/>
      <c r="FD275" s="250"/>
      <c r="FE275" s="250"/>
      <c r="FF275" s="250"/>
      <c r="FG275" s="250"/>
      <c r="FH275" s="424"/>
      <c r="FI275" s="250"/>
      <c r="FJ275" s="250"/>
      <c r="FK275" s="250"/>
      <c r="FL275" s="256"/>
      <c r="FM275" s="250"/>
      <c r="FN275" s="256"/>
      <c r="FO275" s="250"/>
      <c r="FP275" s="256"/>
      <c r="FQ275" s="250"/>
      <c r="FR275" s="256"/>
      <c r="FS275" s="250"/>
      <c r="FT275" s="256"/>
      <c r="FU275" s="256"/>
      <c r="FV275" s="256"/>
      <c r="FW275" s="250"/>
      <c r="FX275" s="424"/>
      <c r="FY275" s="251"/>
      <c r="GC275" s="252"/>
      <c r="GF275" s="252"/>
      <c r="GG275" s="252"/>
      <c r="GH275" s="252"/>
      <c r="GI275" s="252"/>
      <c r="GJ275" s="252"/>
      <c r="GK275" s="251"/>
      <c r="GL275" s="250"/>
      <c r="GM275" s="250"/>
      <c r="GN275" s="250"/>
      <c r="GO275" s="250"/>
      <c r="GP275" s="250"/>
      <c r="GQ275" s="250"/>
      <c r="GR275" s="250"/>
      <c r="GS275" s="250"/>
      <c r="GT275" s="250"/>
      <c r="GU275" s="251"/>
      <c r="GV275" s="250"/>
      <c r="GW275" s="250"/>
      <c r="GX275" s="250"/>
      <c r="GY275" s="250"/>
      <c r="GZ275" s="250"/>
      <c r="HA275" s="250"/>
      <c r="HB275" s="250"/>
      <c r="HC275" s="250"/>
      <c r="HD275" s="250"/>
      <c r="HE275" s="250"/>
      <c r="HF275" s="250"/>
      <c r="HG275" s="250"/>
      <c r="HH275" s="251"/>
      <c r="HI275" s="424"/>
      <c r="HJ275" s="255"/>
      <c r="HK275" s="255"/>
      <c r="HL275" s="250"/>
      <c r="HM275" s="255"/>
      <c r="HN275" s="255"/>
      <c r="HO275" s="255"/>
      <c r="HP275" s="250"/>
      <c r="HQ275" s="250"/>
      <c r="HR275" s="250"/>
      <c r="HS275" s="250"/>
      <c r="HT275" s="250"/>
      <c r="HU275" s="251"/>
      <c r="HX275" s="252"/>
      <c r="HY275" s="252"/>
      <c r="HZ275" s="252"/>
      <c r="ID275" s="252"/>
      <c r="IE275" s="252"/>
      <c r="IF275" s="252"/>
      <c r="IJ275" s="252"/>
      <c r="IK275" s="252"/>
      <c r="IL275" s="252"/>
      <c r="IP275" s="252"/>
      <c r="IQ275" s="252"/>
      <c r="IR275" s="252"/>
      <c r="IY275" s="66"/>
      <c r="IZ275" s="66"/>
      <c r="JA275" s="66"/>
      <c r="JB275" s="250"/>
      <c r="JC275" s="66"/>
      <c r="JD275" s="66"/>
      <c r="JE275" s="66"/>
      <c r="JF275" s="66"/>
      <c r="JG275" s="66"/>
      <c r="JH275" s="66"/>
      <c r="JI275" s="66"/>
      <c r="JJ275" s="66"/>
      <c r="JK275" s="8"/>
      <c r="JN275" s="252"/>
      <c r="JO275" s="252"/>
      <c r="JP275" s="252"/>
      <c r="JT275" s="252"/>
      <c r="JU275" s="252"/>
      <c r="JV275" s="252"/>
      <c r="JZ275" s="252"/>
      <c r="KA275" s="252"/>
      <c r="KB275" s="252"/>
      <c r="KF275" s="252"/>
      <c r="KG275" s="252"/>
      <c r="KH275" s="252"/>
      <c r="KO275" s="66"/>
      <c r="KP275" s="66"/>
      <c r="KQ275" s="66"/>
      <c r="KR275" s="66"/>
      <c r="KS275" s="66"/>
      <c r="KT275" s="66"/>
      <c r="KU275" s="66"/>
      <c r="KV275" s="66"/>
      <c r="KW275" s="66"/>
      <c r="KX275" s="66"/>
      <c r="KY275" s="66"/>
      <c r="KZ275" s="66"/>
      <c r="LA275" s="8"/>
      <c r="LD275" s="252"/>
      <c r="LE275" s="252"/>
      <c r="LF275" s="252"/>
      <c r="LJ275" s="252"/>
      <c r="LK275" s="252"/>
      <c r="LN275" s="252"/>
      <c r="LO275" s="252"/>
      <c r="LP275" s="252"/>
      <c r="LT275" s="271"/>
      <c r="LU275" s="250"/>
      <c r="LV275" s="250"/>
      <c r="LW275" s="250"/>
      <c r="LX275" s="250"/>
      <c r="LY275" s="250"/>
      <c r="LZ275" s="250"/>
      <c r="MA275" s="250"/>
      <c r="MB275" s="250"/>
      <c r="MC275" s="250"/>
      <c r="MD275" s="250"/>
      <c r="ME275" s="250"/>
      <c r="MF275" s="250"/>
      <c r="MG275" s="250"/>
      <c r="MH275" s="250"/>
      <c r="MI275" s="250"/>
      <c r="MJ275" s="250"/>
      <c r="MK275" s="424"/>
      <c r="ML275" s="640"/>
      <c r="MM275" s="251"/>
      <c r="MN275" s="252"/>
      <c r="MO275" s="252"/>
      <c r="MP275" s="252"/>
      <c r="MQ275" s="252"/>
      <c r="MR275" s="252"/>
      <c r="MS275" s="252"/>
      <c r="MT275" s="252"/>
      <c r="MU275" s="252"/>
      <c r="MV275" s="252"/>
      <c r="MW275" s="252"/>
      <c r="MX275" s="252"/>
      <c r="MY275" s="252"/>
      <c r="MZ275" s="252"/>
      <c r="NA275" s="252"/>
      <c r="NB275" s="252"/>
      <c r="NC275" s="251"/>
      <c r="ND275" s="250"/>
      <c r="NE275" s="250"/>
      <c r="NF275" s="250"/>
      <c r="NG275" s="250"/>
      <c r="NH275" s="250"/>
      <c r="NI275" s="250"/>
      <c r="NJ275" s="250"/>
      <c r="NK275" s="250"/>
      <c r="NL275" s="250"/>
      <c r="NM275" s="250"/>
      <c r="NN275" s="250"/>
      <c r="NO275" s="250"/>
      <c r="NP275" s="250"/>
      <c r="NQ275" s="250"/>
      <c r="NR275" s="250"/>
      <c r="NS275" s="250"/>
      <c r="NT275" s="250"/>
      <c r="NU275" s="250"/>
      <c r="NV275" s="250"/>
      <c r="NW275" s="251"/>
      <c r="OT275" s="8"/>
      <c r="QG275" s="8"/>
      <c r="RT275" s="8"/>
    </row>
    <row r="276" spans="1:488" s="282" customFormat="1" x14ac:dyDescent="0.25">
      <c r="A276" s="66"/>
      <c r="B276" s="8"/>
      <c r="C276" s="66"/>
      <c r="D276" s="66"/>
      <c r="E276" s="66"/>
      <c r="F276" s="66"/>
      <c r="G276" s="66"/>
      <c r="H276" s="66"/>
      <c r="I276" s="66"/>
      <c r="J276" s="66"/>
      <c r="K276" s="66"/>
      <c r="L276" s="66"/>
      <c r="M276" s="66"/>
      <c r="N276" s="66"/>
      <c r="O276" s="66"/>
      <c r="P276" s="66"/>
      <c r="Q276" s="66"/>
      <c r="R276" s="66"/>
      <c r="S276" s="66"/>
      <c r="T276" s="68"/>
      <c r="AC276" s="66"/>
      <c r="AD276" s="66"/>
      <c r="AE276" s="68"/>
      <c r="AN276" s="66"/>
      <c r="AO276" s="66"/>
      <c r="AP276" s="68"/>
      <c r="AW276" s="66"/>
      <c r="AX276" s="68"/>
      <c r="BD276" s="66"/>
      <c r="BE276" s="68"/>
      <c r="BF276" s="66"/>
      <c r="BG276" s="66"/>
      <c r="BH276" s="66"/>
      <c r="BI276" s="66"/>
      <c r="BJ276" s="66"/>
      <c r="BK276" s="66"/>
      <c r="BL276" s="68"/>
      <c r="BO276" s="66"/>
      <c r="BP276" s="68"/>
      <c r="BV276" s="66"/>
      <c r="BW276" s="68"/>
      <c r="CB276" s="8"/>
      <c r="CH276" s="8"/>
      <c r="CK276" s="299"/>
      <c r="CL276" s="299"/>
      <c r="CM276" s="66"/>
      <c r="CN276" s="66"/>
      <c r="CO276" s="68"/>
      <c r="CR276" s="8"/>
      <c r="CX276" s="66"/>
      <c r="CY276" s="532"/>
      <c r="DE276" s="66"/>
      <c r="DF276" s="66"/>
      <c r="DG276" s="68"/>
      <c r="DH276" s="68"/>
      <c r="DK276" s="66"/>
      <c r="DL276" s="66"/>
      <c r="DM276" s="66"/>
      <c r="DN276" s="66"/>
      <c r="DO276" s="66"/>
      <c r="DP276" s="66"/>
      <c r="DQ276" s="66"/>
      <c r="DR276" s="66"/>
      <c r="DS276" s="66"/>
      <c r="DT276" s="68"/>
      <c r="DU276" s="66"/>
      <c r="DV276" s="296"/>
      <c r="DW276" s="330"/>
      <c r="DX276" s="631"/>
      <c r="DY276" s="631"/>
      <c r="DZ276" s="631"/>
      <c r="EA276" s="330"/>
      <c r="EC276" s="66"/>
      <c r="ED276" s="68"/>
      <c r="EH276" s="66"/>
      <c r="EI276" s="66"/>
      <c r="EJ276" s="68"/>
      <c r="EK276" s="252"/>
      <c r="EL276" s="252"/>
      <c r="EM276" s="252"/>
      <c r="EO276" s="252"/>
      <c r="EP276" s="252"/>
      <c r="EQ276" s="252"/>
      <c r="ES276" s="252"/>
      <c r="ET276" s="252"/>
      <c r="EU276" s="252"/>
      <c r="EW276" s="252"/>
      <c r="EX276" s="252"/>
      <c r="EY276" s="252"/>
      <c r="FA276" s="250"/>
      <c r="FB276" s="250"/>
      <c r="FC276" s="250"/>
      <c r="FD276" s="250"/>
      <c r="FE276" s="250"/>
      <c r="FF276" s="250"/>
      <c r="FG276" s="250"/>
      <c r="FH276" s="424"/>
      <c r="FI276" s="250"/>
      <c r="FJ276" s="250"/>
      <c r="FK276" s="250"/>
      <c r="FL276" s="256"/>
      <c r="FM276" s="250"/>
      <c r="FN276" s="256"/>
      <c r="FO276" s="250"/>
      <c r="FP276" s="256"/>
      <c r="FQ276" s="250"/>
      <c r="FR276" s="256"/>
      <c r="FS276" s="250"/>
      <c r="FT276" s="256"/>
      <c r="FU276" s="256"/>
      <c r="FV276" s="256"/>
      <c r="FW276" s="250"/>
      <c r="FX276" s="424"/>
      <c r="FY276" s="251"/>
      <c r="GC276" s="252"/>
      <c r="GF276" s="252"/>
      <c r="GG276" s="252"/>
      <c r="GH276" s="252"/>
      <c r="GI276" s="252"/>
      <c r="GJ276" s="252"/>
      <c r="GK276" s="251"/>
      <c r="GL276" s="250"/>
      <c r="GM276" s="250"/>
      <c r="GN276" s="250"/>
      <c r="GO276" s="250"/>
      <c r="GP276" s="250"/>
      <c r="GQ276" s="250"/>
      <c r="GR276" s="250"/>
      <c r="GS276" s="250"/>
      <c r="GT276" s="250"/>
      <c r="GU276" s="251"/>
      <c r="GV276" s="250"/>
      <c r="GW276" s="250"/>
      <c r="GX276" s="250"/>
      <c r="GY276" s="250"/>
      <c r="GZ276" s="250"/>
      <c r="HA276" s="250"/>
      <c r="HB276" s="250"/>
      <c r="HC276" s="250"/>
      <c r="HD276" s="250"/>
      <c r="HE276" s="250"/>
      <c r="HF276" s="250"/>
      <c r="HG276" s="250"/>
      <c r="HH276" s="251"/>
      <c r="HI276" s="424"/>
      <c r="HJ276" s="255"/>
      <c r="HK276" s="255"/>
      <c r="HL276" s="250"/>
      <c r="HM276" s="255"/>
      <c r="HN276" s="255"/>
      <c r="HO276" s="255"/>
      <c r="HP276" s="250"/>
      <c r="HQ276" s="250"/>
      <c r="HR276" s="250"/>
      <c r="HS276" s="250"/>
      <c r="HT276" s="250"/>
      <c r="HU276" s="251"/>
      <c r="HX276" s="252"/>
      <c r="HY276" s="252"/>
      <c r="HZ276" s="252"/>
      <c r="ID276" s="252"/>
      <c r="IE276" s="252"/>
      <c r="IF276" s="252"/>
      <c r="IJ276" s="252"/>
      <c r="IK276" s="252"/>
      <c r="IL276" s="252"/>
      <c r="IP276" s="252"/>
      <c r="IQ276" s="252"/>
      <c r="IR276" s="252"/>
      <c r="IY276" s="66"/>
      <c r="IZ276" s="66"/>
      <c r="JA276" s="66"/>
      <c r="JB276" s="250"/>
      <c r="JC276" s="66"/>
      <c r="JD276" s="66"/>
      <c r="JE276" s="66"/>
      <c r="JF276" s="66"/>
      <c r="JG276" s="66"/>
      <c r="JH276" s="66"/>
      <c r="JI276" s="66"/>
      <c r="JJ276" s="66"/>
      <c r="JK276" s="8"/>
      <c r="JN276" s="252"/>
      <c r="JO276" s="252"/>
      <c r="JP276" s="252"/>
      <c r="JT276" s="252"/>
      <c r="JU276" s="252"/>
      <c r="JV276" s="252"/>
      <c r="JZ276" s="252"/>
      <c r="KA276" s="252"/>
      <c r="KB276" s="252"/>
      <c r="KF276" s="252"/>
      <c r="KG276" s="252"/>
      <c r="KH276" s="252"/>
      <c r="KO276" s="66"/>
      <c r="KP276" s="66"/>
      <c r="KQ276" s="66"/>
      <c r="KR276" s="66"/>
      <c r="KS276" s="66"/>
      <c r="KT276" s="66"/>
      <c r="KU276" s="66"/>
      <c r="KV276" s="66"/>
      <c r="KW276" s="66"/>
      <c r="KX276" s="66"/>
      <c r="KY276" s="66"/>
      <c r="KZ276" s="66"/>
      <c r="LA276" s="8"/>
      <c r="LD276" s="252"/>
      <c r="LE276" s="252"/>
      <c r="LF276" s="252"/>
      <c r="LJ276" s="252"/>
      <c r="LK276" s="252"/>
      <c r="LN276" s="252"/>
      <c r="LO276" s="252"/>
      <c r="LP276" s="252"/>
      <c r="LT276" s="271"/>
      <c r="LU276" s="250"/>
      <c r="LV276" s="250"/>
      <c r="LW276" s="250"/>
      <c r="LX276" s="250"/>
      <c r="LY276" s="250"/>
      <c r="LZ276" s="250"/>
      <c r="MA276" s="250"/>
      <c r="MB276" s="250"/>
      <c r="MC276" s="250"/>
      <c r="MD276" s="250"/>
      <c r="ME276" s="250"/>
      <c r="MF276" s="250"/>
      <c r="MG276" s="250"/>
      <c r="MH276" s="250"/>
      <c r="MI276" s="250"/>
      <c r="MJ276" s="250"/>
      <c r="MK276" s="424"/>
      <c r="ML276" s="640"/>
      <c r="MM276" s="251"/>
      <c r="MN276" s="252"/>
      <c r="MO276" s="252"/>
      <c r="MP276" s="252"/>
      <c r="MQ276" s="252"/>
      <c r="MR276" s="252"/>
      <c r="MS276" s="252"/>
      <c r="MT276" s="252"/>
      <c r="MU276" s="252"/>
      <c r="MV276" s="252"/>
      <c r="MW276" s="252"/>
      <c r="MX276" s="252"/>
      <c r="MY276" s="252"/>
      <c r="MZ276" s="252"/>
      <c r="NA276" s="252"/>
      <c r="NB276" s="252"/>
      <c r="NC276" s="251"/>
      <c r="ND276" s="250"/>
      <c r="NE276" s="250"/>
      <c r="NF276" s="250"/>
      <c r="NG276" s="250"/>
      <c r="NH276" s="250"/>
      <c r="NI276" s="250"/>
      <c r="NJ276" s="250"/>
      <c r="NK276" s="250"/>
      <c r="NL276" s="250"/>
      <c r="NM276" s="250"/>
      <c r="NN276" s="250"/>
      <c r="NO276" s="250"/>
      <c r="NP276" s="250"/>
      <c r="NQ276" s="250"/>
      <c r="NR276" s="250"/>
      <c r="NS276" s="250"/>
      <c r="NT276" s="250"/>
      <c r="NU276" s="250"/>
      <c r="NV276" s="250"/>
      <c r="NW276" s="251"/>
      <c r="OT276" s="8"/>
      <c r="QG276" s="8"/>
      <c r="RT276" s="8"/>
    </row>
    <row r="277" spans="1:488" s="282" customFormat="1" x14ac:dyDescent="0.25">
      <c r="A277" s="66"/>
      <c r="B277" s="8"/>
      <c r="C277" s="66"/>
      <c r="D277" s="66"/>
      <c r="E277" s="66"/>
      <c r="F277" s="66"/>
      <c r="G277" s="66"/>
      <c r="H277" s="66"/>
      <c r="I277" s="66"/>
      <c r="J277" s="66"/>
      <c r="K277" s="66"/>
      <c r="L277" s="66"/>
      <c r="M277" s="66"/>
      <c r="N277" s="66"/>
      <c r="O277" s="66"/>
      <c r="P277" s="66"/>
      <c r="Q277" s="66"/>
      <c r="R277" s="66"/>
      <c r="S277" s="66"/>
      <c r="T277" s="68"/>
      <c r="AC277" s="66"/>
      <c r="AD277" s="66"/>
      <c r="AE277" s="68"/>
      <c r="AN277" s="66"/>
      <c r="AO277" s="66"/>
      <c r="AP277" s="68"/>
      <c r="AW277" s="66"/>
      <c r="AX277" s="68"/>
      <c r="BD277" s="66"/>
      <c r="BE277" s="68"/>
      <c r="BF277" s="66"/>
      <c r="BG277" s="66"/>
      <c r="BH277" s="66"/>
      <c r="BI277" s="66"/>
      <c r="BJ277" s="66"/>
      <c r="BK277" s="66"/>
      <c r="BL277" s="68"/>
      <c r="BO277" s="66"/>
      <c r="BP277" s="68"/>
      <c r="BV277" s="66"/>
      <c r="BW277" s="68"/>
      <c r="CB277" s="8"/>
      <c r="CH277" s="8"/>
      <c r="CK277" s="299"/>
      <c r="CL277" s="299"/>
      <c r="CM277" s="66"/>
      <c r="CN277" s="66"/>
      <c r="CO277" s="68"/>
      <c r="CR277" s="8"/>
      <c r="CX277" s="66"/>
      <c r="CY277" s="532"/>
      <c r="DE277" s="66"/>
      <c r="DF277" s="66"/>
      <c r="DG277" s="68"/>
      <c r="DH277" s="68"/>
      <c r="DK277" s="66"/>
      <c r="DL277" s="66"/>
      <c r="DM277" s="66"/>
      <c r="DN277" s="66"/>
      <c r="DO277" s="66"/>
      <c r="DP277" s="66"/>
      <c r="DQ277" s="66"/>
      <c r="DR277" s="66"/>
      <c r="DS277" s="66"/>
      <c r="DT277" s="68"/>
      <c r="DU277" s="66"/>
      <c r="DV277" s="296"/>
      <c r="DW277" s="330"/>
      <c r="DX277" s="631"/>
      <c r="DY277" s="631"/>
      <c r="DZ277" s="631"/>
      <c r="EA277" s="330"/>
      <c r="EC277" s="66"/>
      <c r="ED277" s="68"/>
      <c r="EH277" s="66"/>
      <c r="EI277" s="66"/>
      <c r="EJ277" s="68"/>
      <c r="EK277" s="252"/>
      <c r="EL277" s="252"/>
      <c r="EM277" s="252"/>
      <c r="EO277" s="252"/>
      <c r="EP277" s="252"/>
      <c r="EQ277" s="252"/>
      <c r="ES277" s="252"/>
      <c r="ET277" s="252"/>
      <c r="EU277" s="252"/>
      <c r="EW277" s="252"/>
      <c r="EX277" s="252"/>
      <c r="EY277" s="252"/>
      <c r="FA277" s="250"/>
      <c r="FB277" s="250"/>
      <c r="FC277" s="250"/>
      <c r="FD277" s="250"/>
      <c r="FE277" s="250"/>
      <c r="FF277" s="250"/>
      <c r="FG277" s="250"/>
      <c r="FH277" s="424"/>
      <c r="FI277" s="250"/>
      <c r="FJ277" s="250"/>
      <c r="FK277" s="250"/>
      <c r="FL277" s="256"/>
      <c r="FM277" s="250"/>
      <c r="FN277" s="256"/>
      <c r="FO277" s="250"/>
      <c r="FP277" s="256"/>
      <c r="FQ277" s="250"/>
      <c r="FR277" s="256"/>
      <c r="FS277" s="250"/>
      <c r="FT277" s="256"/>
      <c r="FU277" s="256"/>
      <c r="FV277" s="256"/>
      <c r="FW277" s="250"/>
      <c r="FX277" s="424"/>
      <c r="FY277" s="251"/>
      <c r="GC277" s="252"/>
      <c r="GF277" s="252"/>
      <c r="GG277" s="252"/>
      <c r="GH277" s="252"/>
      <c r="GI277" s="252"/>
      <c r="GJ277" s="252"/>
      <c r="GK277" s="251"/>
      <c r="GL277" s="250"/>
      <c r="GM277" s="250"/>
      <c r="GN277" s="250"/>
      <c r="GO277" s="250"/>
      <c r="GP277" s="250"/>
      <c r="GQ277" s="250"/>
      <c r="GR277" s="250"/>
      <c r="GS277" s="250"/>
      <c r="GT277" s="250"/>
      <c r="GU277" s="251"/>
      <c r="GV277" s="250"/>
      <c r="GW277" s="250"/>
      <c r="GX277" s="250"/>
      <c r="GY277" s="250"/>
      <c r="GZ277" s="250"/>
      <c r="HA277" s="250"/>
      <c r="HB277" s="250"/>
      <c r="HC277" s="250"/>
      <c r="HD277" s="250"/>
      <c r="HE277" s="250"/>
      <c r="HF277" s="250"/>
      <c r="HG277" s="250"/>
      <c r="HH277" s="251"/>
      <c r="HI277" s="424"/>
      <c r="HJ277" s="255"/>
      <c r="HK277" s="255"/>
      <c r="HL277" s="250"/>
      <c r="HM277" s="255"/>
      <c r="HN277" s="255"/>
      <c r="HO277" s="255"/>
      <c r="HP277" s="250"/>
      <c r="HQ277" s="250"/>
      <c r="HR277" s="250"/>
      <c r="HS277" s="250"/>
      <c r="HT277" s="250"/>
      <c r="HU277" s="251"/>
      <c r="HX277" s="252"/>
      <c r="HY277" s="252"/>
      <c r="HZ277" s="252"/>
      <c r="ID277" s="252"/>
      <c r="IE277" s="252"/>
      <c r="IF277" s="252"/>
      <c r="IJ277" s="252"/>
      <c r="IK277" s="252"/>
      <c r="IL277" s="252"/>
      <c r="IP277" s="252"/>
      <c r="IQ277" s="252"/>
      <c r="IR277" s="252"/>
      <c r="IY277" s="66"/>
      <c r="IZ277" s="66"/>
      <c r="JA277" s="66"/>
      <c r="JB277" s="250"/>
      <c r="JC277" s="66"/>
      <c r="JD277" s="66"/>
      <c r="JE277" s="66"/>
      <c r="JF277" s="66"/>
      <c r="JG277" s="66"/>
      <c r="JH277" s="66"/>
      <c r="JI277" s="66"/>
      <c r="JJ277" s="66"/>
      <c r="JK277" s="8"/>
      <c r="JN277" s="252"/>
      <c r="JO277" s="252"/>
      <c r="JP277" s="252"/>
      <c r="JT277" s="252"/>
      <c r="JU277" s="252"/>
      <c r="JV277" s="252"/>
      <c r="JZ277" s="252"/>
      <c r="KA277" s="252"/>
      <c r="KB277" s="252"/>
      <c r="KF277" s="252"/>
      <c r="KG277" s="252"/>
      <c r="KH277" s="252"/>
      <c r="KO277" s="66"/>
      <c r="KP277" s="66"/>
      <c r="KQ277" s="66"/>
      <c r="KR277" s="66"/>
      <c r="KS277" s="66"/>
      <c r="KT277" s="66"/>
      <c r="KU277" s="66"/>
      <c r="KV277" s="66"/>
      <c r="KW277" s="66"/>
      <c r="KX277" s="66"/>
      <c r="KY277" s="66"/>
      <c r="KZ277" s="66"/>
      <c r="LA277" s="8"/>
      <c r="LD277" s="252"/>
      <c r="LE277" s="252"/>
      <c r="LF277" s="252"/>
      <c r="LJ277" s="252"/>
      <c r="LK277" s="252"/>
      <c r="LN277" s="252"/>
      <c r="LO277" s="252"/>
      <c r="LP277" s="252"/>
      <c r="LT277" s="271"/>
      <c r="LU277" s="250"/>
      <c r="LV277" s="250"/>
      <c r="LW277" s="250"/>
      <c r="LX277" s="250"/>
      <c r="LY277" s="250"/>
      <c r="LZ277" s="250"/>
      <c r="MA277" s="250"/>
      <c r="MB277" s="250"/>
      <c r="MC277" s="250"/>
      <c r="MD277" s="250"/>
      <c r="ME277" s="250"/>
      <c r="MF277" s="250"/>
      <c r="MG277" s="250"/>
      <c r="MH277" s="250"/>
      <c r="MI277" s="250"/>
      <c r="MJ277" s="250"/>
      <c r="MK277" s="424"/>
      <c r="ML277" s="640"/>
      <c r="MM277" s="251"/>
      <c r="MN277" s="252"/>
      <c r="MO277" s="252"/>
      <c r="MP277" s="252"/>
      <c r="MQ277" s="252"/>
      <c r="MR277" s="252"/>
      <c r="MS277" s="252"/>
      <c r="MT277" s="252"/>
      <c r="MU277" s="252"/>
      <c r="MV277" s="252"/>
      <c r="MW277" s="252"/>
      <c r="MX277" s="252"/>
      <c r="MY277" s="252"/>
      <c r="MZ277" s="252"/>
      <c r="NA277" s="252"/>
      <c r="NB277" s="252"/>
      <c r="NC277" s="251"/>
      <c r="ND277" s="250"/>
      <c r="NE277" s="250"/>
      <c r="NF277" s="250"/>
      <c r="NG277" s="250"/>
      <c r="NH277" s="250"/>
      <c r="NI277" s="250"/>
      <c r="NJ277" s="250"/>
      <c r="NK277" s="250"/>
      <c r="NL277" s="250"/>
      <c r="NM277" s="250"/>
      <c r="NN277" s="250"/>
      <c r="NO277" s="250"/>
      <c r="NP277" s="250"/>
      <c r="NQ277" s="250"/>
      <c r="NR277" s="250"/>
      <c r="NS277" s="250"/>
      <c r="NT277" s="250"/>
      <c r="NU277" s="250"/>
      <c r="NV277" s="250"/>
      <c r="NW277" s="251"/>
      <c r="OT277" s="8"/>
      <c r="QG277" s="8"/>
      <c r="RT277" s="8"/>
    </row>
    <row r="278" spans="1:488" s="282" customFormat="1" x14ac:dyDescent="0.25">
      <c r="A278" s="66"/>
      <c r="B278" s="8"/>
      <c r="C278" s="66"/>
      <c r="D278" s="66"/>
      <c r="E278" s="66"/>
      <c r="F278" s="66"/>
      <c r="G278" s="66"/>
      <c r="H278" s="66"/>
      <c r="I278" s="66"/>
      <c r="J278" s="66"/>
      <c r="K278" s="66"/>
      <c r="L278" s="66"/>
      <c r="M278" s="66"/>
      <c r="N278" s="66"/>
      <c r="O278" s="66"/>
      <c r="P278" s="66"/>
      <c r="Q278" s="66"/>
      <c r="R278" s="66"/>
      <c r="S278" s="66"/>
      <c r="T278" s="68"/>
      <c r="AC278" s="66"/>
      <c r="AD278" s="66"/>
      <c r="AE278" s="68"/>
      <c r="AN278" s="66"/>
      <c r="AO278" s="66"/>
      <c r="AP278" s="68"/>
      <c r="AW278" s="66"/>
      <c r="AX278" s="68"/>
      <c r="BD278" s="66"/>
      <c r="BE278" s="68"/>
      <c r="BF278" s="66"/>
      <c r="BG278" s="66"/>
      <c r="BH278" s="66"/>
      <c r="BI278" s="66"/>
      <c r="BJ278" s="66"/>
      <c r="BK278" s="66"/>
      <c r="BL278" s="68"/>
      <c r="BO278" s="66"/>
      <c r="BP278" s="68"/>
      <c r="BV278" s="66"/>
      <c r="BW278" s="68"/>
      <c r="CB278" s="8"/>
      <c r="CH278" s="8"/>
      <c r="CK278" s="299"/>
      <c r="CL278" s="299"/>
      <c r="CM278" s="66"/>
      <c r="CN278" s="66"/>
      <c r="CO278" s="68"/>
      <c r="CR278" s="8"/>
      <c r="CX278" s="66"/>
      <c r="CY278" s="532"/>
      <c r="DE278" s="66"/>
      <c r="DF278" s="66"/>
      <c r="DG278" s="68"/>
      <c r="DH278" s="68"/>
      <c r="DK278" s="66"/>
      <c r="DL278" s="66"/>
      <c r="DM278" s="66"/>
      <c r="DN278" s="66"/>
      <c r="DO278" s="66"/>
      <c r="DP278" s="66"/>
      <c r="DQ278" s="66"/>
      <c r="DR278" s="66"/>
      <c r="DS278" s="66"/>
      <c r="DT278" s="68"/>
      <c r="DU278" s="66"/>
      <c r="DV278" s="296"/>
      <c r="DW278" s="330"/>
      <c r="DX278" s="631"/>
      <c r="DY278" s="631"/>
      <c r="DZ278" s="631"/>
      <c r="EA278" s="330"/>
      <c r="EC278" s="66"/>
      <c r="ED278" s="68"/>
      <c r="EH278" s="66"/>
      <c r="EI278" s="66"/>
      <c r="EJ278" s="68"/>
      <c r="EK278" s="252"/>
      <c r="EL278" s="252"/>
      <c r="EM278" s="252"/>
      <c r="EO278" s="252"/>
      <c r="EP278" s="252"/>
      <c r="EQ278" s="252"/>
      <c r="ES278" s="252"/>
      <c r="ET278" s="252"/>
      <c r="EU278" s="252"/>
      <c r="EW278" s="252"/>
      <c r="EX278" s="252"/>
      <c r="EY278" s="252"/>
      <c r="FA278" s="250"/>
      <c r="FB278" s="250"/>
      <c r="FC278" s="250"/>
      <c r="FD278" s="250"/>
      <c r="FE278" s="250"/>
      <c r="FF278" s="250"/>
      <c r="FG278" s="250"/>
      <c r="FH278" s="424"/>
      <c r="FI278" s="250"/>
      <c r="FJ278" s="250"/>
      <c r="FK278" s="250"/>
      <c r="FL278" s="256"/>
      <c r="FM278" s="250"/>
      <c r="FN278" s="256"/>
      <c r="FO278" s="250"/>
      <c r="FP278" s="256"/>
      <c r="FQ278" s="250"/>
      <c r="FR278" s="256"/>
      <c r="FS278" s="250"/>
      <c r="FT278" s="256"/>
      <c r="FU278" s="256"/>
      <c r="FV278" s="256"/>
      <c r="FW278" s="250"/>
      <c r="FX278" s="424"/>
      <c r="FY278" s="251"/>
      <c r="GC278" s="252"/>
      <c r="GF278" s="252"/>
      <c r="GG278" s="252"/>
      <c r="GH278" s="252"/>
      <c r="GI278" s="252"/>
      <c r="GJ278" s="252"/>
      <c r="GK278" s="251"/>
      <c r="GL278" s="250"/>
      <c r="GM278" s="250"/>
      <c r="GN278" s="250"/>
      <c r="GO278" s="250"/>
      <c r="GP278" s="250"/>
      <c r="GQ278" s="250"/>
      <c r="GR278" s="250"/>
      <c r="GS278" s="250"/>
      <c r="GT278" s="250"/>
      <c r="GU278" s="251"/>
      <c r="GV278" s="250"/>
      <c r="GW278" s="250"/>
      <c r="GX278" s="250"/>
      <c r="GY278" s="250"/>
      <c r="GZ278" s="250"/>
      <c r="HA278" s="250"/>
      <c r="HB278" s="250"/>
      <c r="HC278" s="250"/>
      <c r="HD278" s="250"/>
      <c r="HE278" s="250"/>
      <c r="HF278" s="250"/>
      <c r="HG278" s="250"/>
      <c r="HH278" s="251"/>
      <c r="HI278" s="424"/>
      <c r="HJ278" s="255"/>
      <c r="HK278" s="255"/>
      <c r="HL278" s="250"/>
      <c r="HM278" s="255"/>
      <c r="HN278" s="255"/>
      <c r="HO278" s="255"/>
      <c r="HP278" s="250"/>
      <c r="HQ278" s="250"/>
      <c r="HR278" s="250"/>
      <c r="HS278" s="250"/>
      <c r="HT278" s="250"/>
      <c r="HU278" s="251"/>
      <c r="HX278" s="252"/>
      <c r="HY278" s="252"/>
      <c r="HZ278" s="252"/>
      <c r="ID278" s="252"/>
      <c r="IE278" s="252"/>
      <c r="IF278" s="252"/>
      <c r="IJ278" s="252"/>
      <c r="IK278" s="252"/>
      <c r="IL278" s="252"/>
      <c r="IP278" s="252"/>
      <c r="IQ278" s="252"/>
      <c r="IR278" s="252"/>
      <c r="IY278" s="66"/>
      <c r="IZ278" s="66"/>
      <c r="JA278" s="66"/>
      <c r="JB278" s="250"/>
      <c r="JC278" s="66"/>
      <c r="JD278" s="66"/>
      <c r="JE278" s="66"/>
      <c r="JF278" s="66"/>
      <c r="JG278" s="66"/>
      <c r="JH278" s="66"/>
      <c r="JI278" s="66"/>
      <c r="JJ278" s="66"/>
      <c r="JK278" s="8"/>
      <c r="JN278" s="252"/>
      <c r="JO278" s="252"/>
      <c r="JP278" s="252"/>
      <c r="JT278" s="252"/>
      <c r="JU278" s="252"/>
      <c r="JV278" s="252"/>
      <c r="JZ278" s="252"/>
      <c r="KA278" s="252"/>
      <c r="KB278" s="252"/>
      <c r="KF278" s="252"/>
      <c r="KG278" s="252"/>
      <c r="KH278" s="252"/>
      <c r="KO278" s="66"/>
      <c r="KP278" s="66"/>
      <c r="KQ278" s="66"/>
      <c r="KR278" s="66"/>
      <c r="KS278" s="66"/>
      <c r="KT278" s="66"/>
      <c r="KU278" s="66"/>
      <c r="KV278" s="66"/>
      <c r="KW278" s="66"/>
      <c r="KX278" s="66"/>
      <c r="KY278" s="66"/>
      <c r="KZ278" s="66"/>
      <c r="LA278" s="8"/>
      <c r="LD278" s="252"/>
      <c r="LE278" s="252"/>
      <c r="LF278" s="252"/>
      <c r="LJ278" s="252"/>
      <c r="LK278" s="252"/>
      <c r="LN278" s="252"/>
      <c r="LO278" s="252"/>
      <c r="LP278" s="252"/>
      <c r="LT278" s="271"/>
      <c r="LU278" s="250"/>
      <c r="LV278" s="250"/>
      <c r="LW278" s="250"/>
      <c r="LX278" s="250"/>
      <c r="LY278" s="250"/>
      <c r="LZ278" s="250"/>
      <c r="MA278" s="250"/>
      <c r="MB278" s="250"/>
      <c r="MC278" s="250"/>
      <c r="MD278" s="250"/>
      <c r="ME278" s="250"/>
      <c r="MF278" s="250"/>
      <c r="MG278" s="250"/>
      <c r="MH278" s="250"/>
      <c r="MI278" s="250"/>
      <c r="MJ278" s="250"/>
      <c r="MK278" s="424"/>
      <c r="ML278" s="640"/>
      <c r="MM278" s="251"/>
      <c r="MN278" s="252"/>
      <c r="MO278" s="252"/>
      <c r="MP278" s="252"/>
      <c r="MQ278" s="252"/>
      <c r="MR278" s="252"/>
      <c r="MS278" s="252"/>
      <c r="MT278" s="252"/>
      <c r="MU278" s="252"/>
      <c r="MV278" s="252"/>
      <c r="MW278" s="252"/>
      <c r="MX278" s="252"/>
      <c r="MY278" s="252"/>
      <c r="MZ278" s="252"/>
      <c r="NA278" s="252"/>
      <c r="NB278" s="252"/>
      <c r="NC278" s="251"/>
      <c r="ND278" s="250"/>
      <c r="NE278" s="250"/>
      <c r="NF278" s="250"/>
      <c r="NG278" s="250"/>
      <c r="NH278" s="250"/>
      <c r="NI278" s="250"/>
      <c r="NJ278" s="250"/>
      <c r="NK278" s="250"/>
      <c r="NL278" s="250"/>
      <c r="NM278" s="250"/>
      <c r="NN278" s="250"/>
      <c r="NO278" s="250"/>
      <c r="NP278" s="250"/>
      <c r="NQ278" s="250"/>
      <c r="NR278" s="250"/>
      <c r="NS278" s="250"/>
      <c r="NT278" s="250"/>
      <c r="NU278" s="250"/>
      <c r="NV278" s="250"/>
      <c r="NW278" s="251"/>
      <c r="OT278" s="8"/>
      <c r="QG278" s="8"/>
      <c r="RT278" s="8"/>
    </row>
    <row r="279" spans="1:488" s="282" customFormat="1" x14ac:dyDescent="0.25">
      <c r="A279" s="66"/>
      <c r="B279" s="8"/>
      <c r="C279" s="66"/>
      <c r="D279" s="66"/>
      <c r="E279" s="66"/>
      <c r="F279" s="66"/>
      <c r="G279" s="66"/>
      <c r="H279" s="66"/>
      <c r="I279" s="66"/>
      <c r="J279" s="66"/>
      <c r="K279" s="66"/>
      <c r="L279" s="66"/>
      <c r="M279" s="66"/>
      <c r="N279" s="66"/>
      <c r="O279" s="66"/>
      <c r="P279" s="66"/>
      <c r="Q279" s="66"/>
      <c r="R279" s="66"/>
      <c r="S279" s="66"/>
      <c r="T279" s="68"/>
      <c r="AC279" s="66"/>
      <c r="AD279" s="66"/>
      <c r="AE279" s="68"/>
      <c r="AN279" s="66"/>
      <c r="AO279" s="66"/>
      <c r="AP279" s="68"/>
      <c r="AW279" s="66"/>
      <c r="AX279" s="68"/>
      <c r="BD279" s="66"/>
      <c r="BE279" s="68"/>
      <c r="BF279" s="66"/>
      <c r="BG279" s="66"/>
      <c r="BH279" s="66"/>
      <c r="BI279" s="66"/>
      <c r="BJ279" s="66"/>
      <c r="BK279" s="66"/>
      <c r="BL279" s="68"/>
      <c r="BO279" s="66"/>
      <c r="BP279" s="68"/>
      <c r="BV279" s="66"/>
      <c r="BW279" s="68"/>
      <c r="CB279" s="8"/>
      <c r="CH279" s="8"/>
      <c r="CK279" s="299"/>
      <c r="CL279" s="299"/>
      <c r="CM279" s="66"/>
      <c r="CN279" s="66"/>
      <c r="CO279" s="68"/>
      <c r="CR279" s="8"/>
      <c r="CX279" s="66"/>
      <c r="CY279" s="532"/>
      <c r="DE279" s="66"/>
      <c r="DF279" s="66"/>
      <c r="DG279" s="68"/>
      <c r="DH279" s="68"/>
      <c r="DK279" s="66"/>
      <c r="DL279" s="66"/>
      <c r="DM279" s="66"/>
      <c r="DN279" s="66"/>
      <c r="DO279" s="66"/>
      <c r="DP279" s="66"/>
      <c r="DQ279" s="66"/>
      <c r="DR279" s="66"/>
      <c r="DS279" s="66"/>
      <c r="DT279" s="68"/>
      <c r="DU279" s="66"/>
      <c r="DV279" s="296"/>
      <c r="DW279" s="330"/>
      <c r="DX279" s="631"/>
      <c r="DY279" s="631"/>
      <c r="DZ279" s="631"/>
      <c r="EA279" s="330"/>
      <c r="EC279" s="66"/>
      <c r="ED279" s="68"/>
      <c r="EH279" s="66"/>
      <c r="EI279" s="66"/>
      <c r="EJ279" s="68"/>
      <c r="EK279" s="252"/>
      <c r="EL279" s="252"/>
      <c r="EM279" s="252"/>
      <c r="EO279" s="252"/>
      <c r="EP279" s="252"/>
      <c r="EQ279" s="252"/>
      <c r="ES279" s="252"/>
      <c r="ET279" s="252"/>
      <c r="EU279" s="252"/>
      <c r="EW279" s="252"/>
      <c r="EX279" s="252"/>
      <c r="EY279" s="252"/>
      <c r="FA279" s="250"/>
      <c r="FB279" s="250"/>
      <c r="FC279" s="250"/>
      <c r="FD279" s="250"/>
      <c r="FE279" s="250"/>
      <c r="FF279" s="250"/>
      <c r="FG279" s="250"/>
      <c r="FH279" s="424"/>
      <c r="FI279" s="250"/>
      <c r="FJ279" s="250"/>
      <c r="FK279" s="250"/>
      <c r="FL279" s="256"/>
      <c r="FM279" s="250"/>
      <c r="FN279" s="256"/>
      <c r="FO279" s="250"/>
      <c r="FP279" s="256"/>
      <c r="FQ279" s="250"/>
      <c r="FR279" s="256"/>
      <c r="FS279" s="250"/>
      <c r="FT279" s="256"/>
      <c r="FU279" s="256"/>
      <c r="FV279" s="256"/>
      <c r="FW279" s="250"/>
      <c r="FX279" s="424"/>
      <c r="FY279" s="251"/>
      <c r="GC279" s="252"/>
      <c r="GF279" s="252"/>
      <c r="GG279" s="252"/>
      <c r="GH279" s="252"/>
      <c r="GI279" s="252"/>
      <c r="GJ279" s="252"/>
      <c r="GK279" s="251"/>
      <c r="GL279" s="250"/>
      <c r="GM279" s="250"/>
      <c r="GN279" s="250"/>
      <c r="GO279" s="250"/>
      <c r="GP279" s="250"/>
      <c r="GQ279" s="250"/>
      <c r="GR279" s="250"/>
      <c r="GS279" s="250"/>
      <c r="GT279" s="250"/>
      <c r="GU279" s="251"/>
      <c r="GV279" s="250"/>
      <c r="GW279" s="250"/>
      <c r="GX279" s="250"/>
      <c r="GY279" s="250"/>
      <c r="GZ279" s="250"/>
      <c r="HA279" s="250"/>
      <c r="HB279" s="250"/>
      <c r="HC279" s="250"/>
      <c r="HD279" s="250"/>
      <c r="HE279" s="250"/>
      <c r="HF279" s="250"/>
      <c r="HG279" s="250"/>
      <c r="HH279" s="251"/>
      <c r="HI279" s="424"/>
      <c r="HJ279" s="255"/>
      <c r="HK279" s="255"/>
      <c r="HL279" s="250"/>
      <c r="HM279" s="255"/>
      <c r="HN279" s="255"/>
      <c r="HO279" s="255"/>
      <c r="HP279" s="250"/>
      <c r="HQ279" s="250"/>
      <c r="HR279" s="250"/>
      <c r="HS279" s="250"/>
      <c r="HT279" s="250"/>
      <c r="HU279" s="251"/>
      <c r="HX279" s="252"/>
      <c r="HY279" s="252"/>
      <c r="HZ279" s="252"/>
      <c r="ID279" s="252"/>
      <c r="IE279" s="252"/>
      <c r="IF279" s="252"/>
      <c r="IJ279" s="252"/>
      <c r="IK279" s="252"/>
      <c r="IL279" s="252"/>
      <c r="IP279" s="252"/>
      <c r="IQ279" s="252"/>
      <c r="IR279" s="252"/>
      <c r="IY279" s="66"/>
      <c r="IZ279" s="66"/>
      <c r="JA279" s="66"/>
      <c r="JB279" s="250"/>
      <c r="JC279" s="66"/>
      <c r="JD279" s="66"/>
      <c r="JE279" s="66"/>
      <c r="JF279" s="66"/>
      <c r="JG279" s="66"/>
      <c r="JH279" s="66"/>
      <c r="JI279" s="66"/>
      <c r="JJ279" s="66"/>
      <c r="JK279" s="8"/>
      <c r="JN279" s="252"/>
      <c r="JO279" s="252"/>
      <c r="JP279" s="252"/>
      <c r="JT279" s="252"/>
      <c r="JU279" s="252"/>
      <c r="JV279" s="252"/>
      <c r="JZ279" s="252"/>
      <c r="KA279" s="252"/>
      <c r="KB279" s="252"/>
      <c r="KF279" s="252"/>
      <c r="KG279" s="252"/>
      <c r="KH279" s="252"/>
      <c r="KO279" s="66"/>
      <c r="KP279" s="66"/>
      <c r="KQ279" s="66"/>
      <c r="KR279" s="66"/>
      <c r="KS279" s="66"/>
      <c r="KT279" s="66"/>
      <c r="KU279" s="66"/>
      <c r="KV279" s="66"/>
      <c r="KW279" s="66"/>
      <c r="KX279" s="66"/>
      <c r="KY279" s="66"/>
      <c r="KZ279" s="66"/>
      <c r="LA279" s="8"/>
      <c r="LD279" s="252"/>
      <c r="LE279" s="252"/>
      <c r="LF279" s="252"/>
      <c r="LJ279" s="252"/>
      <c r="LK279" s="252"/>
      <c r="LN279" s="252"/>
      <c r="LO279" s="252"/>
      <c r="LP279" s="252"/>
      <c r="LT279" s="271"/>
      <c r="LU279" s="250"/>
      <c r="LV279" s="250"/>
      <c r="LW279" s="250"/>
      <c r="LX279" s="250"/>
      <c r="LY279" s="250"/>
      <c r="LZ279" s="250"/>
      <c r="MA279" s="250"/>
      <c r="MB279" s="250"/>
      <c r="MC279" s="250"/>
      <c r="MD279" s="250"/>
      <c r="ME279" s="250"/>
      <c r="MF279" s="250"/>
      <c r="MG279" s="250"/>
      <c r="MH279" s="250"/>
      <c r="MI279" s="250"/>
      <c r="MJ279" s="250"/>
      <c r="MK279" s="424"/>
      <c r="ML279" s="640"/>
      <c r="MM279" s="251"/>
      <c r="MN279" s="252"/>
      <c r="MO279" s="252"/>
      <c r="MP279" s="252"/>
      <c r="MQ279" s="252"/>
      <c r="MR279" s="252"/>
      <c r="MS279" s="252"/>
      <c r="MT279" s="252"/>
      <c r="MU279" s="252"/>
      <c r="MV279" s="252"/>
      <c r="MW279" s="252"/>
      <c r="MX279" s="252"/>
      <c r="MY279" s="252"/>
      <c r="MZ279" s="252"/>
      <c r="NA279" s="252"/>
      <c r="NB279" s="252"/>
      <c r="NC279" s="251"/>
      <c r="ND279" s="250"/>
      <c r="NE279" s="250"/>
      <c r="NF279" s="250"/>
      <c r="NG279" s="250"/>
      <c r="NH279" s="250"/>
      <c r="NI279" s="250"/>
      <c r="NJ279" s="250"/>
      <c r="NK279" s="250"/>
      <c r="NL279" s="250"/>
      <c r="NM279" s="250"/>
      <c r="NN279" s="250"/>
      <c r="NO279" s="250"/>
      <c r="NP279" s="250"/>
      <c r="NQ279" s="250"/>
      <c r="NR279" s="250"/>
      <c r="NS279" s="250"/>
      <c r="NT279" s="250"/>
      <c r="NU279" s="250"/>
      <c r="NV279" s="250"/>
      <c r="NW279" s="251"/>
      <c r="OT279" s="8"/>
      <c r="QG279" s="8"/>
      <c r="RT279" s="8"/>
    </row>
    <row r="280" spans="1:488" s="282" customFormat="1" x14ac:dyDescent="0.25">
      <c r="A280" s="66"/>
      <c r="B280" s="8"/>
      <c r="C280" s="66"/>
      <c r="D280" s="66"/>
      <c r="E280" s="66"/>
      <c r="F280" s="66"/>
      <c r="G280" s="66"/>
      <c r="H280" s="66"/>
      <c r="I280" s="66"/>
      <c r="J280" s="66"/>
      <c r="K280" s="66"/>
      <c r="L280" s="66"/>
      <c r="M280" s="66"/>
      <c r="N280" s="66"/>
      <c r="O280" s="66"/>
      <c r="P280" s="66"/>
      <c r="Q280" s="66"/>
      <c r="R280" s="66"/>
      <c r="S280" s="66"/>
      <c r="T280" s="68"/>
      <c r="AC280" s="66"/>
      <c r="AD280" s="66"/>
      <c r="AE280" s="68"/>
      <c r="AN280" s="66"/>
      <c r="AO280" s="66"/>
      <c r="AP280" s="68"/>
      <c r="AW280" s="66"/>
      <c r="AX280" s="68"/>
      <c r="BD280" s="66"/>
      <c r="BE280" s="68"/>
      <c r="BF280" s="66"/>
      <c r="BG280" s="66"/>
      <c r="BH280" s="66"/>
      <c r="BI280" s="66"/>
      <c r="BJ280" s="66"/>
      <c r="BK280" s="66"/>
      <c r="BL280" s="68"/>
      <c r="BO280" s="66"/>
      <c r="BP280" s="68"/>
      <c r="BV280" s="66"/>
      <c r="BW280" s="68"/>
      <c r="CB280" s="8"/>
      <c r="CH280" s="8"/>
      <c r="CK280" s="299"/>
      <c r="CL280" s="299"/>
      <c r="CM280" s="66"/>
      <c r="CN280" s="66"/>
      <c r="CO280" s="68"/>
      <c r="CR280" s="8"/>
      <c r="CX280" s="66"/>
      <c r="CY280" s="532"/>
      <c r="DE280" s="66"/>
      <c r="DF280" s="66"/>
      <c r="DG280" s="68"/>
      <c r="DH280" s="68"/>
      <c r="DK280" s="66"/>
      <c r="DL280" s="66"/>
      <c r="DM280" s="66"/>
      <c r="DN280" s="66"/>
      <c r="DO280" s="66"/>
      <c r="DP280" s="66"/>
      <c r="DQ280" s="66"/>
      <c r="DR280" s="66"/>
      <c r="DS280" s="66"/>
      <c r="DT280" s="68"/>
      <c r="DU280" s="66"/>
      <c r="DV280" s="296"/>
      <c r="DW280" s="330"/>
      <c r="DX280" s="631"/>
      <c r="DY280" s="631"/>
      <c r="DZ280" s="631"/>
      <c r="EA280" s="330"/>
      <c r="EC280" s="66"/>
      <c r="ED280" s="68"/>
      <c r="EH280" s="66"/>
      <c r="EI280" s="66"/>
      <c r="EJ280" s="68"/>
      <c r="EK280" s="252"/>
      <c r="EL280" s="252"/>
      <c r="EM280" s="252"/>
      <c r="EO280" s="252"/>
      <c r="EP280" s="252"/>
      <c r="EQ280" s="252"/>
      <c r="ES280" s="252"/>
      <c r="ET280" s="252"/>
      <c r="EU280" s="252"/>
      <c r="EW280" s="252"/>
      <c r="EX280" s="252"/>
      <c r="EY280" s="252"/>
      <c r="FA280" s="250"/>
      <c r="FB280" s="250"/>
      <c r="FC280" s="250"/>
      <c r="FD280" s="250"/>
      <c r="FE280" s="250"/>
      <c r="FF280" s="250"/>
      <c r="FG280" s="250"/>
      <c r="FH280" s="424"/>
      <c r="FI280" s="250"/>
      <c r="FJ280" s="250"/>
      <c r="FK280" s="250"/>
      <c r="FL280" s="256"/>
      <c r="FM280" s="250"/>
      <c r="FN280" s="256"/>
      <c r="FO280" s="250"/>
      <c r="FP280" s="256"/>
      <c r="FQ280" s="250"/>
      <c r="FR280" s="256"/>
      <c r="FS280" s="250"/>
      <c r="FT280" s="256"/>
      <c r="FU280" s="256"/>
      <c r="FV280" s="256"/>
      <c r="FW280" s="250"/>
      <c r="FX280" s="424"/>
      <c r="FY280" s="251"/>
      <c r="GC280" s="252"/>
      <c r="GF280" s="252"/>
      <c r="GG280" s="252"/>
      <c r="GH280" s="252"/>
      <c r="GI280" s="252"/>
      <c r="GJ280" s="252"/>
      <c r="GK280" s="251"/>
      <c r="GL280" s="250"/>
      <c r="GM280" s="250"/>
      <c r="GN280" s="250"/>
      <c r="GO280" s="250"/>
      <c r="GP280" s="250"/>
      <c r="GQ280" s="250"/>
      <c r="GR280" s="250"/>
      <c r="GS280" s="250"/>
      <c r="GT280" s="250"/>
      <c r="GU280" s="251"/>
      <c r="GV280" s="250"/>
      <c r="GW280" s="250"/>
      <c r="GX280" s="250"/>
      <c r="GY280" s="250"/>
      <c r="GZ280" s="250"/>
      <c r="HA280" s="250"/>
      <c r="HB280" s="250"/>
      <c r="HC280" s="250"/>
      <c r="HD280" s="250"/>
      <c r="HE280" s="250"/>
      <c r="HF280" s="250"/>
      <c r="HG280" s="250"/>
      <c r="HH280" s="251"/>
      <c r="HI280" s="424"/>
      <c r="HJ280" s="255"/>
      <c r="HK280" s="255"/>
      <c r="HL280" s="250"/>
      <c r="HM280" s="255"/>
      <c r="HN280" s="255"/>
      <c r="HO280" s="255"/>
      <c r="HP280" s="250"/>
      <c r="HQ280" s="250"/>
      <c r="HR280" s="250"/>
      <c r="HS280" s="250"/>
      <c r="HT280" s="250"/>
      <c r="HU280" s="251"/>
      <c r="HX280" s="252"/>
      <c r="HY280" s="252"/>
      <c r="HZ280" s="252"/>
      <c r="ID280" s="252"/>
      <c r="IE280" s="252"/>
      <c r="IF280" s="252"/>
      <c r="IJ280" s="252"/>
      <c r="IK280" s="252"/>
      <c r="IL280" s="252"/>
      <c r="IP280" s="252"/>
      <c r="IQ280" s="252"/>
      <c r="IR280" s="252"/>
      <c r="IY280" s="66"/>
      <c r="IZ280" s="66"/>
      <c r="JA280" s="66"/>
      <c r="JB280" s="250"/>
      <c r="JC280" s="66"/>
      <c r="JD280" s="66"/>
      <c r="JE280" s="66"/>
      <c r="JF280" s="66"/>
      <c r="JG280" s="66"/>
      <c r="JH280" s="66"/>
      <c r="JI280" s="66"/>
      <c r="JJ280" s="66"/>
      <c r="JK280" s="8"/>
      <c r="JN280" s="252"/>
      <c r="JO280" s="252"/>
      <c r="JP280" s="252"/>
      <c r="JT280" s="252"/>
      <c r="JU280" s="252"/>
      <c r="JV280" s="252"/>
      <c r="JZ280" s="252"/>
      <c r="KA280" s="252"/>
      <c r="KB280" s="252"/>
      <c r="KF280" s="252"/>
      <c r="KG280" s="252"/>
      <c r="KH280" s="252"/>
      <c r="KO280" s="66"/>
      <c r="KP280" s="66"/>
      <c r="KQ280" s="66"/>
      <c r="KR280" s="66"/>
      <c r="KS280" s="66"/>
      <c r="KT280" s="66"/>
      <c r="KU280" s="66"/>
      <c r="KV280" s="66"/>
      <c r="KW280" s="66"/>
      <c r="KX280" s="66"/>
      <c r="KY280" s="66"/>
      <c r="KZ280" s="66"/>
      <c r="LA280" s="8"/>
      <c r="LD280" s="252"/>
      <c r="LE280" s="252"/>
      <c r="LF280" s="252"/>
      <c r="LJ280" s="252"/>
      <c r="LK280" s="252"/>
      <c r="LN280" s="252"/>
      <c r="LO280" s="252"/>
      <c r="LP280" s="252"/>
      <c r="LT280" s="271"/>
      <c r="LU280" s="250"/>
      <c r="LV280" s="250"/>
      <c r="LW280" s="250"/>
      <c r="LX280" s="250"/>
      <c r="LY280" s="250"/>
      <c r="LZ280" s="250"/>
      <c r="MA280" s="250"/>
      <c r="MB280" s="250"/>
      <c r="MC280" s="250"/>
      <c r="MD280" s="250"/>
      <c r="ME280" s="250"/>
      <c r="MF280" s="250"/>
      <c r="MG280" s="250"/>
      <c r="MH280" s="250"/>
      <c r="MI280" s="250"/>
      <c r="MJ280" s="250"/>
      <c r="MK280" s="424"/>
      <c r="ML280" s="640"/>
      <c r="MM280" s="251"/>
      <c r="MN280" s="252"/>
      <c r="MO280" s="252"/>
      <c r="MP280" s="252"/>
      <c r="MQ280" s="252"/>
      <c r="MR280" s="252"/>
      <c r="MS280" s="252"/>
      <c r="MT280" s="252"/>
      <c r="MU280" s="252"/>
      <c r="MV280" s="252"/>
      <c r="MW280" s="252"/>
      <c r="MX280" s="252"/>
      <c r="MY280" s="252"/>
      <c r="MZ280" s="252"/>
      <c r="NA280" s="252"/>
      <c r="NB280" s="252"/>
      <c r="NC280" s="251"/>
      <c r="ND280" s="250"/>
      <c r="NE280" s="250"/>
      <c r="NF280" s="250"/>
      <c r="NG280" s="250"/>
      <c r="NH280" s="250"/>
      <c r="NI280" s="250"/>
      <c r="NJ280" s="250"/>
      <c r="NK280" s="250"/>
      <c r="NL280" s="250"/>
      <c r="NM280" s="250"/>
      <c r="NN280" s="250"/>
      <c r="NO280" s="250"/>
      <c r="NP280" s="250"/>
      <c r="NQ280" s="250"/>
      <c r="NR280" s="250"/>
      <c r="NS280" s="250"/>
      <c r="NT280" s="250"/>
      <c r="NU280" s="250"/>
      <c r="NV280" s="250"/>
      <c r="NW280" s="251"/>
      <c r="OT280" s="8"/>
      <c r="QG280" s="8"/>
      <c r="RT280" s="8"/>
    </row>
    <row r="281" spans="1:488" s="282" customFormat="1" x14ac:dyDescent="0.25">
      <c r="A281" s="66"/>
      <c r="B281" s="8"/>
      <c r="C281" s="66"/>
      <c r="D281" s="66"/>
      <c r="E281" s="66"/>
      <c r="F281" s="66"/>
      <c r="G281" s="66"/>
      <c r="H281" s="66"/>
      <c r="I281" s="66"/>
      <c r="J281" s="66"/>
      <c r="K281" s="66"/>
      <c r="L281" s="66"/>
      <c r="M281" s="66"/>
      <c r="N281" s="66"/>
      <c r="O281" s="66"/>
      <c r="P281" s="66"/>
      <c r="Q281" s="66"/>
      <c r="R281" s="66"/>
      <c r="S281" s="66"/>
      <c r="T281" s="68"/>
      <c r="AC281" s="66"/>
      <c r="AD281" s="66"/>
      <c r="AE281" s="68"/>
      <c r="AN281" s="66"/>
      <c r="AO281" s="66"/>
      <c r="AP281" s="68"/>
      <c r="AW281" s="66"/>
      <c r="AX281" s="68"/>
      <c r="BD281" s="66"/>
      <c r="BE281" s="68"/>
      <c r="BF281" s="66"/>
      <c r="BG281" s="66"/>
      <c r="BH281" s="66"/>
      <c r="BI281" s="66"/>
      <c r="BJ281" s="66"/>
      <c r="BK281" s="66"/>
      <c r="BL281" s="68"/>
      <c r="BO281" s="66"/>
      <c r="BP281" s="68"/>
      <c r="BV281" s="66"/>
      <c r="BW281" s="68"/>
      <c r="CB281" s="8"/>
      <c r="CH281" s="8"/>
      <c r="CK281" s="299"/>
      <c r="CL281" s="299"/>
      <c r="CM281" s="66"/>
      <c r="CN281" s="66"/>
      <c r="CO281" s="68"/>
      <c r="CR281" s="8"/>
      <c r="CX281" s="66"/>
      <c r="CY281" s="532"/>
      <c r="DE281" s="66"/>
      <c r="DF281" s="66"/>
      <c r="DG281" s="68"/>
      <c r="DH281" s="68"/>
      <c r="DK281" s="66"/>
      <c r="DL281" s="66"/>
      <c r="DM281" s="66"/>
      <c r="DN281" s="66"/>
      <c r="DO281" s="66"/>
      <c r="DP281" s="66"/>
      <c r="DQ281" s="66"/>
      <c r="DR281" s="66"/>
      <c r="DS281" s="66"/>
      <c r="DT281" s="68"/>
      <c r="DU281" s="66"/>
      <c r="DV281" s="296"/>
      <c r="DW281" s="330"/>
      <c r="DX281" s="631"/>
      <c r="DY281" s="631"/>
      <c r="DZ281" s="631"/>
      <c r="EA281" s="330"/>
      <c r="EC281" s="66"/>
      <c r="ED281" s="68"/>
      <c r="EH281" s="66"/>
      <c r="EI281" s="66"/>
      <c r="EJ281" s="68"/>
      <c r="EK281" s="252"/>
      <c r="EL281" s="252"/>
      <c r="EM281" s="252"/>
      <c r="EO281" s="252"/>
      <c r="EP281" s="252"/>
      <c r="EQ281" s="252"/>
      <c r="ES281" s="252"/>
      <c r="ET281" s="252"/>
      <c r="EU281" s="252"/>
      <c r="EW281" s="252"/>
      <c r="EX281" s="252"/>
      <c r="EY281" s="252"/>
      <c r="FA281" s="250"/>
      <c r="FB281" s="250"/>
      <c r="FC281" s="250"/>
      <c r="FD281" s="250"/>
      <c r="FE281" s="250"/>
      <c r="FF281" s="250"/>
      <c r="FG281" s="250"/>
      <c r="FH281" s="424"/>
      <c r="FI281" s="250"/>
      <c r="FJ281" s="250"/>
      <c r="FK281" s="250"/>
      <c r="FL281" s="256"/>
      <c r="FM281" s="250"/>
      <c r="FN281" s="256"/>
      <c r="FO281" s="250"/>
      <c r="FP281" s="256"/>
      <c r="FQ281" s="250"/>
      <c r="FR281" s="256"/>
      <c r="FS281" s="250"/>
      <c r="FT281" s="256"/>
      <c r="FU281" s="256"/>
      <c r="FV281" s="256"/>
      <c r="FW281" s="250"/>
      <c r="FX281" s="424"/>
      <c r="FY281" s="251"/>
      <c r="GC281" s="252"/>
      <c r="GF281" s="252"/>
      <c r="GG281" s="252"/>
      <c r="GH281" s="252"/>
      <c r="GI281" s="252"/>
      <c r="GJ281" s="252"/>
      <c r="GK281" s="251"/>
      <c r="GL281" s="250"/>
      <c r="GM281" s="250"/>
      <c r="GN281" s="250"/>
      <c r="GO281" s="250"/>
      <c r="GP281" s="250"/>
      <c r="GQ281" s="250"/>
      <c r="GR281" s="250"/>
      <c r="GS281" s="250"/>
      <c r="GT281" s="250"/>
      <c r="GU281" s="251"/>
      <c r="GV281" s="250"/>
      <c r="GW281" s="250"/>
      <c r="GX281" s="250"/>
      <c r="GY281" s="250"/>
      <c r="GZ281" s="250"/>
      <c r="HA281" s="250"/>
      <c r="HB281" s="250"/>
      <c r="HC281" s="250"/>
      <c r="HD281" s="250"/>
      <c r="HE281" s="250"/>
      <c r="HF281" s="250"/>
      <c r="HG281" s="250"/>
      <c r="HH281" s="251"/>
      <c r="HI281" s="424"/>
      <c r="HJ281" s="255"/>
      <c r="HK281" s="255"/>
      <c r="HL281" s="250"/>
      <c r="HM281" s="255"/>
      <c r="HN281" s="255"/>
      <c r="HO281" s="255"/>
      <c r="HP281" s="250"/>
      <c r="HQ281" s="250"/>
      <c r="HR281" s="250"/>
      <c r="HS281" s="250"/>
      <c r="HT281" s="250"/>
      <c r="HU281" s="251"/>
      <c r="HX281" s="252"/>
      <c r="HY281" s="252"/>
      <c r="HZ281" s="252"/>
      <c r="ID281" s="252"/>
      <c r="IE281" s="252"/>
      <c r="IF281" s="252"/>
      <c r="IJ281" s="252"/>
      <c r="IK281" s="252"/>
      <c r="IL281" s="252"/>
      <c r="IP281" s="252"/>
      <c r="IQ281" s="252"/>
      <c r="IR281" s="252"/>
      <c r="IY281" s="66"/>
      <c r="IZ281" s="66"/>
      <c r="JA281" s="66"/>
      <c r="JB281" s="250"/>
      <c r="JC281" s="66"/>
      <c r="JD281" s="66"/>
      <c r="JE281" s="66"/>
      <c r="JF281" s="66"/>
      <c r="JG281" s="66"/>
      <c r="JH281" s="66"/>
      <c r="JI281" s="66"/>
      <c r="JJ281" s="66"/>
      <c r="JK281" s="8"/>
      <c r="JN281" s="252"/>
      <c r="JO281" s="252"/>
      <c r="JP281" s="252"/>
      <c r="JT281" s="252"/>
      <c r="JU281" s="252"/>
      <c r="JV281" s="252"/>
      <c r="JZ281" s="252"/>
      <c r="KA281" s="252"/>
      <c r="KB281" s="252"/>
      <c r="KF281" s="252"/>
      <c r="KG281" s="252"/>
      <c r="KH281" s="252"/>
      <c r="KO281" s="66"/>
      <c r="KP281" s="66"/>
      <c r="KQ281" s="66"/>
      <c r="KR281" s="66"/>
      <c r="KS281" s="66"/>
      <c r="KT281" s="66"/>
      <c r="KU281" s="66"/>
      <c r="KV281" s="66"/>
      <c r="KW281" s="66"/>
      <c r="KX281" s="66"/>
      <c r="KY281" s="66"/>
      <c r="KZ281" s="66"/>
      <c r="LA281" s="8"/>
      <c r="LD281" s="252"/>
      <c r="LE281" s="252"/>
      <c r="LF281" s="252"/>
      <c r="LJ281" s="252"/>
      <c r="LK281" s="252"/>
      <c r="LN281" s="252"/>
      <c r="LO281" s="252"/>
      <c r="LP281" s="252"/>
      <c r="LT281" s="271"/>
      <c r="LU281" s="250"/>
      <c r="LV281" s="250"/>
      <c r="LW281" s="250"/>
      <c r="LX281" s="250"/>
      <c r="LY281" s="250"/>
      <c r="LZ281" s="250"/>
      <c r="MA281" s="250"/>
      <c r="MB281" s="250"/>
      <c r="MC281" s="250"/>
      <c r="MD281" s="250"/>
      <c r="ME281" s="250"/>
      <c r="MF281" s="250"/>
      <c r="MG281" s="250"/>
      <c r="MH281" s="250"/>
      <c r="MI281" s="250"/>
      <c r="MJ281" s="250"/>
      <c r="MK281" s="424"/>
      <c r="ML281" s="640"/>
      <c r="MM281" s="251"/>
      <c r="MN281" s="252"/>
      <c r="MO281" s="252"/>
      <c r="MP281" s="252"/>
      <c r="MQ281" s="252"/>
      <c r="MR281" s="252"/>
      <c r="MS281" s="252"/>
      <c r="MT281" s="252"/>
      <c r="MU281" s="252"/>
      <c r="MV281" s="252"/>
      <c r="MW281" s="252"/>
      <c r="MX281" s="252"/>
      <c r="MY281" s="252"/>
      <c r="MZ281" s="252"/>
      <c r="NA281" s="252"/>
      <c r="NB281" s="252"/>
      <c r="NC281" s="251"/>
      <c r="ND281" s="250"/>
      <c r="NE281" s="250"/>
      <c r="NF281" s="250"/>
      <c r="NG281" s="250"/>
      <c r="NH281" s="250"/>
      <c r="NI281" s="250"/>
      <c r="NJ281" s="250"/>
      <c r="NK281" s="250"/>
      <c r="NL281" s="250"/>
      <c r="NM281" s="250"/>
      <c r="NN281" s="250"/>
      <c r="NO281" s="250"/>
      <c r="NP281" s="250"/>
      <c r="NQ281" s="250"/>
      <c r="NR281" s="250"/>
      <c r="NS281" s="250"/>
      <c r="NT281" s="250"/>
      <c r="NU281" s="250"/>
      <c r="NV281" s="250"/>
      <c r="NW281" s="251"/>
      <c r="OT281" s="8"/>
      <c r="QG281" s="8"/>
      <c r="RT281" s="8"/>
    </row>
    <row r="282" spans="1:488" s="282" customFormat="1" x14ac:dyDescent="0.25">
      <c r="A282" s="66"/>
      <c r="B282" s="8"/>
      <c r="C282" s="66"/>
      <c r="D282" s="66"/>
      <c r="E282" s="66"/>
      <c r="F282" s="66"/>
      <c r="G282" s="66"/>
      <c r="H282" s="66"/>
      <c r="I282" s="66"/>
      <c r="J282" s="66"/>
      <c r="K282" s="66"/>
      <c r="L282" s="66"/>
      <c r="M282" s="66"/>
      <c r="N282" s="66"/>
      <c r="O282" s="66"/>
      <c r="P282" s="66"/>
      <c r="Q282" s="66"/>
      <c r="R282" s="66"/>
      <c r="S282" s="66"/>
      <c r="T282" s="68"/>
      <c r="AC282" s="66"/>
      <c r="AD282" s="66"/>
      <c r="AE282" s="68"/>
      <c r="AN282" s="66"/>
      <c r="AO282" s="66"/>
      <c r="AP282" s="68"/>
      <c r="AW282" s="66"/>
      <c r="AX282" s="68"/>
      <c r="BD282" s="66"/>
      <c r="BE282" s="68"/>
      <c r="BF282" s="66"/>
      <c r="BG282" s="66"/>
      <c r="BH282" s="66"/>
      <c r="BI282" s="66"/>
      <c r="BJ282" s="66"/>
      <c r="BK282" s="66"/>
      <c r="BL282" s="68"/>
      <c r="BO282" s="66"/>
      <c r="BP282" s="68"/>
      <c r="BV282" s="66"/>
      <c r="BW282" s="68"/>
      <c r="CB282" s="8"/>
      <c r="CH282" s="8"/>
      <c r="CK282" s="299"/>
      <c r="CL282" s="299"/>
      <c r="CM282" s="66"/>
      <c r="CN282" s="66"/>
      <c r="CO282" s="68"/>
      <c r="CR282" s="8"/>
      <c r="CX282" s="66"/>
      <c r="CY282" s="532"/>
      <c r="DE282" s="66"/>
      <c r="DF282" s="66"/>
      <c r="DG282" s="68"/>
      <c r="DH282" s="68"/>
      <c r="DK282" s="66"/>
      <c r="DL282" s="66"/>
      <c r="DM282" s="66"/>
      <c r="DN282" s="66"/>
      <c r="DO282" s="66"/>
      <c r="DP282" s="66"/>
      <c r="DQ282" s="66"/>
      <c r="DR282" s="66"/>
      <c r="DS282" s="66"/>
      <c r="DT282" s="68"/>
      <c r="DU282" s="66"/>
      <c r="DV282" s="296"/>
      <c r="DW282" s="330"/>
      <c r="DX282" s="631"/>
      <c r="DY282" s="631"/>
      <c r="DZ282" s="631"/>
      <c r="EA282" s="330"/>
      <c r="EC282" s="66"/>
      <c r="ED282" s="68"/>
      <c r="EH282" s="66"/>
      <c r="EI282" s="66"/>
      <c r="EJ282" s="68"/>
      <c r="EK282" s="252"/>
      <c r="EL282" s="252"/>
      <c r="EM282" s="252"/>
      <c r="EO282" s="252"/>
      <c r="EP282" s="252"/>
      <c r="EQ282" s="252"/>
      <c r="ES282" s="252"/>
      <c r="ET282" s="252"/>
      <c r="EU282" s="252"/>
      <c r="EW282" s="252"/>
      <c r="EX282" s="252"/>
      <c r="EY282" s="252"/>
      <c r="FA282" s="250"/>
      <c r="FB282" s="250"/>
      <c r="FC282" s="250"/>
      <c r="FD282" s="250"/>
      <c r="FE282" s="250"/>
      <c r="FF282" s="250"/>
      <c r="FG282" s="250"/>
      <c r="FH282" s="424"/>
      <c r="FI282" s="250"/>
      <c r="FJ282" s="250"/>
      <c r="FK282" s="250"/>
      <c r="FL282" s="256"/>
      <c r="FM282" s="250"/>
      <c r="FN282" s="256"/>
      <c r="FO282" s="250"/>
      <c r="FP282" s="256"/>
      <c r="FQ282" s="250"/>
      <c r="FR282" s="256"/>
      <c r="FS282" s="250"/>
      <c r="FT282" s="256"/>
      <c r="FU282" s="256"/>
      <c r="FV282" s="256"/>
      <c r="FW282" s="250"/>
      <c r="FX282" s="424"/>
      <c r="FY282" s="251"/>
      <c r="GC282" s="252"/>
      <c r="GF282" s="252"/>
      <c r="GG282" s="252"/>
      <c r="GH282" s="252"/>
      <c r="GI282" s="252"/>
      <c r="GJ282" s="252"/>
      <c r="GK282" s="251"/>
      <c r="GL282" s="250"/>
      <c r="GM282" s="250"/>
      <c r="GN282" s="250"/>
      <c r="GO282" s="250"/>
      <c r="GP282" s="250"/>
      <c r="GQ282" s="250"/>
      <c r="GR282" s="250"/>
      <c r="GS282" s="250"/>
      <c r="GT282" s="250"/>
      <c r="GU282" s="251"/>
      <c r="GV282" s="250"/>
      <c r="GW282" s="250"/>
      <c r="GX282" s="250"/>
      <c r="GY282" s="250"/>
      <c r="GZ282" s="250"/>
      <c r="HA282" s="250"/>
      <c r="HB282" s="250"/>
      <c r="HC282" s="250"/>
      <c r="HD282" s="250"/>
      <c r="HE282" s="250"/>
      <c r="HF282" s="250"/>
      <c r="HG282" s="250"/>
      <c r="HH282" s="251"/>
      <c r="HI282" s="424"/>
      <c r="HJ282" s="255"/>
      <c r="HK282" s="255"/>
      <c r="HL282" s="250"/>
      <c r="HM282" s="255"/>
      <c r="HN282" s="255"/>
      <c r="HO282" s="255"/>
      <c r="HP282" s="250"/>
      <c r="HQ282" s="250"/>
      <c r="HR282" s="250"/>
      <c r="HS282" s="250"/>
      <c r="HT282" s="250"/>
      <c r="HU282" s="251"/>
      <c r="HX282" s="252"/>
      <c r="HY282" s="252"/>
      <c r="HZ282" s="252"/>
      <c r="ID282" s="252"/>
      <c r="IE282" s="252"/>
      <c r="IF282" s="252"/>
      <c r="IJ282" s="252"/>
      <c r="IK282" s="252"/>
      <c r="IL282" s="252"/>
      <c r="IP282" s="252"/>
      <c r="IQ282" s="252"/>
      <c r="IR282" s="252"/>
      <c r="IY282" s="66"/>
      <c r="IZ282" s="66"/>
      <c r="JA282" s="66"/>
      <c r="JB282" s="250"/>
      <c r="JC282" s="66"/>
      <c r="JD282" s="66"/>
      <c r="JE282" s="66"/>
      <c r="JF282" s="66"/>
      <c r="JG282" s="66"/>
      <c r="JH282" s="66"/>
      <c r="JI282" s="66"/>
      <c r="JJ282" s="66"/>
      <c r="JK282" s="8"/>
      <c r="JN282" s="252"/>
      <c r="JO282" s="252"/>
      <c r="JP282" s="252"/>
      <c r="JT282" s="252"/>
      <c r="JU282" s="252"/>
      <c r="JV282" s="252"/>
      <c r="JZ282" s="252"/>
      <c r="KA282" s="252"/>
      <c r="KB282" s="252"/>
      <c r="KF282" s="252"/>
      <c r="KG282" s="252"/>
      <c r="KH282" s="252"/>
      <c r="KO282" s="66"/>
      <c r="KP282" s="66"/>
      <c r="KQ282" s="66"/>
      <c r="KR282" s="66"/>
      <c r="KS282" s="66"/>
      <c r="KT282" s="66"/>
      <c r="KU282" s="66"/>
      <c r="KV282" s="66"/>
      <c r="KW282" s="66"/>
      <c r="KX282" s="66"/>
      <c r="KY282" s="66"/>
      <c r="KZ282" s="66"/>
      <c r="LA282" s="8"/>
      <c r="LD282" s="252"/>
      <c r="LE282" s="252"/>
      <c r="LF282" s="252"/>
      <c r="LJ282" s="252"/>
      <c r="LK282" s="252"/>
      <c r="LN282" s="252"/>
      <c r="LO282" s="252"/>
      <c r="LP282" s="252"/>
      <c r="LT282" s="271"/>
      <c r="LU282" s="250"/>
      <c r="LV282" s="250"/>
      <c r="LW282" s="250"/>
      <c r="LX282" s="250"/>
      <c r="LY282" s="250"/>
      <c r="LZ282" s="250"/>
      <c r="MA282" s="250"/>
      <c r="MB282" s="250"/>
      <c r="MC282" s="250"/>
      <c r="MD282" s="250"/>
      <c r="ME282" s="250"/>
      <c r="MF282" s="250"/>
      <c r="MG282" s="250"/>
      <c r="MH282" s="250"/>
      <c r="MI282" s="250"/>
      <c r="MJ282" s="250"/>
      <c r="MK282" s="424"/>
      <c r="ML282" s="640"/>
      <c r="MM282" s="251"/>
      <c r="MN282" s="252"/>
      <c r="MO282" s="252"/>
      <c r="MP282" s="252"/>
      <c r="MQ282" s="252"/>
      <c r="MR282" s="252"/>
      <c r="MS282" s="252"/>
      <c r="MT282" s="252"/>
      <c r="MU282" s="252"/>
      <c r="MV282" s="252"/>
      <c r="MW282" s="252"/>
      <c r="MX282" s="252"/>
      <c r="MY282" s="252"/>
      <c r="MZ282" s="252"/>
      <c r="NA282" s="252"/>
      <c r="NB282" s="252"/>
      <c r="NC282" s="251"/>
      <c r="ND282" s="250"/>
      <c r="NE282" s="250"/>
      <c r="NF282" s="250"/>
      <c r="NG282" s="250"/>
      <c r="NH282" s="250"/>
      <c r="NI282" s="250"/>
      <c r="NJ282" s="250"/>
      <c r="NK282" s="250"/>
      <c r="NL282" s="250"/>
      <c r="NM282" s="250"/>
      <c r="NN282" s="250"/>
      <c r="NO282" s="250"/>
      <c r="NP282" s="250"/>
      <c r="NQ282" s="250"/>
      <c r="NR282" s="250"/>
      <c r="NS282" s="250"/>
      <c r="NT282" s="250"/>
      <c r="NU282" s="250"/>
      <c r="NV282" s="250"/>
      <c r="NW282" s="251"/>
      <c r="OT282" s="8"/>
      <c r="QG282" s="8"/>
      <c r="RT282" s="8"/>
    </row>
    <row r="283" spans="1:488" s="282" customFormat="1" x14ac:dyDescent="0.25">
      <c r="A283" s="66"/>
      <c r="B283" s="8"/>
      <c r="C283" s="66"/>
      <c r="D283" s="66"/>
      <c r="E283" s="66"/>
      <c r="F283" s="66"/>
      <c r="G283" s="66"/>
      <c r="H283" s="66"/>
      <c r="I283" s="66"/>
      <c r="J283" s="66"/>
      <c r="K283" s="66"/>
      <c r="L283" s="66"/>
      <c r="M283" s="66"/>
      <c r="N283" s="66"/>
      <c r="O283" s="66"/>
      <c r="P283" s="66"/>
      <c r="Q283" s="66"/>
      <c r="R283" s="66"/>
      <c r="S283" s="66"/>
      <c r="T283" s="68"/>
      <c r="AC283" s="66"/>
      <c r="AD283" s="66"/>
      <c r="AE283" s="68"/>
      <c r="AN283" s="66"/>
      <c r="AO283" s="66"/>
      <c r="AP283" s="68"/>
      <c r="AW283" s="66"/>
      <c r="AX283" s="68"/>
      <c r="BD283" s="66"/>
      <c r="BE283" s="68"/>
      <c r="BF283" s="66"/>
      <c r="BG283" s="66"/>
      <c r="BH283" s="66"/>
      <c r="BI283" s="66"/>
      <c r="BJ283" s="66"/>
      <c r="BK283" s="66"/>
      <c r="BL283" s="68"/>
      <c r="BO283" s="66"/>
      <c r="BP283" s="68"/>
      <c r="BV283" s="66"/>
      <c r="BW283" s="68"/>
      <c r="CB283" s="8"/>
      <c r="CH283" s="8"/>
      <c r="CK283" s="299"/>
      <c r="CL283" s="299"/>
      <c r="CM283" s="66"/>
      <c r="CN283" s="66"/>
      <c r="CO283" s="68"/>
      <c r="CR283" s="8"/>
      <c r="CX283" s="66"/>
      <c r="CY283" s="532"/>
      <c r="DE283" s="66"/>
      <c r="DF283" s="66"/>
      <c r="DG283" s="68"/>
      <c r="DH283" s="68"/>
      <c r="DK283" s="66"/>
      <c r="DL283" s="66"/>
      <c r="DM283" s="66"/>
      <c r="DN283" s="66"/>
      <c r="DO283" s="66"/>
      <c r="DP283" s="66"/>
      <c r="DQ283" s="66"/>
      <c r="DR283" s="66"/>
      <c r="DS283" s="66"/>
      <c r="DT283" s="68"/>
      <c r="DU283" s="66"/>
      <c r="DV283" s="296"/>
      <c r="DW283" s="330"/>
      <c r="DX283" s="631"/>
      <c r="DY283" s="631"/>
      <c r="DZ283" s="631"/>
      <c r="EA283" s="330"/>
      <c r="EC283" s="66"/>
      <c r="ED283" s="68"/>
      <c r="EH283" s="66"/>
      <c r="EI283" s="66"/>
      <c r="EJ283" s="68"/>
      <c r="EK283" s="252"/>
      <c r="EL283" s="252"/>
      <c r="EM283" s="252"/>
      <c r="EO283" s="252"/>
      <c r="EP283" s="252"/>
      <c r="EQ283" s="252"/>
      <c r="ES283" s="252"/>
      <c r="ET283" s="252"/>
      <c r="EU283" s="252"/>
      <c r="EW283" s="252"/>
      <c r="EX283" s="252"/>
      <c r="EY283" s="252"/>
      <c r="FA283" s="250"/>
      <c r="FB283" s="250"/>
      <c r="FC283" s="250"/>
      <c r="FD283" s="250"/>
      <c r="FE283" s="250"/>
      <c r="FF283" s="250"/>
      <c r="FG283" s="250"/>
      <c r="FH283" s="424"/>
      <c r="FI283" s="250"/>
      <c r="FJ283" s="250"/>
      <c r="FK283" s="250"/>
      <c r="FL283" s="256"/>
      <c r="FM283" s="250"/>
      <c r="FN283" s="256"/>
      <c r="FO283" s="250"/>
      <c r="FP283" s="256"/>
      <c r="FQ283" s="250"/>
      <c r="FR283" s="256"/>
      <c r="FS283" s="250"/>
      <c r="FT283" s="256"/>
      <c r="FU283" s="256"/>
      <c r="FV283" s="256"/>
      <c r="FW283" s="250"/>
      <c r="FX283" s="424"/>
      <c r="FY283" s="251"/>
      <c r="GC283" s="252"/>
      <c r="GF283" s="252"/>
      <c r="GG283" s="252"/>
      <c r="GH283" s="252"/>
      <c r="GI283" s="252"/>
      <c r="GJ283" s="252"/>
      <c r="GK283" s="251"/>
      <c r="GL283" s="250"/>
      <c r="GM283" s="250"/>
      <c r="GN283" s="250"/>
      <c r="GO283" s="250"/>
      <c r="GP283" s="250"/>
      <c r="GQ283" s="250"/>
      <c r="GR283" s="250"/>
      <c r="GS283" s="250"/>
      <c r="GT283" s="250"/>
      <c r="GU283" s="251"/>
      <c r="GV283" s="250"/>
      <c r="GW283" s="250"/>
      <c r="GX283" s="250"/>
      <c r="GY283" s="250"/>
      <c r="GZ283" s="250"/>
      <c r="HA283" s="250"/>
      <c r="HB283" s="250"/>
      <c r="HC283" s="250"/>
      <c r="HD283" s="250"/>
      <c r="HE283" s="250"/>
      <c r="HF283" s="250"/>
      <c r="HG283" s="250"/>
      <c r="HH283" s="251"/>
      <c r="HI283" s="424"/>
      <c r="HJ283" s="255"/>
      <c r="HK283" s="255"/>
      <c r="HL283" s="250"/>
      <c r="HM283" s="255"/>
      <c r="HN283" s="255"/>
      <c r="HO283" s="255"/>
      <c r="HP283" s="250"/>
      <c r="HQ283" s="250"/>
      <c r="HR283" s="250"/>
      <c r="HS283" s="250"/>
      <c r="HT283" s="250"/>
      <c r="HU283" s="251"/>
      <c r="HX283" s="252"/>
      <c r="HY283" s="252"/>
      <c r="HZ283" s="252"/>
      <c r="ID283" s="252"/>
      <c r="IE283" s="252"/>
      <c r="IF283" s="252"/>
      <c r="IJ283" s="252"/>
      <c r="IK283" s="252"/>
      <c r="IL283" s="252"/>
      <c r="IP283" s="252"/>
      <c r="IQ283" s="252"/>
      <c r="IR283" s="252"/>
      <c r="IY283" s="66"/>
      <c r="IZ283" s="66"/>
      <c r="JA283" s="66"/>
      <c r="JB283" s="250"/>
      <c r="JC283" s="66"/>
      <c r="JD283" s="66"/>
      <c r="JE283" s="66"/>
      <c r="JF283" s="66"/>
      <c r="JG283" s="66"/>
      <c r="JH283" s="66"/>
      <c r="JI283" s="66"/>
      <c r="JJ283" s="66"/>
      <c r="JK283" s="8"/>
      <c r="JN283" s="252"/>
      <c r="JO283" s="252"/>
      <c r="JP283" s="252"/>
      <c r="JT283" s="252"/>
      <c r="JU283" s="252"/>
      <c r="JV283" s="252"/>
      <c r="JZ283" s="252"/>
      <c r="KA283" s="252"/>
      <c r="KB283" s="252"/>
      <c r="KF283" s="252"/>
      <c r="KG283" s="252"/>
      <c r="KH283" s="252"/>
      <c r="KO283" s="66"/>
      <c r="KP283" s="66"/>
      <c r="KQ283" s="66"/>
      <c r="KR283" s="66"/>
      <c r="KS283" s="66"/>
      <c r="KT283" s="66"/>
      <c r="KU283" s="66"/>
      <c r="KV283" s="66"/>
      <c r="KW283" s="66"/>
      <c r="KX283" s="66"/>
      <c r="KY283" s="66"/>
      <c r="KZ283" s="66"/>
      <c r="LA283" s="8"/>
      <c r="LD283" s="252"/>
      <c r="LE283" s="252"/>
      <c r="LF283" s="252"/>
      <c r="LJ283" s="252"/>
      <c r="LK283" s="252"/>
      <c r="LN283" s="252"/>
      <c r="LO283" s="252"/>
      <c r="LP283" s="252"/>
      <c r="LT283" s="271"/>
      <c r="LU283" s="250"/>
      <c r="LV283" s="250"/>
      <c r="LW283" s="250"/>
      <c r="LX283" s="250"/>
      <c r="LY283" s="250"/>
      <c r="LZ283" s="250"/>
      <c r="MA283" s="250"/>
      <c r="MB283" s="250"/>
      <c r="MC283" s="250"/>
      <c r="MD283" s="250"/>
      <c r="ME283" s="250"/>
      <c r="MF283" s="250"/>
      <c r="MG283" s="250"/>
      <c r="MH283" s="250"/>
      <c r="MI283" s="250"/>
      <c r="MJ283" s="250"/>
      <c r="MK283" s="424"/>
      <c r="ML283" s="640"/>
      <c r="MM283" s="251"/>
      <c r="MN283" s="252"/>
      <c r="MO283" s="252"/>
      <c r="MP283" s="252"/>
      <c r="MQ283" s="252"/>
      <c r="MR283" s="252"/>
      <c r="MS283" s="252"/>
      <c r="MT283" s="252"/>
      <c r="MU283" s="252"/>
      <c r="MV283" s="252"/>
      <c r="MW283" s="252"/>
      <c r="MX283" s="252"/>
      <c r="MY283" s="252"/>
      <c r="MZ283" s="252"/>
      <c r="NA283" s="252"/>
      <c r="NB283" s="252"/>
      <c r="NC283" s="251"/>
      <c r="ND283" s="250"/>
      <c r="NE283" s="250"/>
      <c r="NF283" s="250"/>
      <c r="NG283" s="250"/>
      <c r="NH283" s="250"/>
      <c r="NI283" s="250"/>
      <c r="NJ283" s="250"/>
      <c r="NK283" s="250"/>
      <c r="NL283" s="250"/>
      <c r="NM283" s="250"/>
      <c r="NN283" s="250"/>
      <c r="NO283" s="250"/>
      <c r="NP283" s="250"/>
      <c r="NQ283" s="250"/>
      <c r="NR283" s="250"/>
      <c r="NS283" s="250"/>
      <c r="NT283" s="250"/>
      <c r="NU283" s="250"/>
      <c r="NV283" s="250"/>
      <c r="NW283" s="251"/>
      <c r="OT283" s="8"/>
      <c r="QG283" s="8"/>
      <c r="RT283" s="8"/>
    </row>
    <row r="284" spans="1:488" s="282" customFormat="1" x14ac:dyDescent="0.25">
      <c r="A284" s="66"/>
      <c r="B284" s="8"/>
      <c r="C284" s="66"/>
      <c r="D284" s="66"/>
      <c r="E284" s="66"/>
      <c r="F284" s="66"/>
      <c r="G284" s="66"/>
      <c r="H284" s="66"/>
      <c r="I284" s="66"/>
      <c r="J284" s="66"/>
      <c r="K284" s="66"/>
      <c r="L284" s="66"/>
      <c r="M284" s="66"/>
      <c r="N284" s="66"/>
      <c r="O284" s="66"/>
      <c r="P284" s="66"/>
      <c r="Q284" s="66"/>
      <c r="R284" s="66"/>
      <c r="S284" s="66"/>
      <c r="T284" s="68"/>
      <c r="AC284" s="66"/>
      <c r="AD284" s="66"/>
      <c r="AE284" s="68"/>
      <c r="AN284" s="66"/>
      <c r="AO284" s="66"/>
      <c r="AP284" s="68"/>
      <c r="AW284" s="66"/>
      <c r="AX284" s="68"/>
      <c r="BD284" s="66"/>
      <c r="BE284" s="68"/>
      <c r="BF284" s="66"/>
      <c r="BG284" s="66"/>
      <c r="BH284" s="66"/>
      <c r="BI284" s="66"/>
      <c r="BJ284" s="66"/>
      <c r="BK284" s="66"/>
      <c r="BL284" s="68"/>
      <c r="BO284" s="66"/>
      <c r="BP284" s="68"/>
      <c r="BV284" s="66"/>
      <c r="BW284" s="68"/>
      <c r="CB284" s="8"/>
      <c r="CH284" s="8"/>
      <c r="CK284" s="299"/>
      <c r="CL284" s="299"/>
      <c r="CM284" s="66"/>
      <c r="CN284" s="66"/>
      <c r="CO284" s="68"/>
      <c r="CR284" s="8"/>
      <c r="CX284" s="66"/>
      <c r="CY284" s="532"/>
      <c r="DE284" s="66"/>
      <c r="DF284" s="66"/>
      <c r="DG284" s="68"/>
      <c r="DH284" s="68"/>
      <c r="DK284" s="66"/>
      <c r="DL284" s="66"/>
      <c r="DM284" s="66"/>
      <c r="DN284" s="66"/>
      <c r="DO284" s="66"/>
      <c r="DP284" s="66"/>
      <c r="DQ284" s="66"/>
      <c r="DR284" s="66"/>
      <c r="DS284" s="66"/>
      <c r="DT284" s="68"/>
      <c r="DU284" s="66"/>
      <c r="DV284" s="296"/>
      <c r="DW284" s="330"/>
      <c r="DX284" s="631"/>
      <c r="DY284" s="631"/>
      <c r="DZ284" s="631"/>
      <c r="EA284" s="330"/>
      <c r="EC284" s="66"/>
      <c r="ED284" s="68"/>
      <c r="EH284" s="66"/>
      <c r="EI284" s="66"/>
      <c r="EJ284" s="68"/>
      <c r="EK284" s="252"/>
      <c r="EL284" s="252"/>
      <c r="EM284" s="252"/>
      <c r="EO284" s="252"/>
      <c r="EP284" s="252"/>
      <c r="EQ284" s="252"/>
      <c r="ES284" s="252"/>
      <c r="ET284" s="252"/>
      <c r="EU284" s="252"/>
      <c r="EW284" s="252"/>
      <c r="EX284" s="252"/>
      <c r="EY284" s="252"/>
      <c r="FA284" s="250"/>
      <c r="FB284" s="250"/>
      <c r="FC284" s="250"/>
      <c r="FD284" s="250"/>
      <c r="FE284" s="250"/>
      <c r="FF284" s="250"/>
      <c r="FG284" s="250"/>
      <c r="FH284" s="424"/>
      <c r="FI284" s="250"/>
      <c r="FJ284" s="250"/>
      <c r="FK284" s="250"/>
      <c r="FL284" s="256"/>
      <c r="FM284" s="250"/>
      <c r="FN284" s="256"/>
      <c r="FO284" s="250"/>
      <c r="FP284" s="256"/>
      <c r="FQ284" s="250"/>
      <c r="FR284" s="256"/>
      <c r="FS284" s="250"/>
      <c r="FT284" s="256"/>
      <c r="FU284" s="256"/>
      <c r="FV284" s="256"/>
      <c r="FW284" s="250"/>
      <c r="FX284" s="424"/>
      <c r="FY284" s="251"/>
      <c r="GC284" s="252"/>
      <c r="GF284" s="252"/>
      <c r="GG284" s="252"/>
      <c r="GH284" s="252"/>
      <c r="GI284" s="252"/>
      <c r="GJ284" s="252"/>
      <c r="GK284" s="251"/>
      <c r="GL284" s="250"/>
      <c r="GM284" s="250"/>
      <c r="GN284" s="250"/>
      <c r="GO284" s="250"/>
      <c r="GP284" s="250"/>
      <c r="GQ284" s="250"/>
      <c r="GR284" s="250"/>
      <c r="GS284" s="250"/>
      <c r="GT284" s="250"/>
      <c r="GU284" s="251"/>
      <c r="GV284" s="250"/>
      <c r="GW284" s="250"/>
      <c r="GX284" s="250"/>
      <c r="GY284" s="250"/>
      <c r="GZ284" s="250"/>
      <c r="HA284" s="250"/>
      <c r="HB284" s="250"/>
      <c r="HC284" s="250"/>
      <c r="HD284" s="250"/>
      <c r="HE284" s="250"/>
      <c r="HF284" s="250"/>
      <c r="HG284" s="250"/>
      <c r="HH284" s="251"/>
      <c r="HI284" s="424"/>
      <c r="HJ284" s="255"/>
      <c r="HK284" s="255"/>
      <c r="HL284" s="250"/>
      <c r="HM284" s="255"/>
      <c r="HN284" s="255"/>
      <c r="HO284" s="255"/>
      <c r="HP284" s="250"/>
      <c r="HQ284" s="250"/>
      <c r="HR284" s="250"/>
      <c r="HS284" s="250"/>
      <c r="HT284" s="250"/>
      <c r="HU284" s="251"/>
      <c r="HX284" s="252"/>
      <c r="HY284" s="252"/>
      <c r="HZ284" s="252"/>
      <c r="ID284" s="252"/>
      <c r="IE284" s="252"/>
      <c r="IF284" s="252"/>
      <c r="IJ284" s="252"/>
      <c r="IK284" s="252"/>
      <c r="IL284" s="252"/>
      <c r="IP284" s="252"/>
      <c r="IQ284" s="252"/>
      <c r="IR284" s="252"/>
      <c r="IY284" s="66"/>
      <c r="IZ284" s="66"/>
      <c r="JA284" s="66"/>
      <c r="JB284" s="250"/>
      <c r="JC284" s="66"/>
      <c r="JD284" s="66"/>
      <c r="JE284" s="66"/>
      <c r="JF284" s="66"/>
      <c r="JG284" s="66"/>
      <c r="JH284" s="66"/>
      <c r="JI284" s="66"/>
      <c r="JJ284" s="66"/>
      <c r="JK284" s="8"/>
      <c r="JN284" s="252"/>
      <c r="JO284" s="252"/>
      <c r="JP284" s="252"/>
      <c r="JT284" s="252"/>
      <c r="JU284" s="252"/>
      <c r="JV284" s="252"/>
      <c r="JZ284" s="252"/>
      <c r="KA284" s="252"/>
      <c r="KB284" s="252"/>
      <c r="KF284" s="252"/>
      <c r="KG284" s="252"/>
      <c r="KH284" s="252"/>
      <c r="KO284" s="66"/>
      <c r="KP284" s="66"/>
      <c r="KQ284" s="66"/>
      <c r="KR284" s="66"/>
      <c r="KS284" s="66"/>
      <c r="KT284" s="66"/>
      <c r="KU284" s="66"/>
      <c r="KV284" s="66"/>
      <c r="KW284" s="66"/>
      <c r="KX284" s="66"/>
      <c r="KY284" s="66"/>
      <c r="KZ284" s="66"/>
      <c r="LA284" s="8"/>
      <c r="LD284" s="252"/>
      <c r="LE284" s="252"/>
      <c r="LF284" s="252"/>
      <c r="LJ284" s="252"/>
      <c r="LK284" s="252"/>
      <c r="LN284" s="252"/>
      <c r="LO284" s="252"/>
      <c r="LP284" s="252"/>
      <c r="LT284" s="271"/>
      <c r="LU284" s="250"/>
      <c r="LV284" s="250"/>
      <c r="LW284" s="250"/>
      <c r="LX284" s="250"/>
      <c r="LY284" s="250"/>
      <c r="LZ284" s="250"/>
      <c r="MA284" s="250"/>
      <c r="MB284" s="250"/>
      <c r="MC284" s="250"/>
      <c r="MD284" s="250"/>
      <c r="ME284" s="250"/>
      <c r="MF284" s="250"/>
      <c r="MG284" s="250"/>
      <c r="MH284" s="250"/>
      <c r="MI284" s="250"/>
      <c r="MJ284" s="250"/>
      <c r="MK284" s="424"/>
      <c r="ML284" s="640"/>
      <c r="MM284" s="251"/>
      <c r="MN284" s="252"/>
      <c r="MO284" s="252"/>
      <c r="MP284" s="252"/>
      <c r="MQ284" s="252"/>
      <c r="MR284" s="252"/>
      <c r="MS284" s="252"/>
      <c r="MT284" s="252"/>
      <c r="MU284" s="252"/>
      <c r="MV284" s="252"/>
      <c r="MW284" s="252"/>
      <c r="MX284" s="252"/>
      <c r="MY284" s="252"/>
      <c r="MZ284" s="252"/>
      <c r="NA284" s="252"/>
      <c r="NB284" s="252"/>
      <c r="NC284" s="251"/>
      <c r="ND284" s="250"/>
      <c r="NE284" s="250"/>
      <c r="NF284" s="250"/>
      <c r="NG284" s="250"/>
      <c r="NH284" s="250"/>
      <c r="NI284" s="250"/>
      <c r="NJ284" s="250"/>
      <c r="NK284" s="250"/>
      <c r="NL284" s="250"/>
      <c r="NM284" s="250"/>
      <c r="NN284" s="250"/>
      <c r="NO284" s="250"/>
      <c r="NP284" s="250"/>
      <c r="NQ284" s="250"/>
      <c r="NR284" s="250"/>
      <c r="NS284" s="250"/>
      <c r="NT284" s="250"/>
      <c r="NU284" s="250"/>
      <c r="NV284" s="250"/>
      <c r="NW284" s="251"/>
      <c r="OT284" s="8"/>
      <c r="QG284" s="8"/>
      <c r="RT284" s="8"/>
    </row>
    <row r="285" spans="1:488" s="282" customFormat="1" x14ac:dyDescent="0.25">
      <c r="A285" s="66"/>
      <c r="B285" s="8"/>
      <c r="C285" s="66"/>
      <c r="D285" s="66"/>
      <c r="E285" s="66"/>
      <c r="F285" s="66"/>
      <c r="G285" s="66"/>
      <c r="H285" s="66"/>
      <c r="I285" s="66"/>
      <c r="J285" s="66"/>
      <c r="K285" s="66"/>
      <c r="L285" s="66"/>
      <c r="M285" s="66"/>
      <c r="N285" s="66"/>
      <c r="O285" s="66"/>
      <c r="P285" s="66"/>
      <c r="Q285" s="66"/>
      <c r="R285" s="66"/>
      <c r="S285" s="66"/>
      <c r="T285" s="68"/>
      <c r="AC285" s="66"/>
      <c r="AD285" s="66"/>
      <c r="AE285" s="68"/>
      <c r="AN285" s="66"/>
      <c r="AO285" s="66"/>
      <c r="AP285" s="68"/>
      <c r="AW285" s="66"/>
      <c r="AX285" s="68"/>
      <c r="BD285" s="66"/>
      <c r="BE285" s="68"/>
      <c r="BF285" s="66"/>
      <c r="BG285" s="66"/>
      <c r="BH285" s="66"/>
      <c r="BI285" s="66"/>
      <c r="BJ285" s="66"/>
      <c r="BK285" s="66"/>
      <c r="BL285" s="68"/>
      <c r="BO285" s="66"/>
      <c r="BP285" s="68"/>
      <c r="BV285" s="66"/>
      <c r="BW285" s="68"/>
      <c r="CB285" s="8"/>
      <c r="CH285" s="8"/>
      <c r="CK285" s="299"/>
      <c r="CL285" s="299"/>
      <c r="CM285" s="66"/>
      <c r="CN285" s="66"/>
      <c r="CO285" s="68"/>
      <c r="CR285" s="8"/>
      <c r="CX285" s="66"/>
      <c r="CY285" s="532"/>
      <c r="DE285" s="66"/>
      <c r="DF285" s="66"/>
      <c r="DG285" s="68"/>
      <c r="DH285" s="68"/>
      <c r="DK285" s="66"/>
      <c r="DL285" s="66"/>
      <c r="DM285" s="66"/>
      <c r="DN285" s="66"/>
      <c r="DO285" s="66"/>
      <c r="DP285" s="66"/>
      <c r="DQ285" s="66"/>
      <c r="DR285" s="66"/>
      <c r="DS285" s="66"/>
      <c r="DT285" s="68"/>
      <c r="DU285" s="66"/>
      <c r="DV285" s="296"/>
      <c r="DW285" s="330"/>
      <c r="DX285" s="631"/>
      <c r="DY285" s="631"/>
      <c r="DZ285" s="631"/>
      <c r="EA285" s="330"/>
      <c r="EC285" s="66"/>
      <c r="ED285" s="68"/>
      <c r="EH285" s="66"/>
      <c r="EI285" s="66"/>
      <c r="EJ285" s="68"/>
      <c r="EK285" s="252"/>
      <c r="EL285" s="252"/>
      <c r="EM285" s="252"/>
      <c r="EO285" s="252"/>
      <c r="EP285" s="252"/>
      <c r="EQ285" s="252"/>
      <c r="ES285" s="252"/>
      <c r="ET285" s="252"/>
      <c r="EU285" s="252"/>
      <c r="EW285" s="252"/>
      <c r="EX285" s="252"/>
      <c r="EY285" s="252"/>
      <c r="FA285" s="250"/>
      <c r="FB285" s="250"/>
      <c r="FC285" s="250"/>
      <c r="FD285" s="250"/>
      <c r="FE285" s="250"/>
      <c r="FF285" s="250"/>
      <c r="FG285" s="250"/>
      <c r="FH285" s="424"/>
      <c r="FI285" s="250"/>
      <c r="FJ285" s="250"/>
      <c r="FK285" s="250"/>
      <c r="FL285" s="256"/>
      <c r="FM285" s="250"/>
      <c r="FN285" s="256"/>
      <c r="FO285" s="250"/>
      <c r="FP285" s="256"/>
      <c r="FQ285" s="250"/>
      <c r="FR285" s="256"/>
      <c r="FS285" s="250"/>
      <c r="FT285" s="256"/>
      <c r="FU285" s="256"/>
      <c r="FV285" s="256"/>
      <c r="FW285" s="250"/>
      <c r="FX285" s="424"/>
      <c r="FY285" s="251"/>
      <c r="GC285" s="252"/>
      <c r="GF285" s="252"/>
      <c r="GG285" s="252"/>
      <c r="GH285" s="252"/>
      <c r="GI285" s="252"/>
      <c r="GJ285" s="252"/>
      <c r="GK285" s="251"/>
      <c r="GL285" s="250"/>
      <c r="GM285" s="250"/>
      <c r="GN285" s="250"/>
      <c r="GO285" s="250"/>
      <c r="GP285" s="250"/>
      <c r="GQ285" s="250"/>
      <c r="GR285" s="250"/>
      <c r="GS285" s="250"/>
      <c r="GT285" s="250"/>
      <c r="GU285" s="251"/>
      <c r="GV285" s="250"/>
      <c r="GW285" s="250"/>
      <c r="GX285" s="250"/>
      <c r="GY285" s="250"/>
      <c r="GZ285" s="250"/>
      <c r="HA285" s="250"/>
      <c r="HB285" s="250"/>
      <c r="HC285" s="250"/>
      <c r="HD285" s="250"/>
      <c r="HE285" s="250"/>
      <c r="HF285" s="250"/>
      <c r="HG285" s="250"/>
      <c r="HH285" s="251"/>
      <c r="HI285" s="424"/>
      <c r="HJ285" s="255"/>
      <c r="HK285" s="255"/>
      <c r="HL285" s="250"/>
      <c r="HM285" s="255"/>
      <c r="HN285" s="255"/>
      <c r="HO285" s="255"/>
      <c r="HP285" s="250"/>
      <c r="HQ285" s="250"/>
      <c r="HR285" s="250"/>
      <c r="HS285" s="250"/>
      <c r="HT285" s="250"/>
      <c r="HU285" s="251"/>
      <c r="HX285" s="252"/>
      <c r="HY285" s="252"/>
      <c r="HZ285" s="252"/>
      <c r="ID285" s="252"/>
      <c r="IE285" s="252"/>
      <c r="IF285" s="252"/>
      <c r="IJ285" s="252"/>
      <c r="IK285" s="252"/>
      <c r="IL285" s="252"/>
      <c r="IP285" s="252"/>
      <c r="IQ285" s="252"/>
      <c r="IR285" s="252"/>
      <c r="IY285" s="66"/>
      <c r="IZ285" s="66"/>
      <c r="JA285" s="66"/>
      <c r="JB285" s="250"/>
      <c r="JC285" s="66"/>
      <c r="JD285" s="66"/>
      <c r="JE285" s="66"/>
      <c r="JF285" s="66"/>
      <c r="JG285" s="66"/>
      <c r="JH285" s="66"/>
      <c r="JI285" s="66"/>
      <c r="JJ285" s="66"/>
      <c r="JK285" s="8"/>
      <c r="JN285" s="252"/>
      <c r="JO285" s="252"/>
      <c r="JP285" s="252"/>
      <c r="JT285" s="252"/>
      <c r="JU285" s="252"/>
      <c r="JV285" s="252"/>
      <c r="JZ285" s="252"/>
      <c r="KA285" s="252"/>
      <c r="KB285" s="252"/>
      <c r="KF285" s="252"/>
      <c r="KG285" s="252"/>
      <c r="KH285" s="252"/>
      <c r="KO285" s="66"/>
      <c r="KP285" s="66"/>
      <c r="KQ285" s="66"/>
      <c r="KR285" s="66"/>
      <c r="KS285" s="66"/>
      <c r="KT285" s="66"/>
      <c r="KU285" s="66"/>
      <c r="KV285" s="66"/>
      <c r="KW285" s="66"/>
      <c r="KX285" s="66"/>
      <c r="KY285" s="66"/>
      <c r="KZ285" s="66"/>
      <c r="LA285" s="8"/>
      <c r="LD285" s="252"/>
      <c r="LE285" s="252"/>
      <c r="LF285" s="252"/>
      <c r="LJ285" s="252"/>
      <c r="LK285" s="252"/>
      <c r="LN285" s="252"/>
      <c r="LO285" s="252"/>
      <c r="LP285" s="252"/>
      <c r="LT285" s="271"/>
      <c r="LU285" s="250"/>
      <c r="LV285" s="250"/>
      <c r="LW285" s="250"/>
      <c r="LX285" s="250"/>
      <c r="LY285" s="250"/>
      <c r="LZ285" s="250"/>
      <c r="MA285" s="250"/>
      <c r="MB285" s="250"/>
      <c r="MC285" s="250"/>
      <c r="MD285" s="250"/>
      <c r="ME285" s="250"/>
      <c r="MF285" s="250"/>
      <c r="MG285" s="250"/>
      <c r="MH285" s="250"/>
      <c r="MI285" s="250"/>
      <c r="MJ285" s="250"/>
      <c r="MK285" s="424"/>
      <c r="ML285" s="640"/>
      <c r="MM285" s="251"/>
      <c r="MN285" s="252"/>
      <c r="MO285" s="252"/>
      <c r="MP285" s="252"/>
      <c r="MQ285" s="252"/>
      <c r="MR285" s="252"/>
      <c r="MS285" s="252"/>
      <c r="MT285" s="252"/>
      <c r="MU285" s="252"/>
      <c r="MV285" s="252"/>
      <c r="MW285" s="252"/>
      <c r="MX285" s="252"/>
      <c r="MY285" s="252"/>
      <c r="MZ285" s="252"/>
      <c r="NA285" s="252"/>
      <c r="NB285" s="252"/>
      <c r="NC285" s="251"/>
      <c r="ND285" s="250"/>
      <c r="NE285" s="250"/>
      <c r="NF285" s="250"/>
      <c r="NG285" s="250"/>
      <c r="NH285" s="250"/>
      <c r="NI285" s="250"/>
      <c r="NJ285" s="250"/>
      <c r="NK285" s="250"/>
      <c r="NL285" s="250"/>
      <c r="NM285" s="250"/>
      <c r="NN285" s="250"/>
      <c r="NO285" s="250"/>
      <c r="NP285" s="250"/>
      <c r="NQ285" s="250"/>
      <c r="NR285" s="250"/>
      <c r="NS285" s="250"/>
      <c r="NT285" s="250"/>
      <c r="NU285" s="250"/>
      <c r="NV285" s="250"/>
      <c r="NW285" s="251"/>
      <c r="OT285" s="8"/>
      <c r="QG285" s="8"/>
      <c r="RT285" s="8"/>
    </row>
    <row r="286" spans="1:488" s="282" customFormat="1" x14ac:dyDescent="0.25">
      <c r="A286" s="66"/>
      <c r="B286" s="8"/>
      <c r="C286" s="66"/>
      <c r="D286" s="66"/>
      <c r="E286" s="66"/>
      <c r="F286" s="66"/>
      <c r="G286" s="66"/>
      <c r="H286" s="66"/>
      <c r="I286" s="66"/>
      <c r="J286" s="66"/>
      <c r="K286" s="66"/>
      <c r="L286" s="66"/>
      <c r="M286" s="66"/>
      <c r="N286" s="66"/>
      <c r="O286" s="66"/>
      <c r="P286" s="66"/>
      <c r="Q286" s="66"/>
      <c r="R286" s="66"/>
      <c r="S286" s="66"/>
      <c r="T286" s="68"/>
      <c r="AC286" s="66"/>
      <c r="AD286" s="66"/>
      <c r="AE286" s="68"/>
      <c r="AN286" s="66"/>
      <c r="AO286" s="66"/>
      <c r="AP286" s="68"/>
      <c r="AW286" s="66"/>
      <c r="AX286" s="68"/>
      <c r="BD286" s="66"/>
      <c r="BE286" s="68"/>
      <c r="BF286" s="66"/>
      <c r="BG286" s="66"/>
      <c r="BH286" s="66"/>
      <c r="BI286" s="66"/>
      <c r="BJ286" s="66"/>
      <c r="BK286" s="66"/>
      <c r="BL286" s="68"/>
      <c r="BO286" s="66"/>
      <c r="BP286" s="68"/>
      <c r="BV286" s="66"/>
      <c r="BW286" s="68"/>
      <c r="CB286" s="8"/>
      <c r="CH286" s="8"/>
      <c r="CK286" s="299"/>
      <c r="CL286" s="299"/>
      <c r="CM286" s="66"/>
      <c r="CN286" s="66"/>
      <c r="CO286" s="68"/>
      <c r="CR286" s="8"/>
      <c r="CX286" s="66"/>
      <c r="CY286" s="532"/>
      <c r="DE286" s="66"/>
      <c r="DF286" s="66"/>
      <c r="DG286" s="68"/>
      <c r="DH286" s="68"/>
      <c r="DK286" s="66"/>
      <c r="DL286" s="66"/>
      <c r="DM286" s="66"/>
      <c r="DN286" s="66"/>
      <c r="DO286" s="66"/>
      <c r="DP286" s="66"/>
      <c r="DQ286" s="66"/>
      <c r="DR286" s="66"/>
      <c r="DS286" s="66"/>
      <c r="DT286" s="68"/>
      <c r="DU286" s="66"/>
      <c r="DV286" s="296"/>
      <c r="DW286" s="330"/>
      <c r="DX286" s="631"/>
      <c r="DY286" s="631"/>
      <c r="DZ286" s="631"/>
      <c r="EA286" s="330"/>
      <c r="EC286" s="66"/>
      <c r="ED286" s="68"/>
      <c r="EH286" s="66"/>
      <c r="EI286" s="66"/>
      <c r="EJ286" s="68"/>
      <c r="EK286" s="252"/>
      <c r="EL286" s="252"/>
      <c r="EM286" s="252"/>
      <c r="EO286" s="252"/>
      <c r="EP286" s="252"/>
      <c r="EQ286" s="252"/>
      <c r="ES286" s="252"/>
      <c r="ET286" s="252"/>
      <c r="EU286" s="252"/>
      <c r="EW286" s="252"/>
      <c r="EX286" s="252"/>
      <c r="EY286" s="252"/>
      <c r="FA286" s="250"/>
      <c r="FB286" s="250"/>
      <c r="FC286" s="250"/>
      <c r="FD286" s="250"/>
      <c r="FE286" s="250"/>
      <c r="FF286" s="250"/>
      <c r="FG286" s="250"/>
      <c r="FH286" s="424"/>
      <c r="FI286" s="250"/>
      <c r="FJ286" s="250"/>
      <c r="FK286" s="250"/>
      <c r="FL286" s="256"/>
      <c r="FM286" s="250"/>
      <c r="FN286" s="256"/>
      <c r="FO286" s="250"/>
      <c r="FP286" s="256"/>
      <c r="FQ286" s="250"/>
      <c r="FR286" s="256"/>
      <c r="FS286" s="250"/>
      <c r="FT286" s="256"/>
      <c r="FU286" s="256"/>
      <c r="FV286" s="256"/>
      <c r="FW286" s="250"/>
      <c r="FX286" s="424"/>
      <c r="FY286" s="251"/>
      <c r="GC286" s="252"/>
      <c r="GF286" s="252"/>
      <c r="GG286" s="252"/>
      <c r="GH286" s="252"/>
      <c r="GI286" s="252"/>
      <c r="GJ286" s="252"/>
      <c r="GK286" s="251"/>
      <c r="GL286" s="250"/>
      <c r="GM286" s="250"/>
      <c r="GN286" s="250"/>
      <c r="GO286" s="250"/>
      <c r="GP286" s="250"/>
      <c r="GQ286" s="250"/>
      <c r="GR286" s="250"/>
      <c r="GS286" s="250"/>
      <c r="GT286" s="250"/>
      <c r="GU286" s="251"/>
      <c r="GV286" s="250"/>
      <c r="GW286" s="250"/>
      <c r="GX286" s="250"/>
      <c r="GY286" s="250"/>
      <c r="GZ286" s="250"/>
      <c r="HA286" s="250"/>
      <c r="HB286" s="250"/>
      <c r="HC286" s="250"/>
      <c r="HD286" s="250"/>
      <c r="HE286" s="250"/>
      <c r="HF286" s="250"/>
      <c r="HG286" s="250"/>
      <c r="HH286" s="251"/>
      <c r="HI286" s="424"/>
      <c r="HJ286" s="255"/>
      <c r="HK286" s="255"/>
      <c r="HL286" s="250"/>
      <c r="HM286" s="255"/>
      <c r="HN286" s="255"/>
      <c r="HO286" s="255"/>
      <c r="HP286" s="250"/>
      <c r="HQ286" s="250"/>
      <c r="HR286" s="250"/>
      <c r="HS286" s="250"/>
      <c r="HT286" s="250"/>
      <c r="HU286" s="251"/>
      <c r="HX286" s="252"/>
      <c r="HY286" s="252"/>
      <c r="HZ286" s="252"/>
      <c r="ID286" s="252"/>
      <c r="IE286" s="252"/>
      <c r="IF286" s="252"/>
      <c r="IJ286" s="252"/>
      <c r="IK286" s="252"/>
      <c r="IL286" s="252"/>
      <c r="IP286" s="252"/>
      <c r="IQ286" s="252"/>
      <c r="IR286" s="252"/>
      <c r="IY286" s="66"/>
      <c r="IZ286" s="66"/>
      <c r="JA286" s="66"/>
      <c r="JB286" s="250"/>
      <c r="JC286" s="66"/>
      <c r="JD286" s="66"/>
      <c r="JE286" s="66"/>
      <c r="JF286" s="66"/>
      <c r="JG286" s="66"/>
      <c r="JH286" s="66"/>
      <c r="JI286" s="66"/>
      <c r="JJ286" s="66"/>
      <c r="JK286" s="8"/>
      <c r="JN286" s="252"/>
      <c r="JO286" s="252"/>
      <c r="JP286" s="252"/>
      <c r="JT286" s="252"/>
      <c r="JU286" s="252"/>
      <c r="JV286" s="252"/>
      <c r="JZ286" s="252"/>
      <c r="KA286" s="252"/>
      <c r="KB286" s="252"/>
      <c r="KF286" s="252"/>
      <c r="KG286" s="252"/>
      <c r="KH286" s="252"/>
      <c r="KO286" s="66"/>
      <c r="KP286" s="66"/>
      <c r="KQ286" s="66"/>
      <c r="KR286" s="66"/>
      <c r="KS286" s="66"/>
      <c r="KT286" s="66"/>
      <c r="KU286" s="66"/>
      <c r="KV286" s="66"/>
      <c r="KW286" s="66"/>
      <c r="KX286" s="66"/>
      <c r="KY286" s="66"/>
      <c r="KZ286" s="66"/>
      <c r="LA286" s="8"/>
      <c r="LD286" s="252"/>
      <c r="LE286" s="252"/>
      <c r="LF286" s="252"/>
      <c r="LJ286" s="252"/>
      <c r="LK286" s="252"/>
      <c r="LN286" s="252"/>
      <c r="LO286" s="252"/>
      <c r="LP286" s="252"/>
      <c r="LT286" s="271"/>
      <c r="LU286" s="250"/>
      <c r="LV286" s="250"/>
      <c r="LW286" s="250"/>
      <c r="LX286" s="250"/>
      <c r="LY286" s="250"/>
      <c r="LZ286" s="250"/>
      <c r="MA286" s="250"/>
      <c r="MB286" s="250"/>
      <c r="MC286" s="250"/>
      <c r="MD286" s="250"/>
      <c r="ME286" s="250"/>
      <c r="MF286" s="250"/>
      <c r="MG286" s="250"/>
      <c r="MH286" s="250"/>
      <c r="MI286" s="250"/>
      <c r="MJ286" s="250"/>
      <c r="MK286" s="424"/>
      <c r="ML286" s="640"/>
      <c r="MM286" s="251"/>
      <c r="MN286" s="252"/>
      <c r="MO286" s="252"/>
      <c r="MP286" s="252"/>
      <c r="MQ286" s="252"/>
      <c r="MR286" s="252"/>
      <c r="MS286" s="252"/>
      <c r="MT286" s="252"/>
      <c r="MU286" s="252"/>
      <c r="MV286" s="252"/>
      <c r="MW286" s="252"/>
      <c r="MX286" s="252"/>
      <c r="MY286" s="252"/>
      <c r="MZ286" s="252"/>
      <c r="NA286" s="252"/>
      <c r="NB286" s="252"/>
      <c r="NC286" s="251"/>
      <c r="ND286" s="250"/>
      <c r="NE286" s="250"/>
      <c r="NF286" s="250"/>
      <c r="NG286" s="250"/>
      <c r="NH286" s="250"/>
      <c r="NI286" s="250"/>
      <c r="NJ286" s="250"/>
      <c r="NK286" s="250"/>
      <c r="NL286" s="250"/>
      <c r="NM286" s="250"/>
      <c r="NN286" s="250"/>
      <c r="NO286" s="250"/>
      <c r="NP286" s="250"/>
      <c r="NQ286" s="250"/>
      <c r="NR286" s="250"/>
      <c r="NS286" s="250"/>
      <c r="NT286" s="250"/>
      <c r="NU286" s="250"/>
      <c r="NV286" s="250"/>
      <c r="NW286" s="251"/>
      <c r="OT286" s="8"/>
      <c r="QG286" s="8"/>
      <c r="RT286" s="8"/>
    </row>
    <row r="287" spans="1:488" s="282" customFormat="1" x14ac:dyDescent="0.25">
      <c r="A287" s="66"/>
      <c r="B287" s="8"/>
      <c r="C287" s="66"/>
      <c r="D287" s="66"/>
      <c r="E287" s="66"/>
      <c r="F287" s="66"/>
      <c r="G287" s="66"/>
      <c r="H287" s="66"/>
      <c r="I287" s="66"/>
      <c r="J287" s="66"/>
      <c r="K287" s="66"/>
      <c r="L287" s="66"/>
      <c r="M287" s="66"/>
      <c r="N287" s="66"/>
      <c r="O287" s="66"/>
      <c r="P287" s="66"/>
      <c r="Q287" s="66"/>
      <c r="R287" s="66"/>
      <c r="S287" s="66"/>
      <c r="T287" s="68"/>
      <c r="AC287" s="66"/>
      <c r="AD287" s="66"/>
      <c r="AE287" s="68"/>
      <c r="AN287" s="66"/>
      <c r="AO287" s="66"/>
      <c r="AP287" s="68"/>
      <c r="AW287" s="66"/>
      <c r="AX287" s="68"/>
      <c r="BD287" s="66"/>
      <c r="BE287" s="68"/>
      <c r="BF287" s="66"/>
      <c r="BG287" s="66"/>
      <c r="BH287" s="66"/>
      <c r="BI287" s="66"/>
      <c r="BJ287" s="66"/>
      <c r="BK287" s="66"/>
      <c r="BL287" s="68"/>
      <c r="BO287" s="66"/>
      <c r="BP287" s="68"/>
      <c r="BV287" s="66"/>
      <c r="BW287" s="68"/>
      <c r="CB287" s="8"/>
      <c r="CH287" s="8"/>
      <c r="CK287" s="299"/>
      <c r="CL287" s="299"/>
      <c r="CM287" s="66"/>
      <c r="CN287" s="66"/>
      <c r="CO287" s="68"/>
      <c r="CR287" s="8"/>
      <c r="CX287" s="66"/>
      <c r="CY287" s="532"/>
      <c r="DE287" s="66"/>
      <c r="DF287" s="66"/>
      <c r="DG287" s="68"/>
      <c r="DH287" s="68"/>
      <c r="DK287" s="66"/>
      <c r="DL287" s="66"/>
      <c r="DM287" s="66"/>
      <c r="DN287" s="66"/>
      <c r="DO287" s="66"/>
      <c r="DP287" s="66"/>
      <c r="DQ287" s="66"/>
      <c r="DR287" s="66"/>
      <c r="DS287" s="66"/>
      <c r="DT287" s="68"/>
      <c r="DU287" s="66"/>
      <c r="DV287" s="296"/>
      <c r="DW287" s="330"/>
      <c r="DX287" s="631"/>
      <c r="DY287" s="631"/>
      <c r="DZ287" s="631"/>
      <c r="EA287" s="330"/>
      <c r="EC287" s="66"/>
      <c r="ED287" s="68"/>
      <c r="EH287" s="66"/>
      <c r="EI287" s="66"/>
      <c r="EJ287" s="68"/>
      <c r="EK287" s="252"/>
      <c r="EL287" s="252"/>
      <c r="EM287" s="252"/>
      <c r="EO287" s="252"/>
      <c r="EP287" s="252"/>
      <c r="EQ287" s="252"/>
      <c r="ES287" s="252"/>
      <c r="ET287" s="252"/>
      <c r="EU287" s="252"/>
      <c r="EW287" s="252"/>
      <c r="EX287" s="252"/>
      <c r="EY287" s="252"/>
      <c r="FA287" s="250"/>
      <c r="FB287" s="250"/>
      <c r="FC287" s="250"/>
      <c r="FD287" s="250"/>
      <c r="FE287" s="250"/>
      <c r="FF287" s="250"/>
      <c r="FG287" s="250"/>
      <c r="FH287" s="424"/>
      <c r="FI287" s="250"/>
      <c r="FJ287" s="250"/>
      <c r="FK287" s="250"/>
      <c r="FL287" s="256"/>
      <c r="FM287" s="250"/>
      <c r="FN287" s="256"/>
      <c r="FO287" s="250"/>
      <c r="FP287" s="256"/>
      <c r="FQ287" s="250"/>
      <c r="FR287" s="256"/>
      <c r="FS287" s="250"/>
      <c r="FT287" s="256"/>
      <c r="FU287" s="256"/>
      <c r="FV287" s="256"/>
      <c r="FW287" s="250"/>
      <c r="FX287" s="424"/>
      <c r="FY287" s="251"/>
      <c r="GC287" s="252"/>
      <c r="GF287" s="252"/>
      <c r="GG287" s="252"/>
      <c r="GH287" s="252"/>
      <c r="GI287" s="252"/>
      <c r="GJ287" s="252"/>
      <c r="GK287" s="251"/>
      <c r="GL287" s="250"/>
      <c r="GM287" s="250"/>
      <c r="GN287" s="250"/>
      <c r="GO287" s="250"/>
      <c r="GP287" s="250"/>
      <c r="GQ287" s="250"/>
      <c r="GR287" s="250"/>
      <c r="GS287" s="250"/>
      <c r="GT287" s="250"/>
      <c r="GU287" s="251"/>
      <c r="GV287" s="250"/>
      <c r="GW287" s="250"/>
      <c r="GX287" s="250"/>
      <c r="GY287" s="250"/>
      <c r="GZ287" s="250"/>
      <c r="HA287" s="250"/>
      <c r="HB287" s="250"/>
      <c r="HC287" s="250"/>
      <c r="HD287" s="250"/>
      <c r="HE287" s="250"/>
      <c r="HF287" s="250"/>
      <c r="HG287" s="250"/>
      <c r="HH287" s="251"/>
      <c r="HI287" s="424"/>
      <c r="HJ287" s="255"/>
      <c r="HK287" s="255"/>
      <c r="HL287" s="250"/>
      <c r="HM287" s="255"/>
      <c r="HN287" s="255"/>
      <c r="HO287" s="255"/>
      <c r="HP287" s="250"/>
      <c r="HQ287" s="250"/>
      <c r="HR287" s="250"/>
      <c r="HS287" s="250"/>
      <c r="HT287" s="250"/>
      <c r="HU287" s="251"/>
      <c r="HX287" s="252"/>
      <c r="HY287" s="252"/>
      <c r="HZ287" s="252"/>
      <c r="ID287" s="252"/>
      <c r="IE287" s="252"/>
      <c r="IF287" s="252"/>
      <c r="IJ287" s="252"/>
      <c r="IK287" s="252"/>
      <c r="IL287" s="252"/>
      <c r="IP287" s="252"/>
      <c r="IQ287" s="252"/>
      <c r="IR287" s="252"/>
      <c r="IY287" s="66"/>
      <c r="IZ287" s="66"/>
      <c r="JA287" s="66"/>
      <c r="JB287" s="250"/>
      <c r="JC287" s="66"/>
      <c r="JD287" s="66"/>
      <c r="JE287" s="66"/>
      <c r="JF287" s="66"/>
      <c r="JG287" s="66"/>
      <c r="JH287" s="66"/>
      <c r="JI287" s="66"/>
      <c r="JJ287" s="66"/>
      <c r="JK287" s="8"/>
      <c r="JN287" s="252"/>
      <c r="JO287" s="252"/>
      <c r="JP287" s="252"/>
      <c r="JT287" s="252"/>
      <c r="JU287" s="252"/>
      <c r="JV287" s="252"/>
      <c r="JZ287" s="252"/>
      <c r="KA287" s="252"/>
      <c r="KB287" s="252"/>
      <c r="KF287" s="252"/>
      <c r="KG287" s="252"/>
      <c r="KH287" s="252"/>
      <c r="KO287" s="66"/>
      <c r="KP287" s="66"/>
      <c r="KQ287" s="66"/>
      <c r="KR287" s="66"/>
      <c r="KS287" s="66"/>
      <c r="KT287" s="66"/>
      <c r="KU287" s="66"/>
      <c r="KV287" s="66"/>
      <c r="KW287" s="66"/>
      <c r="KX287" s="66"/>
      <c r="KY287" s="66"/>
      <c r="KZ287" s="66"/>
      <c r="LA287" s="8"/>
      <c r="LD287" s="252"/>
      <c r="LE287" s="252"/>
      <c r="LF287" s="252"/>
      <c r="LJ287" s="252"/>
      <c r="LK287" s="252"/>
      <c r="LN287" s="252"/>
      <c r="LO287" s="252"/>
      <c r="LP287" s="252"/>
      <c r="LT287" s="271"/>
      <c r="LU287" s="250"/>
      <c r="LV287" s="250"/>
      <c r="LW287" s="250"/>
      <c r="LX287" s="250"/>
      <c r="LY287" s="250"/>
      <c r="LZ287" s="250"/>
      <c r="MA287" s="250"/>
      <c r="MB287" s="250"/>
      <c r="MC287" s="250"/>
      <c r="MD287" s="250"/>
      <c r="ME287" s="250"/>
      <c r="MF287" s="250"/>
      <c r="MG287" s="250"/>
      <c r="MH287" s="250"/>
      <c r="MI287" s="250"/>
      <c r="MJ287" s="250"/>
      <c r="MK287" s="424"/>
      <c r="ML287" s="640"/>
      <c r="MM287" s="251"/>
      <c r="MN287" s="252"/>
      <c r="MO287" s="252"/>
      <c r="MP287" s="252"/>
      <c r="MQ287" s="252"/>
      <c r="MR287" s="252"/>
      <c r="MS287" s="252"/>
      <c r="MT287" s="252"/>
      <c r="MU287" s="252"/>
      <c r="MV287" s="252"/>
      <c r="MW287" s="252"/>
      <c r="MX287" s="252"/>
      <c r="MY287" s="252"/>
      <c r="MZ287" s="252"/>
      <c r="NA287" s="252"/>
      <c r="NB287" s="252"/>
      <c r="NC287" s="251"/>
      <c r="ND287" s="250"/>
      <c r="NE287" s="250"/>
      <c r="NF287" s="250"/>
      <c r="NG287" s="250"/>
      <c r="NH287" s="250"/>
      <c r="NI287" s="250"/>
      <c r="NJ287" s="250"/>
      <c r="NK287" s="250"/>
      <c r="NL287" s="250"/>
      <c r="NM287" s="250"/>
      <c r="NN287" s="250"/>
      <c r="NO287" s="250"/>
      <c r="NP287" s="250"/>
      <c r="NQ287" s="250"/>
      <c r="NR287" s="250"/>
      <c r="NS287" s="250"/>
      <c r="NT287" s="250"/>
      <c r="NU287" s="250"/>
      <c r="NV287" s="250"/>
      <c r="NW287" s="251"/>
      <c r="OT287" s="8"/>
      <c r="QG287" s="8"/>
      <c r="RT287" s="8"/>
    </row>
    <row r="288" spans="1:488" s="282" customFormat="1" x14ac:dyDescent="0.25">
      <c r="A288" s="66"/>
      <c r="B288" s="8"/>
      <c r="C288" s="66"/>
      <c r="D288" s="66"/>
      <c r="E288" s="66"/>
      <c r="F288" s="66"/>
      <c r="G288" s="66"/>
      <c r="H288" s="66"/>
      <c r="I288" s="66"/>
      <c r="J288" s="66"/>
      <c r="K288" s="66"/>
      <c r="L288" s="66"/>
      <c r="M288" s="66"/>
      <c r="N288" s="66"/>
      <c r="O288" s="66"/>
      <c r="P288" s="66"/>
      <c r="Q288" s="66"/>
      <c r="R288" s="66"/>
      <c r="S288" s="66"/>
      <c r="T288" s="68"/>
      <c r="AC288" s="66"/>
      <c r="AD288" s="66"/>
      <c r="AE288" s="68"/>
      <c r="AN288" s="66"/>
      <c r="AO288" s="66"/>
      <c r="AP288" s="68"/>
      <c r="AW288" s="66"/>
      <c r="AX288" s="68"/>
      <c r="BD288" s="66"/>
      <c r="BE288" s="68"/>
      <c r="BF288" s="66"/>
      <c r="BG288" s="66"/>
      <c r="BH288" s="66"/>
      <c r="BI288" s="66"/>
      <c r="BJ288" s="66"/>
      <c r="BK288" s="66"/>
      <c r="BL288" s="68"/>
      <c r="BO288" s="66"/>
      <c r="BP288" s="68"/>
      <c r="BV288" s="66"/>
      <c r="BW288" s="68"/>
      <c r="CB288" s="8"/>
      <c r="CH288" s="8"/>
      <c r="CK288" s="299"/>
      <c r="CL288" s="299"/>
      <c r="CM288" s="66"/>
      <c r="CN288" s="66"/>
      <c r="CO288" s="68"/>
      <c r="CR288" s="8"/>
      <c r="CX288" s="66"/>
      <c r="CY288" s="532"/>
      <c r="DE288" s="66"/>
      <c r="DF288" s="66"/>
      <c r="DG288" s="68"/>
      <c r="DH288" s="68"/>
      <c r="DK288" s="66"/>
      <c r="DL288" s="66"/>
      <c r="DM288" s="66"/>
      <c r="DN288" s="66"/>
      <c r="DO288" s="66"/>
      <c r="DP288" s="66"/>
      <c r="DQ288" s="66"/>
      <c r="DR288" s="66"/>
      <c r="DS288" s="66"/>
      <c r="DT288" s="68"/>
      <c r="DU288" s="66"/>
      <c r="DV288" s="296"/>
      <c r="DW288" s="330"/>
      <c r="DX288" s="631"/>
      <c r="DY288" s="631"/>
      <c r="DZ288" s="631"/>
      <c r="EA288" s="330"/>
      <c r="EC288" s="66"/>
      <c r="ED288" s="68"/>
      <c r="EH288" s="66"/>
      <c r="EI288" s="66"/>
      <c r="EJ288" s="68"/>
      <c r="EK288" s="252"/>
      <c r="EL288" s="252"/>
      <c r="EM288" s="252"/>
      <c r="EO288" s="252"/>
      <c r="EP288" s="252"/>
      <c r="EQ288" s="252"/>
      <c r="ES288" s="252"/>
      <c r="ET288" s="252"/>
      <c r="EU288" s="252"/>
      <c r="EW288" s="252"/>
      <c r="EX288" s="252"/>
      <c r="EY288" s="252"/>
      <c r="FA288" s="250"/>
      <c r="FB288" s="250"/>
      <c r="FC288" s="250"/>
      <c r="FD288" s="250"/>
      <c r="FE288" s="250"/>
      <c r="FF288" s="250"/>
      <c r="FG288" s="250"/>
      <c r="FH288" s="424"/>
      <c r="FI288" s="250"/>
      <c r="FJ288" s="250"/>
      <c r="FK288" s="250"/>
      <c r="FL288" s="256"/>
      <c r="FM288" s="250"/>
      <c r="FN288" s="256"/>
      <c r="FO288" s="250"/>
      <c r="FP288" s="256"/>
      <c r="FQ288" s="250"/>
      <c r="FR288" s="256"/>
      <c r="FS288" s="250"/>
      <c r="FT288" s="256"/>
      <c r="FU288" s="256"/>
      <c r="FV288" s="256"/>
      <c r="FW288" s="250"/>
      <c r="FX288" s="424"/>
      <c r="FY288" s="251"/>
      <c r="GC288" s="252"/>
      <c r="GF288" s="252"/>
      <c r="GG288" s="252"/>
      <c r="GH288" s="252"/>
      <c r="GI288" s="252"/>
      <c r="GJ288" s="252"/>
      <c r="GK288" s="251"/>
      <c r="GL288" s="250"/>
      <c r="GM288" s="250"/>
      <c r="GN288" s="250"/>
      <c r="GO288" s="250"/>
      <c r="GP288" s="250"/>
      <c r="GQ288" s="250"/>
      <c r="GR288" s="250"/>
      <c r="GS288" s="250"/>
      <c r="GT288" s="250"/>
      <c r="GU288" s="251"/>
      <c r="GV288" s="250"/>
      <c r="GW288" s="250"/>
      <c r="GX288" s="250"/>
      <c r="GY288" s="250"/>
      <c r="GZ288" s="250"/>
      <c r="HA288" s="250"/>
      <c r="HB288" s="250"/>
      <c r="HC288" s="250"/>
      <c r="HD288" s="250"/>
      <c r="HE288" s="250"/>
      <c r="HF288" s="250"/>
      <c r="HG288" s="250"/>
      <c r="HH288" s="251"/>
      <c r="HI288" s="424"/>
      <c r="HJ288" s="255"/>
      <c r="HK288" s="255"/>
      <c r="HL288" s="250"/>
      <c r="HM288" s="255"/>
      <c r="HN288" s="255"/>
      <c r="HO288" s="255"/>
      <c r="HP288" s="250"/>
      <c r="HQ288" s="250"/>
      <c r="HR288" s="250"/>
      <c r="HS288" s="250"/>
      <c r="HT288" s="250"/>
      <c r="HU288" s="251"/>
      <c r="HX288" s="252"/>
      <c r="HY288" s="252"/>
      <c r="HZ288" s="252"/>
      <c r="ID288" s="252"/>
      <c r="IE288" s="252"/>
      <c r="IF288" s="252"/>
      <c r="IJ288" s="252"/>
      <c r="IK288" s="252"/>
      <c r="IL288" s="252"/>
      <c r="IP288" s="252"/>
      <c r="IQ288" s="252"/>
      <c r="IR288" s="252"/>
      <c r="IY288" s="66"/>
      <c r="IZ288" s="66"/>
      <c r="JA288" s="66"/>
      <c r="JB288" s="250"/>
      <c r="JC288" s="66"/>
      <c r="JD288" s="66"/>
      <c r="JE288" s="66"/>
      <c r="JF288" s="66"/>
      <c r="JG288" s="66"/>
      <c r="JH288" s="66"/>
      <c r="JI288" s="66"/>
      <c r="JJ288" s="66"/>
      <c r="JK288" s="8"/>
      <c r="JN288" s="252"/>
      <c r="JO288" s="252"/>
      <c r="JP288" s="252"/>
      <c r="JT288" s="252"/>
      <c r="JU288" s="252"/>
      <c r="JV288" s="252"/>
      <c r="JZ288" s="252"/>
      <c r="KA288" s="252"/>
      <c r="KB288" s="252"/>
      <c r="KF288" s="252"/>
      <c r="KG288" s="252"/>
      <c r="KH288" s="252"/>
      <c r="KO288" s="66"/>
      <c r="KP288" s="66"/>
      <c r="KQ288" s="66"/>
      <c r="KR288" s="66"/>
      <c r="KS288" s="66"/>
      <c r="KT288" s="66"/>
      <c r="KU288" s="66"/>
      <c r="KV288" s="66"/>
      <c r="KW288" s="66"/>
      <c r="KX288" s="66"/>
      <c r="KY288" s="66"/>
      <c r="KZ288" s="66"/>
      <c r="LA288" s="8"/>
      <c r="LD288" s="252"/>
      <c r="LE288" s="252"/>
      <c r="LF288" s="252"/>
      <c r="LJ288" s="252"/>
      <c r="LK288" s="252"/>
      <c r="LN288" s="252"/>
      <c r="LO288" s="252"/>
      <c r="LP288" s="252"/>
      <c r="LT288" s="271"/>
      <c r="LU288" s="250"/>
      <c r="LV288" s="250"/>
      <c r="LW288" s="250"/>
      <c r="LX288" s="250"/>
      <c r="LY288" s="250"/>
      <c r="LZ288" s="250"/>
      <c r="MA288" s="250"/>
      <c r="MB288" s="250"/>
      <c r="MC288" s="250"/>
      <c r="MD288" s="250"/>
      <c r="ME288" s="250"/>
      <c r="MF288" s="250"/>
      <c r="MG288" s="250"/>
      <c r="MH288" s="250"/>
      <c r="MI288" s="250"/>
      <c r="MJ288" s="250"/>
      <c r="MK288" s="424"/>
      <c r="ML288" s="640"/>
      <c r="MM288" s="251"/>
      <c r="MN288" s="252"/>
      <c r="MO288" s="252"/>
      <c r="MP288" s="252"/>
      <c r="MQ288" s="252"/>
      <c r="MR288" s="252"/>
      <c r="MS288" s="252"/>
      <c r="MT288" s="252"/>
      <c r="MU288" s="252"/>
      <c r="MV288" s="252"/>
      <c r="MW288" s="252"/>
      <c r="MX288" s="252"/>
      <c r="MY288" s="252"/>
      <c r="MZ288" s="252"/>
      <c r="NA288" s="252"/>
      <c r="NB288" s="252"/>
      <c r="NC288" s="251"/>
      <c r="ND288" s="250"/>
      <c r="NE288" s="250"/>
      <c r="NF288" s="250"/>
      <c r="NG288" s="250"/>
      <c r="NH288" s="250"/>
      <c r="NI288" s="250"/>
      <c r="NJ288" s="250"/>
      <c r="NK288" s="250"/>
      <c r="NL288" s="250"/>
      <c r="NM288" s="250"/>
      <c r="NN288" s="250"/>
      <c r="NO288" s="250"/>
      <c r="NP288" s="250"/>
      <c r="NQ288" s="250"/>
      <c r="NR288" s="250"/>
      <c r="NS288" s="250"/>
      <c r="NT288" s="250"/>
      <c r="NU288" s="250"/>
      <c r="NV288" s="250"/>
      <c r="NW288" s="251"/>
      <c r="OT288" s="8"/>
      <c r="QG288" s="8"/>
      <c r="RT288" s="8"/>
    </row>
    <row r="289" spans="1:488" s="282" customFormat="1" x14ac:dyDescent="0.25">
      <c r="A289" s="66"/>
      <c r="B289" s="8"/>
      <c r="C289" s="66"/>
      <c r="D289" s="66"/>
      <c r="E289" s="66"/>
      <c r="F289" s="66"/>
      <c r="G289" s="66"/>
      <c r="H289" s="66"/>
      <c r="I289" s="66"/>
      <c r="J289" s="66"/>
      <c r="K289" s="66"/>
      <c r="L289" s="66"/>
      <c r="M289" s="66"/>
      <c r="N289" s="66"/>
      <c r="O289" s="66"/>
      <c r="P289" s="66"/>
      <c r="Q289" s="66"/>
      <c r="R289" s="66"/>
      <c r="S289" s="66"/>
      <c r="T289" s="68"/>
      <c r="AC289" s="66"/>
      <c r="AD289" s="66"/>
      <c r="AE289" s="68"/>
      <c r="AN289" s="66"/>
      <c r="AO289" s="66"/>
      <c r="AP289" s="68"/>
      <c r="AW289" s="66"/>
      <c r="AX289" s="68"/>
      <c r="BD289" s="66"/>
      <c r="BE289" s="68"/>
      <c r="BF289" s="66"/>
      <c r="BG289" s="66"/>
      <c r="BH289" s="66"/>
      <c r="BI289" s="66"/>
      <c r="BJ289" s="66"/>
      <c r="BK289" s="66"/>
      <c r="BL289" s="68"/>
      <c r="BO289" s="66"/>
      <c r="BP289" s="68"/>
      <c r="BV289" s="66"/>
      <c r="BW289" s="68"/>
      <c r="CB289" s="8"/>
      <c r="CH289" s="8"/>
      <c r="CK289" s="299"/>
      <c r="CL289" s="299"/>
      <c r="CM289" s="66"/>
      <c r="CN289" s="66"/>
      <c r="CO289" s="68"/>
      <c r="CR289" s="8"/>
      <c r="CX289" s="66"/>
      <c r="CY289" s="532"/>
      <c r="DE289" s="66"/>
      <c r="DF289" s="66"/>
      <c r="DG289" s="68"/>
      <c r="DH289" s="68"/>
      <c r="DK289" s="66"/>
      <c r="DL289" s="66"/>
      <c r="DM289" s="66"/>
      <c r="DN289" s="66"/>
      <c r="DO289" s="66"/>
      <c r="DP289" s="66"/>
      <c r="DQ289" s="66"/>
      <c r="DR289" s="66"/>
      <c r="DS289" s="66"/>
      <c r="DT289" s="68"/>
      <c r="DU289" s="66"/>
      <c r="DV289" s="296"/>
      <c r="DW289" s="330"/>
      <c r="DX289" s="631"/>
      <c r="DY289" s="631"/>
      <c r="DZ289" s="631"/>
      <c r="EA289" s="330"/>
      <c r="EC289" s="66"/>
      <c r="ED289" s="68"/>
      <c r="EH289" s="66"/>
      <c r="EI289" s="66"/>
      <c r="EJ289" s="68"/>
      <c r="EK289" s="252"/>
      <c r="EL289" s="252"/>
      <c r="EM289" s="252"/>
      <c r="EO289" s="252"/>
      <c r="EP289" s="252"/>
      <c r="EQ289" s="252"/>
      <c r="ES289" s="252"/>
      <c r="ET289" s="252"/>
      <c r="EU289" s="252"/>
      <c r="EW289" s="252"/>
      <c r="EX289" s="252"/>
      <c r="EY289" s="252"/>
      <c r="FA289" s="250"/>
      <c r="FB289" s="250"/>
      <c r="FC289" s="250"/>
      <c r="FD289" s="250"/>
      <c r="FE289" s="250"/>
      <c r="FF289" s="250"/>
      <c r="FG289" s="250"/>
      <c r="FH289" s="424"/>
      <c r="FI289" s="250"/>
      <c r="FJ289" s="250"/>
      <c r="FK289" s="250"/>
      <c r="FL289" s="256"/>
      <c r="FM289" s="250"/>
      <c r="FN289" s="256"/>
      <c r="FO289" s="250"/>
      <c r="FP289" s="256"/>
      <c r="FQ289" s="250"/>
      <c r="FR289" s="256"/>
      <c r="FS289" s="250"/>
      <c r="FT289" s="256"/>
      <c r="FU289" s="256"/>
      <c r="FV289" s="256"/>
      <c r="FW289" s="250"/>
      <c r="FX289" s="424"/>
      <c r="FY289" s="251"/>
      <c r="GC289" s="252"/>
      <c r="GF289" s="252"/>
      <c r="GG289" s="252"/>
      <c r="GH289" s="252"/>
      <c r="GI289" s="252"/>
      <c r="GJ289" s="252"/>
      <c r="GK289" s="251"/>
      <c r="GL289" s="250"/>
      <c r="GM289" s="250"/>
      <c r="GN289" s="250"/>
      <c r="GO289" s="250"/>
      <c r="GP289" s="250"/>
      <c r="GQ289" s="250"/>
      <c r="GR289" s="250"/>
      <c r="GS289" s="250"/>
      <c r="GT289" s="250"/>
      <c r="GU289" s="251"/>
      <c r="GV289" s="250"/>
      <c r="GW289" s="250"/>
      <c r="GX289" s="250"/>
      <c r="GY289" s="250"/>
      <c r="GZ289" s="250"/>
      <c r="HA289" s="250"/>
      <c r="HB289" s="250"/>
      <c r="HC289" s="250"/>
      <c r="HD289" s="250"/>
      <c r="HE289" s="250"/>
      <c r="HF289" s="250"/>
      <c r="HG289" s="250"/>
      <c r="HH289" s="251"/>
      <c r="HI289" s="424"/>
      <c r="HJ289" s="255"/>
      <c r="HK289" s="255"/>
      <c r="HL289" s="250"/>
      <c r="HM289" s="255"/>
      <c r="HN289" s="255"/>
      <c r="HO289" s="255"/>
      <c r="HP289" s="250"/>
      <c r="HQ289" s="250"/>
      <c r="HR289" s="250"/>
      <c r="HS289" s="250"/>
      <c r="HT289" s="250"/>
      <c r="HU289" s="251"/>
      <c r="HX289" s="252"/>
      <c r="HY289" s="252"/>
      <c r="HZ289" s="252"/>
      <c r="ID289" s="252"/>
      <c r="IE289" s="252"/>
      <c r="IF289" s="252"/>
      <c r="IJ289" s="252"/>
      <c r="IK289" s="252"/>
      <c r="IL289" s="252"/>
      <c r="IP289" s="252"/>
      <c r="IQ289" s="252"/>
      <c r="IR289" s="252"/>
      <c r="IY289" s="66"/>
      <c r="IZ289" s="66"/>
      <c r="JA289" s="66"/>
      <c r="JB289" s="250"/>
      <c r="JC289" s="66"/>
      <c r="JD289" s="66"/>
      <c r="JE289" s="66"/>
      <c r="JF289" s="66"/>
      <c r="JG289" s="66"/>
      <c r="JH289" s="66"/>
      <c r="JI289" s="66"/>
      <c r="JJ289" s="66"/>
      <c r="JK289" s="8"/>
      <c r="JN289" s="252"/>
      <c r="JO289" s="252"/>
      <c r="JP289" s="252"/>
      <c r="JT289" s="252"/>
      <c r="JU289" s="252"/>
      <c r="JV289" s="252"/>
      <c r="JZ289" s="252"/>
      <c r="KA289" s="252"/>
      <c r="KB289" s="252"/>
      <c r="KF289" s="252"/>
      <c r="KG289" s="252"/>
      <c r="KH289" s="252"/>
      <c r="KO289" s="66"/>
      <c r="KP289" s="66"/>
      <c r="KQ289" s="66"/>
      <c r="KR289" s="66"/>
      <c r="KS289" s="66"/>
      <c r="KT289" s="66"/>
      <c r="KU289" s="66"/>
      <c r="KV289" s="66"/>
      <c r="KW289" s="66"/>
      <c r="KX289" s="66"/>
      <c r="KY289" s="66"/>
      <c r="KZ289" s="66"/>
      <c r="LA289" s="8"/>
      <c r="LD289" s="252"/>
      <c r="LE289" s="252"/>
      <c r="LF289" s="252"/>
      <c r="LJ289" s="252"/>
      <c r="LK289" s="252"/>
      <c r="LN289" s="252"/>
      <c r="LO289" s="252"/>
      <c r="LP289" s="252"/>
      <c r="LT289" s="271"/>
      <c r="LU289" s="250"/>
      <c r="LV289" s="250"/>
      <c r="LW289" s="250"/>
      <c r="LX289" s="250"/>
      <c r="LY289" s="250"/>
      <c r="LZ289" s="250"/>
      <c r="MA289" s="250"/>
      <c r="MB289" s="250"/>
      <c r="MC289" s="250"/>
      <c r="MD289" s="250"/>
      <c r="ME289" s="250"/>
      <c r="MF289" s="250"/>
      <c r="MG289" s="250"/>
      <c r="MH289" s="250"/>
      <c r="MI289" s="250"/>
      <c r="MJ289" s="250"/>
      <c r="MK289" s="424"/>
      <c r="ML289" s="640"/>
      <c r="MM289" s="251"/>
      <c r="MN289" s="252"/>
      <c r="MO289" s="252"/>
      <c r="MP289" s="252"/>
      <c r="MQ289" s="252"/>
      <c r="MR289" s="252"/>
      <c r="MS289" s="252"/>
      <c r="MT289" s="252"/>
      <c r="MU289" s="252"/>
      <c r="MV289" s="252"/>
      <c r="MW289" s="252"/>
      <c r="MX289" s="252"/>
      <c r="MY289" s="252"/>
      <c r="MZ289" s="252"/>
      <c r="NA289" s="252"/>
      <c r="NB289" s="252"/>
      <c r="NC289" s="251"/>
      <c r="ND289" s="250"/>
      <c r="NE289" s="250"/>
      <c r="NF289" s="250"/>
      <c r="NG289" s="250"/>
      <c r="NH289" s="250"/>
      <c r="NI289" s="250"/>
      <c r="NJ289" s="250"/>
      <c r="NK289" s="250"/>
      <c r="NL289" s="250"/>
      <c r="NM289" s="250"/>
      <c r="NN289" s="250"/>
      <c r="NO289" s="250"/>
      <c r="NP289" s="250"/>
      <c r="NQ289" s="250"/>
      <c r="NR289" s="250"/>
      <c r="NS289" s="250"/>
      <c r="NT289" s="250"/>
      <c r="NU289" s="250"/>
      <c r="NV289" s="250"/>
      <c r="NW289" s="251"/>
      <c r="OT289" s="8"/>
      <c r="QG289" s="8"/>
      <c r="RT289" s="8"/>
    </row>
    <row r="290" spans="1:488" s="282" customFormat="1" x14ac:dyDescent="0.25">
      <c r="A290" s="66"/>
      <c r="B290" s="8"/>
      <c r="C290" s="66"/>
      <c r="D290" s="66"/>
      <c r="E290" s="66"/>
      <c r="F290" s="66"/>
      <c r="G290" s="66"/>
      <c r="H290" s="66"/>
      <c r="I290" s="66"/>
      <c r="J290" s="66"/>
      <c r="K290" s="66"/>
      <c r="L290" s="66"/>
      <c r="M290" s="66"/>
      <c r="N290" s="66"/>
      <c r="O290" s="66"/>
      <c r="P290" s="66"/>
      <c r="Q290" s="66"/>
      <c r="R290" s="66"/>
      <c r="S290" s="66"/>
      <c r="T290" s="68"/>
      <c r="AC290" s="66"/>
      <c r="AD290" s="66"/>
      <c r="AE290" s="68"/>
      <c r="AN290" s="66"/>
      <c r="AO290" s="66"/>
      <c r="AP290" s="68"/>
      <c r="AW290" s="66"/>
      <c r="AX290" s="68"/>
      <c r="BD290" s="66"/>
      <c r="BE290" s="68"/>
      <c r="BF290" s="66"/>
      <c r="BG290" s="66"/>
      <c r="BH290" s="66"/>
      <c r="BI290" s="66"/>
      <c r="BJ290" s="66"/>
      <c r="BK290" s="66"/>
      <c r="BL290" s="68"/>
      <c r="BO290" s="66"/>
      <c r="BP290" s="68"/>
      <c r="BV290" s="66"/>
      <c r="BW290" s="68"/>
      <c r="CB290" s="8"/>
      <c r="CH290" s="8"/>
      <c r="CK290" s="299"/>
      <c r="CL290" s="299"/>
      <c r="CM290" s="66"/>
      <c r="CN290" s="66"/>
      <c r="CO290" s="68"/>
      <c r="CR290" s="8"/>
      <c r="CX290" s="66"/>
      <c r="CY290" s="532"/>
      <c r="DE290" s="66"/>
      <c r="DF290" s="66"/>
      <c r="DG290" s="68"/>
      <c r="DH290" s="68"/>
      <c r="DK290" s="66"/>
      <c r="DL290" s="66"/>
      <c r="DM290" s="66"/>
      <c r="DN290" s="66"/>
      <c r="DO290" s="66"/>
      <c r="DP290" s="66"/>
      <c r="DQ290" s="66"/>
      <c r="DR290" s="66"/>
      <c r="DS290" s="66"/>
      <c r="DT290" s="68"/>
      <c r="DU290" s="66"/>
      <c r="DV290" s="296"/>
      <c r="DW290" s="330"/>
      <c r="DX290" s="631"/>
      <c r="DY290" s="631"/>
      <c r="DZ290" s="631"/>
      <c r="EA290" s="330"/>
      <c r="EC290" s="66"/>
      <c r="ED290" s="68"/>
      <c r="EH290" s="66"/>
      <c r="EI290" s="66"/>
      <c r="EJ290" s="68"/>
      <c r="EK290" s="252"/>
      <c r="EL290" s="252"/>
      <c r="EM290" s="252"/>
      <c r="EO290" s="252"/>
      <c r="EP290" s="252"/>
      <c r="EQ290" s="252"/>
      <c r="ES290" s="252"/>
      <c r="ET290" s="252"/>
      <c r="EU290" s="252"/>
      <c r="EW290" s="252"/>
      <c r="EX290" s="252"/>
      <c r="EY290" s="252"/>
      <c r="FA290" s="250"/>
      <c r="FB290" s="250"/>
      <c r="FC290" s="250"/>
      <c r="FD290" s="250"/>
      <c r="FE290" s="250"/>
      <c r="FF290" s="250"/>
      <c r="FG290" s="250"/>
      <c r="FH290" s="424"/>
      <c r="FI290" s="250"/>
      <c r="FJ290" s="250"/>
      <c r="FK290" s="250"/>
      <c r="FL290" s="256"/>
      <c r="FM290" s="250"/>
      <c r="FN290" s="256"/>
      <c r="FO290" s="250"/>
      <c r="FP290" s="256"/>
      <c r="FQ290" s="250"/>
      <c r="FR290" s="256"/>
      <c r="FS290" s="250"/>
      <c r="FT290" s="256"/>
      <c r="FU290" s="256"/>
      <c r="FV290" s="256"/>
      <c r="FW290" s="250"/>
      <c r="FX290" s="424"/>
      <c r="FY290" s="251"/>
      <c r="GC290" s="252"/>
      <c r="GF290" s="252"/>
      <c r="GG290" s="252"/>
      <c r="GH290" s="252"/>
      <c r="GI290" s="252"/>
      <c r="GJ290" s="252"/>
      <c r="GK290" s="251"/>
      <c r="GL290" s="250"/>
      <c r="GM290" s="250"/>
      <c r="GN290" s="250"/>
      <c r="GO290" s="250"/>
      <c r="GP290" s="250"/>
      <c r="GQ290" s="250"/>
      <c r="GR290" s="250"/>
      <c r="GS290" s="250"/>
      <c r="GT290" s="250"/>
      <c r="GU290" s="251"/>
      <c r="GV290" s="250"/>
      <c r="GW290" s="250"/>
      <c r="GX290" s="250"/>
      <c r="GY290" s="250"/>
      <c r="GZ290" s="250"/>
      <c r="HA290" s="250"/>
      <c r="HB290" s="250"/>
      <c r="HC290" s="250"/>
      <c r="HD290" s="250"/>
      <c r="HE290" s="250"/>
      <c r="HF290" s="250"/>
      <c r="HG290" s="250"/>
      <c r="HH290" s="251"/>
      <c r="HI290" s="424"/>
      <c r="HJ290" s="255"/>
      <c r="HK290" s="255"/>
      <c r="HL290" s="250"/>
      <c r="HM290" s="255"/>
      <c r="HN290" s="255"/>
      <c r="HO290" s="255"/>
      <c r="HP290" s="250"/>
      <c r="HQ290" s="250"/>
      <c r="HR290" s="250"/>
      <c r="HS290" s="250"/>
      <c r="HT290" s="250"/>
      <c r="HU290" s="251"/>
      <c r="HX290" s="252"/>
      <c r="HY290" s="252"/>
      <c r="HZ290" s="252"/>
      <c r="ID290" s="252"/>
      <c r="IE290" s="252"/>
      <c r="IF290" s="252"/>
      <c r="IJ290" s="252"/>
      <c r="IK290" s="252"/>
      <c r="IL290" s="252"/>
      <c r="IP290" s="252"/>
      <c r="IQ290" s="252"/>
      <c r="IR290" s="252"/>
      <c r="IY290" s="66"/>
      <c r="IZ290" s="66"/>
      <c r="JA290" s="66"/>
      <c r="JB290" s="250"/>
      <c r="JC290" s="66"/>
      <c r="JD290" s="66"/>
      <c r="JE290" s="66"/>
      <c r="JF290" s="66"/>
      <c r="JG290" s="66"/>
      <c r="JH290" s="66"/>
      <c r="JI290" s="66"/>
      <c r="JJ290" s="66"/>
      <c r="JK290" s="8"/>
      <c r="JN290" s="252"/>
      <c r="JO290" s="252"/>
      <c r="JP290" s="252"/>
      <c r="JT290" s="252"/>
      <c r="JU290" s="252"/>
      <c r="JV290" s="252"/>
      <c r="JZ290" s="252"/>
      <c r="KA290" s="252"/>
      <c r="KB290" s="252"/>
      <c r="KF290" s="252"/>
      <c r="KG290" s="252"/>
      <c r="KH290" s="252"/>
      <c r="KO290" s="66"/>
      <c r="KP290" s="66"/>
      <c r="KQ290" s="66"/>
      <c r="KR290" s="66"/>
      <c r="KS290" s="66"/>
      <c r="KT290" s="66"/>
      <c r="KU290" s="66"/>
      <c r="KV290" s="66"/>
      <c r="KW290" s="66"/>
      <c r="KX290" s="66"/>
      <c r="KY290" s="66"/>
      <c r="KZ290" s="66"/>
      <c r="LA290" s="8"/>
      <c r="LD290" s="252"/>
      <c r="LE290" s="252"/>
      <c r="LF290" s="252"/>
      <c r="LJ290" s="252"/>
      <c r="LK290" s="252"/>
      <c r="LN290" s="252"/>
      <c r="LO290" s="252"/>
      <c r="LP290" s="252"/>
      <c r="LT290" s="271"/>
      <c r="LU290" s="250"/>
      <c r="LV290" s="250"/>
      <c r="LW290" s="250"/>
      <c r="LX290" s="250"/>
      <c r="LY290" s="250"/>
      <c r="LZ290" s="250"/>
      <c r="MA290" s="250"/>
      <c r="MB290" s="250"/>
      <c r="MC290" s="250"/>
      <c r="MD290" s="250"/>
      <c r="ME290" s="250"/>
      <c r="MF290" s="250"/>
      <c r="MG290" s="250"/>
      <c r="MH290" s="250"/>
      <c r="MI290" s="250"/>
      <c r="MJ290" s="250"/>
      <c r="MK290" s="424"/>
      <c r="ML290" s="640"/>
      <c r="MM290" s="251"/>
      <c r="MN290" s="252"/>
      <c r="MO290" s="252"/>
      <c r="MP290" s="252"/>
      <c r="MQ290" s="252"/>
      <c r="MR290" s="252"/>
      <c r="MS290" s="252"/>
      <c r="MT290" s="252"/>
      <c r="MU290" s="252"/>
      <c r="MV290" s="252"/>
      <c r="MW290" s="252"/>
      <c r="MX290" s="252"/>
      <c r="MY290" s="252"/>
      <c r="MZ290" s="252"/>
      <c r="NA290" s="252"/>
      <c r="NB290" s="252"/>
      <c r="NC290" s="251"/>
      <c r="ND290" s="250"/>
      <c r="NE290" s="250"/>
      <c r="NF290" s="250"/>
      <c r="NG290" s="250"/>
      <c r="NH290" s="250"/>
      <c r="NI290" s="250"/>
      <c r="NJ290" s="250"/>
      <c r="NK290" s="250"/>
      <c r="NL290" s="250"/>
      <c r="NM290" s="250"/>
      <c r="NN290" s="250"/>
      <c r="NO290" s="250"/>
      <c r="NP290" s="250"/>
      <c r="NQ290" s="250"/>
      <c r="NR290" s="250"/>
      <c r="NS290" s="250"/>
      <c r="NT290" s="250"/>
      <c r="NU290" s="250"/>
      <c r="NV290" s="250"/>
      <c r="NW290" s="251"/>
      <c r="OT290" s="8"/>
      <c r="QG290" s="8"/>
      <c r="RT290" s="8"/>
    </row>
    <row r="291" spans="1:488" s="282" customFormat="1" x14ac:dyDescent="0.25">
      <c r="A291" s="66"/>
      <c r="B291" s="8"/>
      <c r="C291" s="66"/>
      <c r="D291" s="66"/>
      <c r="E291" s="66"/>
      <c r="F291" s="66"/>
      <c r="G291" s="66"/>
      <c r="H291" s="66"/>
      <c r="I291" s="66"/>
      <c r="J291" s="66"/>
      <c r="K291" s="66"/>
      <c r="L291" s="66"/>
      <c r="M291" s="66"/>
      <c r="N291" s="66"/>
      <c r="O291" s="66"/>
      <c r="P291" s="66"/>
      <c r="Q291" s="66"/>
      <c r="R291" s="66"/>
      <c r="S291" s="66"/>
      <c r="T291" s="68"/>
      <c r="AC291" s="66"/>
      <c r="AD291" s="66"/>
      <c r="AE291" s="68"/>
      <c r="AN291" s="66"/>
      <c r="AO291" s="66"/>
      <c r="AP291" s="68"/>
      <c r="AW291" s="66"/>
      <c r="AX291" s="68"/>
      <c r="BD291" s="66"/>
      <c r="BE291" s="68"/>
      <c r="BF291" s="66"/>
      <c r="BG291" s="66"/>
      <c r="BH291" s="66"/>
      <c r="BI291" s="66"/>
      <c r="BJ291" s="66"/>
      <c r="BK291" s="66"/>
      <c r="BL291" s="68"/>
      <c r="BO291" s="66"/>
      <c r="BP291" s="68"/>
      <c r="BV291" s="66"/>
      <c r="BW291" s="68"/>
      <c r="CB291" s="8"/>
      <c r="CH291" s="8"/>
      <c r="CK291" s="299"/>
      <c r="CL291" s="299"/>
      <c r="CM291" s="66"/>
      <c r="CN291" s="66"/>
      <c r="CO291" s="68"/>
      <c r="CR291" s="8"/>
      <c r="CX291" s="66"/>
      <c r="CY291" s="532"/>
      <c r="DE291" s="66"/>
      <c r="DF291" s="66"/>
      <c r="DG291" s="68"/>
      <c r="DH291" s="68"/>
      <c r="DK291" s="66"/>
      <c r="DL291" s="66"/>
      <c r="DM291" s="66"/>
      <c r="DN291" s="66"/>
      <c r="DO291" s="66"/>
      <c r="DP291" s="66"/>
      <c r="DQ291" s="66"/>
      <c r="DR291" s="66"/>
      <c r="DS291" s="66"/>
      <c r="DT291" s="68"/>
      <c r="DU291" s="66"/>
      <c r="DV291" s="296"/>
      <c r="DW291" s="330"/>
      <c r="DX291" s="631"/>
      <c r="DY291" s="631"/>
      <c r="DZ291" s="631"/>
      <c r="EA291" s="330"/>
      <c r="EC291" s="66"/>
      <c r="ED291" s="68"/>
      <c r="EH291" s="66"/>
      <c r="EI291" s="66"/>
      <c r="EJ291" s="68"/>
      <c r="EK291" s="252"/>
      <c r="EL291" s="252"/>
      <c r="EM291" s="252"/>
      <c r="EO291" s="252"/>
      <c r="EP291" s="252"/>
      <c r="EQ291" s="252"/>
      <c r="ES291" s="252"/>
      <c r="ET291" s="252"/>
      <c r="EU291" s="252"/>
      <c r="EW291" s="252"/>
      <c r="EX291" s="252"/>
      <c r="EY291" s="252"/>
      <c r="FA291" s="250"/>
      <c r="FB291" s="250"/>
      <c r="FC291" s="250"/>
      <c r="FD291" s="250"/>
      <c r="FE291" s="250"/>
      <c r="FF291" s="250"/>
      <c r="FG291" s="250"/>
      <c r="FH291" s="424"/>
      <c r="FI291" s="250"/>
      <c r="FJ291" s="250"/>
      <c r="FK291" s="250"/>
      <c r="FL291" s="256"/>
      <c r="FM291" s="250"/>
      <c r="FN291" s="256"/>
      <c r="FO291" s="250"/>
      <c r="FP291" s="256"/>
      <c r="FQ291" s="250"/>
      <c r="FR291" s="256"/>
      <c r="FS291" s="250"/>
      <c r="FT291" s="256"/>
      <c r="FU291" s="256"/>
      <c r="FV291" s="256"/>
      <c r="FW291" s="250"/>
      <c r="FX291" s="424"/>
      <c r="FY291" s="251"/>
      <c r="GC291" s="252"/>
      <c r="GF291" s="252"/>
      <c r="GG291" s="252"/>
      <c r="GH291" s="252"/>
      <c r="GI291" s="252"/>
      <c r="GJ291" s="252"/>
      <c r="GK291" s="251"/>
      <c r="GL291" s="250"/>
      <c r="GM291" s="250"/>
      <c r="GN291" s="250"/>
      <c r="GO291" s="250"/>
      <c r="GP291" s="250"/>
      <c r="GQ291" s="250"/>
      <c r="GR291" s="250"/>
      <c r="GS291" s="250"/>
      <c r="GT291" s="250"/>
      <c r="GU291" s="251"/>
      <c r="GV291" s="250"/>
      <c r="GW291" s="250"/>
      <c r="GX291" s="250"/>
      <c r="GY291" s="250"/>
      <c r="GZ291" s="250"/>
      <c r="HA291" s="250"/>
      <c r="HB291" s="250"/>
      <c r="HC291" s="250"/>
      <c r="HD291" s="250"/>
      <c r="HE291" s="250"/>
      <c r="HF291" s="250"/>
      <c r="HG291" s="250"/>
      <c r="HH291" s="251"/>
      <c r="HI291" s="424"/>
      <c r="HJ291" s="255"/>
      <c r="HK291" s="255"/>
      <c r="HL291" s="250"/>
      <c r="HM291" s="255"/>
      <c r="HN291" s="255"/>
      <c r="HO291" s="255"/>
      <c r="HP291" s="250"/>
      <c r="HQ291" s="250"/>
      <c r="HR291" s="250"/>
      <c r="HS291" s="250"/>
      <c r="HT291" s="250"/>
      <c r="HU291" s="251"/>
      <c r="HX291" s="252"/>
      <c r="HY291" s="252"/>
      <c r="HZ291" s="252"/>
      <c r="ID291" s="252"/>
      <c r="IE291" s="252"/>
      <c r="IF291" s="252"/>
      <c r="IJ291" s="252"/>
      <c r="IK291" s="252"/>
      <c r="IL291" s="252"/>
      <c r="IP291" s="252"/>
      <c r="IQ291" s="252"/>
      <c r="IR291" s="252"/>
      <c r="IY291" s="66"/>
      <c r="IZ291" s="66"/>
      <c r="JA291" s="66"/>
      <c r="JB291" s="250"/>
      <c r="JC291" s="66"/>
      <c r="JD291" s="66"/>
      <c r="JE291" s="66"/>
      <c r="JF291" s="66"/>
      <c r="JG291" s="66"/>
      <c r="JH291" s="66"/>
      <c r="JI291" s="66"/>
      <c r="JJ291" s="66"/>
      <c r="JK291" s="8"/>
      <c r="JN291" s="252"/>
      <c r="JO291" s="252"/>
      <c r="JP291" s="252"/>
      <c r="JT291" s="252"/>
      <c r="JU291" s="252"/>
      <c r="JV291" s="252"/>
      <c r="JZ291" s="252"/>
      <c r="KA291" s="252"/>
      <c r="KB291" s="252"/>
      <c r="KF291" s="252"/>
      <c r="KG291" s="252"/>
      <c r="KH291" s="252"/>
      <c r="KO291" s="66"/>
      <c r="KP291" s="66"/>
      <c r="KQ291" s="66"/>
      <c r="KR291" s="66"/>
      <c r="KS291" s="66"/>
      <c r="KT291" s="66"/>
      <c r="KU291" s="66"/>
      <c r="KV291" s="66"/>
      <c r="KW291" s="66"/>
      <c r="KX291" s="66"/>
      <c r="KY291" s="66"/>
      <c r="KZ291" s="66"/>
      <c r="LA291" s="8"/>
      <c r="LD291" s="252"/>
      <c r="LE291" s="252"/>
      <c r="LF291" s="252"/>
      <c r="LJ291" s="252"/>
      <c r="LK291" s="252"/>
      <c r="LN291" s="252"/>
      <c r="LO291" s="252"/>
      <c r="LP291" s="252"/>
      <c r="LT291" s="271"/>
      <c r="LU291" s="250"/>
      <c r="LV291" s="250"/>
      <c r="LW291" s="250"/>
      <c r="LX291" s="250"/>
      <c r="LY291" s="250"/>
      <c r="LZ291" s="250"/>
      <c r="MA291" s="250"/>
      <c r="MB291" s="250"/>
      <c r="MC291" s="250"/>
      <c r="MD291" s="250"/>
      <c r="ME291" s="250"/>
      <c r="MF291" s="250"/>
      <c r="MG291" s="250"/>
      <c r="MH291" s="250"/>
      <c r="MI291" s="250"/>
      <c r="MJ291" s="250"/>
      <c r="MK291" s="424"/>
      <c r="ML291" s="640"/>
      <c r="MM291" s="251"/>
      <c r="MN291" s="252"/>
      <c r="MO291" s="252"/>
      <c r="MP291" s="252"/>
      <c r="MQ291" s="252"/>
      <c r="MR291" s="252"/>
      <c r="MS291" s="252"/>
      <c r="MT291" s="252"/>
      <c r="MU291" s="252"/>
      <c r="MV291" s="252"/>
      <c r="MW291" s="252"/>
      <c r="MX291" s="252"/>
      <c r="MY291" s="252"/>
      <c r="MZ291" s="252"/>
      <c r="NA291" s="252"/>
      <c r="NB291" s="252"/>
      <c r="NC291" s="251"/>
      <c r="ND291" s="250"/>
      <c r="NE291" s="250"/>
      <c r="NF291" s="250"/>
      <c r="NG291" s="250"/>
      <c r="NH291" s="250"/>
      <c r="NI291" s="250"/>
      <c r="NJ291" s="250"/>
      <c r="NK291" s="250"/>
      <c r="NL291" s="250"/>
      <c r="NM291" s="250"/>
      <c r="NN291" s="250"/>
      <c r="NO291" s="250"/>
      <c r="NP291" s="250"/>
      <c r="NQ291" s="250"/>
      <c r="NR291" s="250"/>
      <c r="NS291" s="250"/>
      <c r="NT291" s="250"/>
      <c r="NU291" s="250"/>
      <c r="NV291" s="250"/>
      <c r="NW291" s="251"/>
      <c r="OT291" s="8"/>
      <c r="QG291" s="8"/>
      <c r="RT291" s="8"/>
    </row>
    <row r="292" spans="1:488" s="282" customFormat="1" x14ac:dyDescent="0.25">
      <c r="A292" s="66"/>
      <c r="B292" s="8"/>
      <c r="C292" s="66"/>
      <c r="D292" s="66"/>
      <c r="E292" s="66"/>
      <c r="F292" s="66"/>
      <c r="G292" s="66"/>
      <c r="H292" s="66"/>
      <c r="I292" s="66"/>
      <c r="J292" s="66"/>
      <c r="K292" s="66"/>
      <c r="L292" s="66"/>
      <c r="M292" s="66"/>
      <c r="N292" s="66"/>
      <c r="O292" s="66"/>
      <c r="P292" s="66"/>
      <c r="Q292" s="66"/>
      <c r="R292" s="66"/>
      <c r="S292" s="66"/>
      <c r="T292" s="68"/>
      <c r="AC292" s="66"/>
      <c r="AD292" s="66"/>
      <c r="AE292" s="68"/>
      <c r="AN292" s="66"/>
      <c r="AO292" s="66"/>
      <c r="AP292" s="68"/>
      <c r="AW292" s="66"/>
      <c r="AX292" s="68"/>
      <c r="BD292" s="66"/>
      <c r="BE292" s="68"/>
      <c r="BF292" s="66"/>
      <c r="BG292" s="66"/>
      <c r="BH292" s="66"/>
      <c r="BI292" s="66"/>
      <c r="BJ292" s="66"/>
      <c r="BK292" s="66"/>
      <c r="BL292" s="68"/>
      <c r="BO292" s="66"/>
      <c r="BP292" s="68"/>
      <c r="BV292" s="66"/>
      <c r="BW292" s="68"/>
      <c r="CB292" s="8"/>
      <c r="CH292" s="8"/>
      <c r="CK292" s="299"/>
      <c r="CL292" s="299"/>
      <c r="CM292" s="66"/>
      <c r="CN292" s="66"/>
      <c r="CO292" s="68"/>
      <c r="CR292" s="8"/>
      <c r="CX292" s="66"/>
      <c r="CY292" s="532"/>
      <c r="DE292" s="66"/>
      <c r="DF292" s="66"/>
      <c r="DG292" s="68"/>
      <c r="DH292" s="68"/>
      <c r="DK292" s="66"/>
      <c r="DL292" s="66"/>
      <c r="DM292" s="66"/>
      <c r="DN292" s="66"/>
      <c r="DO292" s="66"/>
      <c r="DP292" s="66"/>
      <c r="DQ292" s="66"/>
      <c r="DR292" s="66"/>
      <c r="DS292" s="66"/>
      <c r="DT292" s="68"/>
      <c r="DU292" s="66"/>
      <c r="DV292" s="296"/>
      <c r="DW292" s="330"/>
      <c r="DX292" s="631"/>
      <c r="DY292" s="631"/>
      <c r="DZ292" s="631"/>
      <c r="EA292" s="330"/>
      <c r="EC292" s="66"/>
      <c r="ED292" s="68"/>
      <c r="EH292" s="66"/>
      <c r="EI292" s="66"/>
      <c r="EJ292" s="68"/>
      <c r="EK292" s="252"/>
      <c r="EL292" s="252"/>
      <c r="EM292" s="252"/>
      <c r="EO292" s="252"/>
      <c r="EP292" s="252"/>
      <c r="EQ292" s="252"/>
      <c r="ES292" s="252"/>
      <c r="ET292" s="252"/>
      <c r="EU292" s="252"/>
      <c r="EW292" s="252"/>
      <c r="EX292" s="252"/>
      <c r="EY292" s="252"/>
      <c r="FA292" s="250"/>
      <c r="FB292" s="250"/>
      <c r="FC292" s="250"/>
      <c r="FD292" s="250"/>
      <c r="FE292" s="250"/>
      <c r="FF292" s="250"/>
      <c r="FG292" s="250"/>
      <c r="FH292" s="424"/>
      <c r="FI292" s="250"/>
      <c r="FJ292" s="250"/>
      <c r="FK292" s="250"/>
      <c r="FL292" s="256"/>
      <c r="FM292" s="250"/>
      <c r="FN292" s="256"/>
      <c r="FO292" s="250"/>
      <c r="FP292" s="256"/>
      <c r="FQ292" s="250"/>
      <c r="FR292" s="256"/>
      <c r="FS292" s="250"/>
      <c r="FT292" s="256"/>
      <c r="FU292" s="256"/>
      <c r="FV292" s="256"/>
      <c r="FW292" s="250"/>
      <c r="FX292" s="424"/>
      <c r="FY292" s="251"/>
      <c r="GC292" s="252"/>
      <c r="GF292" s="252"/>
      <c r="GG292" s="252"/>
      <c r="GH292" s="252"/>
      <c r="GI292" s="252"/>
      <c r="GJ292" s="252"/>
      <c r="GK292" s="251"/>
      <c r="GL292" s="250"/>
      <c r="GM292" s="250"/>
      <c r="GN292" s="250"/>
      <c r="GO292" s="250"/>
      <c r="GP292" s="250"/>
      <c r="GQ292" s="250"/>
      <c r="GR292" s="250"/>
      <c r="GS292" s="250"/>
      <c r="GT292" s="250"/>
      <c r="GU292" s="251"/>
      <c r="GV292" s="250"/>
      <c r="GW292" s="250"/>
      <c r="GX292" s="250"/>
      <c r="GY292" s="250"/>
      <c r="GZ292" s="250"/>
      <c r="HA292" s="250"/>
      <c r="HB292" s="250"/>
      <c r="HC292" s="250"/>
      <c r="HD292" s="250"/>
      <c r="HE292" s="250"/>
      <c r="HF292" s="250"/>
      <c r="HG292" s="250"/>
      <c r="HH292" s="251"/>
      <c r="HI292" s="424"/>
      <c r="HJ292" s="255"/>
      <c r="HK292" s="255"/>
      <c r="HL292" s="250"/>
      <c r="HM292" s="255"/>
      <c r="HN292" s="255"/>
      <c r="HO292" s="255"/>
      <c r="HP292" s="250"/>
      <c r="HQ292" s="250"/>
      <c r="HR292" s="250"/>
      <c r="HS292" s="250"/>
      <c r="HT292" s="250"/>
      <c r="HU292" s="251"/>
      <c r="HX292" s="252"/>
      <c r="HY292" s="252"/>
      <c r="HZ292" s="252"/>
      <c r="ID292" s="252"/>
      <c r="IE292" s="252"/>
      <c r="IF292" s="252"/>
      <c r="IJ292" s="252"/>
      <c r="IK292" s="252"/>
      <c r="IL292" s="252"/>
      <c r="IP292" s="252"/>
      <c r="IQ292" s="252"/>
      <c r="IR292" s="252"/>
      <c r="IY292" s="66"/>
      <c r="IZ292" s="66"/>
      <c r="JA292" s="66"/>
      <c r="JB292" s="250"/>
      <c r="JC292" s="66"/>
      <c r="JD292" s="66"/>
      <c r="JE292" s="66"/>
      <c r="JF292" s="66"/>
      <c r="JG292" s="66"/>
      <c r="JH292" s="66"/>
      <c r="JI292" s="66"/>
      <c r="JJ292" s="66"/>
      <c r="JK292" s="8"/>
      <c r="JN292" s="252"/>
      <c r="JO292" s="252"/>
      <c r="JP292" s="252"/>
      <c r="JT292" s="252"/>
      <c r="JU292" s="252"/>
      <c r="JV292" s="252"/>
      <c r="JZ292" s="252"/>
      <c r="KA292" s="252"/>
      <c r="KB292" s="252"/>
      <c r="KF292" s="252"/>
      <c r="KG292" s="252"/>
      <c r="KH292" s="252"/>
      <c r="KO292" s="66"/>
      <c r="KP292" s="66"/>
      <c r="KQ292" s="66"/>
      <c r="KR292" s="66"/>
      <c r="KS292" s="66"/>
      <c r="KT292" s="66"/>
      <c r="KU292" s="66"/>
      <c r="KV292" s="66"/>
      <c r="KW292" s="66"/>
      <c r="KX292" s="66"/>
      <c r="KY292" s="66"/>
      <c r="KZ292" s="66"/>
      <c r="LA292" s="8"/>
      <c r="LD292" s="252"/>
      <c r="LE292" s="252"/>
      <c r="LF292" s="252"/>
      <c r="LJ292" s="252"/>
      <c r="LK292" s="252"/>
      <c r="LN292" s="252"/>
      <c r="LO292" s="252"/>
      <c r="LP292" s="252"/>
      <c r="LT292" s="271"/>
      <c r="LU292" s="250"/>
      <c r="LV292" s="250"/>
      <c r="LW292" s="250"/>
      <c r="LX292" s="250"/>
      <c r="LY292" s="250"/>
      <c r="LZ292" s="250"/>
      <c r="MA292" s="250"/>
      <c r="MB292" s="250"/>
      <c r="MC292" s="250"/>
      <c r="MD292" s="250"/>
      <c r="ME292" s="250"/>
      <c r="MF292" s="250"/>
      <c r="MG292" s="250"/>
      <c r="MH292" s="250"/>
      <c r="MI292" s="250"/>
      <c r="MJ292" s="250"/>
      <c r="MK292" s="424"/>
      <c r="ML292" s="640"/>
      <c r="MM292" s="251"/>
      <c r="MN292" s="252"/>
      <c r="MO292" s="252"/>
      <c r="MP292" s="252"/>
      <c r="MQ292" s="252"/>
      <c r="MR292" s="252"/>
      <c r="MS292" s="252"/>
      <c r="MT292" s="252"/>
      <c r="MU292" s="252"/>
      <c r="MV292" s="252"/>
      <c r="MW292" s="252"/>
      <c r="MX292" s="252"/>
      <c r="MY292" s="252"/>
      <c r="MZ292" s="252"/>
      <c r="NA292" s="252"/>
      <c r="NB292" s="252"/>
      <c r="NC292" s="251"/>
      <c r="ND292" s="250"/>
      <c r="NE292" s="250"/>
      <c r="NF292" s="250"/>
      <c r="NG292" s="250"/>
      <c r="NH292" s="250"/>
      <c r="NI292" s="250"/>
      <c r="NJ292" s="250"/>
      <c r="NK292" s="250"/>
      <c r="NL292" s="250"/>
      <c r="NM292" s="250"/>
      <c r="NN292" s="250"/>
      <c r="NO292" s="250"/>
      <c r="NP292" s="250"/>
      <c r="NQ292" s="250"/>
      <c r="NR292" s="250"/>
      <c r="NS292" s="250"/>
      <c r="NT292" s="250"/>
      <c r="NU292" s="250"/>
      <c r="NV292" s="250"/>
      <c r="NW292" s="251"/>
      <c r="OT292" s="8"/>
      <c r="QG292" s="8"/>
      <c r="RT292" s="8"/>
    </row>
    <row r="293" spans="1:488" s="282" customFormat="1" x14ac:dyDescent="0.25">
      <c r="A293" s="66"/>
      <c r="B293" s="8"/>
      <c r="C293" s="66"/>
      <c r="D293" s="66"/>
      <c r="E293" s="66"/>
      <c r="F293" s="66"/>
      <c r="G293" s="66"/>
      <c r="H293" s="66"/>
      <c r="I293" s="66"/>
      <c r="J293" s="66"/>
      <c r="K293" s="66"/>
      <c r="L293" s="66"/>
      <c r="M293" s="66"/>
      <c r="N293" s="66"/>
      <c r="O293" s="66"/>
      <c r="P293" s="66"/>
      <c r="Q293" s="66"/>
      <c r="R293" s="66"/>
      <c r="S293" s="66"/>
      <c r="T293" s="68"/>
      <c r="AC293" s="66"/>
      <c r="AD293" s="66"/>
      <c r="AE293" s="68"/>
      <c r="AN293" s="66"/>
      <c r="AO293" s="66"/>
      <c r="AP293" s="68"/>
      <c r="AW293" s="66"/>
      <c r="AX293" s="68"/>
      <c r="BD293" s="66"/>
      <c r="BE293" s="68"/>
      <c r="BF293" s="66"/>
      <c r="BG293" s="66"/>
      <c r="BH293" s="66"/>
      <c r="BI293" s="66"/>
      <c r="BJ293" s="66"/>
      <c r="BK293" s="66"/>
      <c r="BL293" s="68"/>
      <c r="BO293" s="66"/>
      <c r="BP293" s="68"/>
      <c r="BV293" s="66"/>
      <c r="BW293" s="68"/>
      <c r="CB293" s="8"/>
      <c r="CH293" s="8"/>
      <c r="CK293" s="299"/>
      <c r="CL293" s="299"/>
      <c r="CM293" s="66"/>
      <c r="CN293" s="66"/>
      <c r="CO293" s="68"/>
      <c r="CR293" s="8"/>
      <c r="CX293" s="66"/>
      <c r="CY293" s="532"/>
      <c r="DE293" s="66"/>
      <c r="DF293" s="66"/>
      <c r="DG293" s="68"/>
      <c r="DH293" s="68"/>
      <c r="DK293" s="66"/>
      <c r="DL293" s="66"/>
      <c r="DM293" s="66"/>
      <c r="DN293" s="66"/>
      <c r="DO293" s="66"/>
      <c r="DP293" s="66"/>
      <c r="DQ293" s="66"/>
      <c r="DR293" s="66"/>
      <c r="DS293" s="66"/>
      <c r="DT293" s="68"/>
      <c r="DU293" s="66"/>
      <c r="DV293" s="296"/>
      <c r="DW293" s="330"/>
      <c r="DX293" s="631"/>
      <c r="DY293" s="631"/>
      <c r="DZ293" s="631"/>
      <c r="EA293" s="330"/>
      <c r="EC293" s="66"/>
      <c r="ED293" s="68"/>
      <c r="EH293" s="66"/>
      <c r="EI293" s="66"/>
      <c r="EJ293" s="68"/>
      <c r="EK293" s="252"/>
      <c r="EL293" s="252"/>
      <c r="EM293" s="252"/>
      <c r="EO293" s="252"/>
      <c r="EP293" s="252"/>
      <c r="EQ293" s="252"/>
      <c r="ES293" s="252"/>
      <c r="ET293" s="252"/>
      <c r="EU293" s="252"/>
      <c r="EW293" s="252"/>
      <c r="EX293" s="252"/>
      <c r="EY293" s="252"/>
      <c r="FA293" s="250"/>
      <c r="FB293" s="250"/>
      <c r="FC293" s="250"/>
      <c r="FD293" s="250"/>
      <c r="FE293" s="250"/>
      <c r="FF293" s="250"/>
      <c r="FG293" s="250"/>
      <c r="FH293" s="424"/>
      <c r="FI293" s="250"/>
      <c r="FJ293" s="250"/>
      <c r="FK293" s="250"/>
      <c r="FL293" s="256"/>
      <c r="FM293" s="250"/>
      <c r="FN293" s="256"/>
      <c r="FO293" s="250"/>
      <c r="FP293" s="256"/>
      <c r="FQ293" s="250"/>
      <c r="FR293" s="256"/>
      <c r="FS293" s="250"/>
      <c r="FT293" s="256"/>
      <c r="FU293" s="256"/>
      <c r="FV293" s="256"/>
      <c r="FW293" s="250"/>
      <c r="FX293" s="424"/>
      <c r="FY293" s="251"/>
      <c r="GC293" s="252"/>
      <c r="GF293" s="252"/>
      <c r="GG293" s="252"/>
      <c r="GH293" s="252"/>
      <c r="GI293" s="252"/>
      <c r="GJ293" s="252"/>
      <c r="GK293" s="251"/>
      <c r="GL293" s="250"/>
      <c r="GM293" s="250"/>
      <c r="GN293" s="250"/>
      <c r="GO293" s="250"/>
      <c r="GP293" s="250"/>
      <c r="GQ293" s="250"/>
      <c r="GR293" s="250"/>
      <c r="GS293" s="250"/>
      <c r="GT293" s="250"/>
      <c r="GU293" s="251"/>
      <c r="GV293" s="250"/>
      <c r="GW293" s="250"/>
      <c r="GX293" s="250"/>
      <c r="GY293" s="250"/>
      <c r="GZ293" s="250"/>
      <c r="HA293" s="250"/>
      <c r="HB293" s="250"/>
      <c r="HC293" s="250"/>
      <c r="HD293" s="250"/>
      <c r="HE293" s="250"/>
      <c r="HF293" s="250"/>
      <c r="HG293" s="250"/>
      <c r="HH293" s="251"/>
      <c r="HI293" s="424"/>
      <c r="HJ293" s="255"/>
      <c r="HK293" s="255"/>
      <c r="HL293" s="250"/>
      <c r="HM293" s="255"/>
      <c r="HN293" s="255"/>
      <c r="HO293" s="255"/>
      <c r="HP293" s="250"/>
      <c r="HQ293" s="250"/>
      <c r="HR293" s="250"/>
      <c r="HS293" s="250"/>
      <c r="HT293" s="250"/>
      <c r="HU293" s="251"/>
      <c r="HX293" s="252"/>
      <c r="HY293" s="252"/>
      <c r="HZ293" s="252"/>
      <c r="ID293" s="252"/>
      <c r="IE293" s="252"/>
      <c r="IF293" s="252"/>
      <c r="IJ293" s="252"/>
      <c r="IK293" s="252"/>
      <c r="IL293" s="252"/>
      <c r="IP293" s="252"/>
      <c r="IQ293" s="252"/>
      <c r="IR293" s="252"/>
      <c r="IY293" s="66"/>
      <c r="IZ293" s="66"/>
      <c r="JA293" s="66"/>
      <c r="JB293" s="250"/>
      <c r="JC293" s="66"/>
      <c r="JD293" s="66"/>
      <c r="JE293" s="66"/>
      <c r="JF293" s="66"/>
      <c r="JG293" s="66"/>
      <c r="JH293" s="66"/>
      <c r="JI293" s="66"/>
      <c r="JJ293" s="66"/>
      <c r="JK293" s="8"/>
      <c r="JN293" s="252"/>
      <c r="JO293" s="252"/>
      <c r="JP293" s="252"/>
      <c r="JT293" s="252"/>
      <c r="JU293" s="252"/>
      <c r="JV293" s="252"/>
      <c r="JZ293" s="252"/>
      <c r="KA293" s="252"/>
      <c r="KB293" s="252"/>
      <c r="KF293" s="252"/>
      <c r="KG293" s="252"/>
      <c r="KH293" s="252"/>
      <c r="KO293" s="66"/>
      <c r="KP293" s="66"/>
      <c r="KQ293" s="66"/>
      <c r="KR293" s="66"/>
      <c r="KS293" s="66"/>
      <c r="KT293" s="66"/>
      <c r="KU293" s="66"/>
      <c r="KV293" s="66"/>
      <c r="KW293" s="66"/>
      <c r="KX293" s="66"/>
      <c r="KY293" s="66"/>
      <c r="KZ293" s="66"/>
      <c r="LA293" s="8"/>
      <c r="LD293" s="252"/>
      <c r="LE293" s="252"/>
      <c r="LF293" s="252"/>
      <c r="LJ293" s="252"/>
      <c r="LK293" s="252"/>
      <c r="LN293" s="252"/>
      <c r="LO293" s="252"/>
      <c r="LP293" s="252"/>
      <c r="LT293" s="271"/>
      <c r="LU293" s="250"/>
      <c r="LV293" s="250"/>
      <c r="LW293" s="250"/>
      <c r="LX293" s="250"/>
      <c r="LY293" s="250"/>
      <c r="LZ293" s="250"/>
      <c r="MA293" s="250"/>
      <c r="MB293" s="250"/>
      <c r="MC293" s="250"/>
      <c r="MD293" s="250"/>
      <c r="ME293" s="250"/>
      <c r="MF293" s="250"/>
      <c r="MG293" s="250"/>
      <c r="MH293" s="250"/>
      <c r="MI293" s="250"/>
      <c r="MJ293" s="250"/>
      <c r="MK293" s="424"/>
      <c r="ML293" s="640"/>
      <c r="MM293" s="251"/>
      <c r="MN293" s="252"/>
      <c r="MO293" s="252"/>
      <c r="MP293" s="252"/>
      <c r="MQ293" s="252"/>
      <c r="MR293" s="252"/>
      <c r="MS293" s="252"/>
      <c r="MT293" s="252"/>
      <c r="MU293" s="252"/>
      <c r="MV293" s="252"/>
      <c r="MW293" s="252"/>
      <c r="MX293" s="252"/>
      <c r="MY293" s="252"/>
      <c r="MZ293" s="252"/>
      <c r="NA293" s="252"/>
      <c r="NB293" s="252"/>
      <c r="NC293" s="251"/>
      <c r="ND293" s="250"/>
      <c r="NE293" s="250"/>
      <c r="NF293" s="250"/>
      <c r="NG293" s="250"/>
      <c r="NH293" s="250"/>
      <c r="NI293" s="250"/>
      <c r="NJ293" s="250"/>
      <c r="NK293" s="250"/>
      <c r="NL293" s="250"/>
      <c r="NM293" s="250"/>
      <c r="NN293" s="250"/>
      <c r="NO293" s="250"/>
      <c r="NP293" s="250"/>
      <c r="NQ293" s="250"/>
      <c r="NR293" s="250"/>
      <c r="NS293" s="250"/>
      <c r="NT293" s="250"/>
      <c r="NU293" s="250"/>
      <c r="NV293" s="250"/>
      <c r="NW293" s="251"/>
      <c r="OT293" s="8"/>
      <c r="QG293" s="8"/>
      <c r="RT293" s="8"/>
    </row>
    <row r="294" spans="1:488" s="282" customFormat="1" x14ac:dyDescent="0.25">
      <c r="A294" s="66"/>
      <c r="B294" s="8"/>
      <c r="C294" s="66"/>
      <c r="D294" s="66"/>
      <c r="E294" s="66"/>
      <c r="F294" s="66"/>
      <c r="G294" s="66"/>
      <c r="H294" s="66"/>
      <c r="I294" s="66"/>
      <c r="J294" s="66"/>
      <c r="K294" s="66"/>
      <c r="L294" s="66"/>
      <c r="M294" s="66"/>
      <c r="N294" s="66"/>
      <c r="O294" s="66"/>
      <c r="P294" s="66"/>
      <c r="Q294" s="66"/>
      <c r="R294" s="66"/>
      <c r="S294" s="66"/>
      <c r="T294" s="68"/>
      <c r="AC294" s="66"/>
      <c r="AD294" s="66"/>
      <c r="AE294" s="68"/>
      <c r="AN294" s="66"/>
      <c r="AO294" s="66"/>
      <c r="AP294" s="68"/>
      <c r="AW294" s="66"/>
      <c r="AX294" s="68"/>
      <c r="BD294" s="66"/>
      <c r="BE294" s="68"/>
      <c r="BF294" s="66"/>
      <c r="BG294" s="66"/>
      <c r="BH294" s="66"/>
      <c r="BI294" s="66"/>
      <c r="BJ294" s="66"/>
      <c r="BK294" s="66"/>
      <c r="BL294" s="68"/>
      <c r="BO294" s="66"/>
      <c r="BP294" s="68"/>
      <c r="BV294" s="66"/>
      <c r="BW294" s="68"/>
      <c r="CB294" s="8"/>
      <c r="CH294" s="8"/>
      <c r="CK294" s="299"/>
      <c r="CL294" s="299"/>
      <c r="CM294" s="66"/>
      <c r="CN294" s="66"/>
      <c r="CO294" s="68"/>
      <c r="CR294" s="8"/>
      <c r="CX294" s="66"/>
      <c r="CY294" s="532"/>
      <c r="DE294" s="66"/>
      <c r="DF294" s="66"/>
      <c r="DG294" s="68"/>
      <c r="DH294" s="68"/>
      <c r="DK294" s="66"/>
      <c r="DL294" s="66"/>
      <c r="DM294" s="66"/>
      <c r="DN294" s="66"/>
      <c r="DO294" s="66"/>
      <c r="DP294" s="66"/>
      <c r="DQ294" s="66"/>
      <c r="DR294" s="66"/>
      <c r="DS294" s="66"/>
      <c r="DT294" s="68"/>
      <c r="DU294" s="66"/>
      <c r="DV294" s="296"/>
      <c r="DW294" s="330"/>
      <c r="DX294" s="631"/>
      <c r="DY294" s="631"/>
      <c r="DZ294" s="631"/>
      <c r="EA294" s="330"/>
      <c r="EC294" s="66"/>
      <c r="ED294" s="68"/>
      <c r="EH294" s="66"/>
      <c r="EI294" s="66"/>
      <c r="EJ294" s="68"/>
      <c r="EK294" s="252"/>
      <c r="EL294" s="252"/>
      <c r="EM294" s="252"/>
      <c r="EO294" s="252"/>
      <c r="EP294" s="252"/>
      <c r="EQ294" s="252"/>
      <c r="ES294" s="252"/>
      <c r="ET294" s="252"/>
      <c r="EU294" s="252"/>
      <c r="EW294" s="252"/>
      <c r="EX294" s="252"/>
      <c r="EY294" s="252"/>
      <c r="FA294" s="250"/>
      <c r="FB294" s="250"/>
      <c r="FC294" s="250"/>
      <c r="FD294" s="250"/>
      <c r="FE294" s="250"/>
      <c r="FF294" s="250"/>
      <c r="FG294" s="250"/>
      <c r="FH294" s="424"/>
      <c r="FI294" s="250"/>
      <c r="FJ294" s="250"/>
      <c r="FK294" s="250"/>
      <c r="FL294" s="256"/>
      <c r="FM294" s="250"/>
      <c r="FN294" s="256"/>
      <c r="FO294" s="250"/>
      <c r="FP294" s="256"/>
      <c r="FQ294" s="250"/>
      <c r="FR294" s="256"/>
      <c r="FS294" s="250"/>
      <c r="FT294" s="256"/>
      <c r="FU294" s="256"/>
      <c r="FV294" s="256"/>
      <c r="FW294" s="250"/>
      <c r="FX294" s="424"/>
      <c r="FY294" s="251"/>
      <c r="GC294" s="252"/>
      <c r="GF294" s="252"/>
      <c r="GG294" s="252"/>
      <c r="GH294" s="252"/>
      <c r="GI294" s="252"/>
      <c r="GJ294" s="252"/>
      <c r="GK294" s="251"/>
      <c r="GL294" s="250"/>
      <c r="GM294" s="250"/>
      <c r="GN294" s="250"/>
      <c r="GO294" s="250"/>
      <c r="GP294" s="250"/>
      <c r="GQ294" s="250"/>
      <c r="GR294" s="250"/>
      <c r="GS294" s="250"/>
      <c r="GT294" s="250"/>
      <c r="GU294" s="251"/>
      <c r="GV294" s="250"/>
      <c r="GW294" s="250"/>
      <c r="GX294" s="250"/>
      <c r="GY294" s="250"/>
      <c r="GZ294" s="250"/>
      <c r="HA294" s="250"/>
      <c r="HB294" s="250"/>
      <c r="HC294" s="250"/>
      <c r="HD294" s="250"/>
      <c r="HE294" s="250"/>
      <c r="HF294" s="250"/>
      <c r="HG294" s="250"/>
      <c r="HH294" s="251"/>
      <c r="HI294" s="424"/>
      <c r="HJ294" s="255"/>
      <c r="HK294" s="255"/>
      <c r="HL294" s="250"/>
      <c r="HM294" s="255"/>
      <c r="HN294" s="255"/>
      <c r="HO294" s="255"/>
      <c r="HP294" s="250"/>
      <c r="HQ294" s="250"/>
      <c r="HR294" s="250"/>
      <c r="HS294" s="250"/>
      <c r="HT294" s="250"/>
      <c r="HU294" s="251"/>
      <c r="HX294" s="252"/>
      <c r="HY294" s="252"/>
      <c r="HZ294" s="252"/>
      <c r="ID294" s="252"/>
      <c r="IE294" s="252"/>
      <c r="IF294" s="252"/>
      <c r="IJ294" s="252"/>
      <c r="IK294" s="252"/>
      <c r="IL294" s="252"/>
      <c r="IP294" s="252"/>
      <c r="IQ294" s="252"/>
      <c r="IR294" s="252"/>
      <c r="IY294" s="66"/>
      <c r="IZ294" s="66"/>
      <c r="JA294" s="66"/>
      <c r="JB294" s="250"/>
      <c r="JC294" s="66"/>
      <c r="JD294" s="66"/>
      <c r="JE294" s="66"/>
      <c r="JF294" s="66"/>
      <c r="JG294" s="66"/>
      <c r="JH294" s="66"/>
      <c r="JI294" s="66"/>
      <c r="JJ294" s="66"/>
      <c r="JK294" s="8"/>
      <c r="JN294" s="252"/>
      <c r="JO294" s="252"/>
      <c r="JP294" s="252"/>
      <c r="JT294" s="252"/>
      <c r="JU294" s="252"/>
      <c r="JV294" s="252"/>
      <c r="JZ294" s="252"/>
      <c r="KA294" s="252"/>
      <c r="KB294" s="252"/>
      <c r="KF294" s="252"/>
      <c r="KG294" s="252"/>
      <c r="KH294" s="252"/>
      <c r="KO294" s="66"/>
      <c r="KP294" s="66"/>
      <c r="KQ294" s="66"/>
      <c r="KR294" s="66"/>
      <c r="KS294" s="66"/>
      <c r="KT294" s="66"/>
      <c r="KU294" s="66"/>
      <c r="KV294" s="66"/>
      <c r="KW294" s="66"/>
      <c r="KX294" s="66"/>
      <c r="KY294" s="66"/>
      <c r="KZ294" s="66"/>
      <c r="LA294" s="8"/>
      <c r="LD294" s="252"/>
      <c r="LE294" s="252"/>
      <c r="LF294" s="252"/>
      <c r="LJ294" s="252"/>
      <c r="LK294" s="252"/>
      <c r="LN294" s="252"/>
      <c r="LO294" s="252"/>
      <c r="LP294" s="252"/>
      <c r="LT294" s="271"/>
      <c r="LU294" s="250"/>
      <c r="LV294" s="250"/>
      <c r="LW294" s="250"/>
      <c r="LX294" s="250"/>
      <c r="LY294" s="250"/>
      <c r="LZ294" s="250"/>
      <c r="MA294" s="250"/>
      <c r="MB294" s="250"/>
      <c r="MC294" s="250"/>
      <c r="MD294" s="250"/>
      <c r="ME294" s="250"/>
      <c r="MF294" s="250"/>
      <c r="MG294" s="250"/>
      <c r="MH294" s="250"/>
      <c r="MI294" s="250"/>
      <c r="MJ294" s="250"/>
      <c r="MK294" s="424"/>
      <c r="ML294" s="640"/>
      <c r="MM294" s="251"/>
      <c r="MN294" s="252"/>
      <c r="MO294" s="252"/>
      <c r="MP294" s="252"/>
      <c r="MQ294" s="252"/>
      <c r="MR294" s="252"/>
      <c r="MS294" s="252"/>
      <c r="MT294" s="252"/>
      <c r="MU294" s="252"/>
      <c r="MV294" s="252"/>
      <c r="MW294" s="252"/>
      <c r="MX294" s="252"/>
      <c r="MY294" s="252"/>
      <c r="MZ294" s="252"/>
      <c r="NA294" s="252"/>
      <c r="NB294" s="252"/>
      <c r="NC294" s="251"/>
      <c r="ND294" s="250"/>
      <c r="NE294" s="250"/>
      <c r="NF294" s="250"/>
      <c r="NG294" s="250"/>
      <c r="NH294" s="250"/>
      <c r="NI294" s="250"/>
      <c r="NJ294" s="250"/>
      <c r="NK294" s="250"/>
      <c r="NL294" s="250"/>
      <c r="NM294" s="250"/>
      <c r="NN294" s="250"/>
      <c r="NO294" s="250"/>
      <c r="NP294" s="250"/>
      <c r="NQ294" s="250"/>
      <c r="NR294" s="250"/>
      <c r="NS294" s="250"/>
      <c r="NT294" s="250"/>
      <c r="NU294" s="250"/>
      <c r="NV294" s="250"/>
      <c r="NW294" s="251"/>
      <c r="OT294" s="8"/>
      <c r="QG294" s="8"/>
      <c r="RT294" s="8"/>
    </row>
    <row r="295" spans="1:488" s="282" customFormat="1" x14ac:dyDescent="0.25">
      <c r="A295" s="66"/>
      <c r="B295" s="8"/>
      <c r="C295" s="66"/>
      <c r="D295" s="66"/>
      <c r="E295" s="66"/>
      <c r="F295" s="66"/>
      <c r="G295" s="66"/>
      <c r="H295" s="66"/>
      <c r="I295" s="66"/>
      <c r="J295" s="66"/>
      <c r="K295" s="66"/>
      <c r="L295" s="66"/>
      <c r="M295" s="66"/>
      <c r="N295" s="66"/>
      <c r="O295" s="66"/>
      <c r="P295" s="66"/>
      <c r="Q295" s="66"/>
      <c r="R295" s="66"/>
      <c r="S295" s="66"/>
      <c r="T295" s="68"/>
      <c r="AC295" s="66"/>
      <c r="AD295" s="66"/>
      <c r="AE295" s="68"/>
      <c r="AN295" s="66"/>
      <c r="AO295" s="66"/>
      <c r="AP295" s="68"/>
      <c r="AW295" s="66"/>
      <c r="AX295" s="68"/>
      <c r="BD295" s="66"/>
      <c r="BE295" s="68"/>
      <c r="BF295" s="66"/>
      <c r="BG295" s="66"/>
      <c r="BH295" s="66"/>
      <c r="BI295" s="66"/>
      <c r="BJ295" s="66"/>
      <c r="BK295" s="66"/>
      <c r="BL295" s="68"/>
      <c r="BO295" s="66"/>
      <c r="BP295" s="68"/>
      <c r="BV295" s="66"/>
      <c r="BW295" s="68"/>
      <c r="CB295" s="8"/>
      <c r="CH295" s="8"/>
      <c r="CK295" s="299"/>
      <c r="CL295" s="299"/>
      <c r="CM295" s="66"/>
      <c r="CN295" s="66"/>
      <c r="CO295" s="68"/>
      <c r="CR295" s="8"/>
      <c r="CX295" s="66"/>
      <c r="CY295" s="532"/>
      <c r="DE295" s="66"/>
      <c r="DF295" s="66"/>
      <c r="DG295" s="68"/>
      <c r="DH295" s="68"/>
      <c r="DK295" s="66"/>
      <c r="DL295" s="66"/>
      <c r="DM295" s="66"/>
      <c r="DN295" s="66"/>
      <c r="DO295" s="66"/>
      <c r="DP295" s="66"/>
      <c r="DQ295" s="66"/>
      <c r="DR295" s="66"/>
      <c r="DS295" s="66"/>
      <c r="DT295" s="68"/>
      <c r="DU295" s="66"/>
      <c r="DV295" s="296"/>
      <c r="DW295" s="330"/>
      <c r="DX295" s="631"/>
      <c r="DY295" s="631"/>
      <c r="DZ295" s="631"/>
      <c r="EA295" s="330"/>
      <c r="EC295" s="66"/>
      <c r="ED295" s="68"/>
      <c r="EH295" s="66"/>
      <c r="EI295" s="66"/>
      <c r="EJ295" s="68"/>
      <c r="EK295" s="252"/>
      <c r="EL295" s="252"/>
      <c r="EM295" s="252"/>
      <c r="EO295" s="252"/>
      <c r="EP295" s="252"/>
      <c r="EQ295" s="252"/>
      <c r="ES295" s="252"/>
      <c r="ET295" s="252"/>
      <c r="EU295" s="252"/>
      <c r="EW295" s="252"/>
      <c r="EX295" s="252"/>
      <c r="EY295" s="252"/>
      <c r="FA295" s="250"/>
      <c r="FB295" s="250"/>
      <c r="FC295" s="250"/>
      <c r="FD295" s="250"/>
      <c r="FE295" s="250"/>
      <c r="FF295" s="250"/>
      <c r="FG295" s="250"/>
      <c r="FH295" s="424"/>
      <c r="FI295" s="250"/>
      <c r="FJ295" s="250"/>
      <c r="FK295" s="250"/>
      <c r="FL295" s="256"/>
      <c r="FM295" s="250"/>
      <c r="FN295" s="256"/>
      <c r="FO295" s="250"/>
      <c r="FP295" s="256"/>
      <c r="FQ295" s="250"/>
      <c r="FR295" s="256"/>
      <c r="FS295" s="250"/>
      <c r="FT295" s="256"/>
      <c r="FU295" s="256"/>
      <c r="FV295" s="256"/>
      <c r="FW295" s="250"/>
      <c r="FX295" s="424"/>
      <c r="FY295" s="251"/>
      <c r="GC295" s="252"/>
      <c r="GF295" s="252"/>
      <c r="GG295" s="252"/>
      <c r="GH295" s="252"/>
      <c r="GI295" s="252"/>
      <c r="GJ295" s="252"/>
      <c r="GK295" s="251"/>
      <c r="GL295" s="250"/>
      <c r="GM295" s="250"/>
      <c r="GN295" s="250"/>
      <c r="GO295" s="250"/>
      <c r="GP295" s="250"/>
      <c r="GQ295" s="250"/>
      <c r="GR295" s="250"/>
      <c r="GS295" s="250"/>
      <c r="GT295" s="250"/>
      <c r="GU295" s="251"/>
      <c r="GV295" s="250"/>
      <c r="GW295" s="250"/>
      <c r="GX295" s="250"/>
      <c r="GY295" s="250"/>
      <c r="GZ295" s="250"/>
      <c r="HA295" s="250"/>
      <c r="HB295" s="250"/>
      <c r="HC295" s="250"/>
      <c r="HD295" s="250"/>
      <c r="HE295" s="250"/>
      <c r="HF295" s="250"/>
      <c r="HG295" s="250"/>
      <c r="HH295" s="251"/>
      <c r="HI295" s="424"/>
      <c r="HJ295" s="255"/>
      <c r="HK295" s="255"/>
      <c r="HL295" s="250"/>
      <c r="HM295" s="255"/>
      <c r="HN295" s="255"/>
      <c r="HO295" s="255"/>
      <c r="HP295" s="250"/>
      <c r="HQ295" s="250"/>
      <c r="HR295" s="250"/>
      <c r="HS295" s="250"/>
      <c r="HT295" s="250"/>
      <c r="HU295" s="251"/>
      <c r="HX295" s="252"/>
      <c r="HY295" s="252"/>
      <c r="HZ295" s="252"/>
      <c r="ID295" s="252"/>
      <c r="IE295" s="252"/>
      <c r="IF295" s="252"/>
      <c r="IJ295" s="252"/>
      <c r="IK295" s="252"/>
      <c r="IL295" s="252"/>
      <c r="IP295" s="252"/>
      <c r="IQ295" s="252"/>
      <c r="IR295" s="252"/>
      <c r="IY295" s="66"/>
      <c r="IZ295" s="66"/>
      <c r="JA295" s="66"/>
      <c r="JB295" s="250"/>
      <c r="JC295" s="66"/>
      <c r="JD295" s="66"/>
      <c r="JE295" s="66"/>
      <c r="JF295" s="66"/>
      <c r="JG295" s="66"/>
      <c r="JH295" s="66"/>
      <c r="JI295" s="66"/>
      <c r="JJ295" s="66"/>
      <c r="JK295" s="8"/>
      <c r="JN295" s="252"/>
      <c r="JO295" s="252"/>
      <c r="JP295" s="252"/>
      <c r="JT295" s="252"/>
      <c r="JU295" s="252"/>
      <c r="JV295" s="252"/>
      <c r="JZ295" s="252"/>
      <c r="KA295" s="252"/>
      <c r="KB295" s="252"/>
      <c r="KF295" s="252"/>
      <c r="KG295" s="252"/>
      <c r="KH295" s="252"/>
      <c r="KO295" s="66"/>
      <c r="KP295" s="66"/>
      <c r="KQ295" s="66"/>
      <c r="KR295" s="66"/>
      <c r="KS295" s="66"/>
      <c r="KT295" s="66"/>
      <c r="KU295" s="66"/>
      <c r="KV295" s="66"/>
      <c r="KW295" s="66"/>
      <c r="KX295" s="66"/>
      <c r="KY295" s="66"/>
      <c r="KZ295" s="66"/>
      <c r="LA295" s="8"/>
      <c r="LD295" s="252"/>
      <c r="LE295" s="252"/>
      <c r="LF295" s="252"/>
      <c r="LJ295" s="252"/>
      <c r="LK295" s="252"/>
      <c r="LN295" s="252"/>
      <c r="LO295" s="252"/>
      <c r="LP295" s="252"/>
      <c r="LT295" s="271"/>
      <c r="LU295" s="250"/>
      <c r="LV295" s="250"/>
      <c r="LW295" s="250"/>
      <c r="LX295" s="250"/>
      <c r="LY295" s="250"/>
      <c r="LZ295" s="250"/>
      <c r="MA295" s="250"/>
      <c r="MB295" s="250"/>
      <c r="MC295" s="250"/>
      <c r="MD295" s="250"/>
      <c r="ME295" s="250"/>
      <c r="MF295" s="250"/>
      <c r="MG295" s="250"/>
      <c r="MH295" s="250"/>
      <c r="MI295" s="250"/>
      <c r="MJ295" s="250"/>
      <c r="MK295" s="424"/>
      <c r="ML295" s="640"/>
      <c r="MM295" s="251"/>
      <c r="MN295" s="252"/>
      <c r="MO295" s="252"/>
      <c r="MP295" s="252"/>
      <c r="MQ295" s="252"/>
      <c r="MR295" s="252"/>
      <c r="MS295" s="252"/>
      <c r="MT295" s="252"/>
      <c r="MU295" s="252"/>
      <c r="MV295" s="252"/>
      <c r="MW295" s="252"/>
      <c r="MX295" s="252"/>
      <c r="MY295" s="252"/>
      <c r="MZ295" s="252"/>
      <c r="NA295" s="252"/>
      <c r="NB295" s="252"/>
      <c r="NC295" s="251"/>
      <c r="ND295" s="250"/>
      <c r="NE295" s="250"/>
      <c r="NF295" s="250"/>
      <c r="NG295" s="250"/>
      <c r="NH295" s="250"/>
      <c r="NI295" s="250"/>
      <c r="NJ295" s="250"/>
      <c r="NK295" s="250"/>
      <c r="NL295" s="250"/>
      <c r="NM295" s="250"/>
      <c r="NN295" s="250"/>
      <c r="NO295" s="250"/>
      <c r="NP295" s="250"/>
      <c r="NQ295" s="250"/>
      <c r="NR295" s="250"/>
      <c r="NS295" s="250"/>
      <c r="NT295" s="250"/>
      <c r="NU295" s="250"/>
      <c r="NV295" s="250"/>
      <c r="NW295" s="251"/>
      <c r="OT295" s="8"/>
      <c r="QG295" s="8"/>
      <c r="RT295" s="8"/>
    </row>
    <row r="296" spans="1:488" s="282" customFormat="1" x14ac:dyDescent="0.25">
      <c r="A296" s="66"/>
      <c r="B296" s="8"/>
      <c r="C296" s="66"/>
      <c r="D296" s="66"/>
      <c r="E296" s="66"/>
      <c r="F296" s="66"/>
      <c r="G296" s="66"/>
      <c r="H296" s="66"/>
      <c r="I296" s="66"/>
      <c r="J296" s="66"/>
      <c r="K296" s="66"/>
      <c r="L296" s="66"/>
      <c r="M296" s="66"/>
      <c r="N296" s="66"/>
      <c r="O296" s="66"/>
      <c r="P296" s="66"/>
      <c r="Q296" s="66"/>
      <c r="R296" s="66"/>
      <c r="S296" s="66"/>
      <c r="T296" s="68"/>
      <c r="AC296" s="66"/>
      <c r="AD296" s="66"/>
      <c r="AE296" s="68"/>
      <c r="AN296" s="66"/>
      <c r="AO296" s="66"/>
      <c r="AP296" s="68"/>
      <c r="AW296" s="66"/>
      <c r="AX296" s="68"/>
      <c r="BD296" s="66"/>
      <c r="BE296" s="68"/>
      <c r="BF296" s="66"/>
      <c r="BG296" s="66"/>
      <c r="BH296" s="66"/>
      <c r="BI296" s="66"/>
      <c r="BJ296" s="66"/>
      <c r="BK296" s="66"/>
      <c r="BL296" s="68"/>
      <c r="BO296" s="66"/>
      <c r="BP296" s="68"/>
      <c r="BV296" s="66"/>
      <c r="BW296" s="68"/>
      <c r="CB296" s="8"/>
      <c r="CH296" s="8"/>
      <c r="CK296" s="299"/>
      <c r="CL296" s="299"/>
      <c r="CM296" s="66"/>
      <c r="CN296" s="66"/>
      <c r="CO296" s="68"/>
      <c r="CR296" s="8"/>
      <c r="CX296" s="66"/>
      <c r="CY296" s="532"/>
      <c r="DE296" s="66"/>
      <c r="DF296" s="66"/>
      <c r="DG296" s="68"/>
      <c r="DH296" s="68"/>
      <c r="DK296" s="66"/>
      <c r="DL296" s="66"/>
      <c r="DM296" s="66"/>
      <c r="DN296" s="66"/>
      <c r="DO296" s="66"/>
      <c r="DP296" s="66"/>
      <c r="DQ296" s="66"/>
      <c r="DR296" s="66"/>
      <c r="DS296" s="66"/>
      <c r="DT296" s="68"/>
      <c r="DU296" s="66"/>
      <c r="DV296" s="296"/>
      <c r="DW296" s="330"/>
      <c r="DX296" s="631"/>
      <c r="DY296" s="631"/>
      <c r="DZ296" s="631"/>
      <c r="EA296" s="330"/>
      <c r="EC296" s="66"/>
      <c r="ED296" s="68"/>
      <c r="EH296" s="66"/>
      <c r="EI296" s="66"/>
      <c r="EJ296" s="68"/>
      <c r="EK296" s="252"/>
      <c r="EL296" s="252"/>
      <c r="EM296" s="252"/>
      <c r="EO296" s="252"/>
      <c r="EP296" s="252"/>
      <c r="EQ296" s="252"/>
      <c r="ES296" s="252"/>
      <c r="ET296" s="252"/>
      <c r="EU296" s="252"/>
      <c r="EW296" s="252"/>
      <c r="EX296" s="252"/>
      <c r="EY296" s="252"/>
      <c r="FA296" s="250"/>
      <c r="FB296" s="250"/>
      <c r="FC296" s="250"/>
      <c r="FD296" s="250"/>
      <c r="FE296" s="250"/>
      <c r="FF296" s="250"/>
      <c r="FG296" s="250"/>
      <c r="FH296" s="424"/>
      <c r="FI296" s="250"/>
      <c r="FJ296" s="250"/>
      <c r="FK296" s="250"/>
      <c r="FL296" s="256"/>
      <c r="FM296" s="250"/>
      <c r="FN296" s="256"/>
      <c r="FO296" s="250"/>
      <c r="FP296" s="256"/>
      <c r="FQ296" s="250"/>
      <c r="FR296" s="256"/>
      <c r="FS296" s="250"/>
      <c r="FT296" s="256"/>
      <c r="FU296" s="256"/>
      <c r="FV296" s="256"/>
      <c r="FW296" s="250"/>
      <c r="FX296" s="424"/>
      <c r="FY296" s="251"/>
      <c r="GC296" s="252"/>
      <c r="GF296" s="252"/>
      <c r="GG296" s="252"/>
      <c r="GH296" s="252"/>
      <c r="GI296" s="252"/>
      <c r="GJ296" s="252"/>
      <c r="GK296" s="251"/>
      <c r="GL296" s="250"/>
      <c r="GM296" s="250"/>
      <c r="GN296" s="250"/>
      <c r="GO296" s="250"/>
      <c r="GP296" s="250"/>
      <c r="GQ296" s="250"/>
      <c r="GR296" s="250"/>
      <c r="GS296" s="250"/>
      <c r="GT296" s="250"/>
      <c r="GU296" s="251"/>
      <c r="GV296" s="250"/>
      <c r="GW296" s="250"/>
      <c r="GX296" s="250"/>
      <c r="GY296" s="250"/>
      <c r="GZ296" s="250"/>
      <c r="HA296" s="250"/>
      <c r="HB296" s="250"/>
      <c r="HC296" s="250"/>
      <c r="HD296" s="250"/>
      <c r="HE296" s="250"/>
      <c r="HF296" s="250"/>
      <c r="HG296" s="250"/>
      <c r="HH296" s="251"/>
      <c r="HI296" s="424"/>
      <c r="HJ296" s="255"/>
      <c r="HK296" s="255"/>
      <c r="HL296" s="250"/>
      <c r="HM296" s="255"/>
      <c r="HN296" s="255"/>
      <c r="HO296" s="255"/>
      <c r="HP296" s="250"/>
      <c r="HQ296" s="250"/>
      <c r="HR296" s="250"/>
      <c r="HS296" s="250"/>
      <c r="HT296" s="250"/>
      <c r="HU296" s="251"/>
      <c r="HX296" s="252"/>
      <c r="HY296" s="252"/>
      <c r="HZ296" s="252"/>
      <c r="ID296" s="252"/>
      <c r="IE296" s="252"/>
      <c r="IF296" s="252"/>
      <c r="IJ296" s="252"/>
      <c r="IK296" s="252"/>
      <c r="IL296" s="252"/>
      <c r="IP296" s="252"/>
      <c r="IQ296" s="252"/>
      <c r="IR296" s="252"/>
      <c r="IY296" s="66"/>
      <c r="IZ296" s="66"/>
      <c r="JA296" s="66"/>
      <c r="JB296" s="250"/>
      <c r="JC296" s="66"/>
      <c r="JD296" s="66"/>
      <c r="JE296" s="66"/>
      <c r="JF296" s="66"/>
      <c r="JG296" s="66"/>
      <c r="JH296" s="66"/>
      <c r="JI296" s="66"/>
      <c r="JJ296" s="66"/>
      <c r="JK296" s="8"/>
      <c r="JN296" s="252"/>
      <c r="JO296" s="252"/>
      <c r="JP296" s="252"/>
      <c r="JT296" s="252"/>
      <c r="JU296" s="252"/>
      <c r="JV296" s="252"/>
      <c r="JZ296" s="252"/>
      <c r="KA296" s="252"/>
      <c r="KB296" s="252"/>
      <c r="KF296" s="252"/>
      <c r="KG296" s="252"/>
      <c r="KH296" s="252"/>
      <c r="KO296" s="66"/>
      <c r="KP296" s="66"/>
      <c r="KQ296" s="66"/>
      <c r="KR296" s="66"/>
      <c r="KS296" s="66"/>
      <c r="KT296" s="66"/>
      <c r="KU296" s="66"/>
      <c r="KV296" s="66"/>
      <c r="KW296" s="66"/>
      <c r="KX296" s="66"/>
      <c r="KY296" s="66"/>
      <c r="KZ296" s="66"/>
      <c r="LA296" s="8"/>
      <c r="LD296" s="252"/>
      <c r="LE296" s="252"/>
      <c r="LF296" s="252"/>
      <c r="LJ296" s="252"/>
      <c r="LK296" s="252"/>
      <c r="LN296" s="252"/>
      <c r="LO296" s="252"/>
      <c r="LP296" s="252"/>
      <c r="LT296" s="271"/>
      <c r="LU296" s="250"/>
      <c r="LV296" s="250"/>
      <c r="LW296" s="250"/>
      <c r="LX296" s="250"/>
      <c r="LY296" s="250"/>
      <c r="LZ296" s="250"/>
      <c r="MA296" s="250"/>
      <c r="MB296" s="250"/>
      <c r="MC296" s="250"/>
      <c r="MD296" s="250"/>
      <c r="ME296" s="250"/>
      <c r="MF296" s="250"/>
      <c r="MG296" s="250"/>
      <c r="MH296" s="250"/>
      <c r="MI296" s="250"/>
      <c r="MJ296" s="250"/>
      <c r="MK296" s="424"/>
      <c r="ML296" s="640"/>
      <c r="MM296" s="251"/>
      <c r="MN296" s="252"/>
      <c r="MO296" s="252"/>
      <c r="MP296" s="252"/>
      <c r="MQ296" s="252"/>
      <c r="MR296" s="252"/>
      <c r="MS296" s="252"/>
      <c r="MT296" s="252"/>
      <c r="MU296" s="252"/>
      <c r="MV296" s="252"/>
      <c r="MW296" s="252"/>
      <c r="MX296" s="252"/>
      <c r="MY296" s="252"/>
      <c r="MZ296" s="252"/>
      <c r="NA296" s="252"/>
      <c r="NB296" s="252"/>
      <c r="NC296" s="251"/>
      <c r="ND296" s="250"/>
      <c r="NE296" s="250"/>
      <c r="NF296" s="250"/>
      <c r="NG296" s="250"/>
      <c r="NH296" s="250"/>
      <c r="NI296" s="250"/>
      <c r="NJ296" s="250"/>
      <c r="NK296" s="250"/>
      <c r="NL296" s="250"/>
      <c r="NM296" s="250"/>
      <c r="NN296" s="250"/>
      <c r="NO296" s="250"/>
      <c r="NP296" s="250"/>
      <c r="NQ296" s="250"/>
      <c r="NR296" s="250"/>
      <c r="NS296" s="250"/>
      <c r="NT296" s="250"/>
      <c r="NU296" s="250"/>
      <c r="NV296" s="250"/>
      <c r="NW296" s="251"/>
      <c r="OT296" s="8"/>
      <c r="QG296" s="8"/>
      <c r="RT296" s="8"/>
    </row>
    <row r="297" spans="1:488" s="282" customFormat="1" x14ac:dyDescent="0.25">
      <c r="A297" s="66"/>
      <c r="B297" s="8"/>
      <c r="C297" s="66"/>
      <c r="D297" s="66"/>
      <c r="E297" s="66"/>
      <c r="F297" s="66"/>
      <c r="G297" s="66"/>
      <c r="H297" s="66"/>
      <c r="I297" s="66"/>
      <c r="J297" s="66"/>
      <c r="K297" s="66"/>
      <c r="L297" s="66"/>
      <c r="M297" s="66"/>
      <c r="N297" s="66"/>
      <c r="O297" s="66"/>
      <c r="P297" s="66"/>
      <c r="Q297" s="66"/>
      <c r="R297" s="66"/>
      <c r="S297" s="66"/>
      <c r="T297" s="68"/>
      <c r="AC297" s="66"/>
      <c r="AD297" s="66"/>
      <c r="AE297" s="68"/>
      <c r="AN297" s="66"/>
      <c r="AO297" s="66"/>
      <c r="AP297" s="68"/>
      <c r="AW297" s="66"/>
      <c r="AX297" s="68"/>
      <c r="BD297" s="66"/>
      <c r="BE297" s="68"/>
      <c r="BF297" s="66"/>
      <c r="BG297" s="66"/>
      <c r="BH297" s="66"/>
      <c r="BI297" s="66"/>
      <c r="BJ297" s="66"/>
      <c r="BK297" s="66"/>
      <c r="BL297" s="68"/>
      <c r="BO297" s="66"/>
      <c r="BP297" s="68"/>
      <c r="BV297" s="66"/>
      <c r="BW297" s="68"/>
      <c r="CB297" s="8"/>
      <c r="CH297" s="8"/>
      <c r="CK297" s="299"/>
      <c r="CL297" s="299"/>
      <c r="CM297" s="66"/>
      <c r="CN297" s="66"/>
      <c r="CO297" s="68"/>
      <c r="CR297" s="8"/>
      <c r="CX297" s="66"/>
      <c r="CY297" s="532"/>
      <c r="DE297" s="66"/>
      <c r="DF297" s="66"/>
      <c r="DG297" s="68"/>
      <c r="DH297" s="68"/>
      <c r="DK297" s="66"/>
      <c r="DL297" s="66"/>
      <c r="DM297" s="66"/>
      <c r="DN297" s="66"/>
      <c r="DO297" s="66"/>
      <c r="DP297" s="66"/>
      <c r="DQ297" s="66"/>
      <c r="DR297" s="66"/>
      <c r="DS297" s="66"/>
      <c r="DT297" s="68"/>
      <c r="DU297" s="66"/>
      <c r="DV297" s="296"/>
      <c r="DW297" s="330"/>
      <c r="DX297" s="631"/>
      <c r="DY297" s="631"/>
      <c r="DZ297" s="631"/>
      <c r="EA297" s="330"/>
      <c r="EC297" s="66"/>
      <c r="ED297" s="68"/>
      <c r="EH297" s="66"/>
      <c r="EI297" s="66"/>
      <c r="EJ297" s="68"/>
      <c r="EK297" s="252"/>
      <c r="EL297" s="252"/>
      <c r="EM297" s="252"/>
      <c r="EO297" s="252"/>
      <c r="EP297" s="252"/>
      <c r="EQ297" s="252"/>
      <c r="ES297" s="252"/>
      <c r="ET297" s="252"/>
      <c r="EU297" s="252"/>
      <c r="EW297" s="252"/>
      <c r="EX297" s="252"/>
      <c r="EY297" s="252"/>
      <c r="FA297" s="250"/>
      <c r="FB297" s="250"/>
      <c r="FC297" s="250"/>
      <c r="FD297" s="250"/>
      <c r="FE297" s="250"/>
      <c r="FF297" s="250"/>
      <c r="FG297" s="250"/>
      <c r="FH297" s="424"/>
      <c r="FI297" s="250"/>
      <c r="FJ297" s="250"/>
      <c r="FK297" s="250"/>
      <c r="FL297" s="256"/>
      <c r="FM297" s="250"/>
      <c r="FN297" s="256"/>
      <c r="FO297" s="250"/>
      <c r="FP297" s="256"/>
      <c r="FQ297" s="250"/>
      <c r="FR297" s="256"/>
      <c r="FS297" s="250"/>
      <c r="FT297" s="256"/>
      <c r="FU297" s="256"/>
      <c r="FV297" s="256"/>
      <c r="FW297" s="250"/>
      <c r="FX297" s="424"/>
      <c r="FY297" s="251"/>
      <c r="GC297" s="252"/>
      <c r="GF297" s="252"/>
      <c r="GG297" s="252"/>
      <c r="GH297" s="252"/>
      <c r="GI297" s="252"/>
      <c r="GJ297" s="252"/>
      <c r="GK297" s="251"/>
      <c r="GL297" s="250"/>
      <c r="GM297" s="250"/>
      <c r="GN297" s="250"/>
      <c r="GO297" s="250"/>
      <c r="GP297" s="250"/>
      <c r="GQ297" s="250"/>
      <c r="GR297" s="250"/>
      <c r="GS297" s="250"/>
      <c r="GT297" s="250"/>
      <c r="GU297" s="251"/>
      <c r="GV297" s="250"/>
      <c r="GW297" s="250"/>
      <c r="GX297" s="250"/>
      <c r="GY297" s="250"/>
      <c r="GZ297" s="250"/>
      <c r="HA297" s="250"/>
      <c r="HB297" s="250"/>
      <c r="HC297" s="250"/>
      <c r="HD297" s="250"/>
      <c r="HE297" s="250"/>
      <c r="HF297" s="250"/>
      <c r="HG297" s="250"/>
      <c r="HH297" s="251"/>
      <c r="HI297" s="424"/>
      <c r="HJ297" s="255"/>
      <c r="HK297" s="255"/>
      <c r="HL297" s="250"/>
      <c r="HM297" s="255"/>
      <c r="HN297" s="255"/>
      <c r="HO297" s="255"/>
      <c r="HP297" s="250"/>
      <c r="HQ297" s="250"/>
      <c r="HR297" s="250"/>
      <c r="HS297" s="250"/>
      <c r="HT297" s="250"/>
      <c r="HU297" s="251"/>
      <c r="HX297" s="252"/>
      <c r="HY297" s="252"/>
      <c r="HZ297" s="252"/>
      <c r="ID297" s="252"/>
      <c r="IE297" s="252"/>
      <c r="IF297" s="252"/>
      <c r="IJ297" s="252"/>
      <c r="IK297" s="252"/>
      <c r="IL297" s="252"/>
      <c r="IP297" s="252"/>
      <c r="IQ297" s="252"/>
      <c r="IR297" s="252"/>
      <c r="IY297" s="66"/>
      <c r="IZ297" s="66"/>
      <c r="JA297" s="66"/>
      <c r="JB297" s="250"/>
      <c r="JC297" s="66"/>
      <c r="JD297" s="66"/>
      <c r="JE297" s="66"/>
      <c r="JF297" s="66"/>
      <c r="JG297" s="66"/>
      <c r="JH297" s="66"/>
      <c r="JI297" s="66"/>
      <c r="JJ297" s="66"/>
      <c r="JK297" s="8"/>
      <c r="JN297" s="252"/>
      <c r="JO297" s="252"/>
      <c r="JP297" s="252"/>
      <c r="JT297" s="252"/>
      <c r="JU297" s="252"/>
      <c r="JV297" s="252"/>
      <c r="JZ297" s="252"/>
      <c r="KA297" s="252"/>
      <c r="KB297" s="252"/>
      <c r="KF297" s="252"/>
      <c r="KG297" s="252"/>
      <c r="KH297" s="252"/>
      <c r="KO297" s="66"/>
      <c r="KP297" s="66"/>
      <c r="KQ297" s="66"/>
      <c r="KR297" s="66"/>
      <c r="KS297" s="66"/>
      <c r="KT297" s="66"/>
      <c r="KU297" s="66"/>
      <c r="KV297" s="66"/>
      <c r="KW297" s="66"/>
      <c r="KX297" s="66"/>
      <c r="KY297" s="66"/>
      <c r="KZ297" s="66"/>
      <c r="LA297" s="8"/>
      <c r="LD297" s="252"/>
      <c r="LE297" s="252"/>
      <c r="LF297" s="252"/>
      <c r="LJ297" s="252"/>
      <c r="LK297" s="252"/>
      <c r="LN297" s="252"/>
      <c r="LO297" s="252"/>
      <c r="LP297" s="252"/>
      <c r="LT297" s="271"/>
      <c r="LU297" s="250"/>
      <c r="LV297" s="250"/>
      <c r="LW297" s="250"/>
      <c r="LX297" s="250"/>
      <c r="LY297" s="250"/>
      <c r="LZ297" s="250"/>
      <c r="MA297" s="250"/>
      <c r="MB297" s="250"/>
      <c r="MC297" s="250"/>
      <c r="MD297" s="250"/>
      <c r="ME297" s="250"/>
      <c r="MF297" s="250"/>
      <c r="MG297" s="250"/>
      <c r="MH297" s="250"/>
      <c r="MI297" s="250"/>
      <c r="MJ297" s="250"/>
      <c r="MK297" s="424"/>
      <c r="ML297" s="640"/>
      <c r="MM297" s="251"/>
      <c r="MN297" s="252"/>
      <c r="MO297" s="252"/>
      <c r="MP297" s="252"/>
      <c r="MQ297" s="252"/>
      <c r="MR297" s="252"/>
      <c r="MS297" s="252"/>
      <c r="MT297" s="252"/>
      <c r="MU297" s="252"/>
      <c r="MV297" s="252"/>
      <c r="MW297" s="252"/>
      <c r="MX297" s="252"/>
      <c r="MY297" s="252"/>
      <c r="MZ297" s="252"/>
      <c r="NA297" s="252"/>
      <c r="NB297" s="252"/>
      <c r="NC297" s="251"/>
      <c r="ND297" s="250"/>
      <c r="NE297" s="250"/>
      <c r="NF297" s="250"/>
      <c r="NG297" s="250"/>
      <c r="NH297" s="250"/>
      <c r="NI297" s="250"/>
      <c r="NJ297" s="250"/>
      <c r="NK297" s="250"/>
      <c r="NL297" s="250"/>
      <c r="NM297" s="250"/>
      <c r="NN297" s="250"/>
      <c r="NO297" s="250"/>
      <c r="NP297" s="250"/>
      <c r="NQ297" s="250"/>
      <c r="NR297" s="250"/>
      <c r="NS297" s="250"/>
      <c r="NT297" s="250"/>
      <c r="NU297" s="250"/>
      <c r="NV297" s="250"/>
      <c r="NW297" s="251"/>
      <c r="OT297" s="8"/>
      <c r="QG297" s="8"/>
      <c r="RT297" s="8"/>
    </row>
    <row r="298" spans="1:488" s="282" customFormat="1" x14ac:dyDescent="0.25">
      <c r="A298" s="66"/>
      <c r="B298" s="8"/>
      <c r="C298" s="66"/>
      <c r="D298" s="66"/>
      <c r="E298" s="66"/>
      <c r="F298" s="66"/>
      <c r="G298" s="66"/>
      <c r="H298" s="66"/>
      <c r="I298" s="66"/>
      <c r="J298" s="66"/>
      <c r="K298" s="66"/>
      <c r="L298" s="66"/>
      <c r="M298" s="66"/>
      <c r="N298" s="66"/>
      <c r="O298" s="66"/>
      <c r="P298" s="66"/>
      <c r="Q298" s="66"/>
      <c r="R298" s="66"/>
      <c r="S298" s="66"/>
      <c r="T298" s="68"/>
      <c r="AC298" s="66"/>
      <c r="AD298" s="66"/>
      <c r="AE298" s="68"/>
      <c r="AN298" s="66"/>
      <c r="AO298" s="66"/>
      <c r="AP298" s="68"/>
      <c r="AW298" s="66"/>
      <c r="AX298" s="68"/>
      <c r="BD298" s="66"/>
      <c r="BE298" s="68"/>
      <c r="BF298" s="66"/>
      <c r="BG298" s="66"/>
      <c r="BH298" s="66"/>
      <c r="BI298" s="66"/>
      <c r="BJ298" s="66"/>
      <c r="BK298" s="66"/>
      <c r="BL298" s="68"/>
      <c r="BO298" s="66"/>
      <c r="BP298" s="68"/>
      <c r="BV298" s="66"/>
      <c r="BW298" s="68"/>
      <c r="CB298" s="8"/>
      <c r="CH298" s="8"/>
      <c r="CK298" s="299"/>
      <c r="CL298" s="299"/>
      <c r="CM298" s="66"/>
      <c r="CN298" s="66"/>
      <c r="CO298" s="68"/>
      <c r="CR298" s="8"/>
      <c r="CX298" s="66"/>
      <c r="CY298" s="532"/>
      <c r="DE298" s="66"/>
      <c r="DF298" s="66"/>
      <c r="DG298" s="68"/>
      <c r="DH298" s="68"/>
      <c r="DK298" s="66"/>
      <c r="DL298" s="66"/>
      <c r="DM298" s="66"/>
      <c r="DN298" s="66"/>
      <c r="DO298" s="66"/>
      <c r="DP298" s="66"/>
      <c r="DQ298" s="66"/>
      <c r="DR298" s="66"/>
      <c r="DS298" s="66"/>
      <c r="DT298" s="68"/>
      <c r="DU298" s="66"/>
      <c r="DV298" s="296"/>
      <c r="DW298" s="330"/>
      <c r="DX298" s="631"/>
      <c r="DY298" s="631"/>
      <c r="DZ298" s="631"/>
      <c r="EA298" s="330"/>
      <c r="EC298" s="66"/>
      <c r="ED298" s="68"/>
      <c r="EH298" s="66"/>
      <c r="EI298" s="66"/>
      <c r="EJ298" s="68"/>
      <c r="EK298" s="252"/>
      <c r="EL298" s="252"/>
      <c r="EM298" s="252"/>
      <c r="EO298" s="252"/>
      <c r="EP298" s="252"/>
      <c r="EQ298" s="252"/>
      <c r="ES298" s="252"/>
      <c r="ET298" s="252"/>
      <c r="EU298" s="252"/>
      <c r="EW298" s="252"/>
      <c r="EX298" s="252"/>
      <c r="EY298" s="252"/>
      <c r="FA298" s="250"/>
      <c r="FB298" s="250"/>
      <c r="FC298" s="250"/>
      <c r="FD298" s="250"/>
      <c r="FE298" s="250"/>
      <c r="FF298" s="250"/>
      <c r="FG298" s="250"/>
      <c r="FH298" s="424"/>
      <c r="FI298" s="250"/>
      <c r="FJ298" s="250"/>
      <c r="FK298" s="250"/>
      <c r="FL298" s="256"/>
      <c r="FM298" s="250"/>
      <c r="FN298" s="256"/>
      <c r="FO298" s="250"/>
      <c r="FP298" s="256"/>
      <c r="FQ298" s="250"/>
      <c r="FR298" s="256"/>
      <c r="FS298" s="250"/>
      <c r="FT298" s="256"/>
      <c r="FU298" s="256"/>
      <c r="FV298" s="256"/>
      <c r="FW298" s="250"/>
      <c r="FX298" s="424"/>
      <c r="FY298" s="251"/>
      <c r="GC298" s="252"/>
      <c r="GF298" s="252"/>
      <c r="GG298" s="252"/>
      <c r="GH298" s="252"/>
      <c r="GI298" s="252"/>
      <c r="GJ298" s="252"/>
      <c r="GK298" s="251"/>
      <c r="GL298" s="250"/>
      <c r="GM298" s="250"/>
      <c r="GN298" s="250"/>
      <c r="GO298" s="250"/>
      <c r="GP298" s="250"/>
      <c r="GQ298" s="250"/>
      <c r="GR298" s="250"/>
      <c r="GS298" s="250"/>
      <c r="GT298" s="250"/>
      <c r="GU298" s="251"/>
      <c r="GV298" s="250"/>
      <c r="GW298" s="250"/>
      <c r="GX298" s="250"/>
      <c r="GY298" s="250"/>
      <c r="GZ298" s="250"/>
      <c r="HA298" s="250"/>
      <c r="HB298" s="250"/>
      <c r="HC298" s="250"/>
      <c r="HD298" s="250"/>
      <c r="HE298" s="250"/>
      <c r="HF298" s="250"/>
      <c r="HG298" s="250"/>
      <c r="HH298" s="251"/>
      <c r="HI298" s="424"/>
      <c r="HJ298" s="255"/>
      <c r="HK298" s="255"/>
      <c r="HL298" s="250"/>
      <c r="HM298" s="255"/>
      <c r="HN298" s="255"/>
      <c r="HO298" s="255"/>
      <c r="HP298" s="250"/>
      <c r="HQ298" s="250"/>
      <c r="HR298" s="250"/>
      <c r="HS298" s="250"/>
      <c r="HT298" s="250"/>
      <c r="HU298" s="251"/>
      <c r="HX298" s="252"/>
      <c r="HY298" s="252"/>
      <c r="HZ298" s="252"/>
      <c r="ID298" s="252"/>
      <c r="IE298" s="252"/>
      <c r="IF298" s="252"/>
      <c r="IJ298" s="252"/>
      <c r="IK298" s="252"/>
      <c r="IL298" s="252"/>
      <c r="IP298" s="252"/>
      <c r="IQ298" s="252"/>
      <c r="IR298" s="252"/>
      <c r="IY298" s="66"/>
      <c r="IZ298" s="66"/>
      <c r="JA298" s="66"/>
      <c r="JB298" s="250"/>
      <c r="JC298" s="66"/>
      <c r="JD298" s="66"/>
      <c r="JE298" s="66"/>
      <c r="JF298" s="66"/>
      <c r="JG298" s="66"/>
      <c r="JH298" s="66"/>
      <c r="JI298" s="66"/>
      <c r="JJ298" s="66"/>
      <c r="JK298" s="8"/>
      <c r="JN298" s="252"/>
      <c r="JO298" s="252"/>
      <c r="JP298" s="252"/>
      <c r="JT298" s="252"/>
      <c r="JU298" s="252"/>
      <c r="JV298" s="252"/>
      <c r="JZ298" s="252"/>
      <c r="KA298" s="252"/>
      <c r="KB298" s="252"/>
      <c r="KF298" s="252"/>
      <c r="KG298" s="252"/>
      <c r="KH298" s="252"/>
      <c r="KO298" s="66"/>
      <c r="KP298" s="66"/>
      <c r="KQ298" s="66"/>
      <c r="KR298" s="66"/>
      <c r="KS298" s="66"/>
      <c r="KT298" s="66"/>
      <c r="KU298" s="66"/>
      <c r="KV298" s="66"/>
      <c r="KW298" s="66"/>
      <c r="KX298" s="66"/>
      <c r="KY298" s="66"/>
      <c r="KZ298" s="66"/>
      <c r="LA298" s="8"/>
      <c r="LD298" s="252"/>
      <c r="LE298" s="252"/>
      <c r="LF298" s="252"/>
      <c r="LJ298" s="252"/>
      <c r="LK298" s="252"/>
      <c r="LN298" s="252"/>
      <c r="LO298" s="252"/>
      <c r="LP298" s="252"/>
      <c r="LT298" s="271"/>
      <c r="LU298" s="250"/>
      <c r="LV298" s="250"/>
      <c r="LW298" s="250"/>
      <c r="LX298" s="250"/>
      <c r="LY298" s="250"/>
      <c r="LZ298" s="250"/>
      <c r="MA298" s="250"/>
      <c r="MB298" s="250"/>
      <c r="MC298" s="250"/>
      <c r="MD298" s="250"/>
      <c r="ME298" s="250"/>
      <c r="MF298" s="250"/>
      <c r="MG298" s="250"/>
      <c r="MH298" s="250"/>
      <c r="MI298" s="250"/>
      <c r="MJ298" s="250"/>
      <c r="MK298" s="424"/>
      <c r="ML298" s="640"/>
      <c r="MM298" s="251"/>
      <c r="MN298" s="252"/>
      <c r="MO298" s="252"/>
      <c r="MP298" s="252"/>
      <c r="MQ298" s="252"/>
      <c r="MR298" s="252"/>
      <c r="MS298" s="252"/>
      <c r="MT298" s="252"/>
      <c r="MU298" s="252"/>
      <c r="MV298" s="252"/>
      <c r="MW298" s="252"/>
      <c r="MX298" s="252"/>
      <c r="MY298" s="252"/>
      <c r="MZ298" s="252"/>
      <c r="NA298" s="252"/>
      <c r="NB298" s="252"/>
      <c r="NC298" s="251"/>
      <c r="ND298" s="250"/>
      <c r="NE298" s="250"/>
      <c r="NF298" s="250"/>
      <c r="NG298" s="250"/>
      <c r="NH298" s="250"/>
      <c r="NI298" s="250"/>
      <c r="NJ298" s="250"/>
      <c r="NK298" s="250"/>
      <c r="NL298" s="250"/>
      <c r="NM298" s="250"/>
      <c r="NN298" s="250"/>
      <c r="NO298" s="250"/>
      <c r="NP298" s="250"/>
      <c r="NQ298" s="250"/>
      <c r="NR298" s="250"/>
      <c r="NS298" s="250"/>
      <c r="NT298" s="250"/>
      <c r="NU298" s="250"/>
      <c r="NV298" s="250"/>
      <c r="NW298" s="251"/>
      <c r="OT298" s="8"/>
      <c r="QG298" s="8"/>
      <c r="RT298" s="8"/>
    </row>
    <row r="299" spans="1:488" s="282" customFormat="1" x14ac:dyDescent="0.25">
      <c r="A299" s="66"/>
      <c r="B299" s="8"/>
      <c r="C299" s="66"/>
      <c r="D299" s="66"/>
      <c r="E299" s="66"/>
      <c r="F299" s="66"/>
      <c r="G299" s="66"/>
      <c r="H299" s="66"/>
      <c r="I299" s="66"/>
      <c r="J299" s="66"/>
      <c r="K299" s="66"/>
      <c r="L299" s="66"/>
      <c r="M299" s="66"/>
      <c r="N299" s="66"/>
      <c r="O299" s="66"/>
      <c r="P299" s="66"/>
      <c r="Q299" s="66"/>
      <c r="R299" s="66"/>
      <c r="S299" s="66"/>
      <c r="T299" s="68"/>
      <c r="AC299" s="66"/>
      <c r="AD299" s="66"/>
      <c r="AE299" s="68"/>
      <c r="AN299" s="66"/>
      <c r="AO299" s="66"/>
      <c r="AP299" s="68"/>
      <c r="AW299" s="66"/>
      <c r="AX299" s="68"/>
      <c r="BD299" s="66"/>
      <c r="BE299" s="68"/>
      <c r="BF299" s="66"/>
      <c r="BG299" s="66"/>
      <c r="BH299" s="66"/>
      <c r="BI299" s="66"/>
      <c r="BJ299" s="66"/>
      <c r="BK299" s="66"/>
      <c r="BL299" s="68"/>
      <c r="BO299" s="66"/>
      <c r="BP299" s="68"/>
      <c r="BV299" s="66"/>
      <c r="BW299" s="68"/>
      <c r="CB299" s="8"/>
      <c r="CH299" s="8"/>
      <c r="CK299" s="299"/>
      <c r="CL299" s="299"/>
      <c r="CM299" s="66"/>
      <c r="CN299" s="66"/>
      <c r="CO299" s="68"/>
      <c r="CR299" s="8"/>
      <c r="CX299" s="66"/>
      <c r="CY299" s="532"/>
      <c r="DE299" s="66"/>
      <c r="DF299" s="66"/>
      <c r="DG299" s="68"/>
      <c r="DH299" s="68"/>
      <c r="DK299" s="66"/>
      <c r="DL299" s="66"/>
      <c r="DM299" s="66"/>
      <c r="DN299" s="66"/>
      <c r="DO299" s="66"/>
      <c r="DP299" s="66"/>
      <c r="DQ299" s="66"/>
      <c r="DR299" s="66"/>
      <c r="DS299" s="66"/>
      <c r="DT299" s="68"/>
      <c r="DU299" s="66"/>
      <c r="DV299" s="296"/>
      <c r="DW299" s="330"/>
      <c r="DX299" s="631"/>
      <c r="DY299" s="631"/>
      <c r="DZ299" s="631"/>
      <c r="EA299" s="330"/>
      <c r="EC299" s="66"/>
      <c r="ED299" s="68"/>
      <c r="EH299" s="66"/>
      <c r="EI299" s="66"/>
      <c r="EJ299" s="68"/>
      <c r="EK299" s="252"/>
      <c r="EL299" s="252"/>
      <c r="EM299" s="252"/>
      <c r="EO299" s="252"/>
      <c r="EP299" s="252"/>
      <c r="EQ299" s="252"/>
      <c r="ES299" s="252"/>
      <c r="ET299" s="252"/>
      <c r="EU299" s="252"/>
      <c r="EW299" s="252"/>
      <c r="EX299" s="252"/>
      <c r="EY299" s="252"/>
      <c r="FA299" s="250"/>
      <c r="FB299" s="250"/>
      <c r="FC299" s="250"/>
      <c r="FD299" s="250"/>
      <c r="FE299" s="250"/>
      <c r="FF299" s="250"/>
      <c r="FG299" s="250"/>
      <c r="FH299" s="424"/>
      <c r="FI299" s="250"/>
      <c r="FJ299" s="250"/>
      <c r="FK299" s="250"/>
      <c r="FL299" s="256"/>
      <c r="FM299" s="250"/>
      <c r="FN299" s="256"/>
      <c r="FO299" s="250"/>
      <c r="FP299" s="256"/>
      <c r="FQ299" s="250"/>
      <c r="FR299" s="256"/>
      <c r="FS299" s="250"/>
      <c r="FT299" s="256"/>
      <c r="FU299" s="256"/>
      <c r="FV299" s="256"/>
      <c r="FW299" s="250"/>
      <c r="FX299" s="424"/>
      <c r="FY299" s="251"/>
      <c r="GC299" s="252"/>
      <c r="GF299" s="252"/>
      <c r="GG299" s="252"/>
      <c r="GH299" s="252"/>
      <c r="GI299" s="252"/>
      <c r="GJ299" s="252"/>
      <c r="GK299" s="251"/>
      <c r="GL299" s="250"/>
      <c r="GM299" s="250"/>
      <c r="GN299" s="250"/>
      <c r="GO299" s="250"/>
      <c r="GP299" s="250"/>
      <c r="GQ299" s="250"/>
      <c r="GR299" s="250"/>
      <c r="GS299" s="250"/>
      <c r="GT299" s="250"/>
      <c r="GU299" s="251"/>
      <c r="GV299" s="250"/>
      <c r="GW299" s="250"/>
      <c r="GX299" s="250"/>
      <c r="GY299" s="250"/>
      <c r="GZ299" s="250"/>
      <c r="HA299" s="250"/>
      <c r="HB299" s="250"/>
      <c r="HC299" s="250"/>
      <c r="HD299" s="250"/>
      <c r="HE299" s="250"/>
      <c r="HF299" s="250"/>
      <c r="HG299" s="250"/>
      <c r="HH299" s="251"/>
      <c r="HI299" s="424"/>
      <c r="HJ299" s="255"/>
      <c r="HK299" s="255"/>
      <c r="HL299" s="250"/>
      <c r="HM299" s="255"/>
      <c r="HN299" s="255"/>
      <c r="HO299" s="255"/>
      <c r="HP299" s="250"/>
      <c r="HQ299" s="250"/>
      <c r="HR299" s="250"/>
      <c r="HS299" s="250"/>
      <c r="HT299" s="250"/>
      <c r="HU299" s="251"/>
      <c r="HX299" s="252"/>
      <c r="HY299" s="252"/>
      <c r="HZ299" s="252"/>
      <c r="ID299" s="252"/>
      <c r="IE299" s="252"/>
      <c r="IF299" s="252"/>
      <c r="IJ299" s="252"/>
      <c r="IK299" s="252"/>
      <c r="IL299" s="252"/>
      <c r="IP299" s="252"/>
      <c r="IQ299" s="252"/>
      <c r="IR299" s="252"/>
      <c r="IY299" s="66"/>
      <c r="IZ299" s="66"/>
      <c r="JA299" s="66"/>
      <c r="JB299" s="250"/>
      <c r="JC299" s="66"/>
      <c r="JD299" s="66"/>
      <c r="JE299" s="66"/>
      <c r="JF299" s="66"/>
      <c r="JG299" s="66"/>
      <c r="JH299" s="66"/>
      <c r="JI299" s="66"/>
      <c r="JJ299" s="66"/>
      <c r="JK299" s="8"/>
      <c r="JN299" s="252"/>
      <c r="JO299" s="252"/>
      <c r="JP299" s="252"/>
      <c r="JT299" s="252"/>
      <c r="JU299" s="252"/>
      <c r="JV299" s="252"/>
      <c r="JZ299" s="252"/>
      <c r="KA299" s="252"/>
      <c r="KB299" s="252"/>
      <c r="KF299" s="252"/>
      <c r="KG299" s="252"/>
      <c r="KH299" s="252"/>
      <c r="KO299" s="66"/>
      <c r="KP299" s="66"/>
      <c r="KQ299" s="66"/>
      <c r="KR299" s="66"/>
      <c r="KS299" s="66"/>
      <c r="KT299" s="66"/>
      <c r="KU299" s="66"/>
      <c r="KV299" s="66"/>
      <c r="KW299" s="66"/>
      <c r="KX299" s="66"/>
      <c r="KY299" s="66"/>
      <c r="KZ299" s="66"/>
      <c r="LA299" s="8"/>
      <c r="LD299" s="252"/>
      <c r="LE299" s="252"/>
      <c r="LF299" s="252"/>
      <c r="LJ299" s="252"/>
      <c r="LK299" s="252"/>
      <c r="LN299" s="252"/>
      <c r="LO299" s="252"/>
      <c r="LP299" s="252"/>
      <c r="LT299" s="271"/>
      <c r="LU299" s="250"/>
      <c r="LV299" s="250"/>
      <c r="LW299" s="250"/>
      <c r="LX299" s="250"/>
      <c r="LY299" s="250"/>
      <c r="LZ299" s="250"/>
      <c r="MA299" s="250"/>
      <c r="MB299" s="250"/>
      <c r="MC299" s="250"/>
      <c r="MD299" s="250"/>
      <c r="ME299" s="250"/>
      <c r="MF299" s="250"/>
      <c r="MG299" s="250"/>
      <c r="MH299" s="250"/>
      <c r="MI299" s="250"/>
      <c r="MJ299" s="250"/>
      <c r="MK299" s="424"/>
      <c r="ML299" s="640"/>
      <c r="MM299" s="251"/>
      <c r="MN299" s="252"/>
      <c r="MO299" s="252"/>
      <c r="MP299" s="252"/>
      <c r="MQ299" s="252"/>
      <c r="MR299" s="252"/>
      <c r="MS299" s="252"/>
      <c r="MT299" s="252"/>
      <c r="MU299" s="252"/>
      <c r="MV299" s="252"/>
      <c r="MW299" s="252"/>
      <c r="MX299" s="252"/>
      <c r="MY299" s="252"/>
      <c r="MZ299" s="252"/>
      <c r="NA299" s="252"/>
      <c r="NB299" s="252"/>
      <c r="NC299" s="251"/>
      <c r="ND299" s="250"/>
      <c r="NE299" s="250"/>
      <c r="NF299" s="250"/>
      <c r="NG299" s="250"/>
      <c r="NH299" s="250"/>
      <c r="NI299" s="250"/>
      <c r="NJ299" s="250"/>
      <c r="NK299" s="250"/>
      <c r="NL299" s="250"/>
      <c r="NM299" s="250"/>
      <c r="NN299" s="250"/>
      <c r="NO299" s="250"/>
      <c r="NP299" s="250"/>
      <c r="NQ299" s="250"/>
      <c r="NR299" s="250"/>
      <c r="NS299" s="250"/>
      <c r="NT299" s="250"/>
      <c r="NU299" s="250"/>
      <c r="NV299" s="250"/>
      <c r="NW299" s="251"/>
      <c r="OT299" s="8"/>
      <c r="QG299" s="8"/>
      <c r="RT299" s="8"/>
    </row>
    <row r="300" spans="1:488" s="282" customFormat="1" x14ac:dyDescent="0.25">
      <c r="A300" s="66"/>
      <c r="B300" s="8"/>
      <c r="C300" s="66"/>
      <c r="D300" s="66"/>
      <c r="E300" s="66"/>
      <c r="F300" s="66"/>
      <c r="G300" s="66"/>
      <c r="H300" s="66"/>
      <c r="I300" s="66"/>
      <c r="J300" s="66"/>
      <c r="K300" s="66"/>
      <c r="L300" s="66"/>
      <c r="M300" s="66"/>
      <c r="N300" s="66"/>
      <c r="O300" s="66"/>
      <c r="P300" s="66"/>
      <c r="Q300" s="66"/>
      <c r="R300" s="66"/>
      <c r="S300" s="66"/>
      <c r="T300" s="68"/>
      <c r="AC300" s="66"/>
      <c r="AD300" s="66"/>
      <c r="AE300" s="68"/>
      <c r="AN300" s="66"/>
      <c r="AO300" s="66"/>
      <c r="AP300" s="68"/>
      <c r="AW300" s="66"/>
      <c r="AX300" s="68"/>
      <c r="BD300" s="66"/>
      <c r="BE300" s="68"/>
      <c r="BF300" s="66"/>
      <c r="BG300" s="66"/>
      <c r="BH300" s="66"/>
      <c r="BI300" s="66"/>
      <c r="BJ300" s="66"/>
      <c r="BK300" s="66"/>
      <c r="BL300" s="68"/>
      <c r="BO300" s="66"/>
      <c r="BP300" s="68"/>
      <c r="BV300" s="66"/>
      <c r="BW300" s="68"/>
      <c r="CB300" s="8"/>
      <c r="CH300" s="8"/>
      <c r="CK300" s="299"/>
      <c r="CL300" s="299"/>
      <c r="CM300" s="66"/>
      <c r="CN300" s="66"/>
      <c r="CO300" s="68"/>
      <c r="CR300" s="8"/>
      <c r="CX300" s="66"/>
      <c r="CY300" s="532"/>
      <c r="DE300" s="66"/>
      <c r="DF300" s="66"/>
      <c r="DG300" s="68"/>
      <c r="DH300" s="68"/>
      <c r="DK300" s="66"/>
      <c r="DL300" s="66"/>
      <c r="DM300" s="66"/>
      <c r="DN300" s="66"/>
      <c r="DO300" s="66"/>
      <c r="DP300" s="66"/>
      <c r="DQ300" s="66"/>
      <c r="DR300" s="66"/>
      <c r="DS300" s="66"/>
      <c r="DT300" s="68"/>
      <c r="DU300" s="66"/>
      <c r="DV300" s="296"/>
      <c r="DW300" s="330"/>
      <c r="DX300" s="631"/>
      <c r="DY300" s="631"/>
      <c r="DZ300" s="631"/>
      <c r="EA300" s="330"/>
      <c r="EC300" s="66"/>
      <c r="ED300" s="68"/>
      <c r="EH300" s="66"/>
      <c r="EI300" s="66"/>
      <c r="EJ300" s="68"/>
      <c r="EK300" s="252"/>
      <c r="EL300" s="252"/>
      <c r="EM300" s="252"/>
      <c r="EO300" s="252"/>
      <c r="EP300" s="252"/>
      <c r="EQ300" s="252"/>
      <c r="ES300" s="252"/>
      <c r="ET300" s="252"/>
      <c r="EU300" s="252"/>
      <c r="EW300" s="252"/>
      <c r="EX300" s="252"/>
      <c r="EY300" s="252"/>
      <c r="FA300" s="250"/>
      <c r="FB300" s="250"/>
      <c r="FC300" s="250"/>
      <c r="FD300" s="250"/>
      <c r="FE300" s="250"/>
      <c r="FF300" s="250"/>
      <c r="FG300" s="250"/>
      <c r="FH300" s="424"/>
      <c r="FI300" s="250"/>
      <c r="FJ300" s="250"/>
      <c r="FK300" s="250"/>
      <c r="FL300" s="256"/>
      <c r="FM300" s="250"/>
      <c r="FN300" s="256"/>
      <c r="FO300" s="250"/>
      <c r="FP300" s="256"/>
      <c r="FQ300" s="250"/>
      <c r="FR300" s="256"/>
      <c r="FS300" s="250"/>
      <c r="FT300" s="256"/>
      <c r="FU300" s="256"/>
      <c r="FV300" s="256"/>
      <c r="FW300" s="250"/>
      <c r="FX300" s="424"/>
      <c r="FY300" s="251"/>
      <c r="GC300" s="252"/>
      <c r="GF300" s="252"/>
      <c r="GG300" s="252"/>
      <c r="GH300" s="252"/>
      <c r="GI300" s="252"/>
      <c r="GJ300" s="252"/>
      <c r="GK300" s="251"/>
      <c r="GL300" s="250"/>
      <c r="GM300" s="250"/>
      <c r="GN300" s="250"/>
      <c r="GO300" s="250"/>
      <c r="GP300" s="250"/>
      <c r="GQ300" s="250"/>
      <c r="GR300" s="250"/>
      <c r="GS300" s="250"/>
      <c r="GT300" s="250"/>
      <c r="GU300" s="251"/>
      <c r="GV300" s="250"/>
      <c r="GW300" s="250"/>
      <c r="GX300" s="250"/>
      <c r="GY300" s="250"/>
      <c r="GZ300" s="250"/>
      <c r="HA300" s="250"/>
      <c r="HB300" s="250"/>
      <c r="HC300" s="250"/>
      <c r="HD300" s="250"/>
      <c r="HE300" s="250"/>
      <c r="HF300" s="250"/>
      <c r="HG300" s="250"/>
      <c r="HH300" s="251"/>
      <c r="HI300" s="424"/>
      <c r="HJ300" s="255"/>
      <c r="HK300" s="255"/>
      <c r="HL300" s="250"/>
      <c r="HM300" s="255"/>
      <c r="HN300" s="255"/>
      <c r="HO300" s="255"/>
      <c r="HP300" s="250"/>
      <c r="HQ300" s="250"/>
      <c r="HR300" s="250"/>
      <c r="HS300" s="250"/>
      <c r="HT300" s="250"/>
      <c r="HU300" s="251"/>
      <c r="HX300" s="252"/>
      <c r="HY300" s="252"/>
      <c r="HZ300" s="252"/>
      <c r="ID300" s="252"/>
      <c r="IE300" s="252"/>
      <c r="IF300" s="252"/>
      <c r="IJ300" s="252"/>
      <c r="IK300" s="252"/>
      <c r="IL300" s="252"/>
      <c r="IP300" s="252"/>
      <c r="IQ300" s="252"/>
      <c r="IR300" s="252"/>
      <c r="IY300" s="66"/>
      <c r="IZ300" s="66"/>
      <c r="JA300" s="66"/>
      <c r="JB300" s="250"/>
      <c r="JC300" s="66"/>
      <c r="JD300" s="66"/>
      <c r="JE300" s="66"/>
      <c r="JF300" s="66"/>
      <c r="JG300" s="66"/>
      <c r="JH300" s="66"/>
      <c r="JI300" s="66"/>
      <c r="JJ300" s="66"/>
      <c r="JK300" s="8"/>
      <c r="JN300" s="252"/>
      <c r="JO300" s="252"/>
      <c r="JP300" s="252"/>
      <c r="JT300" s="252"/>
      <c r="JU300" s="252"/>
      <c r="JV300" s="252"/>
      <c r="JZ300" s="252"/>
      <c r="KA300" s="252"/>
      <c r="KB300" s="252"/>
      <c r="KF300" s="252"/>
      <c r="KG300" s="252"/>
      <c r="KH300" s="252"/>
      <c r="KO300" s="66"/>
      <c r="KP300" s="66"/>
      <c r="KQ300" s="66"/>
      <c r="KR300" s="66"/>
      <c r="KS300" s="66"/>
      <c r="KT300" s="66"/>
      <c r="KU300" s="66"/>
      <c r="KV300" s="66"/>
      <c r="KW300" s="66"/>
      <c r="KX300" s="66"/>
      <c r="KY300" s="66"/>
      <c r="KZ300" s="66"/>
      <c r="LA300" s="8"/>
      <c r="LD300" s="252"/>
      <c r="LE300" s="252"/>
      <c r="LF300" s="252"/>
      <c r="LJ300" s="252"/>
      <c r="LK300" s="252"/>
      <c r="LN300" s="252"/>
      <c r="LO300" s="252"/>
      <c r="LP300" s="252"/>
      <c r="LT300" s="271"/>
      <c r="LU300" s="250"/>
      <c r="LV300" s="250"/>
      <c r="LW300" s="250"/>
      <c r="LX300" s="250"/>
      <c r="LY300" s="250"/>
      <c r="LZ300" s="250"/>
      <c r="MA300" s="250"/>
      <c r="MB300" s="250"/>
      <c r="MC300" s="250"/>
      <c r="MD300" s="250"/>
      <c r="ME300" s="250"/>
      <c r="MF300" s="250"/>
      <c r="MG300" s="250"/>
      <c r="MH300" s="250"/>
      <c r="MI300" s="250"/>
      <c r="MJ300" s="250"/>
      <c r="MK300" s="424"/>
      <c r="ML300" s="640"/>
      <c r="MM300" s="251"/>
      <c r="MN300" s="252"/>
      <c r="MO300" s="252"/>
      <c r="MP300" s="252"/>
      <c r="MQ300" s="252"/>
      <c r="MR300" s="252"/>
      <c r="MS300" s="252"/>
      <c r="MT300" s="252"/>
      <c r="MU300" s="252"/>
      <c r="MV300" s="252"/>
      <c r="MW300" s="252"/>
      <c r="MX300" s="252"/>
      <c r="MY300" s="252"/>
      <c r="MZ300" s="252"/>
      <c r="NA300" s="252"/>
      <c r="NB300" s="252"/>
      <c r="NC300" s="251"/>
      <c r="ND300" s="250"/>
      <c r="NE300" s="250"/>
      <c r="NF300" s="250"/>
      <c r="NG300" s="250"/>
      <c r="NH300" s="250"/>
      <c r="NI300" s="250"/>
      <c r="NJ300" s="250"/>
      <c r="NK300" s="250"/>
      <c r="NL300" s="250"/>
      <c r="NM300" s="250"/>
      <c r="NN300" s="250"/>
      <c r="NO300" s="250"/>
      <c r="NP300" s="250"/>
      <c r="NQ300" s="250"/>
      <c r="NR300" s="250"/>
      <c r="NS300" s="250"/>
      <c r="NT300" s="250"/>
      <c r="NU300" s="250"/>
      <c r="NV300" s="250"/>
      <c r="NW300" s="251"/>
      <c r="OT300" s="8"/>
      <c r="QG300" s="8"/>
      <c r="RT300" s="8"/>
    </row>
    <row r="301" spans="1:488" s="282" customFormat="1" x14ac:dyDescent="0.25">
      <c r="A301" s="66"/>
      <c r="B301" s="8"/>
      <c r="C301" s="66"/>
      <c r="D301" s="66"/>
      <c r="E301" s="66"/>
      <c r="F301" s="66"/>
      <c r="G301" s="66"/>
      <c r="H301" s="66"/>
      <c r="I301" s="66"/>
      <c r="J301" s="66"/>
      <c r="K301" s="66"/>
      <c r="L301" s="66"/>
      <c r="M301" s="66"/>
      <c r="N301" s="66"/>
      <c r="O301" s="66"/>
      <c r="P301" s="66"/>
      <c r="Q301" s="66"/>
      <c r="R301" s="66"/>
      <c r="S301" s="66"/>
      <c r="T301" s="68"/>
      <c r="AC301" s="66"/>
      <c r="AD301" s="66"/>
      <c r="AE301" s="68"/>
      <c r="AN301" s="66"/>
      <c r="AO301" s="66"/>
      <c r="AP301" s="68"/>
      <c r="AW301" s="66"/>
      <c r="AX301" s="68"/>
      <c r="BD301" s="66"/>
      <c r="BE301" s="68"/>
      <c r="BF301" s="66"/>
      <c r="BG301" s="66"/>
      <c r="BH301" s="66"/>
      <c r="BI301" s="66"/>
      <c r="BJ301" s="66"/>
      <c r="BK301" s="66"/>
      <c r="BL301" s="68"/>
      <c r="BO301" s="66"/>
      <c r="BP301" s="68"/>
      <c r="BV301" s="66"/>
      <c r="BW301" s="68"/>
      <c r="CB301" s="8"/>
      <c r="CH301" s="8"/>
      <c r="CK301" s="299"/>
      <c r="CL301" s="299"/>
      <c r="CM301" s="66"/>
      <c r="CN301" s="66"/>
      <c r="CO301" s="68"/>
      <c r="CR301" s="8"/>
      <c r="CX301" s="66"/>
      <c r="CY301" s="532"/>
      <c r="DE301" s="66"/>
      <c r="DF301" s="66"/>
      <c r="DG301" s="68"/>
      <c r="DH301" s="68"/>
      <c r="DK301" s="66"/>
      <c r="DL301" s="66"/>
      <c r="DM301" s="66"/>
      <c r="DN301" s="66"/>
      <c r="DO301" s="66"/>
      <c r="DP301" s="66"/>
      <c r="DQ301" s="66"/>
      <c r="DR301" s="66"/>
      <c r="DS301" s="66"/>
      <c r="DT301" s="68"/>
      <c r="DU301" s="66"/>
      <c r="DV301" s="296"/>
      <c r="DW301" s="330"/>
      <c r="DX301" s="631"/>
      <c r="DY301" s="631"/>
      <c r="DZ301" s="631"/>
      <c r="EA301" s="330"/>
      <c r="EC301" s="66"/>
      <c r="ED301" s="68"/>
      <c r="EH301" s="66"/>
      <c r="EI301" s="66"/>
      <c r="EJ301" s="68"/>
      <c r="EK301" s="252"/>
      <c r="EL301" s="252"/>
      <c r="EM301" s="252"/>
      <c r="EO301" s="252"/>
      <c r="EP301" s="252"/>
      <c r="EQ301" s="252"/>
      <c r="ES301" s="252"/>
      <c r="ET301" s="252"/>
      <c r="EU301" s="252"/>
      <c r="EW301" s="252"/>
      <c r="EX301" s="252"/>
      <c r="EY301" s="252"/>
      <c r="FA301" s="250"/>
      <c r="FB301" s="250"/>
      <c r="FC301" s="250"/>
      <c r="FD301" s="250"/>
      <c r="FE301" s="250"/>
      <c r="FF301" s="250"/>
      <c r="FG301" s="250"/>
      <c r="FH301" s="424"/>
      <c r="FI301" s="250"/>
      <c r="FJ301" s="250"/>
      <c r="FK301" s="250"/>
      <c r="FL301" s="256"/>
      <c r="FM301" s="250"/>
      <c r="FN301" s="256"/>
      <c r="FO301" s="250"/>
      <c r="FP301" s="256"/>
      <c r="FQ301" s="250"/>
      <c r="FR301" s="256"/>
      <c r="FS301" s="250"/>
      <c r="FT301" s="256"/>
      <c r="FU301" s="256"/>
      <c r="FV301" s="256"/>
      <c r="FW301" s="250"/>
      <c r="FX301" s="424"/>
      <c r="FY301" s="251"/>
      <c r="GC301" s="252"/>
      <c r="GF301" s="252"/>
      <c r="GG301" s="252"/>
      <c r="GH301" s="252"/>
      <c r="GI301" s="252"/>
      <c r="GJ301" s="252"/>
      <c r="GK301" s="251"/>
      <c r="GL301" s="250"/>
      <c r="GM301" s="250"/>
      <c r="GN301" s="250"/>
      <c r="GO301" s="250"/>
      <c r="GP301" s="250"/>
      <c r="GQ301" s="250"/>
      <c r="GR301" s="250"/>
      <c r="GS301" s="250"/>
      <c r="GT301" s="250"/>
      <c r="GU301" s="251"/>
      <c r="GV301" s="250"/>
      <c r="GW301" s="250"/>
      <c r="GX301" s="250"/>
      <c r="GY301" s="250"/>
      <c r="GZ301" s="250"/>
      <c r="HA301" s="250"/>
      <c r="HB301" s="250"/>
      <c r="HC301" s="250"/>
      <c r="HD301" s="250"/>
      <c r="HE301" s="250"/>
      <c r="HF301" s="250"/>
      <c r="HG301" s="250"/>
      <c r="HH301" s="251"/>
      <c r="HI301" s="424"/>
      <c r="HJ301" s="255"/>
      <c r="HK301" s="255"/>
      <c r="HL301" s="250"/>
      <c r="HM301" s="255"/>
      <c r="HN301" s="255"/>
      <c r="HO301" s="255"/>
      <c r="HP301" s="250"/>
      <c r="HQ301" s="250"/>
      <c r="HR301" s="250"/>
      <c r="HS301" s="250"/>
      <c r="HT301" s="250"/>
      <c r="HU301" s="251"/>
      <c r="HX301" s="252"/>
      <c r="HY301" s="252"/>
      <c r="HZ301" s="252"/>
      <c r="ID301" s="252"/>
      <c r="IE301" s="252"/>
      <c r="IF301" s="252"/>
      <c r="IJ301" s="252"/>
      <c r="IK301" s="252"/>
      <c r="IL301" s="252"/>
      <c r="IP301" s="252"/>
      <c r="IQ301" s="252"/>
      <c r="IR301" s="252"/>
      <c r="IY301" s="66"/>
      <c r="IZ301" s="66"/>
      <c r="JA301" s="66"/>
      <c r="JB301" s="250"/>
      <c r="JC301" s="66"/>
      <c r="JD301" s="66"/>
      <c r="JE301" s="66"/>
      <c r="JF301" s="66"/>
      <c r="JG301" s="66"/>
      <c r="JH301" s="66"/>
      <c r="JI301" s="66"/>
      <c r="JJ301" s="66"/>
      <c r="JK301" s="8"/>
      <c r="JN301" s="252"/>
      <c r="JO301" s="252"/>
      <c r="JP301" s="252"/>
      <c r="JT301" s="252"/>
      <c r="JU301" s="252"/>
      <c r="JV301" s="252"/>
      <c r="JZ301" s="252"/>
      <c r="KA301" s="252"/>
      <c r="KB301" s="252"/>
      <c r="KF301" s="252"/>
      <c r="KG301" s="252"/>
      <c r="KH301" s="252"/>
      <c r="KO301" s="66"/>
      <c r="KP301" s="66"/>
      <c r="KQ301" s="66"/>
      <c r="KR301" s="66"/>
      <c r="KS301" s="66"/>
      <c r="KT301" s="66"/>
      <c r="KU301" s="66"/>
      <c r="KV301" s="66"/>
      <c r="KW301" s="66"/>
      <c r="KX301" s="66"/>
      <c r="KY301" s="66"/>
      <c r="KZ301" s="66"/>
      <c r="LA301" s="8"/>
      <c r="LD301" s="252"/>
      <c r="LE301" s="252"/>
      <c r="LF301" s="252"/>
      <c r="LJ301" s="252"/>
      <c r="LK301" s="252"/>
      <c r="LN301" s="252"/>
      <c r="LO301" s="252"/>
      <c r="LP301" s="252"/>
      <c r="LT301" s="271"/>
      <c r="LU301" s="250"/>
      <c r="LV301" s="250"/>
      <c r="LW301" s="250"/>
      <c r="LX301" s="250"/>
      <c r="LY301" s="250"/>
      <c r="LZ301" s="250"/>
      <c r="MA301" s="250"/>
      <c r="MB301" s="250"/>
      <c r="MC301" s="250"/>
      <c r="MD301" s="250"/>
      <c r="ME301" s="250"/>
      <c r="MF301" s="250"/>
      <c r="MG301" s="250"/>
      <c r="MH301" s="250"/>
      <c r="MI301" s="250"/>
      <c r="MJ301" s="250"/>
      <c r="MK301" s="424"/>
      <c r="ML301" s="640"/>
      <c r="MM301" s="251"/>
      <c r="MN301" s="252"/>
      <c r="MO301" s="252"/>
      <c r="MP301" s="252"/>
      <c r="MQ301" s="252"/>
      <c r="MR301" s="252"/>
      <c r="MS301" s="252"/>
      <c r="MT301" s="252"/>
      <c r="MU301" s="252"/>
      <c r="MV301" s="252"/>
      <c r="MW301" s="252"/>
      <c r="MX301" s="252"/>
      <c r="MY301" s="252"/>
      <c r="MZ301" s="252"/>
      <c r="NA301" s="252"/>
      <c r="NB301" s="252"/>
      <c r="NC301" s="251"/>
      <c r="ND301" s="250"/>
      <c r="NE301" s="250"/>
      <c r="NF301" s="250"/>
      <c r="NG301" s="250"/>
      <c r="NH301" s="250"/>
      <c r="NI301" s="250"/>
      <c r="NJ301" s="250"/>
      <c r="NK301" s="250"/>
      <c r="NL301" s="250"/>
      <c r="NM301" s="250"/>
      <c r="NN301" s="250"/>
      <c r="NO301" s="250"/>
      <c r="NP301" s="250"/>
      <c r="NQ301" s="250"/>
      <c r="NR301" s="250"/>
      <c r="NS301" s="250"/>
      <c r="NT301" s="250"/>
      <c r="NU301" s="250"/>
      <c r="NV301" s="250"/>
      <c r="NW301" s="251"/>
      <c r="OT301" s="8"/>
      <c r="QG301" s="8"/>
      <c r="RT301" s="8"/>
    </row>
    <row r="302" spans="1:488" s="282" customFormat="1" x14ac:dyDescent="0.25">
      <c r="A302" s="66"/>
      <c r="B302" s="8"/>
      <c r="C302" s="66"/>
      <c r="D302" s="66"/>
      <c r="E302" s="66"/>
      <c r="F302" s="66"/>
      <c r="G302" s="66"/>
      <c r="H302" s="66"/>
      <c r="I302" s="66"/>
      <c r="J302" s="66"/>
      <c r="K302" s="66"/>
      <c r="L302" s="66"/>
      <c r="M302" s="66"/>
      <c r="N302" s="66"/>
      <c r="O302" s="66"/>
      <c r="P302" s="66"/>
      <c r="Q302" s="66"/>
      <c r="R302" s="66"/>
      <c r="S302" s="66"/>
      <c r="T302" s="68"/>
      <c r="AC302" s="66"/>
      <c r="AD302" s="66"/>
      <c r="AE302" s="68"/>
      <c r="AN302" s="66"/>
      <c r="AO302" s="66"/>
      <c r="AP302" s="68"/>
      <c r="AW302" s="66"/>
      <c r="AX302" s="68"/>
      <c r="BD302" s="66"/>
      <c r="BE302" s="68"/>
      <c r="BF302" s="66"/>
      <c r="BG302" s="66"/>
      <c r="BH302" s="66"/>
      <c r="BI302" s="66"/>
      <c r="BJ302" s="66"/>
      <c r="BK302" s="66"/>
      <c r="BL302" s="68"/>
      <c r="BO302" s="66"/>
      <c r="BP302" s="68"/>
      <c r="BV302" s="66"/>
      <c r="BW302" s="68"/>
      <c r="CB302" s="8"/>
      <c r="CH302" s="8"/>
      <c r="CK302" s="299"/>
      <c r="CL302" s="299"/>
      <c r="CM302" s="66"/>
      <c r="CN302" s="66"/>
      <c r="CO302" s="68"/>
      <c r="CR302" s="8"/>
      <c r="CX302" s="66"/>
      <c r="CY302" s="532"/>
      <c r="DE302" s="66"/>
      <c r="DF302" s="66"/>
      <c r="DG302" s="68"/>
      <c r="DH302" s="68"/>
      <c r="DK302" s="66"/>
      <c r="DL302" s="66"/>
      <c r="DM302" s="66"/>
      <c r="DN302" s="66"/>
      <c r="DO302" s="66"/>
      <c r="DP302" s="66"/>
      <c r="DQ302" s="66"/>
      <c r="DR302" s="66"/>
      <c r="DS302" s="66"/>
      <c r="DT302" s="68"/>
      <c r="DU302" s="66"/>
      <c r="DV302" s="296"/>
      <c r="DW302" s="330"/>
      <c r="DX302" s="631"/>
      <c r="DY302" s="631"/>
      <c r="DZ302" s="631"/>
      <c r="EA302" s="330"/>
      <c r="EC302" s="66"/>
      <c r="ED302" s="68"/>
      <c r="EH302" s="66"/>
      <c r="EI302" s="66"/>
      <c r="EJ302" s="68"/>
      <c r="EK302" s="252"/>
      <c r="EL302" s="252"/>
      <c r="EM302" s="252"/>
      <c r="EO302" s="252"/>
      <c r="EP302" s="252"/>
      <c r="EQ302" s="252"/>
      <c r="ES302" s="252"/>
      <c r="ET302" s="252"/>
      <c r="EU302" s="252"/>
      <c r="EW302" s="252"/>
      <c r="EX302" s="252"/>
      <c r="EY302" s="252"/>
      <c r="FA302" s="250"/>
      <c r="FB302" s="250"/>
      <c r="FC302" s="250"/>
      <c r="FD302" s="250"/>
      <c r="FE302" s="250"/>
      <c r="FF302" s="250"/>
      <c r="FG302" s="250"/>
      <c r="FH302" s="424"/>
      <c r="FI302" s="250"/>
      <c r="FJ302" s="250"/>
      <c r="FK302" s="250"/>
      <c r="FL302" s="256"/>
      <c r="FM302" s="250"/>
      <c r="FN302" s="256"/>
      <c r="FO302" s="250"/>
      <c r="FP302" s="256"/>
      <c r="FQ302" s="250"/>
      <c r="FR302" s="256"/>
      <c r="FS302" s="250"/>
      <c r="FT302" s="256"/>
      <c r="FU302" s="256"/>
      <c r="FV302" s="256"/>
      <c r="FW302" s="250"/>
      <c r="FX302" s="424"/>
      <c r="FY302" s="251"/>
      <c r="GC302" s="252"/>
      <c r="GF302" s="252"/>
      <c r="GG302" s="252"/>
      <c r="GH302" s="252"/>
      <c r="GI302" s="252"/>
      <c r="GJ302" s="252"/>
      <c r="GK302" s="251"/>
      <c r="GL302" s="250"/>
      <c r="GM302" s="250"/>
      <c r="GN302" s="250"/>
      <c r="GO302" s="250"/>
      <c r="GP302" s="250"/>
      <c r="GQ302" s="250"/>
      <c r="GR302" s="250"/>
      <c r="GS302" s="250"/>
      <c r="GT302" s="250"/>
      <c r="GU302" s="251"/>
      <c r="GV302" s="250"/>
      <c r="GW302" s="250"/>
      <c r="GX302" s="250"/>
      <c r="GY302" s="250"/>
      <c r="GZ302" s="250"/>
      <c r="HA302" s="250"/>
      <c r="HB302" s="250"/>
      <c r="HC302" s="250"/>
      <c r="HD302" s="250"/>
      <c r="HE302" s="250"/>
      <c r="HF302" s="250"/>
      <c r="HG302" s="250"/>
      <c r="HH302" s="251"/>
      <c r="HI302" s="424"/>
      <c r="HJ302" s="255"/>
      <c r="HK302" s="255"/>
      <c r="HL302" s="250"/>
      <c r="HM302" s="255"/>
      <c r="HN302" s="255"/>
      <c r="HO302" s="255"/>
      <c r="HP302" s="250"/>
      <c r="HQ302" s="250"/>
      <c r="HR302" s="250"/>
      <c r="HS302" s="250"/>
      <c r="HT302" s="250"/>
      <c r="HU302" s="251"/>
      <c r="HX302" s="252"/>
      <c r="HY302" s="252"/>
      <c r="HZ302" s="252"/>
      <c r="ID302" s="252"/>
      <c r="IE302" s="252"/>
      <c r="IF302" s="252"/>
      <c r="IJ302" s="252"/>
      <c r="IK302" s="252"/>
      <c r="IL302" s="252"/>
      <c r="IP302" s="252"/>
      <c r="IQ302" s="252"/>
      <c r="IR302" s="252"/>
      <c r="IY302" s="66"/>
      <c r="IZ302" s="66"/>
      <c r="JA302" s="66"/>
      <c r="JB302" s="250"/>
      <c r="JC302" s="66"/>
      <c r="JD302" s="66"/>
      <c r="JE302" s="66"/>
      <c r="JF302" s="66"/>
      <c r="JG302" s="66"/>
      <c r="JH302" s="66"/>
      <c r="JI302" s="66"/>
      <c r="JJ302" s="66"/>
      <c r="JK302" s="8"/>
      <c r="JN302" s="252"/>
      <c r="JO302" s="252"/>
      <c r="JP302" s="252"/>
      <c r="JT302" s="252"/>
      <c r="JU302" s="252"/>
      <c r="JV302" s="252"/>
      <c r="JZ302" s="252"/>
      <c r="KA302" s="252"/>
      <c r="KB302" s="252"/>
      <c r="KF302" s="252"/>
      <c r="KG302" s="252"/>
      <c r="KH302" s="252"/>
      <c r="KO302" s="66"/>
      <c r="KP302" s="66"/>
      <c r="KQ302" s="66"/>
      <c r="KR302" s="66"/>
      <c r="KS302" s="66"/>
      <c r="KT302" s="66"/>
      <c r="KU302" s="66"/>
      <c r="KV302" s="66"/>
      <c r="KW302" s="66"/>
      <c r="KX302" s="66"/>
      <c r="KY302" s="66"/>
      <c r="KZ302" s="66"/>
      <c r="LA302" s="8"/>
      <c r="LD302" s="252"/>
      <c r="LE302" s="252"/>
      <c r="LF302" s="252"/>
      <c r="LJ302" s="252"/>
      <c r="LK302" s="252"/>
      <c r="LN302" s="252"/>
      <c r="LO302" s="252"/>
      <c r="LP302" s="252"/>
      <c r="LT302" s="271"/>
      <c r="LU302" s="250"/>
      <c r="LV302" s="250"/>
      <c r="LW302" s="250"/>
      <c r="LX302" s="250"/>
      <c r="LY302" s="250"/>
      <c r="LZ302" s="250"/>
      <c r="MA302" s="250"/>
      <c r="MB302" s="250"/>
      <c r="MC302" s="250"/>
      <c r="MD302" s="250"/>
      <c r="ME302" s="250"/>
      <c r="MF302" s="250"/>
      <c r="MG302" s="250"/>
      <c r="MH302" s="250"/>
      <c r="MI302" s="250"/>
      <c r="MJ302" s="250"/>
      <c r="MK302" s="424"/>
      <c r="ML302" s="640"/>
      <c r="MM302" s="251"/>
      <c r="MN302" s="252"/>
      <c r="MO302" s="252"/>
      <c r="MP302" s="252"/>
      <c r="MQ302" s="252"/>
      <c r="MR302" s="252"/>
      <c r="MS302" s="252"/>
      <c r="MT302" s="252"/>
      <c r="MU302" s="252"/>
      <c r="MV302" s="252"/>
      <c r="MW302" s="252"/>
      <c r="MX302" s="252"/>
      <c r="MY302" s="252"/>
      <c r="MZ302" s="252"/>
      <c r="NA302" s="252"/>
      <c r="NB302" s="252"/>
      <c r="NC302" s="251"/>
      <c r="ND302" s="250"/>
      <c r="NE302" s="250"/>
      <c r="NF302" s="250"/>
      <c r="NG302" s="250"/>
      <c r="NH302" s="250"/>
      <c r="NI302" s="250"/>
      <c r="NJ302" s="250"/>
      <c r="NK302" s="250"/>
      <c r="NL302" s="250"/>
      <c r="NM302" s="250"/>
      <c r="NN302" s="250"/>
      <c r="NO302" s="250"/>
      <c r="NP302" s="250"/>
      <c r="NQ302" s="250"/>
      <c r="NR302" s="250"/>
      <c r="NS302" s="250"/>
      <c r="NT302" s="250"/>
      <c r="NU302" s="250"/>
      <c r="NV302" s="250"/>
      <c r="NW302" s="251"/>
      <c r="OT302" s="8"/>
      <c r="QG302" s="8"/>
      <c r="RT302" s="8"/>
    </row>
    <row r="303" spans="1:488" s="282" customFormat="1" x14ac:dyDescent="0.25">
      <c r="A303" s="66"/>
      <c r="B303" s="8"/>
      <c r="C303" s="66"/>
      <c r="D303" s="66"/>
      <c r="E303" s="66"/>
      <c r="F303" s="66"/>
      <c r="G303" s="66"/>
      <c r="H303" s="66"/>
      <c r="I303" s="66"/>
      <c r="J303" s="66"/>
      <c r="K303" s="66"/>
      <c r="L303" s="66"/>
      <c r="M303" s="66"/>
      <c r="N303" s="66"/>
      <c r="O303" s="66"/>
      <c r="P303" s="66"/>
      <c r="Q303" s="66"/>
      <c r="R303" s="66"/>
      <c r="S303" s="66"/>
      <c r="T303" s="68"/>
      <c r="AC303" s="66"/>
      <c r="AD303" s="66"/>
      <c r="AE303" s="68"/>
      <c r="AN303" s="66"/>
      <c r="AO303" s="66"/>
      <c r="AP303" s="68"/>
      <c r="AW303" s="66"/>
      <c r="AX303" s="68"/>
      <c r="BD303" s="66"/>
      <c r="BE303" s="68"/>
      <c r="BF303" s="66"/>
      <c r="BG303" s="66"/>
      <c r="BH303" s="66"/>
      <c r="BI303" s="66"/>
      <c r="BJ303" s="66"/>
      <c r="BK303" s="66"/>
      <c r="BL303" s="68"/>
      <c r="BO303" s="66"/>
      <c r="BP303" s="68"/>
      <c r="BV303" s="66"/>
      <c r="BW303" s="68"/>
      <c r="CB303" s="8"/>
      <c r="CH303" s="8"/>
      <c r="CK303" s="299"/>
      <c r="CL303" s="299"/>
      <c r="CM303" s="66"/>
      <c r="CN303" s="66"/>
      <c r="CO303" s="68"/>
      <c r="CR303" s="8"/>
      <c r="CX303" s="66"/>
      <c r="CY303" s="532"/>
      <c r="DE303" s="66"/>
      <c r="DF303" s="66"/>
      <c r="DG303" s="68"/>
      <c r="DH303" s="68"/>
      <c r="DK303" s="66"/>
      <c r="DL303" s="66"/>
      <c r="DM303" s="66"/>
      <c r="DN303" s="66"/>
      <c r="DO303" s="66"/>
      <c r="DP303" s="66"/>
      <c r="DQ303" s="66"/>
      <c r="DR303" s="66"/>
      <c r="DS303" s="66"/>
      <c r="DT303" s="68"/>
      <c r="DU303" s="66"/>
      <c r="DV303" s="296"/>
      <c r="DW303" s="330"/>
      <c r="DX303" s="631"/>
      <c r="DY303" s="631"/>
      <c r="DZ303" s="631"/>
      <c r="EA303" s="330"/>
      <c r="EC303" s="66"/>
      <c r="ED303" s="68"/>
      <c r="EH303" s="66"/>
      <c r="EI303" s="66"/>
      <c r="EJ303" s="68"/>
      <c r="EK303" s="252"/>
      <c r="EL303" s="252"/>
      <c r="EM303" s="252"/>
      <c r="EO303" s="252"/>
      <c r="EP303" s="252"/>
      <c r="EQ303" s="252"/>
      <c r="ES303" s="252"/>
      <c r="ET303" s="252"/>
      <c r="EU303" s="252"/>
      <c r="EW303" s="252"/>
      <c r="EX303" s="252"/>
      <c r="EY303" s="252"/>
      <c r="FA303" s="250"/>
      <c r="FB303" s="250"/>
      <c r="FC303" s="250"/>
      <c r="FD303" s="250"/>
      <c r="FE303" s="250"/>
      <c r="FF303" s="250"/>
      <c r="FG303" s="250"/>
      <c r="FH303" s="424"/>
      <c r="FI303" s="250"/>
      <c r="FJ303" s="250"/>
      <c r="FK303" s="250"/>
      <c r="FL303" s="256"/>
      <c r="FM303" s="250"/>
      <c r="FN303" s="256"/>
      <c r="FO303" s="250"/>
      <c r="FP303" s="256"/>
      <c r="FQ303" s="250"/>
      <c r="FR303" s="256"/>
      <c r="FS303" s="250"/>
      <c r="FT303" s="256"/>
      <c r="FU303" s="256"/>
      <c r="FV303" s="256"/>
      <c r="FW303" s="250"/>
      <c r="FX303" s="424"/>
      <c r="FY303" s="251"/>
      <c r="GC303" s="252"/>
      <c r="GF303" s="252"/>
      <c r="GG303" s="252"/>
      <c r="GH303" s="252"/>
      <c r="GI303" s="252"/>
      <c r="GJ303" s="252"/>
      <c r="GK303" s="251"/>
      <c r="GL303" s="250"/>
      <c r="GM303" s="250"/>
      <c r="GN303" s="250"/>
      <c r="GO303" s="250"/>
      <c r="GP303" s="250"/>
      <c r="GQ303" s="250"/>
      <c r="GR303" s="250"/>
      <c r="GS303" s="250"/>
      <c r="GT303" s="250"/>
      <c r="GU303" s="251"/>
      <c r="GV303" s="250"/>
      <c r="GW303" s="250"/>
      <c r="GX303" s="250"/>
      <c r="GY303" s="250"/>
      <c r="GZ303" s="250"/>
      <c r="HA303" s="250"/>
      <c r="HB303" s="250"/>
      <c r="HC303" s="250"/>
      <c r="HD303" s="250"/>
      <c r="HE303" s="250"/>
      <c r="HF303" s="250"/>
      <c r="HG303" s="250"/>
      <c r="HH303" s="251"/>
      <c r="HI303" s="424"/>
      <c r="HJ303" s="255"/>
      <c r="HK303" s="255"/>
      <c r="HL303" s="250"/>
      <c r="HM303" s="255"/>
      <c r="HN303" s="255"/>
      <c r="HO303" s="255"/>
      <c r="HP303" s="250"/>
      <c r="HQ303" s="250"/>
      <c r="HR303" s="250"/>
      <c r="HS303" s="250"/>
      <c r="HT303" s="250"/>
      <c r="HU303" s="251"/>
      <c r="HX303" s="252"/>
      <c r="HY303" s="252"/>
      <c r="HZ303" s="252"/>
      <c r="ID303" s="252"/>
      <c r="IE303" s="252"/>
      <c r="IF303" s="252"/>
      <c r="IJ303" s="252"/>
      <c r="IK303" s="252"/>
      <c r="IL303" s="252"/>
      <c r="IP303" s="252"/>
      <c r="IQ303" s="252"/>
      <c r="IR303" s="252"/>
      <c r="IY303" s="66"/>
      <c r="IZ303" s="66"/>
      <c r="JA303" s="66"/>
      <c r="JB303" s="250"/>
      <c r="JC303" s="66"/>
      <c r="JD303" s="66"/>
      <c r="JE303" s="66"/>
      <c r="JF303" s="66"/>
      <c r="JG303" s="66"/>
      <c r="JH303" s="66"/>
      <c r="JI303" s="66"/>
      <c r="JJ303" s="66"/>
      <c r="JK303" s="8"/>
      <c r="JN303" s="252"/>
      <c r="JO303" s="252"/>
      <c r="JP303" s="252"/>
      <c r="JT303" s="252"/>
      <c r="JU303" s="252"/>
      <c r="JV303" s="252"/>
      <c r="JZ303" s="252"/>
      <c r="KA303" s="252"/>
      <c r="KB303" s="252"/>
      <c r="KF303" s="252"/>
      <c r="KG303" s="252"/>
      <c r="KH303" s="252"/>
      <c r="KO303" s="66"/>
      <c r="KP303" s="66"/>
      <c r="KQ303" s="66"/>
      <c r="KR303" s="66"/>
      <c r="KS303" s="66"/>
      <c r="KT303" s="66"/>
      <c r="KU303" s="66"/>
      <c r="KV303" s="66"/>
      <c r="KW303" s="66"/>
      <c r="KX303" s="66"/>
      <c r="KY303" s="66"/>
      <c r="KZ303" s="66"/>
      <c r="LA303" s="8"/>
      <c r="LD303" s="252"/>
      <c r="LE303" s="252"/>
      <c r="LF303" s="252"/>
      <c r="LJ303" s="252"/>
      <c r="LK303" s="252"/>
      <c r="LN303" s="252"/>
      <c r="LO303" s="252"/>
      <c r="LP303" s="252"/>
      <c r="LT303" s="271"/>
      <c r="LU303" s="250"/>
      <c r="LV303" s="250"/>
      <c r="LW303" s="250"/>
      <c r="LX303" s="250"/>
      <c r="LY303" s="250"/>
      <c r="LZ303" s="250"/>
      <c r="MA303" s="250"/>
      <c r="MB303" s="250"/>
      <c r="MC303" s="250"/>
      <c r="MD303" s="250"/>
      <c r="ME303" s="250"/>
      <c r="MF303" s="250"/>
      <c r="MG303" s="250"/>
      <c r="MH303" s="250"/>
      <c r="MI303" s="250"/>
      <c r="MJ303" s="250"/>
      <c r="MK303" s="424"/>
      <c r="ML303" s="640"/>
      <c r="MM303" s="251"/>
      <c r="MN303" s="252"/>
      <c r="MO303" s="252"/>
      <c r="MP303" s="252"/>
      <c r="MQ303" s="252"/>
      <c r="MR303" s="252"/>
      <c r="MS303" s="252"/>
      <c r="MT303" s="252"/>
      <c r="MU303" s="252"/>
      <c r="MV303" s="252"/>
      <c r="MW303" s="252"/>
      <c r="MX303" s="252"/>
      <c r="MY303" s="252"/>
      <c r="MZ303" s="252"/>
      <c r="NA303" s="252"/>
      <c r="NB303" s="252"/>
      <c r="NC303" s="251"/>
      <c r="ND303" s="250"/>
      <c r="NE303" s="250"/>
      <c r="NF303" s="250"/>
      <c r="NG303" s="250"/>
      <c r="NH303" s="250"/>
      <c r="NI303" s="250"/>
      <c r="NJ303" s="250"/>
      <c r="NK303" s="250"/>
      <c r="NL303" s="250"/>
      <c r="NM303" s="250"/>
      <c r="NN303" s="250"/>
      <c r="NO303" s="250"/>
      <c r="NP303" s="250"/>
      <c r="NQ303" s="250"/>
      <c r="NR303" s="250"/>
      <c r="NS303" s="250"/>
      <c r="NT303" s="250"/>
      <c r="NU303" s="250"/>
      <c r="NV303" s="250"/>
      <c r="NW303" s="251"/>
      <c r="OT303" s="8"/>
      <c r="QG303" s="8"/>
      <c r="RT303" s="8"/>
    </row>
    <row r="304" spans="1:488" s="282" customFormat="1" x14ac:dyDescent="0.25">
      <c r="A304" s="66"/>
      <c r="B304" s="8"/>
      <c r="C304" s="66"/>
      <c r="D304" s="66"/>
      <c r="E304" s="66"/>
      <c r="F304" s="66"/>
      <c r="G304" s="66"/>
      <c r="H304" s="66"/>
      <c r="I304" s="66"/>
      <c r="J304" s="66"/>
      <c r="K304" s="66"/>
      <c r="L304" s="66"/>
      <c r="M304" s="66"/>
      <c r="N304" s="66"/>
      <c r="O304" s="66"/>
      <c r="P304" s="66"/>
      <c r="Q304" s="66"/>
      <c r="R304" s="66"/>
      <c r="S304" s="66"/>
      <c r="T304" s="68"/>
      <c r="AC304" s="66"/>
      <c r="AD304" s="66"/>
      <c r="AE304" s="68"/>
      <c r="AN304" s="66"/>
      <c r="AO304" s="66"/>
      <c r="AP304" s="68"/>
      <c r="AW304" s="66"/>
      <c r="AX304" s="68"/>
      <c r="BD304" s="66"/>
      <c r="BE304" s="68"/>
      <c r="BF304" s="66"/>
      <c r="BG304" s="66"/>
      <c r="BH304" s="66"/>
      <c r="BI304" s="66"/>
      <c r="BJ304" s="66"/>
      <c r="BK304" s="66"/>
      <c r="BL304" s="68"/>
      <c r="BO304" s="66"/>
      <c r="BP304" s="68"/>
      <c r="BV304" s="66"/>
      <c r="BW304" s="68"/>
      <c r="CB304" s="8"/>
      <c r="CH304" s="8"/>
      <c r="CK304" s="299"/>
      <c r="CL304" s="299"/>
      <c r="CM304" s="66"/>
      <c r="CN304" s="66"/>
      <c r="CO304" s="68"/>
      <c r="CR304" s="8"/>
      <c r="CX304" s="66"/>
      <c r="CY304" s="532"/>
      <c r="DE304" s="66"/>
      <c r="DF304" s="66"/>
      <c r="DG304" s="68"/>
      <c r="DH304" s="68"/>
      <c r="DK304" s="66"/>
      <c r="DL304" s="66"/>
      <c r="DM304" s="66"/>
      <c r="DN304" s="66"/>
      <c r="DO304" s="66"/>
      <c r="DP304" s="66"/>
      <c r="DQ304" s="66"/>
      <c r="DR304" s="66"/>
      <c r="DS304" s="66"/>
      <c r="DT304" s="68"/>
      <c r="DU304" s="66"/>
      <c r="DV304" s="296"/>
      <c r="DW304" s="330"/>
      <c r="DX304" s="631"/>
      <c r="DY304" s="631"/>
      <c r="DZ304" s="631"/>
      <c r="EA304" s="330"/>
      <c r="EC304" s="66"/>
      <c r="ED304" s="68"/>
      <c r="EH304" s="66"/>
      <c r="EI304" s="66"/>
      <c r="EJ304" s="68"/>
      <c r="EK304" s="252"/>
      <c r="EL304" s="252"/>
      <c r="EM304" s="252"/>
      <c r="EO304" s="252"/>
      <c r="EP304" s="252"/>
      <c r="EQ304" s="252"/>
      <c r="ES304" s="252"/>
      <c r="ET304" s="252"/>
      <c r="EU304" s="252"/>
      <c r="EW304" s="252"/>
      <c r="EX304" s="252"/>
      <c r="EY304" s="252"/>
      <c r="FA304" s="250"/>
      <c r="FB304" s="250"/>
      <c r="FC304" s="250"/>
      <c r="FD304" s="250"/>
      <c r="FE304" s="250"/>
      <c r="FF304" s="250"/>
      <c r="FG304" s="250"/>
      <c r="FH304" s="424"/>
      <c r="FI304" s="250"/>
      <c r="FJ304" s="250"/>
      <c r="FK304" s="250"/>
      <c r="FL304" s="256"/>
      <c r="FM304" s="250"/>
      <c r="FN304" s="256"/>
      <c r="FO304" s="250"/>
      <c r="FP304" s="256"/>
      <c r="FQ304" s="250"/>
      <c r="FR304" s="256"/>
      <c r="FS304" s="250"/>
      <c r="FT304" s="256"/>
      <c r="FU304" s="256"/>
      <c r="FV304" s="256"/>
      <c r="FW304" s="250"/>
      <c r="FX304" s="424"/>
      <c r="FY304" s="251"/>
      <c r="GC304" s="252"/>
      <c r="GF304" s="252"/>
      <c r="GG304" s="252"/>
      <c r="GH304" s="252"/>
      <c r="GI304" s="252"/>
      <c r="GJ304" s="252"/>
      <c r="GK304" s="251"/>
      <c r="GL304" s="250"/>
      <c r="GM304" s="250"/>
      <c r="GN304" s="250"/>
      <c r="GO304" s="250"/>
      <c r="GP304" s="250"/>
      <c r="GQ304" s="250"/>
      <c r="GR304" s="250"/>
      <c r="GS304" s="250"/>
      <c r="GT304" s="250"/>
      <c r="GU304" s="251"/>
      <c r="GV304" s="250"/>
      <c r="GW304" s="250"/>
      <c r="GX304" s="250"/>
      <c r="GY304" s="250"/>
      <c r="GZ304" s="250"/>
      <c r="HA304" s="250"/>
      <c r="HB304" s="250"/>
      <c r="HC304" s="250"/>
      <c r="HD304" s="250"/>
      <c r="HE304" s="250"/>
      <c r="HF304" s="250"/>
      <c r="HG304" s="250"/>
      <c r="HH304" s="251"/>
      <c r="HI304" s="424"/>
      <c r="HJ304" s="255"/>
      <c r="HK304" s="255"/>
      <c r="HL304" s="250"/>
      <c r="HM304" s="255"/>
      <c r="HN304" s="255"/>
      <c r="HO304" s="255"/>
      <c r="HP304" s="250"/>
      <c r="HQ304" s="250"/>
      <c r="HR304" s="250"/>
      <c r="HS304" s="250"/>
      <c r="HT304" s="250"/>
      <c r="HU304" s="251"/>
      <c r="HX304" s="252"/>
      <c r="HY304" s="252"/>
      <c r="HZ304" s="252"/>
      <c r="ID304" s="252"/>
      <c r="IE304" s="252"/>
      <c r="IF304" s="252"/>
      <c r="IJ304" s="252"/>
      <c r="IK304" s="252"/>
      <c r="IL304" s="252"/>
      <c r="IP304" s="252"/>
      <c r="IQ304" s="252"/>
      <c r="IR304" s="252"/>
      <c r="IY304" s="66"/>
      <c r="IZ304" s="66"/>
      <c r="JA304" s="66"/>
      <c r="JB304" s="250"/>
      <c r="JC304" s="66"/>
      <c r="JD304" s="66"/>
      <c r="JE304" s="66"/>
      <c r="JF304" s="66"/>
      <c r="JG304" s="66"/>
      <c r="JH304" s="66"/>
      <c r="JI304" s="66"/>
      <c r="JJ304" s="66"/>
      <c r="JK304" s="8"/>
      <c r="JN304" s="252"/>
      <c r="JO304" s="252"/>
      <c r="JP304" s="252"/>
      <c r="JT304" s="252"/>
      <c r="JU304" s="252"/>
      <c r="JV304" s="252"/>
      <c r="JZ304" s="252"/>
      <c r="KA304" s="252"/>
      <c r="KB304" s="252"/>
      <c r="KF304" s="252"/>
      <c r="KG304" s="252"/>
      <c r="KH304" s="252"/>
      <c r="KO304" s="66"/>
      <c r="KP304" s="66"/>
      <c r="KQ304" s="66"/>
      <c r="KR304" s="66"/>
      <c r="KS304" s="66"/>
      <c r="KT304" s="66"/>
      <c r="KU304" s="66"/>
      <c r="KV304" s="66"/>
      <c r="KW304" s="66"/>
      <c r="KX304" s="66"/>
      <c r="KY304" s="66"/>
      <c r="KZ304" s="66"/>
      <c r="LA304" s="8"/>
      <c r="LD304" s="252"/>
      <c r="LE304" s="252"/>
      <c r="LF304" s="252"/>
      <c r="LJ304" s="252"/>
      <c r="LK304" s="252"/>
      <c r="LN304" s="252"/>
      <c r="LO304" s="252"/>
      <c r="LP304" s="252"/>
      <c r="LT304" s="271"/>
      <c r="LU304" s="250"/>
      <c r="LV304" s="250"/>
      <c r="LW304" s="250"/>
      <c r="LX304" s="250"/>
      <c r="LY304" s="250"/>
      <c r="LZ304" s="250"/>
      <c r="MA304" s="250"/>
      <c r="MB304" s="250"/>
      <c r="MC304" s="250"/>
      <c r="MD304" s="250"/>
      <c r="ME304" s="250"/>
      <c r="MF304" s="250"/>
      <c r="MG304" s="250"/>
      <c r="MH304" s="250"/>
      <c r="MI304" s="250"/>
      <c r="MJ304" s="250"/>
      <c r="MK304" s="424"/>
      <c r="ML304" s="640"/>
      <c r="MM304" s="251"/>
      <c r="MN304" s="252"/>
      <c r="MO304" s="252"/>
      <c r="MP304" s="252"/>
      <c r="MQ304" s="252"/>
      <c r="MR304" s="252"/>
      <c r="MS304" s="252"/>
      <c r="MT304" s="252"/>
      <c r="MU304" s="252"/>
      <c r="MV304" s="252"/>
      <c r="MW304" s="252"/>
      <c r="MX304" s="252"/>
      <c r="MY304" s="252"/>
      <c r="MZ304" s="252"/>
      <c r="NA304" s="252"/>
      <c r="NB304" s="252"/>
      <c r="NC304" s="251"/>
      <c r="ND304" s="250"/>
      <c r="NE304" s="250"/>
      <c r="NF304" s="250"/>
      <c r="NG304" s="250"/>
      <c r="NH304" s="250"/>
      <c r="NI304" s="250"/>
      <c r="NJ304" s="250"/>
      <c r="NK304" s="250"/>
      <c r="NL304" s="250"/>
      <c r="NM304" s="250"/>
      <c r="NN304" s="250"/>
      <c r="NO304" s="250"/>
      <c r="NP304" s="250"/>
      <c r="NQ304" s="250"/>
      <c r="NR304" s="250"/>
      <c r="NS304" s="250"/>
      <c r="NT304" s="250"/>
      <c r="NU304" s="250"/>
      <c r="NV304" s="250"/>
      <c r="NW304" s="251"/>
      <c r="OT304" s="8"/>
      <c r="QG304" s="8"/>
      <c r="RT304" s="8"/>
    </row>
    <row r="305" spans="1:488" s="282" customFormat="1" x14ac:dyDescent="0.25">
      <c r="A305" s="66"/>
      <c r="B305" s="8"/>
      <c r="C305" s="66"/>
      <c r="D305" s="66"/>
      <c r="E305" s="66"/>
      <c r="F305" s="66"/>
      <c r="G305" s="66"/>
      <c r="H305" s="66"/>
      <c r="I305" s="66"/>
      <c r="J305" s="66"/>
      <c r="K305" s="66"/>
      <c r="L305" s="66"/>
      <c r="M305" s="66"/>
      <c r="N305" s="66"/>
      <c r="O305" s="66"/>
      <c r="P305" s="66"/>
      <c r="Q305" s="66"/>
      <c r="R305" s="66"/>
      <c r="S305" s="66"/>
      <c r="T305" s="68"/>
      <c r="AC305" s="66"/>
      <c r="AD305" s="66"/>
      <c r="AE305" s="68"/>
      <c r="AN305" s="66"/>
      <c r="AO305" s="66"/>
      <c r="AP305" s="68"/>
      <c r="AW305" s="66"/>
      <c r="AX305" s="68"/>
      <c r="BD305" s="66"/>
      <c r="BE305" s="68"/>
      <c r="BF305" s="66"/>
      <c r="BG305" s="66"/>
      <c r="BH305" s="66"/>
      <c r="BI305" s="66"/>
      <c r="BJ305" s="66"/>
      <c r="BK305" s="66"/>
      <c r="BL305" s="68"/>
      <c r="BO305" s="66"/>
      <c r="BP305" s="68"/>
      <c r="BV305" s="66"/>
      <c r="BW305" s="68"/>
      <c r="CB305" s="8"/>
      <c r="CH305" s="8"/>
      <c r="CK305" s="299"/>
      <c r="CL305" s="299"/>
      <c r="CM305" s="66"/>
      <c r="CN305" s="66"/>
      <c r="CO305" s="68"/>
      <c r="CR305" s="8"/>
      <c r="CX305" s="66"/>
      <c r="CY305" s="532"/>
      <c r="DE305" s="66"/>
      <c r="DF305" s="66"/>
      <c r="DG305" s="68"/>
      <c r="DH305" s="68"/>
      <c r="DK305" s="66"/>
      <c r="DL305" s="66"/>
      <c r="DM305" s="66"/>
      <c r="DN305" s="66"/>
      <c r="DO305" s="66"/>
      <c r="DP305" s="66"/>
      <c r="DQ305" s="66"/>
      <c r="DR305" s="66"/>
      <c r="DS305" s="66"/>
      <c r="DT305" s="68"/>
      <c r="DU305" s="66"/>
      <c r="DV305" s="296"/>
      <c r="DW305" s="330"/>
      <c r="DX305" s="631"/>
      <c r="DY305" s="631"/>
      <c r="DZ305" s="631"/>
      <c r="EA305" s="330"/>
      <c r="EC305" s="66"/>
      <c r="ED305" s="68"/>
      <c r="EH305" s="66"/>
      <c r="EI305" s="66"/>
      <c r="EJ305" s="68"/>
      <c r="EK305" s="252"/>
      <c r="EL305" s="252"/>
      <c r="EM305" s="252"/>
      <c r="EO305" s="252"/>
      <c r="EP305" s="252"/>
      <c r="EQ305" s="252"/>
      <c r="ES305" s="252"/>
      <c r="ET305" s="252"/>
      <c r="EU305" s="252"/>
      <c r="EW305" s="252"/>
      <c r="EX305" s="252"/>
      <c r="EY305" s="252"/>
      <c r="FA305" s="250"/>
      <c r="FB305" s="250"/>
      <c r="FC305" s="250"/>
      <c r="FD305" s="250"/>
      <c r="FE305" s="250"/>
      <c r="FF305" s="250"/>
      <c r="FG305" s="250"/>
      <c r="FH305" s="424"/>
      <c r="FI305" s="250"/>
      <c r="FJ305" s="250"/>
      <c r="FK305" s="250"/>
      <c r="FL305" s="256"/>
      <c r="FM305" s="250"/>
      <c r="FN305" s="256"/>
      <c r="FO305" s="250"/>
      <c r="FP305" s="256"/>
      <c r="FQ305" s="250"/>
      <c r="FR305" s="256"/>
      <c r="FS305" s="250"/>
      <c r="FT305" s="256"/>
      <c r="FU305" s="256"/>
      <c r="FV305" s="256"/>
      <c r="FW305" s="250"/>
      <c r="FX305" s="424"/>
      <c r="FY305" s="251"/>
      <c r="GC305" s="252"/>
      <c r="GF305" s="252"/>
      <c r="GG305" s="252"/>
      <c r="GH305" s="252"/>
      <c r="GI305" s="252"/>
      <c r="GJ305" s="252"/>
      <c r="GK305" s="251"/>
      <c r="GL305" s="250"/>
      <c r="GM305" s="250"/>
      <c r="GN305" s="250"/>
      <c r="GO305" s="250"/>
      <c r="GP305" s="250"/>
      <c r="GQ305" s="250"/>
      <c r="GR305" s="250"/>
      <c r="GS305" s="250"/>
      <c r="GT305" s="250"/>
      <c r="GU305" s="251"/>
      <c r="GV305" s="250"/>
      <c r="GW305" s="250"/>
      <c r="GX305" s="250"/>
      <c r="GY305" s="250"/>
      <c r="GZ305" s="250"/>
      <c r="HA305" s="250"/>
      <c r="HB305" s="250"/>
      <c r="HC305" s="250"/>
      <c r="HD305" s="250"/>
      <c r="HE305" s="250"/>
      <c r="HF305" s="250"/>
      <c r="HG305" s="250"/>
      <c r="HH305" s="251"/>
      <c r="HI305" s="424"/>
      <c r="HJ305" s="255"/>
      <c r="HK305" s="255"/>
      <c r="HL305" s="250"/>
      <c r="HM305" s="255"/>
      <c r="HN305" s="255"/>
      <c r="HO305" s="255"/>
      <c r="HP305" s="250"/>
      <c r="HQ305" s="250"/>
      <c r="HR305" s="250"/>
      <c r="HS305" s="250"/>
      <c r="HT305" s="250"/>
      <c r="HU305" s="251"/>
      <c r="HX305" s="252"/>
      <c r="HY305" s="252"/>
      <c r="HZ305" s="252"/>
      <c r="ID305" s="252"/>
      <c r="IE305" s="252"/>
      <c r="IF305" s="252"/>
      <c r="IJ305" s="252"/>
      <c r="IK305" s="252"/>
      <c r="IL305" s="252"/>
      <c r="IP305" s="252"/>
      <c r="IQ305" s="252"/>
      <c r="IR305" s="252"/>
      <c r="IY305" s="66"/>
      <c r="IZ305" s="66"/>
      <c r="JA305" s="66"/>
      <c r="JB305" s="250"/>
      <c r="JC305" s="66"/>
      <c r="JD305" s="66"/>
      <c r="JE305" s="66"/>
      <c r="JF305" s="66"/>
      <c r="JG305" s="66"/>
      <c r="JH305" s="66"/>
      <c r="JI305" s="66"/>
      <c r="JJ305" s="66"/>
      <c r="JK305" s="8"/>
      <c r="JN305" s="252"/>
      <c r="JO305" s="252"/>
      <c r="JP305" s="252"/>
      <c r="JT305" s="252"/>
      <c r="JU305" s="252"/>
      <c r="JV305" s="252"/>
      <c r="JZ305" s="252"/>
      <c r="KA305" s="252"/>
      <c r="KB305" s="252"/>
      <c r="KF305" s="252"/>
      <c r="KG305" s="252"/>
      <c r="KH305" s="252"/>
      <c r="KO305" s="66"/>
      <c r="KP305" s="66"/>
      <c r="KQ305" s="66"/>
      <c r="KR305" s="66"/>
      <c r="KS305" s="66"/>
      <c r="KT305" s="66"/>
      <c r="KU305" s="66"/>
      <c r="KV305" s="66"/>
      <c r="KW305" s="66"/>
      <c r="KX305" s="66"/>
      <c r="KY305" s="66"/>
      <c r="KZ305" s="66"/>
      <c r="LA305" s="8"/>
      <c r="LD305" s="252"/>
      <c r="LE305" s="252"/>
      <c r="LF305" s="252"/>
      <c r="LJ305" s="252"/>
      <c r="LK305" s="252"/>
      <c r="LN305" s="252"/>
      <c r="LO305" s="252"/>
      <c r="LP305" s="252"/>
      <c r="LT305" s="271"/>
      <c r="LU305" s="250"/>
      <c r="LV305" s="250"/>
      <c r="LW305" s="250"/>
      <c r="LX305" s="250"/>
      <c r="LY305" s="250"/>
      <c r="LZ305" s="250"/>
      <c r="MA305" s="250"/>
      <c r="MB305" s="250"/>
      <c r="MC305" s="250"/>
      <c r="MD305" s="250"/>
      <c r="ME305" s="250"/>
      <c r="MF305" s="250"/>
      <c r="MG305" s="250"/>
      <c r="MH305" s="250"/>
      <c r="MI305" s="250"/>
      <c r="MJ305" s="250"/>
      <c r="MK305" s="424"/>
      <c r="ML305" s="640"/>
      <c r="MM305" s="251"/>
      <c r="MN305" s="252"/>
      <c r="MO305" s="252"/>
      <c r="MP305" s="252"/>
      <c r="MQ305" s="252"/>
      <c r="MR305" s="252"/>
      <c r="MS305" s="252"/>
      <c r="MT305" s="252"/>
      <c r="MU305" s="252"/>
      <c r="MV305" s="252"/>
      <c r="MW305" s="252"/>
      <c r="MX305" s="252"/>
      <c r="MY305" s="252"/>
      <c r="MZ305" s="252"/>
      <c r="NA305" s="252"/>
      <c r="NB305" s="252"/>
      <c r="NC305" s="251"/>
      <c r="ND305" s="250"/>
      <c r="NE305" s="250"/>
      <c r="NF305" s="250"/>
      <c r="NG305" s="250"/>
      <c r="NH305" s="250"/>
      <c r="NI305" s="250"/>
      <c r="NJ305" s="250"/>
      <c r="NK305" s="250"/>
      <c r="NL305" s="250"/>
      <c r="NM305" s="250"/>
      <c r="NN305" s="250"/>
      <c r="NO305" s="250"/>
      <c r="NP305" s="250"/>
      <c r="NQ305" s="250"/>
      <c r="NR305" s="250"/>
      <c r="NS305" s="250"/>
      <c r="NT305" s="250"/>
      <c r="NU305" s="250"/>
      <c r="NV305" s="250"/>
      <c r="NW305" s="251"/>
      <c r="OT305" s="8"/>
      <c r="QG305" s="8"/>
      <c r="RT305" s="8"/>
    </row>
    <row r="306" spans="1:488" s="282" customFormat="1" x14ac:dyDescent="0.25">
      <c r="A306" s="66"/>
      <c r="B306" s="8"/>
      <c r="C306" s="66"/>
      <c r="D306" s="66"/>
      <c r="E306" s="66"/>
      <c r="F306" s="66"/>
      <c r="G306" s="66"/>
      <c r="H306" s="66"/>
      <c r="I306" s="66"/>
      <c r="J306" s="66"/>
      <c r="K306" s="66"/>
      <c r="L306" s="66"/>
      <c r="M306" s="66"/>
      <c r="N306" s="66"/>
      <c r="O306" s="66"/>
      <c r="P306" s="66"/>
      <c r="Q306" s="66"/>
      <c r="R306" s="66"/>
      <c r="S306" s="66"/>
      <c r="T306" s="68"/>
      <c r="AC306" s="66"/>
      <c r="AD306" s="66"/>
      <c r="AE306" s="68"/>
      <c r="AN306" s="66"/>
      <c r="AO306" s="66"/>
      <c r="AP306" s="68"/>
      <c r="AW306" s="66"/>
      <c r="AX306" s="68"/>
      <c r="BD306" s="66"/>
      <c r="BE306" s="68"/>
      <c r="BF306" s="66"/>
      <c r="BG306" s="66"/>
      <c r="BH306" s="66"/>
      <c r="BI306" s="66"/>
      <c r="BJ306" s="66"/>
      <c r="BK306" s="66"/>
      <c r="BL306" s="68"/>
      <c r="BO306" s="66"/>
      <c r="BP306" s="68"/>
      <c r="BV306" s="66"/>
      <c r="BW306" s="68"/>
      <c r="CB306" s="8"/>
      <c r="CH306" s="8"/>
      <c r="CK306" s="299"/>
      <c r="CL306" s="299"/>
      <c r="CM306" s="66"/>
      <c r="CN306" s="66"/>
      <c r="CO306" s="68"/>
      <c r="CR306" s="8"/>
      <c r="CX306" s="66"/>
      <c r="CY306" s="532"/>
      <c r="DE306" s="66"/>
      <c r="DF306" s="66"/>
      <c r="DG306" s="68"/>
      <c r="DH306" s="68"/>
      <c r="DK306" s="66"/>
      <c r="DL306" s="66"/>
      <c r="DM306" s="66"/>
      <c r="DN306" s="66"/>
      <c r="DO306" s="66"/>
      <c r="DP306" s="66"/>
      <c r="DQ306" s="66"/>
      <c r="DR306" s="66"/>
      <c r="DS306" s="66"/>
      <c r="DT306" s="68"/>
      <c r="DU306" s="66"/>
      <c r="DV306" s="296"/>
      <c r="DW306" s="330"/>
      <c r="DX306" s="631"/>
      <c r="DY306" s="631"/>
      <c r="DZ306" s="631"/>
      <c r="EA306" s="330"/>
      <c r="EC306" s="66"/>
      <c r="ED306" s="68"/>
      <c r="EH306" s="66"/>
      <c r="EI306" s="66"/>
      <c r="EJ306" s="68"/>
      <c r="EK306" s="252"/>
      <c r="EL306" s="252"/>
      <c r="EM306" s="252"/>
      <c r="EO306" s="252"/>
      <c r="EP306" s="252"/>
      <c r="EQ306" s="252"/>
      <c r="ES306" s="252"/>
      <c r="ET306" s="252"/>
      <c r="EU306" s="252"/>
      <c r="EW306" s="252"/>
      <c r="EX306" s="252"/>
      <c r="EY306" s="252"/>
      <c r="FA306" s="250"/>
      <c r="FB306" s="250"/>
      <c r="FC306" s="250"/>
      <c r="FD306" s="250"/>
      <c r="FE306" s="250"/>
      <c r="FF306" s="250"/>
      <c r="FG306" s="250"/>
      <c r="FH306" s="424"/>
      <c r="FI306" s="250"/>
      <c r="FJ306" s="250"/>
      <c r="FK306" s="250"/>
      <c r="FL306" s="256"/>
      <c r="FM306" s="250"/>
      <c r="FN306" s="256"/>
      <c r="FO306" s="250"/>
      <c r="FP306" s="256"/>
      <c r="FQ306" s="250"/>
      <c r="FR306" s="256"/>
      <c r="FS306" s="250"/>
      <c r="FT306" s="256"/>
      <c r="FU306" s="256"/>
      <c r="FV306" s="256"/>
      <c r="FW306" s="250"/>
      <c r="FX306" s="424"/>
      <c r="FY306" s="251"/>
      <c r="GC306" s="252"/>
      <c r="GF306" s="252"/>
      <c r="GG306" s="252"/>
      <c r="GH306" s="252"/>
      <c r="GI306" s="252"/>
      <c r="GJ306" s="252"/>
      <c r="GK306" s="251"/>
      <c r="GL306" s="250"/>
      <c r="GM306" s="250"/>
      <c r="GN306" s="250"/>
      <c r="GO306" s="250"/>
      <c r="GP306" s="250"/>
      <c r="GQ306" s="250"/>
      <c r="GR306" s="250"/>
      <c r="GS306" s="250"/>
      <c r="GT306" s="250"/>
      <c r="GU306" s="251"/>
      <c r="GV306" s="250"/>
      <c r="GW306" s="250"/>
      <c r="GX306" s="250"/>
      <c r="GY306" s="250"/>
      <c r="GZ306" s="250"/>
      <c r="HA306" s="250"/>
      <c r="HB306" s="250"/>
      <c r="HC306" s="250"/>
      <c r="HD306" s="250"/>
      <c r="HE306" s="250"/>
      <c r="HF306" s="250"/>
      <c r="HG306" s="250"/>
      <c r="HH306" s="251"/>
      <c r="HI306" s="424"/>
      <c r="HJ306" s="255"/>
      <c r="HK306" s="255"/>
      <c r="HL306" s="250"/>
      <c r="HM306" s="255"/>
      <c r="HN306" s="255"/>
      <c r="HO306" s="255"/>
      <c r="HP306" s="250"/>
      <c r="HQ306" s="250"/>
      <c r="HR306" s="250"/>
      <c r="HS306" s="250"/>
      <c r="HT306" s="250"/>
      <c r="HU306" s="251"/>
      <c r="HX306" s="252"/>
      <c r="HY306" s="252"/>
      <c r="HZ306" s="252"/>
      <c r="ID306" s="252"/>
      <c r="IE306" s="252"/>
      <c r="IF306" s="252"/>
      <c r="IJ306" s="252"/>
      <c r="IK306" s="252"/>
      <c r="IL306" s="252"/>
      <c r="IP306" s="252"/>
      <c r="IQ306" s="252"/>
      <c r="IR306" s="252"/>
      <c r="IY306" s="66"/>
      <c r="IZ306" s="66"/>
      <c r="JA306" s="66"/>
      <c r="JB306" s="250"/>
      <c r="JC306" s="66"/>
      <c r="JD306" s="66"/>
      <c r="JE306" s="66"/>
      <c r="JF306" s="66"/>
      <c r="JG306" s="66"/>
      <c r="JH306" s="66"/>
      <c r="JI306" s="66"/>
      <c r="JJ306" s="66"/>
      <c r="JK306" s="8"/>
      <c r="JN306" s="252"/>
      <c r="JO306" s="252"/>
      <c r="JP306" s="252"/>
      <c r="JT306" s="252"/>
      <c r="JU306" s="252"/>
      <c r="JV306" s="252"/>
      <c r="JZ306" s="252"/>
      <c r="KA306" s="252"/>
      <c r="KB306" s="252"/>
      <c r="KF306" s="252"/>
      <c r="KG306" s="252"/>
      <c r="KH306" s="252"/>
      <c r="KO306" s="66"/>
      <c r="KP306" s="66"/>
      <c r="KQ306" s="66"/>
      <c r="KR306" s="66"/>
      <c r="KS306" s="66"/>
      <c r="KT306" s="66"/>
      <c r="KU306" s="66"/>
      <c r="KV306" s="66"/>
      <c r="KW306" s="66"/>
      <c r="KX306" s="66"/>
      <c r="KY306" s="66"/>
      <c r="KZ306" s="66"/>
      <c r="LA306" s="8"/>
      <c r="LD306" s="252"/>
      <c r="LE306" s="252"/>
      <c r="LF306" s="252"/>
      <c r="LJ306" s="252"/>
      <c r="LK306" s="252"/>
      <c r="LN306" s="252"/>
      <c r="LO306" s="252"/>
      <c r="LP306" s="252"/>
      <c r="LT306" s="271"/>
      <c r="LU306" s="250"/>
      <c r="LV306" s="250"/>
      <c r="LW306" s="250"/>
      <c r="LX306" s="250"/>
      <c r="LY306" s="250"/>
      <c r="LZ306" s="250"/>
      <c r="MA306" s="250"/>
      <c r="MB306" s="250"/>
      <c r="MC306" s="250"/>
      <c r="MD306" s="250"/>
      <c r="ME306" s="250"/>
      <c r="MF306" s="250"/>
      <c r="MG306" s="250"/>
      <c r="MH306" s="250"/>
      <c r="MI306" s="250"/>
      <c r="MJ306" s="250"/>
      <c r="MK306" s="424"/>
      <c r="ML306" s="640"/>
      <c r="MM306" s="251"/>
      <c r="MN306" s="252"/>
      <c r="MO306" s="252"/>
      <c r="MP306" s="252"/>
      <c r="MQ306" s="252"/>
      <c r="MR306" s="252"/>
      <c r="MS306" s="252"/>
      <c r="MT306" s="252"/>
      <c r="MU306" s="252"/>
      <c r="MV306" s="252"/>
      <c r="MW306" s="252"/>
      <c r="MX306" s="252"/>
      <c r="MY306" s="252"/>
      <c r="MZ306" s="252"/>
      <c r="NA306" s="252"/>
      <c r="NB306" s="252"/>
      <c r="NC306" s="251"/>
      <c r="ND306" s="250"/>
      <c r="NE306" s="250"/>
      <c r="NF306" s="250"/>
      <c r="NG306" s="250"/>
      <c r="NH306" s="250"/>
      <c r="NI306" s="250"/>
      <c r="NJ306" s="250"/>
      <c r="NK306" s="250"/>
      <c r="NL306" s="250"/>
      <c r="NM306" s="250"/>
      <c r="NN306" s="250"/>
      <c r="NO306" s="250"/>
      <c r="NP306" s="250"/>
      <c r="NQ306" s="250"/>
      <c r="NR306" s="250"/>
      <c r="NS306" s="250"/>
      <c r="NT306" s="250"/>
      <c r="NU306" s="250"/>
      <c r="NV306" s="250"/>
      <c r="NW306" s="251"/>
      <c r="OT306" s="8"/>
      <c r="QG306" s="8"/>
      <c r="RT306" s="8"/>
    </row>
    <row r="307" spans="1:488" s="282" customFormat="1" x14ac:dyDescent="0.25">
      <c r="A307" s="66"/>
      <c r="B307" s="8"/>
      <c r="C307" s="66"/>
      <c r="D307" s="66"/>
      <c r="E307" s="66"/>
      <c r="F307" s="66"/>
      <c r="G307" s="66"/>
      <c r="H307" s="66"/>
      <c r="I307" s="66"/>
      <c r="J307" s="66"/>
      <c r="K307" s="66"/>
      <c r="L307" s="66"/>
      <c r="M307" s="66"/>
      <c r="N307" s="66"/>
      <c r="O307" s="66"/>
      <c r="P307" s="66"/>
      <c r="Q307" s="66"/>
      <c r="R307" s="66"/>
      <c r="S307" s="66"/>
      <c r="T307" s="68"/>
      <c r="AC307" s="66"/>
      <c r="AD307" s="66"/>
      <c r="AE307" s="68"/>
      <c r="AN307" s="66"/>
      <c r="AO307" s="66"/>
      <c r="AP307" s="68"/>
      <c r="AW307" s="66"/>
      <c r="AX307" s="68"/>
      <c r="BD307" s="66"/>
      <c r="BE307" s="68"/>
      <c r="BF307" s="66"/>
      <c r="BG307" s="66"/>
      <c r="BH307" s="66"/>
      <c r="BI307" s="66"/>
      <c r="BJ307" s="66"/>
      <c r="BK307" s="66"/>
      <c r="BL307" s="68"/>
      <c r="BO307" s="66"/>
      <c r="BP307" s="68"/>
      <c r="BV307" s="66"/>
      <c r="BW307" s="68"/>
      <c r="CB307" s="8"/>
      <c r="CH307" s="8"/>
      <c r="CK307" s="299"/>
      <c r="CL307" s="299"/>
      <c r="CM307" s="66"/>
      <c r="CN307" s="66"/>
      <c r="CO307" s="68"/>
      <c r="CR307" s="8"/>
      <c r="CX307" s="66"/>
      <c r="CY307" s="532"/>
      <c r="DE307" s="66"/>
      <c r="DF307" s="66"/>
      <c r="DG307" s="68"/>
      <c r="DH307" s="68"/>
      <c r="DK307" s="66"/>
      <c r="DL307" s="66"/>
      <c r="DM307" s="66"/>
      <c r="DN307" s="66"/>
      <c r="DO307" s="66"/>
      <c r="DP307" s="66"/>
      <c r="DQ307" s="66"/>
      <c r="DR307" s="66"/>
      <c r="DS307" s="66"/>
      <c r="DT307" s="68"/>
      <c r="DU307" s="66"/>
      <c r="DV307" s="296"/>
      <c r="DW307" s="330"/>
      <c r="DX307" s="631"/>
      <c r="DY307" s="631"/>
      <c r="DZ307" s="631"/>
      <c r="EA307" s="330"/>
      <c r="EC307" s="66"/>
      <c r="ED307" s="68"/>
      <c r="EH307" s="66"/>
      <c r="EI307" s="66"/>
      <c r="EJ307" s="68"/>
      <c r="EK307" s="252"/>
      <c r="EL307" s="252"/>
      <c r="EM307" s="252"/>
      <c r="EO307" s="252"/>
      <c r="EP307" s="252"/>
      <c r="EQ307" s="252"/>
      <c r="ES307" s="252"/>
      <c r="ET307" s="252"/>
      <c r="EU307" s="252"/>
      <c r="EW307" s="252"/>
      <c r="EX307" s="252"/>
      <c r="EY307" s="252"/>
      <c r="FA307" s="250"/>
      <c r="FB307" s="250"/>
      <c r="FC307" s="250"/>
      <c r="FD307" s="250"/>
      <c r="FE307" s="250"/>
      <c r="FF307" s="250"/>
      <c r="FG307" s="250"/>
      <c r="FH307" s="424"/>
      <c r="FI307" s="250"/>
      <c r="FJ307" s="250"/>
      <c r="FK307" s="250"/>
      <c r="FL307" s="256"/>
      <c r="FM307" s="250"/>
      <c r="FN307" s="256"/>
      <c r="FO307" s="250"/>
      <c r="FP307" s="256"/>
      <c r="FQ307" s="250"/>
      <c r="FR307" s="256"/>
      <c r="FS307" s="250"/>
      <c r="FT307" s="256"/>
      <c r="FU307" s="256"/>
      <c r="FV307" s="256"/>
      <c r="FW307" s="250"/>
      <c r="FX307" s="424"/>
      <c r="FY307" s="251"/>
      <c r="GC307" s="252"/>
      <c r="GF307" s="252"/>
      <c r="GG307" s="252"/>
      <c r="GH307" s="252"/>
      <c r="GI307" s="252"/>
      <c r="GJ307" s="252"/>
      <c r="GK307" s="251"/>
      <c r="GL307" s="250"/>
      <c r="GM307" s="250"/>
      <c r="GN307" s="250"/>
      <c r="GO307" s="250"/>
      <c r="GP307" s="250"/>
      <c r="GQ307" s="250"/>
      <c r="GR307" s="250"/>
      <c r="GS307" s="250"/>
      <c r="GT307" s="250"/>
      <c r="GU307" s="251"/>
      <c r="GV307" s="250"/>
      <c r="GW307" s="250"/>
      <c r="GX307" s="250"/>
      <c r="GY307" s="250"/>
      <c r="GZ307" s="250"/>
      <c r="HA307" s="250"/>
      <c r="HB307" s="250"/>
      <c r="HC307" s="250"/>
      <c r="HD307" s="250"/>
      <c r="HE307" s="250"/>
      <c r="HF307" s="250"/>
      <c r="HG307" s="250"/>
      <c r="HH307" s="251"/>
      <c r="HI307" s="424"/>
      <c r="HJ307" s="255"/>
      <c r="HK307" s="255"/>
      <c r="HL307" s="250"/>
      <c r="HM307" s="255"/>
      <c r="HN307" s="255"/>
      <c r="HO307" s="255"/>
      <c r="HP307" s="250"/>
      <c r="HQ307" s="250"/>
      <c r="HR307" s="250"/>
      <c r="HS307" s="250"/>
      <c r="HT307" s="250"/>
      <c r="HU307" s="251"/>
      <c r="HX307" s="252"/>
      <c r="HY307" s="252"/>
      <c r="HZ307" s="252"/>
      <c r="ID307" s="252"/>
      <c r="IE307" s="252"/>
      <c r="IF307" s="252"/>
      <c r="IJ307" s="252"/>
      <c r="IK307" s="252"/>
      <c r="IL307" s="252"/>
      <c r="IP307" s="252"/>
      <c r="IQ307" s="252"/>
      <c r="IR307" s="252"/>
      <c r="IY307" s="66"/>
      <c r="IZ307" s="66"/>
      <c r="JA307" s="66"/>
      <c r="JB307" s="250"/>
      <c r="JC307" s="66"/>
      <c r="JD307" s="66"/>
      <c r="JE307" s="66"/>
      <c r="JF307" s="66"/>
      <c r="JG307" s="66"/>
      <c r="JH307" s="66"/>
      <c r="JI307" s="66"/>
      <c r="JJ307" s="66"/>
      <c r="JK307" s="8"/>
      <c r="JN307" s="252"/>
      <c r="JO307" s="252"/>
      <c r="JP307" s="252"/>
      <c r="JT307" s="252"/>
      <c r="JU307" s="252"/>
      <c r="JV307" s="252"/>
      <c r="JZ307" s="252"/>
      <c r="KA307" s="252"/>
      <c r="KB307" s="252"/>
      <c r="KF307" s="252"/>
      <c r="KG307" s="252"/>
      <c r="KH307" s="252"/>
      <c r="KO307" s="66"/>
      <c r="KP307" s="66"/>
      <c r="KQ307" s="66"/>
      <c r="KR307" s="66"/>
      <c r="KS307" s="66"/>
      <c r="KT307" s="66"/>
      <c r="KU307" s="66"/>
      <c r="KV307" s="66"/>
      <c r="KW307" s="66"/>
      <c r="KX307" s="66"/>
      <c r="KY307" s="66"/>
      <c r="KZ307" s="66"/>
      <c r="LA307" s="8"/>
      <c r="LD307" s="252"/>
      <c r="LE307" s="252"/>
      <c r="LF307" s="252"/>
      <c r="LJ307" s="252"/>
      <c r="LK307" s="252"/>
      <c r="LN307" s="252"/>
      <c r="LO307" s="252"/>
      <c r="LP307" s="252"/>
      <c r="LT307" s="271"/>
      <c r="LU307" s="250"/>
      <c r="LV307" s="250"/>
      <c r="LW307" s="250"/>
      <c r="LX307" s="250"/>
      <c r="LY307" s="250"/>
      <c r="LZ307" s="250"/>
      <c r="MA307" s="250"/>
      <c r="MB307" s="250"/>
      <c r="MC307" s="250"/>
      <c r="MD307" s="250"/>
      <c r="ME307" s="250"/>
      <c r="MF307" s="250"/>
      <c r="MG307" s="250"/>
      <c r="MH307" s="250"/>
      <c r="MI307" s="250"/>
      <c r="MJ307" s="250"/>
      <c r="MK307" s="424"/>
      <c r="ML307" s="640"/>
      <c r="MM307" s="251"/>
      <c r="MN307" s="252"/>
      <c r="MO307" s="252"/>
      <c r="MP307" s="252"/>
      <c r="MQ307" s="252"/>
      <c r="MR307" s="252"/>
      <c r="MS307" s="252"/>
      <c r="MT307" s="252"/>
      <c r="MU307" s="252"/>
      <c r="MV307" s="252"/>
      <c r="MW307" s="252"/>
      <c r="MX307" s="252"/>
      <c r="MY307" s="252"/>
      <c r="MZ307" s="252"/>
      <c r="NA307" s="252"/>
      <c r="NB307" s="252"/>
      <c r="NC307" s="251"/>
      <c r="ND307" s="250"/>
      <c r="NE307" s="250"/>
      <c r="NF307" s="250"/>
      <c r="NG307" s="250"/>
      <c r="NH307" s="250"/>
      <c r="NI307" s="250"/>
      <c r="NJ307" s="250"/>
      <c r="NK307" s="250"/>
      <c r="NL307" s="250"/>
      <c r="NM307" s="250"/>
      <c r="NN307" s="250"/>
      <c r="NO307" s="250"/>
      <c r="NP307" s="250"/>
      <c r="NQ307" s="250"/>
      <c r="NR307" s="250"/>
      <c r="NS307" s="250"/>
      <c r="NT307" s="250"/>
      <c r="NU307" s="250"/>
      <c r="NV307" s="250"/>
      <c r="NW307" s="251"/>
      <c r="OT307" s="8"/>
      <c r="QG307" s="8"/>
      <c r="RT307" s="8"/>
    </row>
    <row r="308" spans="1:488" s="282" customFormat="1" x14ac:dyDescent="0.25">
      <c r="A308" s="66"/>
      <c r="B308" s="8"/>
      <c r="C308" s="66"/>
      <c r="D308" s="66"/>
      <c r="E308" s="66"/>
      <c r="F308" s="66"/>
      <c r="G308" s="66"/>
      <c r="H308" s="66"/>
      <c r="I308" s="66"/>
      <c r="J308" s="66"/>
      <c r="K308" s="66"/>
      <c r="L308" s="66"/>
      <c r="M308" s="66"/>
      <c r="N308" s="66"/>
      <c r="O308" s="66"/>
      <c r="P308" s="66"/>
      <c r="Q308" s="66"/>
      <c r="R308" s="66"/>
      <c r="S308" s="66"/>
      <c r="T308" s="68"/>
      <c r="AC308" s="66"/>
      <c r="AD308" s="66"/>
      <c r="AE308" s="68"/>
      <c r="AN308" s="66"/>
      <c r="AO308" s="66"/>
      <c r="AP308" s="68"/>
      <c r="AW308" s="66"/>
      <c r="AX308" s="68"/>
      <c r="BD308" s="66"/>
      <c r="BE308" s="68"/>
      <c r="BF308" s="66"/>
      <c r="BG308" s="66"/>
      <c r="BH308" s="66"/>
      <c r="BI308" s="66"/>
      <c r="BJ308" s="66"/>
      <c r="BK308" s="66"/>
      <c r="BL308" s="68"/>
      <c r="BO308" s="66"/>
      <c r="BP308" s="68"/>
      <c r="BV308" s="66"/>
      <c r="BW308" s="68"/>
      <c r="CB308" s="8"/>
      <c r="CH308" s="8"/>
      <c r="CK308" s="299"/>
      <c r="CL308" s="299"/>
      <c r="CM308" s="66"/>
      <c r="CN308" s="66"/>
      <c r="CO308" s="68"/>
      <c r="CR308" s="8"/>
      <c r="CX308" s="66"/>
      <c r="CY308" s="532"/>
      <c r="DE308" s="66"/>
      <c r="DF308" s="66"/>
      <c r="DG308" s="68"/>
      <c r="DH308" s="68"/>
      <c r="DK308" s="66"/>
      <c r="DL308" s="66"/>
      <c r="DM308" s="66"/>
      <c r="DN308" s="66"/>
      <c r="DO308" s="66"/>
      <c r="DP308" s="66"/>
      <c r="DQ308" s="66"/>
      <c r="DR308" s="66"/>
      <c r="DS308" s="66"/>
      <c r="DT308" s="68"/>
      <c r="DU308" s="66"/>
      <c r="DV308" s="296"/>
      <c r="DW308" s="330"/>
      <c r="DX308" s="631"/>
      <c r="DY308" s="631"/>
      <c r="DZ308" s="631"/>
      <c r="EA308" s="330"/>
      <c r="EC308" s="66"/>
      <c r="ED308" s="68"/>
      <c r="EH308" s="66"/>
      <c r="EI308" s="66"/>
      <c r="EJ308" s="68"/>
      <c r="EK308" s="252"/>
      <c r="EL308" s="252"/>
      <c r="EM308" s="252"/>
      <c r="EO308" s="252"/>
      <c r="EP308" s="252"/>
      <c r="EQ308" s="252"/>
      <c r="ES308" s="252"/>
      <c r="ET308" s="252"/>
      <c r="EU308" s="252"/>
      <c r="EW308" s="252"/>
      <c r="EX308" s="252"/>
      <c r="EY308" s="252"/>
      <c r="FA308" s="250"/>
      <c r="FB308" s="250"/>
      <c r="FC308" s="250"/>
      <c r="FD308" s="250"/>
      <c r="FE308" s="250"/>
      <c r="FF308" s="250"/>
      <c r="FG308" s="250"/>
      <c r="FH308" s="424"/>
      <c r="FI308" s="250"/>
      <c r="FJ308" s="250"/>
      <c r="FK308" s="250"/>
      <c r="FL308" s="256"/>
      <c r="FM308" s="250"/>
      <c r="FN308" s="256"/>
      <c r="FO308" s="250"/>
      <c r="FP308" s="256"/>
      <c r="FQ308" s="250"/>
      <c r="FR308" s="256"/>
      <c r="FS308" s="250"/>
      <c r="FT308" s="256"/>
      <c r="FU308" s="256"/>
      <c r="FV308" s="256"/>
      <c r="FW308" s="250"/>
      <c r="FX308" s="424"/>
      <c r="FY308" s="251"/>
      <c r="GC308" s="252"/>
      <c r="GF308" s="252"/>
      <c r="GG308" s="252"/>
      <c r="GH308" s="252"/>
      <c r="GI308" s="252"/>
      <c r="GJ308" s="252"/>
      <c r="GK308" s="251"/>
      <c r="GL308" s="250"/>
      <c r="GM308" s="250"/>
      <c r="GN308" s="250"/>
      <c r="GO308" s="250"/>
      <c r="GP308" s="250"/>
      <c r="GQ308" s="250"/>
      <c r="GR308" s="250"/>
      <c r="GS308" s="250"/>
      <c r="GT308" s="250"/>
      <c r="GU308" s="251"/>
      <c r="GV308" s="250"/>
      <c r="GW308" s="250"/>
      <c r="GX308" s="250"/>
      <c r="GY308" s="250"/>
      <c r="GZ308" s="250"/>
      <c r="HA308" s="250"/>
      <c r="HB308" s="250"/>
      <c r="HC308" s="250"/>
      <c r="HD308" s="250"/>
      <c r="HE308" s="250"/>
      <c r="HF308" s="250"/>
      <c r="HG308" s="250"/>
      <c r="HH308" s="251"/>
      <c r="HI308" s="424"/>
      <c r="HJ308" s="255"/>
      <c r="HK308" s="255"/>
      <c r="HL308" s="250"/>
      <c r="HM308" s="255"/>
      <c r="HN308" s="255"/>
      <c r="HO308" s="255"/>
      <c r="HP308" s="250"/>
      <c r="HQ308" s="250"/>
      <c r="HR308" s="250"/>
      <c r="HS308" s="250"/>
      <c r="HT308" s="250"/>
      <c r="HU308" s="251"/>
      <c r="HX308" s="252"/>
      <c r="HY308" s="252"/>
      <c r="HZ308" s="252"/>
      <c r="ID308" s="252"/>
      <c r="IE308" s="252"/>
      <c r="IF308" s="252"/>
      <c r="IJ308" s="252"/>
      <c r="IK308" s="252"/>
      <c r="IL308" s="252"/>
      <c r="IP308" s="252"/>
      <c r="IQ308" s="252"/>
      <c r="IR308" s="252"/>
      <c r="IY308" s="66"/>
      <c r="IZ308" s="66"/>
      <c r="JA308" s="66"/>
      <c r="JB308" s="250"/>
      <c r="JC308" s="66"/>
      <c r="JD308" s="66"/>
      <c r="JE308" s="66"/>
      <c r="JF308" s="66"/>
      <c r="JG308" s="66"/>
      <c r="JH308" s="66"/>
      <c r="JI308" s="66"/>
      <c r="JJ308" s="66"/>
      <c r="JK308" s="8"/>
      <c r="JN308" s="252"/>
      <c r="JO308" s="252"/>
      <c r="JP308" s="252"/>
      <c r="JT308" s="252"/>
      <c r="JU308" s="252"/>
      <c r="JV308" s="252"/>
      <c r="JZ308" s="252"/>
      <c r="KA308" s="252"/>
      <c r="KB308" s="252"/>
      <c r="KF308" s="252"/>
      <c r="KG308" s="252"/>
      <c r="KH308" s="252"/>
      <c r="KO308" s="66"/>
      <c r="KP308" s="66"/>
      <c r="KQ308" s="66"/>
      <c r="KR308" s="66"/>
      <c r="KS308" s="66"/>
      <c r="KT308" s="66"/>
      <c r="KU308" s="66"/>
      <c r="KV308" s="66"/>
      <c r="KW308" s="66"/>
      <c r="KX308" s="66"/>
      <c r="KY308" s="66"/>
      <c r="KZ308" s="66"/>
      <c r="LA308" s="8"/>
      <c r="LD308" s="252"/>
      <c r="LE308" s="252"/>
      <c r="LF308" s="252"/>
      <c r="LJ308" s="252"/>
      <c r="LK308" s="252"/>
      <c r="LN308" s="252"/>
      <c r="LO308" s="252"/>
      <c r="LP308" s="252"/>
      <c r="LT308" s="271"/>
      <c r="LU308" s="250"/>
      <c r="LV308" s="250"/>
      <c r="LW308" s="250"/>
      <c r="LX308" s="250"/>
      <c r="LY308" s="250"/>
      <c r="LZ308" s="250"/>
      <c r="MA308" s="250"/>
      <c r="MB308" s="250"/>
      <c r="MC308" s="250"/>
      <c r="MD308" s="250"/>
      <c r="ME308" s="250"/>
      <c r="MF308" s="250"/>
      <c r="MG308" s="250"/>
      <c r="MH308" s="250"/>
      <c r="MI308" s="250"/>
      <c r="MJ308" s="250"/>
      <c r="MK308" s="424"/>
      <c r="ML308" s="640"/>
      <c r="MM308" s="251"/>
      <c r="MN308" s="252"/>
      <c r="MO308" s="252"/>
      <c r="MP308" s="252"/>
      <c r="MQ308" s="252"/>
      <c r="MR308" s="252"/>
      <c r="MS308" s="252"/>
      <c r="MT308" s="252"/>
      <c r="MU308" s="252"/>
      <c r="MV308" s="252"/>
      <c r="MW308" s="252"/>
      <c r="MX308" s="252"/>
      <c r="MY308" s="252"/>
      <c r="MZ308" s="252"/>
      <c r="NA308" s="252"/>
      <c r="NB308" s="252"/>
      <c r="NC308" s="251"/>
      <c r="ND308" s="250"/>
      <c r="NE308" s="250"/>
      <c r="NF308" s="250"/>
      <c r="NG308" s="250"/>
      <c r="NH308" s="250"/>
      <c r="NI308" s="250"/>
      <c r="NJ308" s="250"/>
      <c r="NK308" s="250"/>
      <c r="NL308" s="250"/>
      <c r="NM308" s="250"/>
      <c r="NN308" s="250"/>
      <c r="NO308" s="250"/>
      <c r="NP308" s="250"/>
      <c r="NQ308" s="250"/>
      <c r="NR308" s="250"/>
      <c r="NS308" s="250"/>
      <c r="NT308" s="250"/>
      <c r="NU308" s="250"/>
      <c r="NV308" s="250"/>
      <c r="NW308" s="251"/>
      <c r="OT308" s="8"/>
      <c r="QG308" s="8"/>
      <c r="RT308" s="8"/>
    </row>
    <row r="309" spans="1:488" s="282" customFormat="1" x14ac:dyDescent="0.25">
      <c r="A309" s="66"/>
      <c r="B309" s="8"/>
      <c r="C309" s="66"/>
      <c r="D309" s="66"/>
      <c r="E309" s="66"/>
      <c r="F309" s="66"/>
      <c r="G309" s="66"/>
      <c r="H309" s="66"/>
      <c r="I309" s="66"/>
      <c r="J309" s="66"/>
      <c r="K309" s="66"/>
      <c r="L309" s="66"/>
      <c r="M309" s="66"/>
      <c r="N309" s="66"/>
      <c r="O309" s="66"/>
      <c r="P309" s="66"/>
      <c r="Q309" s="66"/>
      <c r="R309" s="66"/>
      <c r="S309" s="66"/>
      <c r="T309" s="68"/>
      <c r="AC309" s="66"/>
      <c r="AD309" s="66"/>
      <c r="AE309" s="68"/>
      <c r="AN309" s="66"/>
      <c r="AO309" s="66"/>
      <c r="AP309" s="68"/>
      <c r="AW309" s="66"/>
      <c r="AX309" s="68"/>
      <c r="BD309" s="66"/>
      <c r="BE309" s="68"/>
      <c r="BF309" s="66"/>
      <c r="BG309" s="66"/>
      <c r="BH309" s="66"/>
      <c r="BI309" s="66"/>
      <c r="BJ309" s="66"/>
      <c r="BK309" s="66"/>
      <c r="BL309" s="68"/>
      <c r="BO309" s="66"/>
      <c r="BP309" s="68"/>
      <c r="BV309" s="66"/>
      <c r="BW309" s="68"/>
      <c r="CB309" s="8"/>
      <c r="CH309" s="8"/>
      <c r="CK309" s="299"/>
      <c r="CL309" s="299"/>
      <c r="CM309" s="66"/>
      <c r="CN309" s="66"/>
      <c r="CO309" s="68"/>
      <c r="CR309" s="8"/>
      <c r="CX309" s="66"/>
      <c r="CY309" s="532"/>
      <c r="DE309" s="66"/>
      <c r="DF309" s="66"/>
      <c r="DG309" s="68"/>
      <c r="DH309" s="68"/>
      <c r="DK309" s="66"/>
      <c r="DL309" s="66"/>
      <c r="DM309" s="66"/>
      <c r="DN309" s="66"/>
      <c r="DO309" s="66"/>
      <c r="DP309" s="66"/>
      <c r="DQ309" s="66"/>
      <c r="DR309" s="66"/>
      <c r="DS309" s="66"/>
      <c r="DT309" s="68"/>
      <c r="DU309" s="66"/>
      <c r="DV309" s="296"/>
      <c r="DW309" s="330"/>
      <c r="DX309" s="631"/>
      <c r="DY309" s="631"/>
      <c r="DZ309" s="631"/>
      <c r="EA309" s="330"/>
      <c r="EC309" s="66"/>
      <c r="ED309" s="68"/>
      <c r="EH309" s="66"/>
      <c r="EI309" s="66"/>
      <c r="EJ309" s="68"/>
      <c r="EK309" s="252"/>
      <c r="EL309" s="252"/>
      <c r="EM309" s="252"/>
      <c r="EO309" s="252"/>
      <c r="EP309" s="252"/>
      <c r="EQ309" s="252"/>
      <c r="ES309" s="252"/>
      <c r="ET309" s="252"/>
      <c r="EU309" s="252"/>
      <c r="EW309" s="252"/>
      <c r="EX309" s="252"/>
      <c r="EY309" s="252"/>
      <c r="FA309" s="250"/>
      <c r="FB309" s="250"/>
      <c r="FC309" s="250"/>
      <c r="FD309" s="250"/>
      <c r="FE309" s="250"/>
      <c r="FF309" s="250"/>
      <c r="FG309" s="250"/>
      <c r="FH309" s="424"/>
      <c r="FI309" s="250"/>
      <c r="FJ309" s="250"/>
      <c r="FK309" s="250"/>
      <c r="FL309" s="256"/>
      <c r="FM309" s="250"/>
      <c r="FN309" s="256"/>
      <c r="FO309" s="250"/>
      <c r="FP309" s="256"/>
      <c r="FQ309" s="250"/>
      <c r="FR309" s="256"/>
      <c r="FS309" s="250"/>
      <c r="FT309" s="256"/>
      <c r="FU309" s="256"/>
      <c r="FV309" s="256"/>
      <c r="FW309" s="250"/>
      <c r="FX309" s="424"/>
      <c r="FY309" s="251"/>
      <c r="GC309" s="252"/>
      <c r="GF309" s="252"/>
      <c r="GG309" s="252"/>
      <c r="GH309" s="252"/>
      <c r="GI309" s="252"/>
      <c r="GJ309" s="252"/>
      <c r="GK309" s="251"/>
      <c r="GL309" s="250"/>
      <c r="GM309" s="250"/>
      <c r="GN309" s="250"/>
      <c r="GO309" s="250"/>
      <c r="GP309" s="250"/>
      <c r="GQ309" s="250"/>
      <c r="GR309" s="250"/>
      <c r="GS309" s="250"/>
      <c r="GT309" s="250"/>
      <c r="GU309" s="251"/>
      <c r="GV309" s="250"/>
      <c r="GW309" s="250"/>
      <c r="GX309" s="250"/>
      <c r="GY309" s="250"/>
      <c r="GZ309" s="250"/>
      <c r="HA309" s="250"/>
      <c r="HB309" s="250"/>
      <c r="HC309" s="250"/>
      <c r="HD309" s="250"/>
      <c r="HE309" s="250"/>
      <c r="HF309" s="250"/>
      <c r="HG309" s="250"/>
      <c r="HH309" s="251"/>
      <c r="HI309" s="424"/>
      <c r="HJ309" s="255"/>
      <c r="HK309" s="255"/>
      <c r="HL309" s="250"/>
      <c r="HM309" s="255"/>
      <c r="HN309" s="255"/>
      <c r="HO309" s="255"/>
      <c r="HP309" s="250"/>
      <c r="HQ309" s="250"/>
      <c r="HR309" s="250"/>
      <c r="HS309" s="250"/>
      <c r="HT309" s="250"/>
      <c r="HU309" s="251"/>
      <c r="HX309" s="252"/>
      <c r="HY309" s="252"/>
      <c r="HZ309" s="252"/>
      <c r="ID309" s="252"/>
      <c r="IE309" s="252"/>
      <c r="IF309" s="252"/>
      <c r="IJ309" s="252"/>
      <c r="IK309" s="252"/>
      <c r="IL309" s="252"/>
      <c r="IP309" s="252"/>
      <c r="IQ309" s="252"/>
      <c r="IR309" s="252"/>
      <c r="IY309" s="66"/>
      <c r="IZ309" s="66"/>
      <c r="JA309" s="66"/>
      <c r="JB309" s="250"/>
      <c r="JC309" s="66"/>
      <c r="JD309" s="66"/>
      <c r="JE309" s="66"/>
      <c r="JF309" s="66"/>
      <c r="JG309" s="66"/>
      <c r="JH309" s="66"/>
      <c r="JI309" s="66"/>
      <c r="JJ309" s="66"/>
      <c r="JK309" s="8"/>
      <c r="JN309" s="252"/>
      <c r="JO309" s="252"/>
      <c r="JP309" s="252"/>
      <c r="JT309" s="252"/>
      <c r="JU309" s="252"/>
      <c r="JV309" s="252"/>
      <c r="JZ309" s="252"/>
      <c r="KA309" s="252"/>
      <c r="KB309" s="252"/>
      <c r="KF309" s="252"/>
      <c r="KG309" s="252"/>
      <c r="KH309" s="252"/>
      <c r="KO309" s="66"/>
      <c r="KP309" s="66"/>
      <c r="KQ309" s="66"/>
      <c r="KR309" s="66"/>
      <c r="KS309" s="66"/>
      <c r="KT309" s="66"/>
      <c r="KU309" s="66"/>
      <c r="KV309" s="66"/>
      <c r="KW309" s="66"/>
      <c r="KX309" s="66"/>
      <c r="KY309" s="66"/>
      <c r="KZ309" s="66"/>
      <c r="LA309" s="8"/>
      <c r="LD309" s="252"/>
      <c r="LE309" s="252"/>
      <c r="LF309" s="252"/>
      <c r="LJ309" s="252"/>
      <c r="LK309" s="252"/>
      <c r="LN309" s="252"/>
      <c r="LO309" s="252"/>
      <c r="LP309" s="252"/>
      <c r="LT309" s="271"/>
      <c r="LU309" s="250"/>
      <c r="LV309" s="250"/>
      <c r="LW309" s="250"/>
      <c r="LX309" s="250"/>
      <c r="LY309" s="250"/>
      <c r="LZ309" s="250"/>
      <c r="MA309" s="250"/>
      <c r="MB309" s="250"/>
      <c r="MC309" s="250"/>
      <c r="MD309" s="250"/>
      <c r="ME309" s="250"/>
      <c r="MF309" s="250"/>
      <c r="MG309" s="250"/>
      <c r="MH309" s="250"/>
      <c r="MI309" s="250"/>
      <c r="MJ309" s="250"/>
      <c r="MK309" s="424"/>
      <c r="ML309" s="640"/>
      <c r="MM309" s="251"/>
      <c r="MN309" s="252"/>
      <c r="MO309" s="252"/>
      <c r="MP309" s="252"/>
      <c r="MQ309" s="252"/>
      <c r="MR309" s="252"/>
      <c r="MS309" s="252"/>
      <c r="MT309" s="252"/>
      <c r="MU309" s="252"/>
      <c r="MV309" s="252"/>
      <c r="MW309" s="252"/>
      <c r="MX309" s="252"/>
      <c r="MY309" s="252"/>
      <c r="MZ309" s="252"/>
      <c r="NA309" s="252"/>
      <c r="NB309" s="252"/>
      <c r="NC309" s="251"/>
      <c r="ND309" s="250"/>
      <c r="NE309" s="250"/>
      <c r="NF309" s="250"/>
      <c r="NG309" s="250"/>
      <c r="NH309" s="250"/>
      <c r="NI309" s="250"/>
      <c r="NJ309" s="250"/>
      <c r="NK309" s="250"/>
      <c r="NL309" s="250"/>
      <c r="NM309" s="250"/>
      <c r="NN309" s="250"/>
      <c r="NO309" s="250"/>
      <c r="NP309" s="250"/>
      <c r="NQ309" s="250"/>
      <c r="NR309" s="250"/>
      <c r="NS309" s="250"/>
      <c r="NT309" s="250"/>
      <c r="NU309" s="250"/>
      <c r="NV309" s="250"/>
      <c r="NW309" s="251"/>
      <c r="OT309" s="8"/>
      <c r="QG309" s="8"/>
      <c r="RT309" s="8"/>
    </row>
    <row r="310" spans="1:488" s="282" customFormat="1" x14ac:dyDescent="0.25">
      <c r="A310" s="66"/>
      <c r="B310" s="8"/>
      <c r="C310" s="66"/>
      <c r="D310" s="66"/>
      <c r="E310" s="66"/>
      <c r="F310" s="66"/>
      <c r="G310" s="66"/>
      <c r="H310" s="66"/>
      <c r="I310" s="66"/>
      <c r="J310" s="66"/>
      <c r="K310" s="66"/>
      <c r="L310" s="66"/>
      <c r="M310" s="66"/>
      <c r="N310" s="66"/>
      <c r="O310" s="66"/>
      <c r="P310" s="66"/>
      <c r="Q310" s="66"/>
      <c r="R310" s="66"/>
      <c r="S310" s="66"/>
      <c r="T310" s="68"/>
      <c r="AC310" s="66"/>
      <c r="AD310" s="66"/>
      <c r="AE310" s="68"/>
      <c r="AN310" s="66"/>
      <c r="AO310" s="66"/>
      <c r="AP310" s="68"/>
      <c r="AW310" s="66"/>
      <c r="AX310" s="68"/>
      <c r="BD310" s="66"/>
      <c r="BE310" s="68"/>
      <c r="BF310" s="66"/>
      <c r="BG310" s="66"/>
      <c r="BH310" s="66"/>
      <c r="BI310" s="66"/>
      <c r="BJ310" s="66"/>
      <c r="BK310" s="66"/>
      <c r="BL310" s="68"/>
      <c r="BO310" s="66"/>
      <c r="BP310" s="68"/>
      <c r="BV310" s="66"/>
      <c r="BW310" s="68"/>
      <c r="CB310" s="8"/>
      <c r="CH310" s="8"/>
      <c r="CK310" s="299"/>
      <c r="CL310" s="299"/>
      <c r="CM310" s="66"/>
      <c r="CN310" s="66"/>
      <c r="CO310" s="68"/>
      <c r="CR310" s="8"/>
      <c r="CX310" s="66"/>
      <c r="CY310" s="532"/>
      <c r="DE310" s="66"/>
      <c r="DF310" s="66"/>
      <c r="DG310" s="68"/>
      <c r="DH310" s="68"/>
      <c r="DK310" s="66"/>
      <c r="DL310" s="66"/>
      <c r="DM310" s="66"/>
      <c r="DN310" s="66"/>
      <c r="DO310" s="66"/>
      <c r="DP310" s="66"/>
      <c r="DQ310" s="66"/>
      <c r="DR310" s="66"/>
      <c r="DS310" s="66"/>
      <c r="DT310" s="68"/>
      <c r="DU310" s="66"/>
      <c r="DV310" s="296"/>
      <c r="DW310" s="330"/>
      <c r="DX310" s="631"/>
      <c r="DY310" s="631"/>
      <c r="DZ310" s="631"/>
      <c r="EA310" s="330"/>
      <c r="EC310" s="66"/>
      <c r="ED310" s="68"/>
      <c r="EH310" s="66"/>
      <c r="EI310" s="66"/>
      <c r="EJ310" s="68"/>
      <c r="EK310" s="252"/>
      <c r="EL310" s="252"/>
      <c r="EM310" s="252"/>
      <c r="EO310" s="252"/>
      <c r="EP310" s="252"/>
      <c r="EQ310" s="252"/>
      <c r="ES310" s="252"/>
      <c r="ET310" s="252"/>
      <c r="EU310" s="252"/>
      <c r="EW310" s="252"/>
      <c r="EX310" s="252"/>
      <c r="EY310" s="252"/>
      <c r="FA310" s="250"/>
      <c r="FB310" s="250"/>
      <c r="FC310" s="250"/>
      <c r="FD310" s="250"/>
      <c r="FE310" s="250"/>
      <c r="FF310" s="250"/>
      <c r="FG310" s="250"/>
      <c r="FH310" s="424"/>
      <c r="FI310" s="250"/>
      <c r="FJ310" s="250"/>
      <c r="FK310" s="250"/>
      <c r="FL310" s="256"/>
      <c r="FM310" s="250"/>
      <c r="FN310" s="256"/>
      <c r="FO310" s="250"/>
      <c r="FP310" s="256"/>
      <c r="FQ310" s="250"/>
      <c r="FR310" s="256"/>
      <c r="FS310" s="250"/>
      <c r="FT310" s="256"/>
      <c r="FU310" s="256"/>
      <c r="FV310" s="256"/>
      <c r="FW310" s="250"/>
      <c r="FX310" s="424"/>
      <c r="FY310" s="251"/>
      <c r="GC310" s="252"/>
      <c r="GF310" s="252"/>
      <c r="GG310" s="252"/>
      <c r="GH310" s="252"/>
      <c r="GI310" s="252"/>
      <c r="GJ310" s="252"/>
      <c r="GK310" s="251"/>
      <c r="GL310" s="250"/>
      <c r="GM310" s="250"/>
      <c r="GN310" s="250"/>
      <c r="GO310" s="250"/>
      <c r="GP310" s="250"/>
      <c r="GQ310" s="250"/>
      <c r="GR310" s="250"/>
      <c r="GS310" s="250"/>
      <c r="GT310" s="250"/>
      <c r="GU310" s="251"/>
      <c r="GV310" s="250"/>
      <c r="GW310" s="250"/>
      <c r="GX310" s="250"/>
      <c r="GY310" s="250"/>
      <c r="GZ310" s="250"/>
      <c r="HA310" s="250"/>
      <c r="HB310" s="250"/>
      <c r="HC310" s="250"/>
      <c r="HD310" s="250"/>
      <c r="HE310" s="250"/>
      <c r="HF310" s="250"/>
      <c r="HG310" s="250"/>
      <c r="HH310" s="251"/>
      <c r="HI310" s="424"/>
      <c r="HJ310" s="255"/>
      <c r="HK310" s="255"/>
      <c r="HL310" s="250"/>
      <c r="HM310" s="255"/>
      <c r="HN310" s="255"/>
      <c r="HO310" s="255"/>
      <c r="HP310" s="250"/>
      <c r="HQ310" s="250"/>
      <c r="HR310" s="250"/>
      <c r="HS310" s="250"/>
      <c r="HT310" s="250"/>
      <c r="HU310" s="251"/>
      <c r="HX310" s="252"/>
      <c r="HY310" s="252"/>
      <c r="HZ310" s="252"/>
      <c r="ID310" s="252"/>
      <c r="IE310" s="252"/>
      <c r="IF310" s="252"/>
      <c r="IJ310" s="252"/>
      <c r="IK310" s="252"/>
      <c r="IL310" s="252"/>
      <c r="IP310" s="252"/>
      <c r="IQ310" s="252"/>
      <c r="IR310" s="252"/>
      <c r="IY310" s="66"/>
      <c r="IZ310" s="66"/>
      <c r="JA310" s="66"/>
      <c r="JB310" s="250"/>
      <c r="JC310" s="66"/>
      <c r="JD310" s="66"/>
      <c r="JE310" s="66"/>
      <c r="JF310" s="66"/>
      <c r="JG310" s="66"/>
      <c r="JH310" s="66"/>
      <c r="JI310" s="66"/>
      <c r="JJ310" s="66"/>
      <c r="JK310" s="8"/>
      <c r="JN310" s="252"/>
      <c r="JO310" s="252"/>
      <c r="JP310" s="252"/>
      <c r="JT310" s="252"/>
      <c r="JU310" s="252"/>
      <c r="JV310" s="252"/>
      <c r="JZ310" s="252"/>
      <c r="KA310" s="252"/>
      <c r="KB310" s="252"/>
      <c r="KF310" s="252"/>
      <c r="KG310" s="252"/>
      <c r="KH310" s="252"/>
      <c r="KO310" s="66"/>
      <c r="KP310" s="66"/>
      <c r="KQ310" s="66"/>
      <c r="KR310" s="66"/>
      <c r="KS310" s="66"/>
      <c r="KT310" s="66"/>
      <c r="KU310" s="66"/>
      <c r="KV310" s="66"/>
      <c r="KW310" s="66"/>
      <c r="KX310" s="66"/>
      <c r="KY310" s="66"/>
      <c r="KZ310" s="66"/>
      <c r="LA310" s="8"/>
      <c r="LD310" s="252"/>
      <c r="LE310" s="252"/>
      <c r="LF310" s="252"/>
      <c r="LJ310" s="252"/>
      <c r="LK310" s="252"/>
      <c r="LN310" s="252"/>
      <c r="LO310" s="252"/>
      <c r="LP310" s="252"/>
      <c r="LT310" s="271"/>
      <c r="LU310" s="250"/>
      <c r="LV310" s="250"/>
      <c r="LW310" s="250"/>
      <c r="LX310" s="250"/>
      <c r="LY310" s="250"/>
      <c r="LZ310" s="250"/>
      <c r="MA310" s="250"/>
      <c r="MB310" s="250"/>
      <c r="MC310" s="250"/>
      <c r="MD310" s="250"/>
      <c r="ME310" s="250"/>
      <c r="MF310" s="250"/>
      <c r="MG310" s="250"/>
      <c r="MH310" s="250"/>
      <c r="MI310" s="250"/>
      <c r="MJ310" s="250"/>
      <c r="MK310" s="424"/>
      <c r="ML310" s="640"/>
      <c r="MM310" s="251"/>
      <c r="MN310" s="252"/>
      <c r="MO310" s="252"/>
      <c r="MP310" s="252"/>
      <c r="MQ310" s="252"/>
      <c r="MR310" s="252"/>
      <c r="MS310" s="252"/>
      <c r="MT310" s="252"/>
      <c r="MU310" s="252"/>
      <c r="MV310" s="252"/>
      <c r="MW310" s="252"/>
      <c r="MX310" s="252"/>
      <c r="MY310" s="252"/>
      <c r="MZ310" s="252"/>
      <c r="NA310" s="252"/>
      <c r="NB310" s="252"/>
      <c r="NC310" s="251"/>
      <c r="ND310" s="250"/>
      <c r="NE310" s="250"/>
      <c r="NF310" s="250"/>
      <c r="NG310" s="250"/>
      <c r="NH310" s="250"/>
      <c r="NI310" s="250"/>
      <c r="NJ310" s="250"/>
      <c r="NK310" s="250"/>
      <c r="NL310" s="250"/>
      <c r="NM310" s="250"/>
      <c r="NN310" s="250"/>
      <c r="NO310" s="250"/>
      <c r="NP310" s="250"/>
      <c r="NQ310" s="250"/>
      <c r="NR310" s="250"/>
      <c r="NS310" s="250"/>
      <c r="NT310" s="250"/>
      <c r="NU310" s="250"/>
      <c r="NV310" s="250"/>
      <c r="NW310" s="251"/>
      <c r="OT310" s="8"/>
      <c r="QG310" s="8"/>
      <c r="RT310" s="8"/>
    </row>
    <row r="311" spans="1:488" s="282" customFormat="1" x14ac:dyDescent="0.25">
      <c r="A311" s="66"/>
      <c r="B311" s="8"/>
      <c r="C311" s="66"/>
      <c r="D311" s="66"/>
      <c r="E311" s="66"/>
      <c r="F311" s="66"/>
      <c r="G311" s="66"/>
      <c r="H311" s="66"/>
      <c r="I311" s="66"/>
      <c r="J311" s="66"/>
      <c r="K311" s="66"/>
      <c r="L311" s="66"/>
      <c r="M311" s="66"/>
      <c r="N311" s="66"/>
      <c r="O311" s="66"/>
      <c r="P311" s="66"/>
      <c r="Q311" s="66"/>
      <c r="R311" s="66"/>
      <c r="S311" s="66"/>
      <c r="T311" s="68"/>
      <c r="AC311" s="66"/>
      <c r="AD311" s="66"/>
      <c r="AE311" s="68"/>
      <c r="AN311" s="66"/>
      <c r="AO311" s="66"/>
      <c r="AP311" s="68"/>
      <c r="AW311" s="66"/>
      <c r="AX311" s="68"/>
      <c r="BD311" s="66"/>
      <c r="BE311" s="68"/>
      <c r="BF311" s="66"/>
      <c r="BG311" s="66"/>
      <c r="BH311" s="66"/>
      <c r="BI311" s="66"/>
      <c r="BJ311" s="66"/>
      <c r="BK311" s="66"/>
      <c r="BL311" s="68"/>
      <c r="BO311" s="66"/>
      <c r="BP311" s="68"/>
      <c r="BV311" s="66"/>
      <c r="BW311" s="68"/>
      <c r="CB311" s="8"/>
      <c r="CH311" s="8"/>
      <c r="CK311" s="299"/>
      <c r="CL311" s="299"/>
      <c r="CM311" s="66"/>
      <c r="CN311" s="66"/>
      <c r="CO311" s="68"/>
      <c r="CR311" s="8"/>
      <c r="CX311" s="66"/>
      <c r="CY311" s="532"/>
      <c r="DE311" s="66"/>
      <c r="DF311" s="66"/>
      <c r="DG311" s="68"/>
      <c r="DH311" s="68"/>
      <c r="DK311" s="66"/>
      <c r="DL311" s="66"/>
      <c r="DM311" s="66"/>
      <c r="DN311" s="66"/>
      <c r="DO311" s="66"/>
      <c r="DP311" s="66"/>
      <c r="DQ311" s="66"/>
      <c r="DR311" s="66"/>
      <c r="DS311" s="66"/>
      <c r="DT311" s="68"/>
      <c r="DU311" s="66"/>
      <c r="DV311" s="296"/>
      <c r="DW311" s="330"/>
      <c r="DX311" s="631"/>
      <c r="DY311" s="631"/>
      <c r="DZ311" s="631"/>
      <c r="EA311" s="330"/>
      <c r="EC311" s="66"/>
      <c r="ED311" s="68"/>
      <c r="EH311" s="66"/>
      <c r="EI311" s="66"/>
      <c r="EJ311" s="68"/>
      <c r="EK311" s="252"/>
      <c r="EL311" s="252"/>
      <c r="EM311" s="252"/>
      <c r="EO311" s="252"/>
      <c r="EP311" s="252"/>
      <c r="EQ311" s="252"/>
      <c r="ES311" s="252"/>
      <c r="ET311" s="252"/>
      <c r="EU311" s="252"/>
      <c r="EW311" s="252"/>
      <c r="EX311" s="252"/>
      <c r="EY311" s="252"/>
      <c r="FA311" s="250"/>
      <c r="FB311" s="250"/>
      <c r="FC311" s="250"/>
      <c r="FD311" s="250"/>
      <c r="FE311" s="250"/>
      <c r="FF311" s="250"/>
      <c r="FG311" s="250"/>
      <c r="FH311" s="424"/>
      <c r="FI311" s="250"/>
      <c r="FJ311" s="250"/>
      <c r="FK311" s="250"/>
      <c r="FL311" s="256"/>
      <c r="FM311" s="250"/>
      <c r="FN311" s="256"/>
      <c r="FO311" s="250"/>
      <c r="FP311" s="256"/>
      <c r="FQ311" s="250"/>
      <c r="FR311" s="256"/>
      <c r="FS311" s="250"/>
      <c r="FT311" s="256"/>
      <c r="FU311" s="256"/>
      <c r="FV311" s="256"/>
      <c r="FW311" s="250"/>
      <c r="FX311" s="424"/>
      <c r="FY311" s="251"/>
      <c r="GC311" s="252"/>
      <c r="GF311" s="252"/>
      <c r="GG311" s="252"/>
      <c r="GH311" s="252"/>
      <c r="GI311" s="252"/>
      <c r="GJ311" s="252"/>
      <c r="GK311" s="251"/>
      <c r="GL311" s="250"/>
      <c r="GM311" s="250"/>
      <c r="GN311" s="250"/>
      <c r="GO311" s="250"/>
      <c r="GP311" s="250"/>
      <c r="GQ311" s="250"/>
      <c r="GR311" s="250"/>
      <c r="GS311" s="250"/>
      <c r="GT311" s="250"/>
      <c r="GU311" s="251"/>
      <c r="GV311" s="250"/>
      <c r="GW311" s="250"/>
      <c r="GX311" s="250"/>
      <c r="GY311" s="250"/>
      <c r="GZ311" s="250"/>
      <c r="HA311" s="250"/>
      <c r="HB311" s="250"/>
      <c r="HC311" s="250"/>
      <c r="HD311" s="250"/>
      <c r="HE311" s="250"/>
      <c r="HF311" s="250"/>
      <c r="HG311" s="250"/>
      <c r="HH311" s="251"/>
      <c r="HI311" s="424"/>
      <c r="HJ311" s="255"/>
      <c r="HK311" s="255"/>
      <c r="HL311" s="250"/>
      <c r="HM311" s="255"/>
      <c r="HN311" s="255"/>
      <c r="HO311" s="255"/>
      <c r="HP311" s="250"/>
      <c r="HQ311" s="250"/>
      <c r="HR311" s="250"/>
      <c r="HS311" s="250"/>
      <c r="HT311" s="250"/>
      <c r="HU311" s="251"/>
      <c r="HX311" s="252"/>
      <c r="HY311" s="252"/>
      <c r="HZ311" s="252"/>
      <c r="ID311" s="252"/>
      <c r="IE311" s="252"/>
      <c r="IF311" s="252"/>
      <c r="IJ311" s="252"/>
      <c r="IK311" s="252"/>
      <c r="IL311" s="252"/>
      <c r="IP311" s="252"/>
      <c r="IQ311" s="252"/>
      <c r="IR311" s="252"/>
      <c r="IY311" s="66"/>
      <c r="IZ311" s="66"/>
      <c r="JA311" s="66"/>
      <c r="JB311" s="250"/>
      <c r="JC311" s="66"/>
      <c r="JD311" s="66"/>
      <c r="JE311" s="66"/>
      <c r="JF311" s="66"/>
      <c r="JG311" s="66"/>
      <c r="JH311" s="66"/>
      <c r="JI311" s="66"/>
      <c r="JJ311" s="66"/>
      <c r="JK311" s="8"/>
      <c r="JN311" s="252"/>
      <c r="JO311" s="252"/>
      <c r="JP311" s="252"/>
      <c r="JT311" s="252"/>
      <c r="JU311" s="252"/>
      <c r="JV311" s="252"/>
      <c r="JZ311" s="252"/>
      <c r="KA311" s="252"/>
      <c r="KB311" s="252"/>
      <c r="KF311" s="252"/>
      <c r="KG311" s="252"/>
      <c r="KH311" s="252"/>
      <c r="KO311" s="66"/>
      <c r="KP311" s="66"/>
      <c r="KQ311" s="66"/>
      <c r="KR311" s="66"/>
      <c r="KS311" s="66"/>
      <c r="KT311" s="66"/>
      <c r="KU311" s="66"/>
      <c r="KV311" s="66"/>
      <c r="KW311" s="66"/>
      <c r="KX311" s="66"/>
      <c r="KY311" s="66"/>
      <c r="KZ311" s="66"/>
      <c r="LA311" s="8"/>
      <c r="LD311" s="252"/>
      <c r="LE311" s="252"/>
      <c r="LF311" s="252"/>
      <c r="LJ311" s="252"/>
      <c r="LK311" s="252"/>
      <c r="LN311" s="252"/>
      <c r="LO311" s="252"/>
      <c r="LP311" s="252"/>
      <c r="LT311" s="271"/>
      <c r="LU311" s="250"/>
      <c r="LV311" s="250"/>
      <c r="LW311" s="250"/>
      <c r="LX311" s="250"/>
      <c r="LY311" s="250"/>
      <c r="LZ311" s="250"/>
      <c r="MA311" s="250"/>
      <c r="MB311" s="250"/>
      <c r="MC311" s="250"/>
      <c r="MD311" s="250"/>
      <c r="ME311" s="250"/>
      <c r="MF311" s="250"/>
      <c r="MG311" s="250"/>
      <c r="MH311" s="250"/>
      <c r="MI311" s="250"/>
      <c r="MJ311" s="250"/>
      <c r="MK311" s="424"/>
      <c r="ML311" s="640"/>
      <c r="MM311" s="251"/>
      <c r="MN311" s="252"/>
      <c r="MO311" s="252"/>
      <c r="MP311" s="252"/>
      <c r="MQ311" s="252"/>
      <c r="MR311" s="252"/>
      <c r="MS311" s="252"/>
      <c r="MT311" s="252"/>
      <c r="MU311" s="252"/>
      <c r="MV311" s="252"/>
      <c r="MW311" s="252"/>
      <c r="MX311" s="252"/>
      <c r="MY311" s="252"/>
      <c r="MZ311" s="252"/>
      <c r="NA311" s="252"/>
      <c r="NB311" s="252"/>
      <c r="NC311" s="251"/>
      <c r="ND311" s="250"/>
      <c r="NE311" s="250"/>
      <c r="NF311" s="250"/>
      <c r="NG311" s="250"/>
      <c r="NH311" s="250"/>
      <c r="NI311" s="250"/>
      <c r="NJ311" s="250"/>
      <c r="NK311" s="250"/>
      <c r="NL311" s="250"/>
      <c r="NM311" s="250"/>
      <c r="NN311" s="250"/>
      <c r="NO311" s="250"/>
      <c r="NP311" s="250"/>
      <c r="NQ311" s="250"/>
      <c r="NR311" s="250"/>
      <c r="NS311" s="250"/>
      <c r="NT311" s="250"/>
      <c r="NU311" s="250"/>
      <c r="NV311" s="250"/>
      <c r="NW311" s="251"/>
      <c r="OT311" s="8"/>
      <c r="QG311" s="8"/>
      <c r="RT311" s="8"/>
    </row>
    <row r="312" spans="1:488" s="282" customFormat="1" x14ac:dyDescent="0.25">
      <c r="A312" s="66"/>
      <c r="B312" s="8"/>
      <c r="C312" s="66"/>
      <c r="D312" s="66"/>
      <c r="E312" s="66"/>
      <c r="F312" s="66"/>
      <c r="G312" s="66"/>
      <c r="H312" s="66"/>
      <c r="I312" s="66"/>
      <c r="J312" s="66"/>
      <c r="K312" s="66"/>
      <c r="L312" s="66"/>
      <c r="M312" s="66"/>
      <c r="N312" s="66"/>
      <c r="O312" s="66"/>
      <c r="P312" s="66"/>
      <c r="Q312" s="66"/>
      <c r="R312" s="66"/>
      <c r="S312" s="66"/>
      <c r="T312" s="68"/>
      <c r="AC312" s="66"/>
      <c r="AD312" s="66"/>
      <c r="AE312" s="68"/>
      <c r="AN312" s="66"/>
      <c r="AO312" s="66"/>
      <c r="AP312" s="68"/>
      <c r="AW312" s="66"/>
      <c r="AX312" s="68"/>
      <c r="BD312" s="66"/>
      <c r="BE312" s="68"/>
      <c r="BF312" s="66"/>
      <c r="BG312" s="66"/>
      <c r="BH312" s="66"/>
      <c r="BI312" s="66"/>
      <c r="BJ312" s="66"/>
      <c r="BK312" s="66"/>
      <c r="BL312" s="68"/>
      <c r="BO312" s="66"/>
      <c r="BP312" s="68"/>
      <c r="BV312" s="66"/>
      <c r="BW312" s="68"/>
      <c r="CB312" s="8"/>
      <c r="CH312" s="8"/>
      <c r="CK312" s="299"/>
      <c r="CL312" s="299"/>
      <c r="CM312" s="66"/>
      <c r="CN312" s="66"/>
      <c r="CO312" s="68"/>
      <c r="CR312" s="8"/>
      <c r="CX312" s="66"/>
      <c r="CY312" s="532"/>
      <c r="DE312" s="66"/>
      <c r="DF312" s="66"/>
      <c r="DG312" s="68"/>
      <c r="DH312" s="68"/>
      <c r="DK312" s="66"/>
      <c r="DL312" s="66"/>
      <c r="DM312" s="66"/>
      <c r="DN312" s="66"/>
      <c r="DO312" s="66"/>
      <c r="DP312" s="66"/>
      <c r="DQ312" s="66"/>
      <c r="DR312" s="66"/>
      <c r="DS312" s="66"/>
      <c r="DT312" s="68"/>
      <c r="DU312" s="66"/>
      <c r="DV312" s="296"/>
      <c r="DW312" s="330"/>
      <c r="DX312" s="631"/>
      <c r="DY312" s="631"/>
      <c r="DZ312" s="631"/>
      <c r="EA312" s="330"/>
      <c r="EC312" s="66"/>
      <c r="ED312" s="68"/>
      <c r="EH312" s="66"/>
      <c r="EI312" s="66"/>
      <c r="EJ312" s="68"/>
      <c r="EK312" s="252"/>
      <c r="EL312" s="252"/>
      <c r="EM312" s="252"/>
      <c r="EO312" s="252"/>
      <c r="EP312" s="252"/>
      <c r="EQ312" s="252"/>
      <c r="ES312" s="252"/>
      <c r="ET312" s="252"/>
      <c r="EU312" s="252"/>
      <c r="EW312" s="252"/>
      <c r="EX312" s="252"/>
      <c r="EY312" s="252"/>
      <c r="FA312" s="250"/>
      <c r="FB312" s="250"/>
      <c r="FC312" s="250"/>
      <c r="FD312" s="250"/>
      <c r="FE312" s="250"/>
      <c r="FF312" s="250"/>
      <c r="FG312" s="250"/>
      <c r="FH312" s="424"/>
      <c r="FI312" s="250"/>
      <c r="FJ312" s="250"/>
      <c r="FK312" s="250"/>
      <c r="FL312" s="256"/>
      <c r="FM312" s="250"/>
      <c r="FN312" s="256"/>
      <c r="FO312" s="250"/>
      <c r="FP312" s="256"/>
      <c r="FQ312" s="250"/>
      <c r="FR312" s="256"/>
      <c r="FS312" s="250"/>
      <c r="FT312" s="256"/>
      <c r="FU312" s="256"/>
      <c r="FV312" s="256"/>
      <c r="FW312" s="250"/>
      <c r="FX312" s="424"/>
      <c r="FY312" s="251"/>
      <c r="GC312" s="252"/>
      <c r="GF312" s="252"/>
      <c r="GG312" s="252"/>
      <c r="GH312" s="252"/>
      <c r="GI312" s="252"/>
      <c r="GJ312" s="252"/>
      <c r="GK312" s="251"/>
      <c r="GL312" s="250"/>
      <c r="GM312" s="250"/>
      <c r="GN312" s="250"/>
      <c r="GO312" s="250"/>
      <c r="GP312" s="250"/>
      <c r="GQ312" s="250"/>
      <c r="GR312" s="250"/>
      <c r="GS312" s="250"/>
      <c r="GT312" s="250"/>
      <c r="GU312" s="251"/>
      <c r="GV312" s="250"/>
      <c r="GW312" s="250"/>
      <c r="GX312" s="250"/>
      <c r="GY312" s="250"/>
      <c r="GZ312" s="250"/>
      <c r="HA312" s="250"/>
      <c r="HB312" s="250"/>
      <c r="HC312" s="250"/>
      <c r="HD312" s="250"/>
      <c r="HE312" s="250"/>
      <c r="HF312" s="250"/>
      <c r="HG312" s="250"/>
      <c r="HH312" s="251"/>
      <c r="HI312" s="424"/>
      <c r="HJ312" s="255"/>
      <c r="HK312" s="255"/>
      <c r="HL312" s="250"/>
      <c r="HM312" s="255"/>
      <c r="HN312" s="255"/>
      <c r="HO312" s="255"/>
      <c r="HP312" s="250"/>
      <c r="HQ312" s="250"/>
      <c r="HR312" s="250"/>
      <c r="HS312" s="250"/>
      <c r="HT312" s="250"/>
      <c r="HU312" s="251"/>
      <c r="HX312" s="252"/>
      <c r="HY312" s="252"/>
      <c r="HZ312" s="252"/>
      <c r="ID312" s="252"/>
      <c r="IE312" s="252"/>
      <c r="IF312" s="252"/>
      <c r="IJ312" s="252"/>
      <c r="IK312" s="252"/>
      <c r="IL312" s="252"/>
      <c r="IP312" s="252"/>
      <c r="IQ312" s="252"/>
      <c r="IR312" s="252"/>
      <c r="IY312" s="66"/>
      <c r="IZ312" s="66"/>
      <c r="JA312" s="66"/>
      <c r="JB312" s="250"/>
      <c r="JC312" s="66"/>
      <c r="JD312" s="66"/>
      <c r="JE312" s="66"/>
      <c r="JF312" s="66"/>
      <c r="JG312" s="66"/>
      <c r="JH312" s="66"/>
      <c r="JI312" s="66"/>
      <c r="JJ312" s="66"/>
      <c r="JK312" s="8"/>
      <c r="JN312" s="252"/>
      <c r="JO312" s="252"/>
      <c r="JP312" s="252"/>
      <c r="JT312" s="252"/>
      <c r="JU312" s="252"/>
      <c r="JV312" s="252"/>
      <c r="JZ312" s="252"/>
      <c r="KA312" s="252"/>
      <c r="KB312" s="252"/>
      <c r="KF312" s="252"/>
      <c r="KG312" s="252"/>
      <c r="KH312" s="252"/>
      <c r="KO312" s="66"/>
      <c r="KP312" s="66"/>
      <c r="KQ312" s="66"/>
      <c r="KR312" s="66"/>
      <c r="KS312" s="66"/>
      <c r="KT312" s="66"/>
      <c r="KU312" s="66"/>
      <c r="KV312" s="66"/>
      <c r="KW312" s="66"/>
      <c r="KX312" s="66"/>
      <c r="KY312" s="66"/>
      <c r="KZ312" s="66"/>
      <c r="LA312" s="8"/>
      <c r="LD312" s="252"/>
      <c r="LE312" s="252"/>
      <c r="LF312" s="252"/>
      <c r="LJ312" s="252"/>
      <c r="LK312" s="252"/>
      <c r="LN312" s="252"/>
      <c r="LO312" s="252"/>
      <c r="LP312" s="252"/>
      <c r="LT312" s="271"/>
      <c r="LU312" s="250"/>
      <c r="LV312" s="250"/>
      <c r="LW312" s="250"/>
      <c r="LX312" s="250"/>
      <c r="LY312" s="250"/>
      <c r="LZ312" s="250"/>
      <c r="MA312" s="250"/>
      <c r="MB312" s="250"/>
      <c r="MC312" s="250"/>
      <c r="MD312" s="250"/>
      <c r="ME312" s="250"/>
      <c r="MF312" s="250"/>
      <c r="MG312" s="250"/>
      <c r="MH312" s="250"/>
      <c r="MI312" s="250"/>
      <c r="MJ312" s="250"/>
      <c r="MK312" s="424"/>
      <c r="ML312" s="640"/>
      <c r="MM312" s="251"/>
      <c r="MN312" s="252"/>
      <c r="MO312" s="252"/>
      <c r="MP312" s="252"/>
      <c r="MQ312" s="252"/>
      <c r="MR312" s="252"/>
      <c r="MS312" s="252"/>
      <c r="MT312" s="252"/>
      <c r="MU312" s="252"/>
      <c r="MV312" s="252"/>
      <c r="MW312" s="252"/>
      <c r="MX312" s="252"/>
      <c r="MY312" s="252"/>
      <c r="MZ312" s="252"/>
      <c r="NA312" s="252"/>
      <c r="NB312" s="252"/>
      <c r="NC312" s="251"/>
      <c r="ND312" s="250"/>
      <c r="NE312" s="250"/>
      <c r="NF312" s="250"/>
      <c r="NG312" s="250"/>
      <c r="NH312" s="250"/>
      <c r="NI312" s="250"/>
      <c r="NJ312" s="250"/>
      <c r="NK312" s="250"/>
      <c r="NL312" s="250"/>
      <c r="NM312" s="250"/>
      <c r="NN312" s="250"/>
      <c r="NO312" s="250"/>
      <c r="NP312" s="250"/>
      <c r="NQ312" s="250"/>
      <c r="NR312" s="250"/>
      <c r="NS312" s="250"/>
      <c r="NT312" s="250"/>
      <c r="NU312" s="250"/>
      <c r="NV312" s="250"/>
      <c r="NW312" s="251"/>
      <c r="OT312" s="8"/>
      <c r="QG312" s="8"/>
      <c r="RT312" s="8"/>
    </row>
    <row r="313" spans="1:488" s="282" customFormat="1" x14ac:dyDescent="0.25">
      <c r="A313" s="66"/>
      <c r="B313" s="8"/>
      <c r="C313" s="66"/>
      <c r="D313" s="66"/>
      <c r="E313" s="66"/>
      <c r="F313" s="66"/>
      <c r="G313" s="66"/>
      <c r="H313" s="66"/>
      <c r="I313" s="66"/>
      <c r="J313" s="66"/>
      <c r="K313" s="66"/>
      <c r="L313" s="66"/>
      <c r="M313" s="66"/>
      <c r="N313" s="66"/>
      <c r="O313" s="66"/>
      <c r="P313" s="66"/>
      <c r="Q313" s="66"/>
      <c r="R313" s="66"/>
      <c r="S313" s="66"/>
      <c r="T313" s="68"/>
      <c r="AC313" s="66"/>
      <c r="AD313" s="66"/>
      <c r="AE313" s="68"/>
      <c r="AN313" s="66"/>
      <c r="AO313" s="66"/>
      <c r="AP313" s="68"/>
      <c r="AW313" s="66"/>
      <c r="AX313" s="68"/>
      <c r="BD313" s="66"/>
      <c r="BE313" s="68"/>
      <c r="BF313" s="66"/>
      <c r="BG313" s="66"/>
      <c r="BH313" s="66"/>
      <c r="BI313" s="66"/>
      <c r="BJ313" s="66"/>
      <c r="BK313" s="66"/>
      <c r="BL313" s="68"/>
      <c r="BO313" s="66"/>
      <c r="BP313" s="68"/>
      <c r="BV313" s="66"/>
      <c r="BW313" s="68"/>
      <c r="CB313" s="8"/>
      <c r="CH313" s="8"/>
      <c r="CK313" s="299"/>
      <c r="CL313" s="299"/>
      <c r="CM313" s="66"/>
      <c r="CN313" s="66"/>
      <c r="CO313" s="68"/>
      <c r="CR313" s="8"/>
      <c r="CX313" s="66"/>
      <c r="CY313" s="532"/>
      <c r="DE313" s="66"/>
      <c r="DF313" s="66"/>
      <c r="DG313" s="68"/>
      <c r="DH313" s="68"/>
      <c r="DK313" s="66"/>
      <c r="DL313" s="66"/>
      <c r="DM313" s="66"/>
      <c r="DN313" s="66"/>
      <c r="DO313" s="66"/>
      <c r="DP313" s="66"/>
      <c r="DQ313" s="66"/>
      <c r="DR313" s="66"/>
      <c r="DS313" s="66"/>
      <c r="DT313" s="68"/>
      <c r="DU313" s="66"/>
      <c r="DV313" s="296"/>
      <c r="DW313" s="330"/>
      <c r="DX313" s="631"/>
      <c r="DY313" s="631"/>
      <c r="DZ313" s="631"/>
      <c r="EA313" s="330"/>
      <c r="EC313" s="66"/>
      <c r="ED313" s="68"/>
      <c r="EH313" s="66"/>
      <c r="EI313" s="66"/>
      <c r="EJ313" s="68"/>
      <c r="EK313" s="252"/>
      <c r="EL313" s="252"/>
      <c r="EM313" s="252"/>
      <c r="EO313" s="252"/>
      <c r="EP313" s="252"/>
      <c r="EQ313" s="252"/>
      <c r="ES313" s="252"/>
      <c r="ET313" s="252"/>
      <c r="EU313" s="252"/>
      <c r="EW313" s="252"/>
      <c r="EX313" s="252"/>
      <c r="EY313" s="252"/>
      <c r="FA313" s="250"/>
      <c r="FB313" s="250"/>
      <c r="FC313" s="250"/>
      <c r="FD313" s="250"/>
      <c r="FE313" s="250"/>
      <c r="FF313" s="250"/>
      <c r="FG313" s="250"/>
      <c r="FH313" s="424"/>
      <c r="FI313" s="250"/>
      <c r="FJ313" s="250"/>
      <c r="FK313" s="250"/>
      <c r="FL313" s="256"/>
      <c r="FM313" s="250"/>
      <c r="FN313" s="256"/>
      <c r="FO313" s="250"/>
      <c r="FP313" s="256"/>
      <c r="FQ313" s="250"/>
      <c r="FR313" s="256"/>
      <c r="FS313" s="250"/>
      <c r="FT313" s="256"/>
      <c r="FU313" s="256"/>
      <c r="FV313" s="256"/>
      <c r="FW313" s="250"/>
      <c r="FX313" s="424"/>
      <c r="FY313" s="251"/>
      <c r="GC313" s="252"/>
      <c r="GF313" s="252"/>
      <c r="GG313" s="252"/>
      <c r="GH313" s="252"/>
      <c r="GI313" s="252"/>
      <c r="GJ313" s="252"/>
      <c r="GK313" s="251"/>
      <c r="GL313" s="250"/>
      <c r="GM313" s="250"/>
      <c r="GN313" s="250"/>
      <c r="GO313" s="250"/>
      <c r="GP313" s="250"/>
      <c r="GQ313" s="250"/>
      <c r="GR313" s="250"/>
      <c r="GS313" s="250"/>
      <c r="GT313" s="250"/>
      <c r="GU313" s="251"/>
      <c r="GV313" s="250"/>
      <c r="GW313" s="250"/>
      <c r="GX313" s="250"/>
      <c r="GY313" s="250"/>
      <c r="GZ313" s="250"/>
      <c r="HA313" s="250"/>
      <c r="HB313" s="250"/>
      <c r="HC313" s="250"/>
      <c r="HD313" s="250"/>
      <c r="HE313" s="250"/>
      <c r="HF313" s="250"/>
      <c r="HG313" s="250"/>
      <c r="HH313" s="251"/>
      <c r="HI313" s="424"/>
      <c r="HJ313" s="255"/>
      <c r="HK313" s="255"/>
      <c r="HL313" s="250"/>
      <c r="HM313" s="255"/>
      <c r="HN313" s="255"/>
      <c r="HO313" s="255"/>
      <c r="HP313" s="250"/>
      <c r="HQ313" s="250"/>
      <c r="HR313" s="250"/>
      <c r="HS313" s="250"/>
      <c r="HT313" s="250"/>
      <c r="HU313" s="251"/>
      <c r="HX313" s="252"/>
      <c r="HY313" s="252"/>
      <c r="HZ313" s="252"/>
      <c r="ID313" s="252"/>
      <c r="IE313" s="252"/>
      <c r="IF313" s="252"/>
      <c r="IJ313" s="252"/>
      <c r="IK313" s="252"/>
      <c r="IL313" s="252"/>
      <c r="IP313" s="252"/>
      <c r="IQ313" s="252"/>
      <c r="IR313" s="252"/>
      <c r="IY313" s="66"/>
      <c r="IZ313" s="66"/>
      <c r="JA313" s="66"/>
      <c r="JB313" s="250"/>
      <c r="JC313" s="66"/>
      <c r="JD313" s="66"/>
      <c r="JE313" s="66"/>
      <c r="JF313" s="66"/>
      <c r="JG313" s="66"/>
      <c r="JH313" s="66"/>
      <c r="JI313" s="66"/>
      <c r="JJ313" s="66"/>
      <c r="JK313" s="8"/>
      <c r="JN313" s="252"/>
      <c r="JO313" s="252"/>
      <c r="JP313" s="252"/>
      <c r="JT313" s="252"/>
      <c r="JU313" s="252"/>
      <c r="JV313" s="252"/>
      <c r="JZ313" s="252"/>
      <c r="KA313" s="252"/>
      <c r="KB313" s="252"/>
      <c r="KF313" s="252"/>
      <c r="KG313" s="252"/>
      <c r="KH313" s="252"/>
      <c r="KO313" s="66"/>
      <c r="KP313" s="66"/>
      <c r="KQ313" s="66"/>
      <c r="KR313" s="66"/>
      <c r="KS313" s="66"/>
      <c r="KT313" s="66"/>
      <c r="KU313" s="66"/>
      <c r="KV313" s="66"/>
      <c r="KW313" s="66"/>
      <c r="KX313" s="66"/>
      <c r="KY313" s="66"/>
      <c r="KZ313" s="66"/>
      <c r="LA313" s="8"/>
      <c r="LD313" s="252"/>
      <c r="LE313" s="252"/>
      <c r="LF313" s="252"/>
      <c r="LJ313" s="252"/>
      <c r="LK313" s="252"/>
      <c r="LN313" s="252"/>
      <c r="LO313" s="252"/>
      <c r="LP313" s="252"/>
      <c r="LT313" s="271"/>
      <c r="LU313" s="250"/>
      <c r="LV313" s="250"/>
      <c r="LW313" s="250"/>
      <c r="LX313" s="250"/>
      <c r="LY313" s="250"/>
      <c r="LZ313" s="250"/>
      <c r="MA313" s="250"/>
      <c r="MB313" s="250"/>
      <c r="MC313" s="250"/>
      <c r="MD313" s="250"/>
      <c r="ME313" s="250"/>
      <c r="MF313" s="250"/>
      <c r="MG313" s="250"/>
      <c r="MH313" s="250"/>
      <c r="MI313" s="250"/>
      <c r="MJ313" s="250"/>
      <c r="MK313" s="424"/>
      <c r="ML313" s="640"/>
      <c r="MM313" s="251"/>
      <c r="MN313" s="252"/>
      <c r="MO313" s="252"/>
      <c r="MP313" s="252"/>
      <c r="MQ313" s="252"/>
      <c r="MR313" s="252"/>
      <c r="MS313" s="252"/>
      <c r="MT313" s="252"/>
      <c r="MU313" s="252"/>
      <c r="MV313" s="252"/>
      <c r="MW313" s="252"/>
      <c r="MX313" s="252"/>
      <c r="MY313" s="252"/>
      <c r="MZ313" s="252"/>
      <c r="NA313" s="252"/>
      <c r="NB313" s="252"/>
      <c r="NC313" s="251"/>
      <c r="ND313" s="250"/>
      <c r="NE313" s="250"/>
      <c r="NF313" s="250"/>
      <c r="NG313" s="250"/>
      <c r="NH313" s="250"/>
      <c r="NI313" s="250"/>
      <c r="NJ313" s="250"/>
      <c r="NK313" s="250"/>
      <c r="NL313" s="250"/>
      <c r="NM313" s="250"/>
      <c r="NN313" s="250"/>
      <c r="NO313" s="250"/>
      <c r="NP313" s="250"/>
      <c r="NQ313" s="250"/>
      <c r="NR313" s="250"/>
      <c r="NS313" s="250"/>
      <c r="NT313" s="250"/>
      <c r="NU313" s="250"/>
      <c r="NV313" s="250"/>
      <c r="NW313" s="251"/>
      <c r="OT313" s="8"/>
      <c r="QG313" s="8"/>
      <c r="RT313" s="8"/>
    </row>
    <row r="314" spans="1:488" s="282" customFormat="1" x14ac:dyDescent="0.25">
      <c r="A314" s="66"/>
      <c r="B314" s="8"/>
      <c r="C314" s="66"/>
      <c r="D314" s="66"/>
      <c r="E314" s="66"/>
      <c r="F314" s="66"/>
      <c r="G314" s="66"/>
      <c r="H314" s="66"/>
      <c r="I314" s="66"/>
      <c r="J314" s="66"/>
      <c r="K314" s="66"/>
      <c r="L314" s="66"/>
      <c r="M314" s="66"/>
      <c r="N314" s="66"/>
      <c r="O314" s="66"/>
      <c r="P314" s="66"/>
      <c r="Q314" s="66"/>
      <c r="R314" s="66"/>
      <c r="S314" s="66"/>
      <c r="T314" s="68"/>
      <c r="AC314" s="66"/>
      <c r="AD314" s="66"/>
      <c r="AE314" s="68"/>
      <c r="AN314" s="66"/>
      <c r="AO314" s="66"/>
      <c r="AP314" s="68"/>
      <c r="AW314" s="66"/>
      <c r="AX314" s="68"/>
      <c r="BD314" s="66"/>
      <c r="BE314" s="68"/>
      <c r="BF314" s="66"/>
      <c r="BG314" s="66"/>
      <c r="BH314" s="66"/>
      <c r="BI314" s="66"/>
      <c r="BJ314" s="66"/>
      <c r="BK314" s="66"/>
      <c r="BL314" s="68"/>
      <c r="BO314" s="66"/>
      <c r="BP314" s="68"/>
      <c r="BV314" s="66"/>
      <c r="BW314" s="68"/>
      <c r="CB314" s="8"/>
      <c r="CH314" s="8"/>
      <c r="CK314" s="299"/>
      <c r="CL314" s="299"/>
      <c r="CM314" s="66"/>
      <c r="CN314" s="66"/>
      <c r="CO314" s="68"/>
      <c r="CR314" s="8"/>
      <c r="CX314" s="66"/>
      <c r="CY314" s="532"/>
      <c r="DE314" s="66"/>
      <c r="DF314" s="66"/>
      <c r="DG314" s="68"/>
      <c r="DH314" s="68"/>
      <c r="DK314" s="66"/>
      <c r="DL314" s="66"/>
      <c r="DM314" s="66"/>
      <c r="DN314" s="66"/>
      <c r="DO314" s="66"/>
      <c r="DP314" s="66"/>
      <c r="DQ314" s="66"/>
      <c r="DR314" s="66"/>
      <c r="DS314" s="66"/>
      <c r="DT314" s="68"/>
      <c r="DU314" s="66"/>
      <c r="DV314" s="296"/>
      <c r="DW314" s="330"/>
      <c r="DX314" s="631"/>
      <c r="DY314" s="631"/>
      <c r="DZ314" s="631"/>
      <c r="EA314" s="330"/>
      <c r="EC314" s="66"/>
      <c r="ED314" s="68"/>
      <c r="EH314" s="66"/>
      <c r="EI314" s="66"/>
      <c r="EJ314" s="68"/>
      <c r="EK314" s="252"/>
      <c r="EL314" s="252"/>
      <c r="EM314" s="252"/>
      <c r="EO314" s="252"/>
      <c r="EP314" s="252"/>
      <c r="EQ314" s="252"/>
      <c r="ES314" s="252"/>
      <c r="ET314" s="252"/>
      <c r="EU314" s="252"/>
      <c r="EW314" s="252"/>
      <c r="EX314" s="252"/>
      <c r="EY314" s="252"/>
      <c r="FA314" s="250"/>
      <c r="FB314" s="250"/>
      <c r="FC314" s="250"/>
      <c r="FD314" s="250"/>
      <c r="FE314" s="250"/>
      <c r="FF314" s="250"/>
      <c r="FG314" s="250"/>
      <c r="FH314" s="424"/>
      <c r="FI314" s="250"/>
      <c r="FJ314" s="250"/>
      <c r="FK314" s="250"/>
      <c r="FL314" s="256"/>
      <c r="FM314" s="250"/>
      <c r="FN314" s="256"/>
      <c r="FO314" s="250"/>
      <c r="FP314" s="256"/>
      <c r="FQ314" s="250"/>
      <c r="FR314" s="256"/>
      <c r="FS314" s="250"/>
      <c r="FT314" s="256"/>
      <c r="FU314" s="256"/>
      <c r="FV314" s="256"/>
      <c r="FW314" s="250"/>
      <c r="FX314" s="424"/>
      <c r="FY314" s="251"/>
      <c r="GC314" s="252"/>
      <c r="GF314" s="252"/>
      <c r="GG314" s="252"/>
      <c r="GH314" s="252"/>
      <c r="GI314" s="252"/>
      <c r="GJ314" s="252"/>
      <c r="GK314" s="251"/>
      <c r="GL314" s="250"/>
      <c r="GM314" s="250"/>
      <c r="GN314" s="250"/>
      <c r="GO314" s="250"/>
      <c r="GP314" s="250"/>
      <c r="GQ314" s="250"/>
      <c r="GR314" s="250"/>
      <c r="GS314" s="250"/>
      <c r="GT314" s="250"/>
      <c r="GU314" s="251"/>
      <c r="GV314" s="250"/>
      <c r="GW314" s="250"/>
      <c r="GX314" s="250"/>
      <c r="GY314" s="250"/>
      <c r="GZ314" s="250"/>
      <c r="HA314" s="250"/>
      <c r="HB314" s="250"/>
      <c r="HC314" s="250"/>
      <c r="HD314" s="250"/>
      <c r="HE314" s="250"/>
      <c r="HF314" s="250"/>
      <c r="HG314" s="250"/>
      <c r="HH314" s="251"/>
      <c r="HI314" s="424"/>
      <c r="HJ314" s="255"/>
      <c r="HK314" s="255"/>
      <c r="HL314" s="250"/>
      <c r="HM314" s="255"/>
      <c r="HN314" s="255"/>
      <c r="HO314" s="255"/>
      <c r="HP314" s="250"/>
      <c r="HQ314" s="250"/>
      <c r="HR314" s="250"/>
      <c r="HS314" s="250"/>
      <c r="HT314" s="250"/>
      <c r="HU314" s="251"/>
      <c r="HX314" s="252"/>
      <c r="HY314" s="252"/>
      <c r="HZ314" s="252"/>
      <c r="ID314" s="252"/>
      <c r="IE314" s="252"/>
      <c r="IF314" s="252"/>
      <c r="IJ314" s="252"/>
      <c r="IK314" s="252"/>
      <c r="IL314" s="252"/>
      <c r="IP314" s="252"/>
      <c r="IQ314" s="252"/>
      <c r="IR314" s="252"/>
      <c r="IY314" s="66"/>
      <c r="IZ314" s="66"/>
      <c r="JA314" s="66"/>
      <c r="JB314" s="250"/>
      <c r="JC314" s="66"/>
      <c r="JD314" s="66"/>
      <c r="JE314" s="66"/>
      <c r="JF314" s="66"/>
      <c r="JG314" s="66"/>
      <c r="JH314" s="66"/>
      <c r="JI314" s="66"/>
      <c r="JJ314" s="66"/>
      <c r="JK314" s="8"/>
      <c r="JN314" s="252"/>
      <c r="JO314" s="252"/>
      <c r="JP314" s="252"/>
      <c r="JT314" s="252"/>
      <c r="JU314" s="252"/>
      <c r="JV314" s="252"/>
      <c r="JZ314" s="252"/>
      <c r="KA314" s="252"/>
      <c r="KB314" s="252"/>
      <c r="KF314" s="252"/>
      <c r="KG314" s="252"/>
      <c r="KH314" s="252"/>
      <c r="KO314" s="66"/>
      <c r="KP314" s="66"/>
      <c r="KQ314" s="66"/>
      <c r="KR314" s="66"/>
      <c r="KS314" s="66"/>
      <c r="KT314" s="66"/>
      <c r="KU314" s="66"/>
      <c r="KV314" s="66"/>
      <c r="KW314" s="66"/>
      <c r="KX314" s="66"/>
      <c r="KY314" s="66"/>
      <c r="KZ314" s="66"/>
      <c r="LA314" s="8"/>
      <c r="LD314" s="252"/>
      <c r="LE314" s="252"/>
      <c r="LF314" s="252"/>
      <c r="LJ314" s="252"/>
      <c r="LK314" s="252"/>
      <c r="LN314" s="252"/>
      <c r="LO314" s="252"/>
      <c r="LP314" s="252"/>
      <c r="LT314" s="271"/>
      <c r="LU314" s="250"/>
      <c r="LV314" s="250"/>
      <c r="LW314" s="250"/>
      <c r="LX314" s="250"/>
      <c r="LY314" s="250"/>
      <c r="LZ314" s="250"/>
      <c r="MA314" s="250"/>
      <c r="MB314" s="250"/>
      <c r="MC314" s="250"/>
      <c r="MD314" s="250"/>
      <c r="ME314" s="250"/>
      <c r="MF314" s="250"/>
      <c r="MG314" s="250"/>
      <c r="MH314" s="250"/>
      <c r="MI314" s="250"/>
      <c r="MJ314" s="250"/>
      <c r="MK314" s="424"/>
      <c r="ML314" s="640"/>
      <c r="MM314" s="251"/>
      <c r="MN314" s="252"/>
      <c r="MO314" s="252"/>
      <c r="MP314" s="252"/>
      <c r="MQ314" s="252"/>
      <c r="MR314" s="252"/>
      <c r="MS314" s="252"/>
      <c r="MT314" s="252"/>
      <c r="MU314" s="252"/>
      <c r="MV314" s="252"/>
      <c r="MW314" s="252"/>
      <c r="MX314" s="252"/>
      <c r="MY314" s="252"/>
      <c r="MZ314" s="252"/>
      <c r="NA314" s="252"/>
      <c r="NB314" s="252"/>
      <c r="NC314" s="251"/>
      <c r="ND314" s="250"/>
      <c r="NE314" s="250"/>
      <c r="NF314" s="250"/>
      <c r="NG314" s="250"/>
      <c r="NH314" s="250"/>
      <c r="NI314" s="250"/>
      <c r="NJ314" s="250"/>
      <c r="NK314" s="250"/>
      <c r="NL314" s="250"/>
      <c r="NM314" s="250"/>
      <c r="NN314" s="250"/>
      <c r="NO314" s="250"/>
      <c r="NP314" s="250"/>
      <c r="NQ314" s="250"/>
      <c r="NR314" s="250"/>
      <c r="NS314" s="250"/>
      <c r="NT314" s="250"/>
      <c r="NU314" s="250"/>
      <c r="NV314" s="250"/>
      <c r="NW314" s="251"/>
      <c r="OT314" s="8"/>
      <c r="QG314" s="8"/>
      <c r="RT314" s="8"/>
    </row>
    <row r="315" spans="1:488" s="282" customFormat="1" x14ac:dyDescent="0.25">
      <c r="A315" s="66"/>
      <c r="B315" s="8"/>
      <c r="C315" s="66"/>
      <c r="D315" s="66"/>
      <c r="E315" s="66"/>
      <c r="F315" s="66"/>
      <c r="G315" s="66"/>
      <c r="H315" s="66"/>
      <c r="I315" s="66"/>
      <c r="J315" s="66"/>
      <c r="K315" s="66"/>
      <c r="L315" s="66"/>
      <c r="M315" s="66"/>
      <c r="N315" s="66"/>
      <c r="O315" s="66"/>
      <c r="P315" s="66"/>
      <c r="Q315" s="66"/>
      <c r="R315" s="66"/>
      <c r="S315" s="66"/>
      <c r="T315" s="68"/>
      <c r="AC315" s="66"/>
      <c r="AD315" s="66"/>
      <c r="AE315" s="68"/>
      <c r="AN315" s="66"/>
      <c r="AO315" s="66"/>
      <c r="AP315" s="68"/>
      <c r="AW315" s="66"/>
      <c r="AX315" s="68"/>
      <c r="BD315" s="66"/>
      <c r="BE315" s="68"/>
      <c r="BF315" s="66"/>
      <c r="BG315" s="66"/>
      <c r="BH315" s="66"/>
      <c r="BI315" s="66"/>
      <c r="BJ315" s="66"/>
      <c r="BK315" s="66"/>
      <c r="BL315" s="68"/>
      <c r="BO315" s="66"/>
      <c r="BP315" s="68"/>
      <c r="BV315" s="66"/>
      <c r="BW315" s="68"/>
      <c r="CB315" s="8"/>
      <c r="CH315" s="8"/>
      <c r="CK315" s="299"/>
      <c r="CL315" s="299"/>
      <c r="CM315" s="66"/>
      <c r="CN315" s="66"/>
      <c r="CO315" s="68"/>
      <c r="CR315" s="8"/>
      <c r="CX315" s="66"/>
      <c r="CY315" s="532"/>
      <c r="DE315" s="66"/>
      <c r="DF315" s="66"/>
      <c r="DG315" s="68"/>
      <c r="DH315" s="68"/>
      <c r="DK315" s="66"/>
      <c r="DL315" s="66"/>
      <c r="DM315" s="66"/>
      <c r="DN315" s="66"/>
      <c r="DO315" s="66"/>
      <c r="DP315" s="66"/>
      <c r="DQ315" s="66"/>
      <c r="DR315" s="66"/>
      <c r="DS315" s="66"/>
      <c r="DT315" s="68"/>
      <c r="DU315" s="66"/>
      <c r="DV315" s="296"/>
      <c r="DW315" s="330"/>
      <c r="DX315" s="631"/>
      <c r="DY315" s="631"/>
      <c r="DZ315" s="631"/>
      <c r="EA315" s="330"/>
      <c r="EC315" s="66"/>
      <c r="ED315" s="68"/>
      <c r="EH315" s="66"/>
      <c r="EI315" s="66"/>
      <c r="EJ315" s="68"/>
      <c r="EK315" s="252"/>
      <c r="EL315" s="252"/>
      <c r="EM315" s="252"/>
      <c r="EO315" s="252"/>
      <c r="EP315" s="252"/>
      <c r="EQ315" s="252"/>
      <c r="ES315" s="252"/>
      <c r="ET315" s="252"/>
      <c r="EU315" s="252"/>
      <c r="EW315" s="252"/>
      <c r="EX315" s="252"/>
      <c r="EY315" s="252"/>
      <c r="FA315" s="250"/>
      <c r="FB315" s="250"/>
      <c r="FC315" s="250"/>
      <c r="FD315" s="250"/>
      <c r="FE315" s="250"/>
      <c r="FF315" s="250"/>
      <c r="FG315" s="250"/>
      <c r="FH315" s="424"/>
      <c r="FI315" s="250"/>
      <c r="FJ315" s="250"/>
      <c r="FK315" s="250"/>
      <c r="FL315" s="256"/>
      <c r="FM315" s="250"/>
      <c r="FN315" s="256"/>
      <c r="FO315" s="250"/>
      <c r="FP315" s="256"/>
      <c r="FQ315" s="250"/>
      <c r="FR315" s="256"/>
      <c r="FS315" s="250"/>
      <c r="FT315" s="256"/>
      <c r="FU315" s="256"/>
      <c r="FV315" s="256"/>
      <c r="FW315" s="250"/>
      <c r="FX315" s="424"/>
      <c r="FY315" s="251"/>
      <c r="GC315" s="252"/>
      <c r="GF315" s="252"/>
      <c r="GG315" s="252"/>
      <c r="GH315" s="252"/>
      <c r="GI315" s="252"/>
      <c r="GJ315" s="252"/>
      <c r="GK315" s="251"/>
      <c r="GL315" s="250"/>
      <c r="GM315" s="250"/>
      <c r="GN315" s="250"/>
      <c r="GO315" s="250"/>
      <c r="GP315" s="250"/>
      <c r="GQ315" s="250"/>
      <c r="GR315" s="250"/>
      <c r="GS315" s="250"/>
      <c r="GT315" s="250"/>
      <c r="GU315" s="251"/>
      <c r="GV315" s="250"/>
      <c r="GW315" s="250"/>
      <c r="GX315" s="250"/>
      <c r="GY315" s="250"/>
      <c r="GZ315" s="250"/>
      <c r="HA315" s="250"/>
      <c r="HB315" s="250"/>
      <c r="HC315" s="250"/>
      <c r="HD315" s="250"/>
      <c r="HE315" s="250"/>
      <c r="HF315" s="250"/>
      <c r="HG315" s="250"/>
      <c r="HH315" s="251"/>
      <c r="HI315" s="424"/>
      <c r="HJ315" s="255"/>
      <c r="HK315" s="255"/>
      <c r="HL315" s="250"/>
      <c r="HM315" s="255"/>
      <c r="HN315" s="255"/>
      <c r="HO315" s="255"/>
      <c r="HP315" s="250"/>
      <c r="HQ315" s="250"/>
      <c r="HR315" s="250"/>
      <c r="HS315" s="250"/>
      <c r="HT315" s="250"/>
      <c r="HU315" s="251"/>
      <c r="HX315" s="252"/>
      <c r="HY315" s="252"/>
      <c r="HZ315" s="252"/>
      <c r="ID315" s="252"/>
      <c r="IE315" s="252"/>
      <c r="IF315" s="252"/>
      <c r="IJ315" s="252"/>
      <c r="IK315" s="252"/>
      <c r="IL315" s="252"/>
      <c r="IP315" s="252"/>
      <c r="IQ315" s="252"/>
      <c r="IR315" s="252"/>
      <c r="IY315" s="66"/>
      <c r="IZ315" s="66"/>
      <c r="JA315" s="66"/>
      <c r="JB315" s="250"/>
      <c r="JC315" s="66"/>
      <c r="JD315" s="66"/>
      <c r="JE315" s="66"/>
      <c r="JF315" s="66"/>
      <c r="JG315" s="66"/>
      <c r="JH315" s="66"/>
      <c r="JI315" s="66"/>
      <c r="JJ315" s="66"/>
      <c r="JK315" s="8"/>
      <c r="JN315" s="252"/>
      <c r="JO315" s="252"/>
      <c r="JP315" s="252"/>
      <c r="JT315" s="252"/>
      <c r="JU315" s="252"/>
      <c r="JV315" s="252"/>
      <c r="JZ315" s="252"/>
      <c r="KA315" s="252"/>
      <c r="KB315" s="252"/>
      <c r="KF315" s="252"/>
      <c r="KG315" s="252"/>
      <c r="KH315" s="252"/>
      <c r="KO315" s="66"/>
      <c r="KP315" s="66"/>
      <c r="KQ315" s="66"/>
      <c r="KR315" s="66"/>
      <c r="KS315" s="66"/>
      <c r="KT315" s="66"/>
      <c r="KU315" s="66"/>
      <c r="KV315" s="66"/>
      <c r="KW315" s="66"/>
      <c r="KX315" s="66"/>
      <c r="KY315" s="66"/>
      <c r="KZ315" s="66"/>
      <c r="LA315" s="8"/>
      <c r="LD315" s="252"/>
      <c r="LE315" s="252"/>
      <c r="LF315" s="252"/>
      <c r="LJ315" s="252"/>
      <c r="LK315" s="252"/>
      <c r="LN315" s="252"/>
      <c r="LO315" s="252"/>
      <c r="LP315" s="252"/>
      <c r="LT315" s="271"/>
      <c r="LU315" s="250"/>
      <c r="LV315" s="250"/>
      <c r="LW315" s="250"/>
      <c r="LX315" s="250"/>
      <c r="LY315" s="250"/>
      <c r="LZ315" s="250"/>
      <c r="MA315" s="250"/>
      <c r="MB315" s="250"/>
      <c r="MC315" s="250"/>
      <c r="MD315" s="250"/>
      <c r="ME315" s="250"/>
      <c r="MF315" s="250"/>
      <c r="MG315" s="250"/>
      <c r="MH315" s="250"/>
      <c r="MI315" s="250"/>
      <c r="MJ315" s="250"/>
      <c r="MK315" s="424"/>
      <c r="ML315" s="640"/>
      <c r="MM315" s="251"/>
      <c r="MN315" s="252"/>
      <c r="MO315" s="252"/>
      <c r="MP315" s="252"/>
      <c r="MQ315" s="252"/>
      <c r="MR315" s="252"/>
      <c r="MS315" s="252"/>
      <c r="MT315" s="252"/>
      <c r="MU315" s="252"/>
      <c r="MV315" s="252"/>
      <c r="MW315" s="252"/>
      <c r="MX315" s="252"/>
      <c r="MY315" s="252"/>
      <c r="MZ315" s="252"/>
      <c r="NA315" s="252"/>
      <c r="NB315" s="252"/>
      <c r="NC315" s="251"/>
      <c r="ND315" s="250"/>
      <c r="NE315" s="250"/>
      <c r="NF315" s="250"/>
      <c r="NG315" s="250"/>
      <c r="NH315" s="250"/>
      <c r="NI315" s="250"/>
      <c r="NJ315" s="250"/>
      <c r="NK315" s="250"/>
      <c r="NL315" s="250"/>
      <c r="NM315" s="250"/>
      <c r="NN315" s="250"/>
      <c r="NO315" s="250"/>
      <c r="NP315" s="250"/>
      <c r="NQ315" s="250"/>
      <c r="NR315" s="250"/>
      <c r="NS315" s="250"/>
      <c r="NT315" s="250"/>
      <c r="NU315" s="250"/>
      <c r="NV315" s="250"/>
      <c r="NW315" s="251"/>
      <c r="OT315" s="8"/>
      <c r="QG315" s="8"/>
      <c r="RT315" s="8"/>
    </row>
    <row r="316" spans="1:488" s="282" customFormat="1" x14ac:dyDescent="0.25">
      <c r="A316" s="66"/>
      <c r="B316" s="8"/>
      <c r="C316" s="66"/>
      <c r="D316" s="66"/>
      <c r="E316" s="66"/>
      <c r="F316" s="66"/>
      <c r="G316" s="66"/>
      <c r="H316" s="66"/>
      <c r="I316" s="66"/>
      <c r="J316" s="66"/>
      <c r="K316" s="66"/>
      <c r="L316" s="66"/>
      <c r="M316" s="66"/>
      <c r="N316" s="66"/>
      <c r="O316" s="66"/>
      <c r="P316" s="66"/>
      <c r="Q316" s="66"/>
      <c r="R316" s="66"/>
      <c r="S316" s="66"/>
      <c r="T316" s="68"/>
      <c r="AC316" s="66"/>
      <c r="AD316" s="66"/>
      <c r="AE316" s="68"/>
      <c r="AN316" s="66"/>
      <c r="AO316" s="66"/>
      <c r="AP316" s="68"/>
      <c r="AW316" s="66"/>
      <c r="AX316" s="68"/>
      <c r="BD316" s="66"/>
      <c r="BE316" s="68"/>
      <c r="BF316" s="66"/>
      <c r="BG316" s="66"/>
      <c r="BH316" s="66"/>
      <c r="BI316" s="66"/>
      <c r="BJ316" s="66"/>
      <c r="BK316" s="66"/>
      <c r="BL316" s="68"/>
      <c r="BO316" s="66"/>
      <c r="BP316" s="68"/>
      <c r="BV316" s="66"/>
      <c r="BW316" s="68"/>
      <c r="CB316" s="8"/>
      <c r="CH316" s="8"/>
      <c r="CK316" s="299"/>
      <c r="CL316" s="299"/>
      <c r="CM316" s="66"/>
      <c r="CN316" s="66"/>
      <c r="CO316" s="68"/>
      <c r="CR316" s="8"/>
      <c r="CX316" s="66"/>
      <c r="CY316" s="532"/>
      <c r="DE316" s="66"/>
      <c r="DF316" s="66"/>
      <c r="DG316" s="68"/>
      <c r="DH316" s="68"/>
      <c r="DK316" s="66"/>
      <c r="DL316" s="66"/>
      <c r="DM316" s="66"/>
      <c r="DN316" s="66"/>
      <c r="DO316" s="66"/>
      <c r="DP316" s="66"/>
      <c r="DQ316" s="66"/>
      <c r="DR316" s="66"/>
      <c r="DS316" s="66"/>
      <c r="DT316" s="68"/>
      <c r="DU316" s="66"/>
      <c r="DV316" s="296"/>
      <c r="DW316" s="330"/>
      <c r="DX316" s="631"/>
      <c r="DY316" s="631"/>
      <c r="DZ316" s="631"/>
      <c r="EA316" s="330"/>
      <c r="EC316" s="66"/>
      <c r="ED316" s="68"/>
      <c r="EH316" s="66"/>
      <c r="EI316" s="66"/>
      <c r="EJ316" s="68"/>
      <c r="EK316" s="252"/>
      <c r="EL316" s="252"/>
      <c r="EM316" s="252"/>
      <c r="EO316" s="252"/>
      <c r="EP316" s="252"/>
      <c r="EQ316" s="252"/>
      <c r="ES316" s="252"/>
      <c r="ET316" s="252"/>
      <c r="EU316" s="252"/>
      <c r="EW316" s="252"/>
      <c r="EX316" s="252"/>
      <c r="EY316" s="252"/>
      <c r="FA316" s="250"/>
      <c r="FB316" s="250"/>
      <c r="FC316" s="250"/>
      <c r="FD316" s="250"/>
      <c r="FE316" s="250"/>
      <c r="FF316" s="250"/>
      <c r="FG316" s="250"/>
      <c r="FH316" s="424"/>
      <c r="FI316" s="250"/>
      <c r="FJ316" s="250"/>
      <c r="FK316" s="250"/>
      <c r="FL316" s="256"/>
      <c r="FM316" s="250"/>
      <c r="FN316" s="256"/>
      <c r="FO316" s="250"/>
      <c r="FP316" s="256"/>
      <c r="FQ316" s="250"/>
      <c r="FR316" s="256"/>
      <c r="FS316" s="250"/>
      <c r="FT316" s="256"/>
      <c r="FU316" s="256"/>
      <c r="FV316" s="256"/>
      <c r="FW316" s="250"/>
      <c r="FX316" s="424"/>
      <c r="FY316" s="251"/>
      <c r="GC316" s="252"/>
      <c r="GF316" s="252"/>
      <c r="GG316" s="252"/>
      <c r="GH316" s="252"/>
      <c r="GI316" s="252"/>
      <c r="GJ316" s="252"/>
      <c r="GK316" s="251"/>
      <c r="GL316" s="250"/>
      <c r="GM316" s="250"/>
      <c r="GN316" s="250"/>
      <c r="GO316" s="250"/>
      <c r="GP316" s="250"/>
      <c r="GQ316" s="250"/>
      <c r="GR316" s="250"/>
      <c r="GS316" s="250"/>
      <c r="GT316" s="250"/>
      <c r="GU316" s="251"/>
      <c r="GV316" s="250"/>
      <c r="GW316" s="250"/>
      <c r="GX316" s="250"/>
      <c r="GY316" s="250"/>
      <c r="GZ316" s="250"/>
      <c r="HA316" s="250"/>
      <c r="HB316" s="250"/>
      <c r="HC316" s="250"/>
      <c r="HD316" s="250"/>
      <c r="HE316" s="250"/>
      <c r="HF316" s="250"/>
      <c r="HG316" s="250"/>
      <c r="HH316" s="251"/>
      <c r="HI316" s="424"/>
      <c r="HJ316" s="255"/>
      <c r="HK316" s="255"/>
      <c r="HL316" s="250"/>
      <c r="HM316" s="255"/>
      <c r="HN316" s="255"/>
      <c r="HO316" s="255"/>
      <c r="HP316" s="250"/>
      <c r="HQ316" s="250"/>
      <c r="HR316" s="250"/>
      <c r="HS316" s="250"/>
      <c r="HT316" s="250"/>
      <c r="HU316" s="251"/>
      <c r="HX316" s="252"/>
      <c r="HY316" s="252"/>
      <c r="HZ316" s="252"/>
      <c r="ID316" s="252"/>
      <c r="IE316" s="252"/>
      <c r="IF316" s="252"/>
      <c r="IJ316" s="252"/>
      <c r="IK316" s="252"/>
      <c r="IL316" s="252"/>
      <c r="IP316" s="252"/>
      <c r="IQ316" s="252"/>
      <c r="IR316" s="252"/>
      <c r="IY316" s="66"/>
      <c r="IZ316" s="66"/>
      <c r="JA316" s="66"/>
      <c r="JB316" s="250"/>
      <c r="JC316" s="66"/>
      <c r="JD316" s="66"/>
      <c r="JE316" s="66"/>
      <c r="JF316" s="66"/>
      <c r="JG316" s="66"/>
      <c r="JH316" s="66"/>
      <c r="JI316" s="66"/>
      <c r="JJ316" s="66"/>
      <c r="JK316" s="8"/>
      <c r="JN316" s="252"/>
      <c r="JO316" s="252"/>
      <c r="JP316" s="252"/>
      <c r="JT316" s="252"/>
      <c r="JU316" s="252"/>
      <c r="JV316" s="252"/>
      <c r="JZ316" s="252"/>
      <c r="KA316" s="252"/>
      <c r="KB316" s="252"/>
      <c r="KF316" s="252"/>
      <c r="KG316" s="252"/>
      <c r="KH316" s="252"/>
      <c r="KO316" s="66"/>
      <c r="KP316" s="66"/>
      <c r="KQ316" s="66"/>
      <c r="KR316" s="66"/>
      <c r="KS316" s="66"/>
      <c r="KT316" s="66"/>
      <c r="KU316" s="66"/>
      <c r="KV316" s="66"/>
      <c r="KW316" s="66"/>
      <c r="KX316" s="66"/>
      <c r="KY316" s="66"/>
      <c r="KZ316" s="66"/>
      <c r="LA316" s="8"/>
      <c r="LD316" s="252"/>
      <c r="LE316" s="252"/>
      <c r="LF316" s="252"/>
      <c r="LJ316" s="252"/>
      <c r="LK316" s="252"/>
      <c r="LN316" s="252"/>
      <c r="LO316" s="252"/>
      <c r="LP316" s="252"/>
      <c r="LT316" s="271"/>
      <c r="LU316" s="250"/>
      <c r="LV316" s="250"/>
      <c r="LW316" s="250"/>
      <c r="LX316" s="250"/>
      <c r="LY316" s="250"/>
      <c r="LZ316" s="250"/>
      <c r="MA316" s="250"/>
      <c r="MB316" s="250"/>
      <c r="MC316" s="250"/>
      <c r="MD316" s="250"/>
      <c r="ME316" s="250"/>
      <c r="MF316" s="250"/>
      <c r="MG316" s="250"/>
      <c r="MH316" s="250"/>
      <c r="MI316" s="250"/>
      <c r="MJ316" s="250"/>
      <c r="MK316" s="424"/>
      <c r="ML316" s="640"/>
      <c r="MM316" s="251"/>
      <c r="MN316" s="252"/>
      <c r="MO316" s="252"/>
      <c r="MP316" s="252"/>
      <c r="MQ316" s="252"/>
      <c r="MR316" s="252"/>
      <c r="MS316" s="252"/>
      <c r="MT316" s="252"/>
      <c r="MU316" s="252"/>
      <c r="MV316" s="252"/>
      <c r="MW316" s="252"/>
      <c r="MX316" s="252"/>
      <c r="MY316" s="252"/>
      <c r="MZ316" s="252"/>
      <c r="NA316" s="252"/>
      <c r="NB316" s="252"/>
      <c r="NC316" s="251"/>
      <c r="ND316" s="250"/>
      <c r="NE316" s="250"/>
      <c r="NF316" s="250"/>
      <c r="NG316" s="250"/>
      <c r="NH316" s="250"/>
      <c r="NI316" s="250"/>
      <c r="NJ316" s="250"/>
      <c r="NK316" s="250"/>
      <c r="NL316" s="250"/>
      <c r="NM316" s="250"/>
      <c r="NN316" s="250"/>
      <c r="NO316" s="250"/>
      <c r="NP316" s="250"/>
      <c r="NQ316" s="250"/>
      <c r="NR316" s="250"/>
      <c r="NS316" s="250"/>
      <c r="NT316" s="250"/>
      <c r="NU316" s="250"/>
      <c r="NV316" s="250"/>
      <c r="NW316" s="251"/>
      <c r="OT316" s="8"/>
      <c r="QG316" s="8"/>
      <c r="RT316" s="8"/>
    </row>
    <row r="317" spans="1:488" s="282" customFormat="1" x14ac:dyDescent="0.25">
      <c r="A317" s="66"/>
      <c r="B317" s="8"/>
      <c r="C317" s="66"/>
      <c r="D317" s="66"/>
      <c r="E317" s="66"/>
      <c r="F317" s="66"/>
      <c r="G317" s="66"/>
      <c r="H317" s="66"/>
      <c r="I317" s="66"/>
      <c r="J317" s="66"/>
      <c r="K317" s="66"/>
      <c r="L317" s="66"/>
      <c r="M317" s="66"/>
      <c r="N317" s="66"/>
      <c r="O317" s="66"/>
      <c r="P317" s="66"/>
      <c r="Q317" s="66"/>
      <c r="R317" s="66"/>
      <c r="S317" s="66"/>
      <c r="T317" s="68"/>
      <c r="AC317" s="66"/>
      <c r="AD317" s="66"/>
      <c r="AE317" s="68"/>
      <c r="AN317" s="66"/>
      <c r="AO317" s="66"/>
      <c r="AP317" s="68"/>
      <c r="AW317" s="66"/>
      <c r="AX317" s="68"/>
      <c r="BD317" s="66"/>
      <c r="BE317" s="68"/>
      <c r="BF317" s="66"/>
      <c r="BG317" s="66"/>
      <c r="BH317" s="66"/>
      <c r="BI317" s="66"/>
      <c r="BJ317" s="66"/>
      <c r="BK317" s="66"/>
      <c r="BL317" s="68"/>
      <c r="BO317" s="66"/>
      <c r="BP317" s="68"/>
      <c r="BV317" s="66"/>
      <c r="BW317" s="68"/>
      <c r="CB317" s="8"/>
      <c r="CH317" s="8"/>
      <c r="CK317" s="299"/>
      <c r="CL317" s="299"/>
      <c r="CM317" s="66"/>
      <c r="CN317" s="66"/>
      <c r="CO317" s="68"/>
      <c r="CR317" s="8"/>
      <c r="CX317" s="66"/>
      <c r="CY317" s="532"/>
      <c r="DE317" s="66"/>
      <c r="DF317" s="66"/>
      <c r="DG317" s="68"/>
      <c r="DH317" s="68"/>
      <c r="DK317" s="66"/>
      <c r="DL317" s="66"/>
      <c r="DM317" s="66"/>
      <c r="DN317" s="66"/>
      <c r="DO317" s="66"/>
      <c r="DP317" s="66"/>
      <c r="DQ317" s="66"/>
      <c r="DR317" s="66"/>
      <c r="DS317" s="66"/>
      <c r="DT317" s="68"/>
      <c r="DU317" s="66"/>
      <c r="DV317" s="296"/>
      <c r="DW317" s="330"/>
      <c r="DX317" s="631"/>
      <c r="DY317" s="631"/>
      <c r="DZ317" s="631"/>
      <c r="EA317" s="330"/>
      <c r="EC317" s="66"/>
      <c r="ED317" s="68"/>
      <c r="EH317" s="66"/>
      <c r="EI317" s="66"/>
      <c r="EJ317" s="68"/>
      <c r="EK317" s="252"/>
      <c r="EL317" s="252"/>
      <c r="EM317" s="252"/>
      <c r="EO317" s="252"/>
      <c r="EP317" s="252"/>
      <c r="EQ317" s="252"/>
      <c r="ES317" s="252"/>
      <c r="ET317" s="252"/>
      <c r="EU317" s="252"/>
      <c r="EW317" s="252"/>
      <c r="EX317" s="252"/>
      <c r="EY317" s="252"/>
      <c r="FA317" s="250"/>
      <c r="FB317" s="250"/>
      <c r="FC317" s="250"/>
      <c r="FD317" s="250"/>
      <c r="FE317" s="250"/>
      <c r="FF317" s="250"/>
      <c r="FG317" s="250"/>
      <c r="FH317" s="424"/>
      <c r="FI317" s="250"/>
      <c r="FJ317" s="250"/>
      <c r="FK317" s="250"/>
      <c r="FL317" s="256"/>
      <c r="FM317" s="250"/>
      <c r="FN317" s="256"/>
      <c r="FO317" s="250"/>
      <c r="FP317" s="256"/>
      <c r="FQ317" s="250"/>
      <c r="FR317" s="256"/>
      <c r="FS317" s="250"/>
      <c r="FT317" s="256"/>
      <c r="FU317" s="256"/>
      <c r="FV317" s="256"/>
      <c r="FW317" s="250"/>
      <c r="FX317" s="424"/>
      <c r="FY317" s="251"/>
      <c r="GC317" s="252"/>
      <c r="GF317" s="252"/>
      <c r="GG317" s="252"/>
      <c r="GH317" s="252"/>
      <c r="GI317" s="252"/>
      <c r="GJ317" s="252"/>
      <c r="GK317" s="251"/>
      <c r="GL317" s="250"/>
      <c r="GM317" s="250"/>
      <c r="GN317" s="250"/>
      <c r="GO317" s="250"/>
      <c r="GP317" s="250"/>
      <c r="GQ317" s="250"/>
      <c r="GR317" s="250"/>
      <c r="GS317" s="250"/>
      <c r="GT317" s="250"/>
      <c r="GU317" s="251"/>
      <c r="GV317" s="250"/>
      <c r="GW317" s="250"/>
      <c r="GX317" s="250"/>
      <c r="GY317" s="250"/>
      <c r="GZ317" s="250"/>
      <c r="HA317" s="250"/>
      <c r="HB317" s="250"/>
      <c r="HC317" s="250"/>
      <c r="HD317" s="250"/>
      <c r="HE317" s="250"/>
      <c r="HF317" s="250"/>
      <c r="HG317" s="250"/>
      <c r="HH317" s="251"/>
      <c r="HI317" s="424"/>
      <c r="HJ317" s="255"/>
      <c r="HK317" s="255"/>
      <c r="HL317" s="250"/>
      <c r="HM317" s="255"/>
      <c r="HN317" s="255"/>
      <c r="HO317" s="255"/>
      <c r="HP317" s="250"/>
      <c r="HQ317" s="250"/>
      <c r="HR317" s="250"/>
      <c r="HS317" s="250"/>
      <c r="HT317" s="250"/>
      <c r="HU317" s="251"/>
      <c r="HX317" s="252"/>
      <c r="HY317" s="252"/>
      <c r="HZ317" s="252"/>
      <c r="ID317" s="252"/>
      <c r="IE317" s="252"/>
      <c r="IF317" s="252"/>
      <c r="IJ317" s="252"/>
      <c r="IK317" s="252"/>
      <c r="IL317" s="252"/>
      <c r="IP317" s="252"/>
      <c r="IQ317" s="252"/>
      <c r="IR317" s="252"/>
      <c r="IY317" s="66"/>
      <c r="IZ317" s="66"/>
      <c r="JA317" s="66"/>
      <c r="JB317" s="250"/>
      <c r="JC317" s="66"/>
      <c r="JD317" s="66"/>
      <c r="JE317" s="66"/>
      <c r="JF317" s="66"/>
      <c r="JG317" s="66"/>
      <c r="JH317" s="66"/>
      <c r="JI317" s="66"/>
      <c r="JJ317" s="66"/>
      <c r="JK317" s="8"/>
      <c r="JN317" s="252"/>
      <c r="JO317" s="252"/>
      <c r="JP317" s="252"/>
      <c r="JT317" s="252"/>
      <c r="JU317" s="252"/>
      <c r="JV317" s="252"/>
      <c r="JZ317" s="252"/>
      <c r="KA317" s="252"/>
      <c r="KB317" s="252"/>
      <c r="KF317" s="252"/>
      <c r="KG317" s="252"/>
      <c r="KH317" s="252"/>
      <c r="KO317" s="66"/>
      <c r="KP317" s="66"/>
      <c r="KQ317" s="66"/>
      <c r="KR317" s="66"/>
      <c r="KS317" s="66"/>
      <c r="KT317" s="66"/>
      <c r="KU317" s="66"/>
      <c r="KV317" s="66"/>
      <c r="KW317" s="66"/>
      <c r="KX317" s="66"/>
      <c r="KY317" s="66"/>
      <c r="KZ317" s="66"/>
      <c r="LA317" s="8"/>
      <c r="LD317" s="252"/>
      <c r="LE317" s="252"/>
      <c r="LF317" s="252"/>
      <c r="LJ317" s="252"/>
      <c r="LK317" s="252"/>
      <c r="LN317" s="252"/>
      <c r="LO317" s="252"/>
      <c r="LP317" s="252"/>
      <c r="LT317" s="271"/>
      <c r="LU317" s="250"/>
      <c r="LV317" s="250"/>
      <c r="LW317" s="250"/>
      <c r="LX317" s="250"/>
      <c r="LY317" s="250"/>
      <c r="LZ317" s="250"/>
      <c r="MA317" s="250"/>
      <c r="MB317" s="250"/>
      <c r="MC317" s="250"/>
      <c r="MD317" s="250"/>
      <c r="ME317" s="250"/>
      <c r="MF317" s="250"/>
      <c r="MG317" s="250"/>
      <c r="MH317" s="250"/>
      <c r="MI317" s="250"/>
      <c r="MJ317" s="250"/>
      <c r="MK317" s="424"/>
      <c r="ML317" s="640"/>
      <c r="MM317" s="251"/>
      <c r="MN317" s="252"/>
      <c r="MO317" s="252"/>
      <c r="MP317" s="252"/>
      <c r="MQ317" s="252"/>
      <c r="MR317" s="252"/>
      <c r="MS317" s="252"/>
      <c r="MT317" s="252"/>
      <c r="MU317" s="252"/>
      <c r="MV317" s="252"/>
      <c r="MW317" s="252"/>
      <c r="MX317" s="252"/>
      <c r="MY317" s="252"/>
      <c r="MZ317" s="252"/>
      <c r="NA317" s="252"/>
      <c r="NB317" s="252"/>
      <c r="NC317" s="251"/>
      <c r="ND317" s="250"/>
      <c r="NE317" s="250"/>
      <c r="NF317" s="250"/>
      <c r="NG317" s="250"/>
      <c r="NH317" s="250"/>
      <c r="NI317" s="250"/>
      <c r="NJ317" s="250"/>
      <c r="NK317" s="250"/>
      <c r="NL317" s="250"/>
      <c r="NM317" s="250"/>
      <c r="NN317" s="250"/>
      <c r="NO317" s="250"/>
      <c r="NP317" s="250"/>
      <c r="NQ317" s="250"/>
      <c r="NR317" s="250"/>
      <c r="NS317" s="250"/>
      <c r="NT317" s="250"/>
      <c r="NU317" s="250"/>
      <c r="NV317" s="250"/>
      <c r="NW317" s="251"/>
      <c r="OT317" s="8"/>
      <c r="QG317" s="8"/>
      <c r="RT317" s="8"/>
    </row>
    <row r="318" spans="1:488" s="282" customFormat="1" x14ac:dyDescent="0.25">
      <c r="A318" s="66"/>
      <c r="B318" s="8"/>
      <c r="C318" s="66"/>
      <c r="D318" s="66"/>
      <c r="E318" s="66"/>
      <c r="F318" s="66"/>
      <c r="G318" s="66"/>
      <c r="H318" s="66"/>
      <c r="I318" s="66"/>
      <c r="J318" s="66"/>
      <c r="K318" s="66"/>
      <c r="L318" s="66"/>
      <c r="M318" s="66"/>
      <c r="N318" s="66"/>
      <c r="O318" s="66"/>
      <c r="P318" s="66"/>
      <c r="Q318" s="66"/>
      <c r="R318" s="66"/>
      <c r="S318" s="66"/>
      <c r="T318" s="68"/>
      <c r="AC318" s="66"/>
      <c r="AD318" s="66"/>
      <c r="AE318" s="68"/>
      <c r="AN318" s="66"/>
      <c r="AO318" s="66"/>
      <c r="AP318" s="68"/>
      <c r="AW318" s="66"/>
      <c r="AX318" s="68"/>
      <c r="BD318" s="66"/>
      <c r="BE318" s="68"/>
      <c r="BF318" s="66"/>
      <c r="BG318" s="66"/>
      <c r="BH318" s="66"/>
      <c r="BI318" s="66"/>
      <c r="BJ318" s="66"/>
      <c r="BK318" s="66"/>
      <c r="BL318" s="68"/>
      <c r="BO318" s="66"/>
      <c r="BP318" s="68"/>
      <c r="BV318" s="66"/>
      <c r="BW318" s="68"/>
      <c r="CB318" s="8"/>
      <c r="CH318" s="8"/>
      <c r="CK318" s="299"/>
      <c r="CL318" s="299"/>
      <c r="CM318" s="66"/>
      <c r="CN318" s="66"/>
      <c r="CO318" s="68"/>
      <c r="CR318" s="8"/>
      <c r="CX318" s="66"/>
      <c r="CY318" s="532"/>
      <c r="DE318" s="66"/>
      <c r="DF318" s="66"/>
      <c r="DG318" s="68"/>
      <c r="DH318" s="68"/>
      <c r="DK318" s="66"/>
      <c r="DL318" s="66"/>
      <c r="DM318" s="66"/>
      <c r="DN318" s="66"/>
      <c r="DO318" s="66"/>
      <c r="DP318" s="66"/>
      <c r="DQ318" s="66"/>
      <c r="DR318" s="66"/>
      <c r="DS318" s="66"/>
      <c r="DT318" s="68"/>
      <c r="DU318" s="66"/>
      <c r="DV318" s="296"/>
      <c r="DW318" s="330"/>
      <c r="DX318" s="631"/>
      <c r="DY318" s="631"/>
      <c r="DZ318" s="631"/>
      <c r="EA318" s="330"/>
      <c r="EC318" s="66"/>
      <c r="ED318" s="68"/>
      <c r="EH318" s="66"/>
      <c r="EI318" s="66"/>
      <c r="EJ318" s="68"/>
      <c r="EK318" s="252"/>
      <c r="EL318" s="252"/>
      <c r="EM318" s="252"/>
      <c r="EO318" s="252"/>
      <c r="EP318" s="252"/>
      <c r="EQ318" s="252"/>
      <c r="ES318" s="252"/>
      <c r="ET318" s="252"/>
      <c r="EU318" s="252"/>
      <c r="EW318" s="252"/>
      <c r="EX318" s="252"/>
      <c r="EY318" s="252"/>
      <c r="FA318" s="250"/>
      <c r="FB318" s="250"/>
      <c r="FC318" s="250"/>
      <c r="FD318" s="250"/>
      <c r="FE318" s="250"/>
      <c r="FF318" s="250"/>
      <c r="FG318" s="250"/>
      <c r="FH318" s="424"/>
      <c r="FI318" s="250"/>
      <c r="FJ318" s="250"/>
      <c r="FK318" s="250"/>
      <c r="FL318" s="256"/>
      <c r="FM318" s="250"/>
      <c r="FN318" s="256"/>
      <c r="FO318" s="250"/>
      <c r="FP318" s="256"/>
      <c r="FQ318" s="250"/>
      <c r="FR318" s="256"/>
      <c r="FS318" s="250"/>
      <c r="FT318" s="256"/>
      <c r="FU318" s="256"/>
      <c r="FV318" s="256"/>
      <c r="FW318" s="250"/>
      <c r="FX318" s="424"/>
      <c r="FY318" s="251"/>
      <c r="GC318" s="252"/>
      <c r="GF318" s="252"/>
      <c r="GG318" s="252"/>
      <c r="GH318" s="252"/>
      <c r="GI318" s="252"/>
      <c r="GJ318" s="252"/>
      <c r="GK318" s="251"/>
      <c r="GL318" s="250"/>
      <c r="GM318" s="250"/>
      <c r="GN318" s="250"/>
      <c r="GO318" s="250"/>
      <c r="GP318" s="250"/>
      <c r="GQ318" s="250"/>
      <c r="GR318" s="250"/>
      <c r="GS318" s="250"/>
      <c r="GT318" s="250"/>
      <c r="GU318" s="251"/>
      <c r="GV318" s="250"/>
      <c r="GW318" s="250"/>
      <c r="GX318" s="250"/>
      <c r="GY318" s="250"/>
      <c r="GZ318" s="250"/>
      <c r="HA318" s="250"/>
      <c r="HB318" s="250"/>
      <c r="HC318" s="250"/>
      <c r="HD318" s="250"/>
      <c r="HE318" s="250"/>
      <c r="HF318" s="250"/>
      <c r="HG318" s="250"/>
      <c r="HH318" s="251"/>
      <c r="HI318" s="424"/>
      <c r="HJ318" s="255"/>
      <c r="HK318" s="255"/>
      <c r="HL318" s="250"/>
      <c r="HM318" s="255"/>
      <c r="HN318" s="255"/>
      <c r="HO318" s="255"/>
      <c r="HP318" s="250"/>
      <c r="HQ318" s="250"/>
      <c r="HR318" s="250"/>
      <c r="HS318" s="250"/>
      <c r="HT318" s="250"/>
      <c r="HU318" s="251"/>
      <c r="HX318" s="252"/>
      <c r="HY318" s="252"/>
      <c r="HZ318" s="252"/>
      <c r="ID318" s="252"/>
      <c r="IE318" s="252"/>
      <c r="IF318" s="252"/>
      <c r="IJ318" s="252"/>
      <c r="IK318" s="252"/>
      <c r="IL318" s="252"/>
      <c r="IP318" s="252"/>
      <c r="IQ318" s="252"/>
      <c r="IR318" s="252"/>
      <c r="IY318" s="66"/>
      <c r="IZ318" s="66"/>
      <c r="JA318" s="66"/>
      <c r="JB318" s="250"/>
      <c r="JC318" s="66"/>
      <c r="JD318" s="66"/>
      <c r="JE318" s="66"/>
      <c r="JF318" s="66"/>
      <c r="JG318" s="66"/>
      <c r="JH318" s="66"/>
      <c r="JI318" s="66"/>
      <c r="JJ318" s="66"/>
      <c r="JK318" s="8"/>
      <c r="JN318" s="252"/>
      <c r="JO318" s="252"/>
      <c r="JP318" s="252"/>
      <c r="JT318" s="252"/>
      <c r="JU318" s="252"/>
      <c r="JV318" s="252"/>
      <c r="JZ318" s="252"/>
      <c r="KA318" s="252"/>
      <c r="KB318" s="252"/>
      <c r="KF318" s="252"/>
      <c r="KG318" s="252"/>
      <c r="KH318" s="252"/>
      <c r="KO318" s="66"/>
      <c r="KP318" s="66"/>
      <c r="KQ318" s="66"/>
      <c r="KR318" s="66"/>
      <c r="KS318" s="66"/>
      <c r="KT318" s="66"/>
      <c r="KU318" s="66"/>
      <c r="KV318" s="66"/>
      <c r="KW318" s="66"/>
      <c r="KX318" s="66"/>
      <c r="KY318" s="66"/>
      <c r="KZ318" s="66"/>
      <c r="LA318" s="8"/>
      <c r="LD318" s="252"/>
      <c r="LE318" s="252"/>
      <c r="LF318" s="252"/>
      <c r="LJ318" s="252"/>
      <c r="LK318" s="252"/>
      <c r="LN318" s="252"/>
      <c r="LO318" s="252"/>
      <c r="LP318" s="252"/>
      <c r="LT318" s="271"/>
      <c r="LU318" s="250"/>
      <c r="LV318" s="250"/>
      <c r="LW318" s="250"/>
      <c r="LX318" s="250"/>
      <c r="LY318" s="250"/>
      <c r="LZ318" s="250"/>
      <c r="MA318" s="250"/>
      <c r="MB318" s="250"/>
      <c r="MC318" s="250"/>
      <c r="MD318" s="250"/>
      <c r="ME318" s="250"/>
      <c r="MF318" s="250"/>
      <c r="MG318" s="250"/>
      <c r="MH318" s="250"/>
      <c r="MI318" s="250"/>
      <c r="MJ318" s="250"/>
      <c r="MK318" s="424"/>
      <c r="ML318" s="640"/>
      <c r="MM318" s="251"/>
      <c r="MN318" s="252"/>
      <c r="MO318" s="252"/>
      <c r="MP318" s="252"/>
      <c r="MQ318" s="252"/>
      <c r="MR318" s="252"/>
      <c r="MS318" s="252"/>
      <c r="MT318" s="252"/>
      <c r="MU318" s="252"/>
      <c r="MV318" s="252"/>
      <c r="MW318" s="252"/>
      <c r="MX318" s="252"/>
      <c r="MY318" s="252"/>
      <c r="MZ318" s="252"/>
      <c r="NA318" s="252"/>
      <c r="NB318" s="252"/>
      <c r="NC318" s="251"/>
      <c r="ND318" s="250"/>
      <c r="NE318" s="250"/>
      <c r="NF318" s="250"/>
      <c r="NG318" s="250"/>
      <c r="NH318" s="250"/>
      <c r="NI318" s="250"/>
      <c r="NJ318" s="250"/>
      <c r="NK318" s="250"/>
      <c r="NL318" s="250"/>
      <c r="NM318" s="250"/>
      <c r="NN318" s="250"/>
      <c r="NO318" s="250"/>
      <c r="NP318" s="250"/>
      <c r="NQ318" s="250"/>
      <c r="NR318" s="250"/>
      <c r="NS318" s="250"/>
      <c r="NT318" s="250"/>
      <c r="NU318" s="250"/>
      <c r="NV318" s="250"/>
      <c r="NW318" s="251"/>
      <c r="OT318" s="8"/>
      <c r="QG318" s="8"/>
      <c r="RT318" s="8"/>
    </row>
    <row r="319" spans="1:488" s="282" customFormat="1" x14ac:dyDescent="0.25">
      <c r="A319" s="66"/>
      <c r="B319" s="8"/>
      <c r="C319" s="66"/>
      <c r="D319" s="66"/>
      <c r="E319" s="66"/>
      <c r="F319" s="66"/>
      <c r="G319" s="66"/>
      <c r="H319" s="66"/>
      <c r="I319" s="66"/>
      <c r="J319" s="66"/>
      <c r="K319" s="66"/>
      <c r="L319" s="66"/>
      <c r="M319" s="66"/>
      <c r="N319" s="66"/>
      <c r="O319" s="66"/>
      <c r="P319" s="66"/>
      <c r="Q319" s="66"/>
      <c r="R319" s="66"/>
      <c r="S319" s="66"/>
      <c r="T319" s="68"/>
      <c r="AC319" s="66"/>
      <c r="AD319" s="66"/>
      <c r="AE319" s="68"/>
      <c r="AN319" s="66"/>
      <c r="AO319" s="66"/>
      <c r="AP319" s="68"/>
      <c r="AW319" s="66"/>
      <c r="AX319" s="68"/>
      <c r="BD319" s="66"/>
      <c r="BE319" s="68"/>
      <c r="BF319" s="66"/>
      <c r="BG319" s="66"/>
      <c r="BH319" s="66"/>
      <c r="BI319" s="66"/>
      <c r="BJ319" s="66"/>
      <c r="BK319" s="66"/>
      <c r="BL319" s="68"/>
      <c r="BO319" s="66"/>
      <c r="BP319" s="68"/>
      <c r="BV319" s="66"/>
      <c r="BW319" s="68"/>
      <c r="CB319" s="8"/>
      <c r="CH319" s="8"/>
      <c r="CK319" s="299"/>
      <c r="CL319" s="299"/>
      <c r="CM319" s="66"/>
      <c r="CN319" s="66"/>
      <c r="CO319" s="68"/>
      <c r="CR319" s="8"/>
      <c r="CX319" s="66"/>
      <c r="CY319" s="532"/>
      <c r="DE319" s="66"/>
      <c r="DF319" s="66"/>
      <c r="DG319" s="68"/>
      <c r="DH319" s="68"/>
      <c r="DK319" s="66"/>
      <c r="DL319" s="66"/>
      <c r="DM319" s="66"/>
      <c r="DN319" s="66"/>
      <c r="DO319" s="66"/>
      <c r="DP319" s="66"/>
      <c r="DQ319" s="66"/>
      <c r="DR319" s="66"/>
      <c r="DS319" s="66"/>
      <c r="DT319" s="68"/>
      <c r="DU319" s="66"/>
      <c r="DV319" s="296"/>
      <c r="DW319" s="330"/>
      <c r="DX319" s="631"/>
      <c r="DY319" s="631"/>
      <c r="DZ319" s="631"/>
      <c r="EA319" s="330"/>
      <c r="EC319" s="66"/>
      <c r="ED319" s="68"/>
      <c r="EH319" s="66"/>
      <c r="EI319" s="66"/>
      <c r="EJ319" s="68"/>
      <c r="EK319" s="252"/>
      <c r="EL319" s="252"/>
      <c r="EM319" s="252"/>
      <c r="EO319" s="252"/>
      <c r="EP319" s="252"/>
      <c r="EQ319" s="252"/>
      <c r="ES319" s="252"/>
      <c r="ET319" s="252"/>
      <c r="EU319" s="252"/>
      <c r="EW319" s="252"/>
      <c r="EX319" s="252"/>
      <c r="EY319" s="252"/>
      <c r="FA319" s="250"/>
      <c r="FB319" s="250"/>
      <c r="FC319" s="250"/>
      <c r="FD319" s="250"/>
      <c r="FE319" s="250"/>
      <c r="FF319" s="250"/>
      <c r="FG319" s="250"/>
      <c r="FH319" s="424"/>
      <c r="FI319" s="250"/>
      <c r="FJ319" s="250"/>
      <c r="FK319" s="250"/>
      <c r="FL319" s="256"/>
      <c r="FM319" s="250"/>
      <c r="FN319" s="256"/>
      <c r="FO319" s="250"/>
      <c r="FP319" s="256"/>
      <c r="FQ319" s="250"/>
      <c r="FR319" s="256"/>
      <c r="FS319" s="250"/>
      <c r="FT319" s="256"/>
      <c r="FU319" s="256"/>
      <c r="FV319" s="256"/>
      <c r="FW319" s="250"/>
      <c r="FX319" s="424"/>
      <c r="FY319" s="251"/>
      <c r="GC319" s="252"/>
      <c r="GF319" s="252"/>
      <c r="GG319" s="252"/>
      <c r="GH319" s="252"/>
      <c r="GI319" s="252"/>
      <c r="GJ319" s="252"/>
      <c r="GK319" s="251"/>
      <c r="GL319" s="250"/>
      <c r="GM319" s="250"/>
      <c r="GN319" s="250"/>
      <c r="GO319" s="250"/>
      <c r="GP319" s="250"/>
      <c r="GQ319" s="250"/>
      <c r="GR319" s="250"/>
      <c r="GS319" s="250"/>
      <c r="GT319" s="250"/>
      <c r="GU319" s="251"/>
      <c r="GV319" s="250"/>
      <c r="GW319" s="250"/>
      <c r="GX319" s="250"/>
      <c r="GY319" s="250"/>
      <c r="GZ319" s="250"/>
      <c r="HA319" s="250"/>
      <c r="HB319" s="250"/>
      <c r="HC319" s="250"/>
      <c r="HD319" s="250"/>
      <c r="HE319" s="250"/>
      <c r="HF319" s="250"/>
      <c r="HG319" s="250"/>
      <c r="HH319" s="251"/>
      <c r="HI319" s="424"/>
      <c r="HJ319" s="255"/>
      <c r="HK319" s="255"/>
      <c r="HL319" s="250"/>
      <c r="HM319" s="255"/>
      <c r="HN319" s="255"/>
      <c r="HO319" s="255"/>
      <c r="HP319" s="250"/>
      <c r="HQ319" s="250"/>
      <c r="HR319" s="250"/>
      <c r="HS319" s="250"/>
      <c r="HT319" s="250"/>
      <c r="HU319" s="251"/>
      <c r="HX319" s="252"/>
      <c r="HY319" s="252"/>
      <c r="HZ319" s="252"/>
      <c r="ID319" s="252"/>
      <c r="IE319" s="252"/>
      <c r="IF319" s="252"/>
      <c r="IJ319" s="252"/>
      <c r="IK319" s="252"/>
      <c r="IL319" s="252"/>
      <c r="IP319" s="252"/>
      <c r="IQ319" s="252"/>
      <c r="IR319" s="252"/>
      <c r="IY319" s="66"/>
      <c r="IZ319" s="66"/>
      <c r="JA319" s="66"/>
      <c r="JB319" s="250"/>
      <c r="JC319" s="66"/>
      <c r="JD319" s="66"/>
      <c r="JE319" s="66"/>
      <c r="JF319" s="66"/>
      <c r="JG319" s="66"/>
      <c r="JH319" s="66"/>
      <c r="JI319" s="66"/>
      <c r="JJ319" s="66"/>
      <c r="JK319" s="8"/>
      <c r="JN319" s="252"/>
      <c r="JO319" s="252"/>
      <c r="JP319" s="252"/>
      <c r="JT319" s="252"/>
      <c r="JU319" s="252"/>
      <c r="JV319" s="252"/>
      <c r="JZ319" s="252"/>
      <c r="KA319" s="252"/>
      <c r="KB319" s="252"/>
      <c r="KF319" s="252"/>
      <c r="KG319" s="252"/>
      <c r="KH319" s="252"/>
      <c r="KO319" s="66"/>
      <c r="KP319" s="66"/>
      <c r="KQ319" s="66"/>
      <c r="KR319" s="66"/>
      <c r="KS319" s="66"/>
      <c r="KT319" s="66"/>
      <c r="KU319" s="66"/>
      <c r="KV319" s="66"/>
      <c r="KW319" s="66"/>
      <c r="KX319" s="66"/>
      <c r="KY319" s="66"/>
      <c r="KZ319" s="66"/>
      <c r="LA319" s="8"/>
      <c r="LD319" s="252"/>
      <c r="LE319" s="252"/>
      <c r="LF319" s="252"/>
      <c r="LJ319" s="252"/>
      <c r="LK319" s="252"/>
      <c r="LN319" s="252"/>
      <c r="LO319" s="252"/>
      <c r="LP319" s="252"/>
      <c r="LT319" s="271"/>
      <c r="LU319" s="250"/>
      <c r="LV319" s="250"/>
      <c r="LW319" s="250"/>
      <c r="LX319" s="250"/>
      <c r="LY319" s="250"/>
      <c r="LZ319" s="250"/>
      <c r="MA319" s="250"/>
      <c r="MB319" s="250"/>
      <c r="MC319" s="250"/>
      <c r="MD319" s="250"/>
      <c r="ME319" s="250"/>
      <c r="MF319" s="250"/>
      <c r="MG319" s="250"/>
      <c r="MH319" s="250"/>
      <c r="MI319" s="250"/>
      <c r="MJ319" s="250"/>
      <c r="MK319" s="424"/>
      <c r="ML319" s="640"/>
      <c r="MM319" s="251"/>
      <c r="MN319" s="252"/>
      <c r="MO319" s="252"/>
      <c r="MP319" s="252"/>
      <c r="MQ319" s="252"/>
      <c r="MR319" s="252"/>
      <c r="MS319" s="252"/>
      <c r="MT319" s="252"/>
      <c r="MU319" s="252"/>
      <c r="MV319" s="252"/>
      <c r="MW319" s="252"/>
      <c r="MX319" s="252"/>
      <c r="MY319" s="252"/>
      <c r="MZ319" s="252"/>
      <c r="NA319" s="252"/>
      <c r="NB319" s="252"/>
      <c r="NC319" s="251"/>
      <c r="ND319" s="250"/>
      <c r="NE319" s="250"/>
      <c r="NF319" s="250"/>
      <c r="NG319" s="250"/>
      <c r="NH319" s="250"/>
      <c r="NI319" s="250"/>
      <c r="NJ319" s="250"/>
      <c r="NK319" s="250"/>
      <c r="NL319" s="250"/>
      <c r="NM319" s="250"/>
      <c r="NN319" s="250"/>
      <c r="NO319" s="250"/>
      <c r="NP319" s="250"/>
      <c r="NQ319" s="250"/>
      <c r="NR319" s="250"/>
      <c r="NS319" s="250"/>
      <c r="NT319" s="250"/>
      <c r="NU319" s="250"/>
      <c r="NV319" s="250"/>
      <c r="NW319" s="251"/>
      <c r="OT319" s="8"/>
      <c r="QG319" s="8"/>
      <c r="RT319" s="8"/>
    </row>
    <row r="320" spans="1:488" s="282" customFormat="1" x14ac:dyDescent="0.25">
      <c r="A320" s="66"/>
      <c r="B320" s="8"/>
      <c r="C320" s="66"/>
      <c r="D320" s="66"/>
      <c r="E320" s="66"/>
      <c r="F320" s="66"/>
      <c r="G320" s="66"/>
      <c r="H320" s="66"/>
      <c r="I320" s="66"/>
      <c r="J320" s="66"/>
      <c r="K320" s="66"/>
      <c r="L320" s="66"/>
      <c r="M320" s="66"/>
      <c r="N320" s="66"/>
      <c r="O320" s="66"/>
      <c r="P320" s="66"/>
      <c r="Q320" s="66"/>
      <c r="R320" s="66"/>
      <c r="S320" s="66"/>
      <c r="T320" s="68"/>
      <c r="AC320" s="66"/>
      <c r="AD320" s="66"/>
      <c r="AE320" s="68"/>
      <c r="AN320" s="66"/>
      <c r="AO320" s="66"/>
      <c r="AP320" s="68"/>
      <c r="AW320" s="66"/>
      <c r="AX320" s="68"/>
      <c r="BD320" s="66"/>
      <c r="BE320" s="68"/>
      <c r="BF320" s="66"/>
      <c r="BG320" s="66"/>
      <c r="BH320" s="66"/>
      <c r="BI320" s="66"/>
      <c r="BJ320" s="66"/>
      <c r="BK320" s="66"/>
      <c r="BL320" s="68"/>
      <c r="BO320" s="66"/>
      <c r="BP320" s="68"/>
      <c r="BV320" s="66"/>
      <c r="BW320" s="68"/>
      <c r="CB320" s="8"/>
      <c r="CH320" s="8"/>
      <c r="CK320" s="299"/>
      <c r="CL320" s="299"/>
      <c r="CM320" s="66"/>
      <c r="CN320" s="66"/>
      <c r="CO320" s="68"/>
      <c r="CR320" s="8"/>
      <c r="CX320" s="66"/>
      <c r="CY320" s="532"/>
      <c r="DE320" s="66"/>
      <c r="DF320" s="66"/>
      <c r="DG320" s="68"/>
      <c r="DH320" s="68"/>
      <c r="DK320" s="66"/>
      <c r="DL320" s="66"/>
      <c r="DM320" s="66"/>
      <c r="DN320" s="66"/>
      <c r="DO320" s="66"/>
      <c r="DP320" s="66"/>
      <c r="DQ320" s="66"/>
      <c r="DR320" s="66"/>
      <c r="DS320" s="66"/>
      <c r="DT320" s="68"/>
      <c r="DU320" s="66"/>
      <c r="DV320" s="296"/>
      <c r="DW320" s="330"/>
      <c r="DX320" s="631"/>
      <c r="DY320" s="631"/>
      <c r="DZ320" s="631"/>
      <c r="EA320" s="330"/>
      <c r="EC320" s="66"/>
      <c r="ED320" s="68"/>
      <c r="EH320" s="66"/>
      <c r="EI320" s="66"/>
      <c r="EJ320" s="68"/>
      <c r="EK320" s="252"/>
      <c r="EL320" s="252"/>
      <c r="EM320" s="252"/>
      <c r="EO320" s="252"/>
      <c r="EP320" s="252"/>
      <c r="EQ320" s="252"/>
      <c r="ES320" s="252"/>
      <c r="ET320" s="252"/>
      <c r="EU320" s="252"/>
      <c r="EW320" s="252"/>
      <c r="EX320" s="252"/>
      <c r="EY320" s="252"/>
      <c r="FA320" s="250"/>
      <c r="FB320" s="250"/>
      <c r="FC320" s="250"/>
      <c r="FD320" s="250"/>
      <c r="FE320" s="250"/>
      <c r="FF320" s="250"/>
      <c r="FG320" s="250"/>
      <c r="FH320" s="424"/>
      <c r="FI320" s="250"/>
      <c r="FJ320" s="250"/>
      <c r="FK320" s="250"/>
      <c r="FL320" s="256"/>
      <c r="FM320" s="250"/>
      <c r="FN320" s="256"/>
      <c r="FO320" s="250"/>
      <c r="FP320" s="256"/>
      <c r="FQ320" s="250"/>
      <c r="FR320" s="256"/>
      <c r="FS320" s="250"/>
      <c r="FT320" s="256"/>
      <c r="FU320" s="256"/>
      <c r="FV320" s="256"/>
      <c r="FW320" s="250"/>
      <c r="FX320" s="424"/>
      <c r="FY320" s="251"/>
      <c r="GC320" s="252"/>
      <c r="GF320" s="252"/>
      <c r="GG320" s="252"/>
      <c r="GH320" s="252"/>
      <c r="GI320" s="252"/>
      <c r="GJ320" s="252"/>
      <c r="GK320" s="251"/>
      <c r="GL320" s="250"/>
      <c r="GM320" s="250"/>
      <c r="GN320" s="250"/>
      <c r="GO320" s="250"/>
      <c r="GP320" s="250"/>
      <c r="GQ320" s="250"/>
      <c r="GR320" s="250"/>
      <c r="GS320" s="250"/>
      <c r="GT320" s="250"/>
      <c r="GU320" s="251"/>
      <c r="GV320" s="250"/>
      <c r="GW320" s="250"/>
      <c r="GX320" s="250"/>
      <c r="GY320" s="250"/>
      <c r="GZ320" s="250"/>
      <c r="HA320" s="250"/>
      <c r="HB320" s="250"/>
      <c r="HC320" s="250"/>
      <c r="HD320" s="250"/>
      <c r="HE320" s="250"/>
      <c r="HF320" s="250"/>
      <c r="HG320" s="250"/>
      <c r="HH320" s="251"/>
      <c r="HI320" s="424"/>
      <c r="HJ320" s="255"/>
      <c r="HK320" s="255"/>
      <c r="HL320" s="250"/>
      <c r="HM320" s="255"/>
      <c r="HN320" s="255"/>
      <c r="HO320" s="255"/>
      <c r="HP320" s="250"/>
      <c r="HQ320" s="250"/>
      <c r="HR320" s="250"/>
      <c r="HS320" s="250"/>
      <c r="HT320" s="250"/>
      <c r="HU320" s="251"/>
      <c r="HX320" s="252"/>
      <c r="HY320" s="252"/>
      <c r="HZ320" s="252"/>
      <c r="ID320" s="252"/>
      <c r="IE320" s="252"/>
      <c r="IF320" s="252"/>
      <c r="IJ320" s="252"/>
      <c r="IK320" s="252"/>
      <c r="IL320" s="252"/>
      <c r="IP320" s="252"/>
      <c r="IQ320" s="252"/>
      <c r="IR320" s="252"/>
      <c r="IY320" s="66"/>
      <c r="IZ320" s="66"/>
      <c r="JA320" s="66"/>
      <c r="JB320" s="250"/>
      <c r="JC320" s="66"/>
      <c r="JD320" s="66"/>
      <c r="JE320" s="66"/>
      <c r="JF320" s="66"/>
      <c r="JG320" s="66"/>
      <c r="JH320" s="66"/>
      <c r="JI320" s="66"/>
      <c r="JJ320" s="66"/>
      <c r="JK320" s="8"/>
      <c r="JN320" s="252"/>
      <c r="JO320" s="252"/>
      <c r="JP320" s="252"/>
      <c r="JT320" s="252"/>
      <c r="JU320" s="252"/>
      <c r="JV320" s="252"/>
      <c r="JZ320" s="252"/>
      <c r="KA320" s="252"/>
      <c r="KB320" s="252"/>
      <c r="KF320" s="252"/>
      <c r="KG320" s="252"/>
      <c r="KH320" s="252"/>
      <c r="KO320" s="66"/>
      <c r="KP320" s="66"/>
      <c r="KQ320" s="66"/>
      <c r="KR320" s="66"/>
      <c r="KS320" s="66"/>
      <c r="KT320" s="66"/>
      <c r="KU320" s="66"/>
      <c r="KV320" s="66"/>
      <c r="KW320" s="66"/>
      <c r="KX320" s="66"/>
      <c r="KY320" s="66"/>
      <c r="KZ320" s="66"/>
      <c r="LA320" s="8"/>
      <c r="LD320" s="252"/>
      <c r="LE320" s="252"/>
      <c r="LF320" s="252"/>
      <c r="LJ320" s="252"/>
      <c r="LK320" s="252"/>
      <c r="LN320" s="252"/>
      <c r="LO320" s="252"/>
      <c r="LP320" s="252"/>
      <c r="LT320" s="271"/>
      <c r="LU320" s="250"/>
      <c r="LV320" s="250"/>
      <c r="LW320" s="250"/>
      <c r="LX320" s="250"/>
      <c r="LY320" s="250"/>
      <c r="LZ320" s="250"/>
      <c r="MA320" s="250"/>
      <c r="MB320" s="250"/>
      <c r="MC320" s="250"/>
      <c r="MD320" s="250"/>
      <c r="ME320" s="250"/>
      <c r="MF320" s="250"/>
      <c r="MG320" s="250"/>
      <c r="MH320" s="250"/>
      <c r="MI320" s="250"/>
      <c r="MJ320" s="250"/>
      <c r="MK320" s="424"/>
      <c r="ML320" s="640"/>
      <c r="MM320" s="251"/>
      <c r="MN320" s="252"/>
      <c r="MO320" s="252"/>
      <c r="MP320" s="252"/>
      <c r="MQ320" s="252"/>
      <c r="MR320" s="252"/>
      <c r="MS320" s="252"/>
      <c r="MT320" s="252"/>
      <c r="MU320" s="252"/>
      <c r="MV320" s="252"/>
      <c r="MW320" s="252"/>
      <c r="MX320" s="252"/>
      <c r="MY320" s="252"/>
      <c r="MZ320" s="252"/>
      <c r="NA320" s="252"/>
      <c r="NB320" s="252"/>
      <c r="NC320" s="251"/>
      <c r="ND320" s="250"/>
      <c r="NE320" s="250"/>
      <c r="NF320" s="250"/>
      <c r="NG320" s="250"/>
      <c r="NH320" s="250"/>
      <c r="NI320" s="250"/>
      <c r="NJ320" s="250"/>
      <c r="NK320" s="250"/>
      <c r="NL320" s="250"/>
      <c r="NM320" s="250"/>
      <c r="NN320" s="250"/>
      <c r="NO320" s="250"/>
      <c r="NP320" s="250"/>
      <c r="NQ320" s="250"/>
      <c r="NR320" s="250"/>
      <c r="NS320" s="250"/>
      <c r="NT320" s="250"/>
      <c r="NU320" s="250"/>
      <c r="NV320" s="250"/>
      <c r="NW320" s="251"/>
      <c r="OT320" s="8"/>
      <c r="QG320" s="8"/>
      <c r="RT320" s="8"/>
    </row>
    <row r="321" spans="1:488" s="282" customFormat="1" x14ac:dyDescent="0.25">
      <c r="A321" s="66"/>
      <c r="B321" s="8"/>
      <c r="C321" s="66"/>
      <c r="D321" s="66"/>
      <c r="E321" s="66"/>
      <c r="F321" s="66"/>
      <c r="G321" s="66"/>
      <c r="H321" s="66"/>
      <c r="I321" s="66"/>
      <c r="J321" s="66"/>
      <c r="K321" s="66"/>
      <c r="L321" s="66"/>
      <c r="M321" s="66"/>
      <c r="N321" s="66"/>
      <c r="O321" s="66"/>
      <c r="P321" s="66"/>
      <c r="Q321" s="66"/>
      <c r="R321" s="66"/>
      <c r="S321" s="66"/>
      <c r="T321" s="68"/>
      <c r="AC321" s="66"/>
      <c r="AD321" s="66"/>
      <c r="AE321" s="68"/>
      <c r="AN321" s="66"/>
      <c r="AO321" s="66"/>
      <c r="AP321" s="68"/>
      <c r="AW321" s="66"/>
      <c r="AX321" s="68"/>
      <c r="BD321" s="66"/>
      <c r="BE321" s="68"/>
      <c r="BF321" s="66"/>
      <c r="BG321" s="66"/>
      <c r="BH321" s="66"/>
      <c r="BI321" s="66"/>
      <c r="BJ321" s="66"/>
      <c r="BK321" s="66"/>
      <c r="BL321" s="68"/>
      <c r="BO321" s="66"/>
      <c r="BP321" s="68"/>
      <c r="BV321" s="66"/>
      <c r="BW321" s="68"/>
      <c r="CB321" s="8"/>
      <c r="CH321" s="8"/>
      <c r="CK321" s="299"/>
      <c r="CL321" s="299"/>
      <c r="CM321" s="66"/>
      <c r="CN321" s="66"/>
      <c r="CO321" s="68"/>
      <c r="CR321" s="8"/>
      <c r="CX321" s="66"/>
      <c r="CY321" s="532"/>
      <c r="DE321" s="66"/>
      <c r="DF321" s="66"/>
      <c r="DG321" s="68"/>
      <c r="DH321" s="68"/>
      <c r="DK321" s="66"/>
      <c r="DL321" s="66"/>
      <c r="DM321" s="66"/>
      <c r="DN321" s="66"/>
      <c r="DO321" s="66"/>
      <c r="DP321" s="66"/>
      <c r="DQ321" s="66"/>
      <c r="DR321" s="66"/>
      <c r="DS321" s="66"/>
      <c r="DT321" s="68"/>
      <c r="DU321" s="66"/>
      <c r="DV321" s="296"/>
      <c r="DW321" s="330"/>
      <c r="DX321" s="631"/>
      <c r="DY321" s="631"/>
      <c r="DZ321" s="631"/>
      <c r="EA321" s="330"/>
      <c r="EC321" s="66"/>
      <c r="ED321" s="68"/>
      <c r="EH321" s="66"/>
      <c r="EI321" s="66"/>
      <c r="EJ321" s="68"/>
      <c r="EK321" s="252"/>
      <c r="EL321" s="252"/>
      <c r="EM321" s="252"/>
      <c r="EO321" s="252"/>
      <c r="EP321" s="252"/>
      <c r="EQ321" s="252"/>
      <c r="ES321" s="252"/>
      <c r="ET321" s="252"/>
      <c r="EU321" s="252"/>
      <c r="EW321" s="252"/>
      <c r="EX321" s="252"/>
      <c r="EY321" s="252"/>
      <c r="FA321" s="250"/>
      <c r="FB321" s="250"/>
      <c r="FC321" s="250"/>
      <c r="FD321" s="250"/>
      <c r="FE321" s="250"/>
      <c r="FF321" s="250"/>
      <c r="FG321" s="250"/>
      <c r="FH321" s="424"/>
      <c r="FI321" s="250"/>
      <c r="FJ321" s="250"/>
      <c r="FK321" s="250"/>
      <c r="FL321" s="256"/>
      <c r="FM321" s="250"/>
      <c r="FN321" s="256"/>
      <c r="FO321" s="250"/>
      <c r="FP321" s="256"/>
      <c r="FQ321" s="250"/>
      <c r="FR321" s="256"/>
      <c r="FS321" s="250"/>
      <c r="FT321" s="256"/>
      <c r="FU321" s="256"/>
      <c r="FV321" s="256"/>
      <c r="FW321" s="250"/>
      <c r="FX321" s="424"/>
      <c r="FY321" s="251"/>
      <c r="GC321" s="252"/>
      <c r="GF321" s="252"/>
      <c r="GG321" s="252"/>
      <c r="GH321" s="252"/>
      <c r="GI321" s="252"/>
      <c r="GJ321" s="252"/>
      <c r="GK321" s="251"/>
      <c r="GL321" s="250"/>
      <c r="GM321" s="250"/>
      <c r="GN321" s="250"/>
      <c r="GO321" s="250"/>
      <c r="GP321" s="250"/>
      <c r="GQ321" s="250"/>
      <c r="GR321" s="250"/>
      <c r="GS321" s="250"/>
      <c r="GT321" s="250"/>
      <c r="GU321" s="251"/>
      <c r="GV321" s="250"/>
      <c r="GW321" s="250"/>
      <c r="GX321" s="250"/>
      <c r="GY321" s="250"/>
      <c r="GZ321" s="250"/>
      <c r="HA321" s="250"/>
      <c r="HB321" s="250"/>
      <c r="HC321" s="250"/>
      <c r="HD321" s="250"/>
      <c r="HE321" s="250"/>
      <c r="HF321" s="250"/>
      <c r="HG321" s="250"/>
      <c r="HH321" s="251"/>
      <c r="HI321" s="424"/>
      <c r="HJ321" s="255"/>
      <c r="HK321" s="255"/>
      <c r="HL321" s="250"/>
      <c r="HM321" s="255"/>
      <c r="HN321" s="255"/>
      <c r="HO321" s="255"/>
      <c r="HP321" s="250"/>
      <c r="HQ321" s="250"/>
      <c r="HR321" s="250"/>
      <c r="HS321" s="250"/>
      <c r="HT321" s="250"/>
      <c r="HU321" s="251"/>
      <c r="HX321" s="252"/>
      <c r="HY321" s="252"/>
      <c r="HZ321" s="252"/>
      <c r="ID321" s="252"/>
      <c r="IE321" s="252"/>
      <c r="IF321" s="252"/>
      <c r="IJ321" s="252"/>
      <c r="IK321" s="252"/>
      <c r="IL321" s="252"/>
      <c r="IP321" s="252"/>
      <c r="IQ321" s="252"/>
      <c r="IR321" s="252"/>
      <c r="IY321" s="66"/>
      <c r="IZ321" s="66"/>
      <c r="JA321" s="66"/>
      <c r="JB321" s="250"/>
      <c r="JC321" s="66"/>
      <c r="JD321" s="66"/>
      <c r="JE321" s="66"/>
      <c r="JF321" s="66"/>
      <c r="JG321" s="66"/>
      <c r="JH321" s="66"/>
      <c r="JI321" s="66"/>
      <c r="JJ321" s="66"/>
      <c r="JK321" s="8"/>
      <c r="JN321" s="252"/>
      <c r="JO321" s="252"/>
      <c r="JP321" s="252"/>
      <c r="JT321" s="252"/>
      <c r="JU321" s="252"/>
      <c r="JV321" s="252"/>
      <c r="JZ321" s="252"/>
      <c r="KA321" s="252"/>
      <c r="KB321" s="252"/>
      <c r="KF321" s="252"/>
      <c r="KG321" s="252"/>
      <c r="KH321" s="252"/>
      <c r="KO321" s="66"/>
      <c r="KP321" s="66"/>
      <c r="KQ321" s="66"/>
      <c r="KR321" s="66"/>
      <c r="KS321" s="66"/>
      <c r="KT321" s="66"/>
      <c r="KU321" s="66"/>
      <c r="KV321" s="66"/>
      <c r="KW321" s="66"/>
      <c r="KX321" s="66"/>
      <c r="KY321" s="66"/>
      <c r="KZ321" s="66"/>
      <c r="LA321" s="8"/>
      <c r="LD321" s="252"/>
      <c r="LE321" s="252"/>
      <c r="LF321" s="252"/>
      <c r="LJ321" s="252"/>
      <c r="LK321" s="252"/>
      <c r="LN321" s="252"/>
      <c r="LO321" s="252"/>
      <c r="LP321" s="252"/>
      <c r="LT321" s="271"/>
      <c r="LU321" s="250"/>
      <c r="LV321" s="250"/>
      <c r="LW321" s="250"/>
      <c r="LX321" s="250"/>
      <c r="LY321" s="250"/>
      <c r="LZ321" s="250"/>
      <c r="MA321" s="250"/>
      <c r="MB321" s="250"/>
      <c r="MC321" s="250"/>
      <c r="MD321" s="250"/>
      <c r="ME321" s="250"/>
      <c r="MF321" s="250"/>
      <c r="MG321" s="250"/>
      <c r="MH321" s="250"/>
      <c r="MI321" s="250"/>
      <c r="MJ321" s="250"/>
      <c r="MK321" s="424"/>
      <c r="ML321" s="640"/>
      <c r="MM321" s="251"/>
      <c r="MN321" s="252"/>
      <c r="MO321" s="252"/>
      <c r="MP321" s="252"/>
      <c r="MQ321" s="252"/>
      <c r="MR321" s="252"/>
      <c r="MS321" s="252"/>
      <c r="MT321" s="252"/>
      <c r="MU321" s="252"/>
      <c r="MV321" s="252"/>
      <c r="MW321" s="252"/>
      <c r="MX321" s="252"/>
      <c r="MY321" s="252"/>
      <c r="MZ321" s="252"/>
      <c r="NA321" s="252"/>
      <c r="NB321" s="252"/>
      <c r="NC321" s="251"/>
      <c r="ND321" s="250"/>
      <c r="NE321" s="250"/>
      <c r="NF321" s="250"/>
      <c r="NG321" s="250"/>
      <c r="NH321" s="250"/>
      <c r="NI321" s="250"/>
      <c r="NJ321" s="250"/>
      <c r="NK321" s="250"/>
      <c r="NL321" s="250"/>
      <c r="NM321" s="250"/>
      <c r="NN321" s="250"/>
      <c r="NO321" s="250"/>
      <c r="NP321" s="250"/>
      <c r="NQ321" s="250"/>
      <c r="NR321" s="250"/>
      <c r="NS321" s="250"/>
      <c r="NT321" s="250"/>
      <c r="NU321" s="250"/>
      <c r="NV321" s="250"/>
      <c r="NW321" s="251"/>
      <c r="OT321" s="8"/>
      <c r="QG321" s="8"/>
      <c r="RT321" s="8"/>
    </row>
    <row r="322" spans="1:488" s="282" customFormat="1" x14ac:dyDescent="0.25">
      <c r="A322" s="66"/>
      <c r="B322" s="8"/>
      <c r="C322" s="66"/>
      <c r="D322" s="66"/>
      <c r="E322" s="66"/>
      <c r="F322" s="66"/>
      <c r="G322" s="66"/>
      <c r="H322" s="66"/>
      <c r="I322" s="66"/>
      <c r="J322" s="66"/>
      <c r="K322" s="66"/>
      <c r="L322" s="66"/>
      <c r="M322" s="66"/>
      <c r="N322" s="66"/>
      <c r="O322" s="66"/>
      <c r="P322" s="66"/>
      <c r="Q322" s="66"/>
      <c r="R322" s="66"/>
      <c r="S322" s="66"/>
      <c r="T322" s="68"/>
      <c r="AC322" s="66"/>
      <c r="AD322" s="66"/>
      <c r="AE322" s="68"/>
      <c r="AN322" s="66"/>
      <c r="AO322" s="66"/>
      <c r="AP322" s="68"/>
      <c r="AW322" s="66"/>
      <c r="AX322" s="68"/>
      <c r="BD322" s="66"/>
      <c r="BE322" s="68"/>
      <c r="BF322" s="66"/>
      <c r="BG322" s="66"/>
      <c r="BH322" s="66"/>
      <c r="BI322" s="66"/>
      <c r="BJ322" s="66"/>
      <c r="BK322" s="66"/>
      <c r="BL322" s="68"/>
      <c r="BO322" s="66"/>
      <c r="BP322" s="68"/>
      <c r="BV322" s="66"/>
      <c r="BW322" s="68"/>
      <c r="CB322" s="8"/>
      <c r="CH322" s="8"/>
      <c r="CK322" s="299"/>
      <c r="CL322" s="299"/>
      <c r="CM322" s="66"/>
      <c r="CN322" s="66"/>
      <c r="CO322" s="68"/>
      <c r="CR322" s="8"/>
      <c r="CX322" s="66"/>
      <c r="CY322" s="532"/>
      <c r="DE322" s="66"/>
      <c r="DF322" s="66"/>
      <c r="DG322" s="68"/>
      <c r="DH322" s="68"/>
      <c r="DK322" s="66"/>
      <c r="DL322" s="66"/>
      <c r="DM322" s="66"/>
      <c r="DN322" s="66"/>
      <c r="DO322" s="66"/>
      <c r="DP322" s="66"/>
      <c r="DQ322" s="66"/>
      <c r="DR322" s="66"/>
      <c r="DS322" s="66"/>
      <c r="DT322" s="68"/>
      <c r="DU322" s="66"/>
      <c r="DV322" s="296"/>
      <c r="DW322" s="330"/>
      <c r="DX322" s="631"/>
      <c r="DY322" s="631"/>
      <c r="DZ322" s="631"/>
      <c r="EA322" s="330"/>
      <c r="EC322" s="66"/>
      <c r="ED322" s="68"/>
      <c r="EH322" s="66"/>
      <c r="EI322" s="66"/>
      <c r="EJ322" s="68"/>
      <c r="EK322" s="252"/>
      <c r="EL322" s="252"/>
      <c r="EM322" s="252"/>
      <c r="EO322" s="252"/>
      <c r="EP322" s="252"/>
      <c r="EQ322" s="252"/>
      <c r="ES322" s="252"/>
      <c r="ET322" s="252"/>
      <c r="EU322" s="252"/>
      <c r="EW322" s="252"/>
      <c r="EX322" s="252"/>
      <c r="EY322" s="252"/>
      <c r="FA322" s="250"/>
      <c r="FB322" s="250"/>
      <c r="FC322" s="250"/>
      <c r="FD322" s="250"/>
      <c r="FE322" s="250"/>
      <c r="FF322" s="250"/>
      <c r="FG322" s="250"/>
      <c r="FH322" s="424"/>
      <c r="FI322" s="250"/>
      <c r="FJ322" s="250"/>
      <c r="FK322" s="250"/>
      <c r="FL322" s="256"/>
      <c r="FM322" s="250"/>
      <c r="FN322" s="256"/>
      <c r="FO322" s="250"/>
      <c r="FP322" s="256"/>
      <c r="FQ322" s="250"/>
      <c r="FR322" s="256"/>
      <c r="FS322" s="250"/>
      <c r="FT322" s="256"/>
      <c r="FU322" s="256"/>
      <c r="FV322" s="256"/>
      <c r="FW322" s="250"/>
      <c r="FX322" s="424"/>
      <c r="FY322" s="251"/>
      <c r="GC322" s="252"/>
      <c r="GF322" s="252"/>
      <c r="GG322" s="252"/>
      <c r="GH322" s="252"/>
      <c r="GI322" s="252"/>
      <c r="GJ322" s="252"/>
      <c r="GK322" s="251"/>
      <c r="GL322" s="250"/>
      <c r="GM322" s="250"/>
      <c r="GN322" s="250"/>
      <c r="GO322" s="250"/>
      <c r="GP322" s="250"/>
      <c r="GQ322" s="250"/>
      <c r="GR322" s="250"/>
      <c r="GS322" s="250"/>
      <c r="GT322" s="250"/>
      <c r="GU322" s="251"/>
      <c r="GV322" s="250"/>
      <c r="GW322" s="250"/>
      <c r="GX322" s="250"/>
      <c r="GY322" s="250"/>
      <c r="GZ322" s="250"/>
      <c r="HA322" s="250"/>
      <c r="HB322" s="250"/>
      <c r="HC322" s="250"/>
      <c r="HD322" s="250"/>
      <c r="HE322" s="250"/>
      <c r="HF322" s="250"/>
      <c r="HG322" s="250"/>
      <c r="HH322" s="251"/>
      <c r="HI322" s="424"/>
      <c r="HJ322" s="255"/>
      <c r="HK322" s="255"/>
      <c r="HL322" s="250"/>
      <c r="HM322" s="255"/>
      <c r="HN322" s="255"/>
      <c r="HO322" s="255"/>
      <c r="HP322" s="250"/>
      <c r="HQ322" s="250"/>
      <c r="HR322" s="250"/>
      <c r="HS322" s="250"/>
      <c r="HT322" s="250"/>
      <c r="HU322" s="251"/>
      <c r="HX322" s="252"/>
      <c r="HY322" s="252"/>
      <c r="HZ322" s="252"/>
      <c r="ID322" s="252"/>
      <c r="IE322" s="252"/>
      <c r="IF322" s="252"/>
      <c r="IJ322" s="252"/>
      <c r="IK322" s="252"/>
      <c r="IL322" s="252"/>
      <c r="IP322" s="252"/>
      <c r="IQ322" s="252"/>
      <c r="IR322" s="252"/>
      <c r="IY322" s="66"/>
      <c r="IZ322" s="66"/>
      <c r="JA322" s="66"/>
      <c r="JB322" s="250"/>
      <c r="JC322" s="66"/>
      <c r="JD322" s="66"/>
      <c r="JE322" s="66"/>
      <c r="JF322" s="66"/>
      <c r="JG322" s="66"/>
      <c r="JH322" s="66"/>
      <c r="JI322" s="66"/>
      <c r="JJ322" s="66"/>
      <c r="JK322" s="8"/>
      <c r="JN322" s="252"/>
      <c r="JO322" s="252"/>
      <c r="JP322" s="252"/>
      <c r="JT322" s="252"/>
      <c r="JU322" s="252"/>
      <c r="JV322" s="252"/>
      <c r="JZ322" s="252"/>
      <c r="KA322" s="252"/>
      <c r="KB322" s="252"/>
      <c r="KF322" s="252"/>
      <c r="KG322" s="252"/>
      <c r="KH322" s="252"/>
      <c r="KO322" s="66"/>
      <c r="KP322" s="66"/>
      <c r="KQ322" s="66"/>
      <c r="KR322" s="66"/>
      <c r="KS322" s="66"/>
      <c r="KT322" s="66"/>
      <c r="KU322" s="66"/>
      <c r="KV322" s="66"/>
      <c r="KW322" s="66"/>
      <c r="KX322" s="66"/>
      <c r="KY322" s="66"/>
      <c r="KZ322" s="66"/>
      <c r="LA322" s="8"/>
      <c r="LD322" s="252"/>
      <c r="LE322" s="252"/>
      <c r="LF322" s="252"/>
      <c r="LJ322" s="252"/>
      <c r="LK322" s="252"/>
      <c r="LN322" s="252"/>
      <c r="LO322" s="252"/>
      <c r="LP322" s="252"/>
      <c r="LT322" s="271"/>
      <c r="LU322" s="250"/>
      <c r="LV322" s="250"/>
      <c r="LW322" s="250"/>
      <c r="LX322" s="250"/>
      <c r="LY322" s="250"/>
      <c r="LZ322" s="250"/>
      <c r="MA322" s="250"/>
      <c r="MB322" s="250"/>
      <c r="MC322" s="250"/>
      <c r="MD322" s="250"/>
      <c r="ME322" s="250"/>
      <c r="MF322" s="250"/>
      <c r="MG322" s="250"/>
      <c r="MH322" s="250"/>
      <c r="MI322" s="250"/>
      <c r="MJ322" s="250"/>
      <c r="MK322" s="424"/>
      <c r="ML322" s="640"/>
      <c r="MM322" s="251"/>
      <c r="MN322" s="252"/>
      <c r="MO322" s="252"/>
      <c r="MP322" s="252"/>
      <c r="MQ322" s="252"/>
      <c r="MR322" s="252"/>
      <c r="MS322" s="252"/>
      <c r="MT322" s="252"/>
      <c r="MU322" s="252"/>
      <c r="MV322" s="252"/>
      <c r="MW322" s="252"/>
      <c r="MX322" s="252"/>
      <c r="MY322" s="252"/>
      <c r="MZ322" s="252"/>
      <c r="NA322" s="252"/>
      <c r="NB322" s="252"/>
      <c r="NC322" s="251"/>
      <c r="ND322" s="250"/>
      <c r="NE322" s="250"/>
      <c r="NF322" s="250"/>
      <c r="NG322" s="250"/>
      <c r="NH322" s="250"/>
      <c r="NI322" s="250"/>
      <c r="NJ322" s="250"/>
      <c r="NK322" s="250"/>
      <c r="NL322" s="250"/>
      <c r="NM322" s="250"/>
      <c r="NN322" s="250"/>
      <c r="NO322" s="250"/>
      <c r="NP322" s="250"/>
      <c r="NQ322" s="250"/>
      <c r="NR322" s="250"/>
      <c r="NS322" s="250"/>
      <c r="NT322" s="250"/>
      <c r="NU322" s="250"/>
      <c r="NV322" s="250"/>
      <c r="NW322" s="251"/>
      <c r="OT322" s="8"/>
      <c r="QG322" s="8"/>
      <c r="RT322" s="8"/>
    </row>
    <row r="323" spans="1:488" s="282" customFormat="1" x14ac:dyDescent="0.25">
      <c r="A323" s="66"/>
      <c r="B323" s="8"/>
      <c r="C323" s="66"/>
      <c r="D323" s="66"/>
      <c r="E323" s="66"/>
      <c r="F323" s="66"/>
      <c r="G323" s="66"/>
      <c r="H323" s="66"/>
      <c r="I323" s="66"/>
      <c r="J323" s="66"/>
      <c r="K323" s="66"/>
      <c r="L323" s="66"/>
      <c r="M323" s="66"/>
      <c r="N323" s="66"/>
      <c r="O323" s="66"/>
      <c r="P323" s="66"/>
      <c r="Q323" s="66"/>
      <c r="R323" s="66"/>
      <c r="S323" s="66"/>
      <c r="T323" s="68"/>
      <c r="AC323" s="66"/>
      <c r="AD323" s="66"/>
      <c r="AE323" s="68"/>
      <c r="AN323" s="66"/>
      <c r="AO323" s="66"/>
      <c r="AP323" s="68"/>
      <c r="AW323" s="66"/>
      <c r="AX323" s="68"/>
      <c r="BD323" s="66"/>
      <c r="BE323" s="68"/>
      <c r="BF323" s="66"/>
      <c r="BG323" s="66"/>
      <c r="BH323" s="66"/>
      <c r="BI323" s="66"/>
      <c r="BJ323" s="66"/>
      <c r="BK323" s="66"/>
      <c r="BL323" s="68"/>
      <c r="BO323" s="66"/>
      <c r="BP323" s="68"/>
      <c r="BV323" s="66"/>
      <c r="BW323" s="68"/>
      <c r="CB323" s="8"/>
      <c r="CH323" s="8"/>
      <c r="CK323" s="299"/>
      <c r="CL323" s="299"/>
      <c r="CM323" s="66"/>
      <c r="CN323" s="66"/>
      <c r="CO323" s="68"/>
      <c r="CR323" s="8"/>
      <c r="CX323" s="66"/>
      <c r="CY323" s="532"/>
      <c r="DE323" s="66"/>
      <c r="DF323" s="66"/>
      <c r="DG323" s="68"/>
      <c r="DH323" s="68"/>
      <c r="DK323" s="66"/>
      <c r="DL323" s="66"/>
      <c r="DM323" s="66"/>
      <c r="DN323" s="66"/>
      <c r="DO323" s="66"/>
      <c r="DP323" s="66"/>
      <c r="DQ323" s="66"/>
      <c r="DR323" s="66"/>
      <c r="DS323" s="66"/>
      <c r="DT323" s="68"/>
      <c r="DU323" s="66"/>
      <c r="DV323" s="296"/>
      <c r="DW323" s="330"/>
      <c r="DX323" s="631"/>
      <c r="DY323" s="631"/>
      <c r="DZ323" s="631"/>
      <c r="EA323" s="330"/>
      <c r="EC323" s="66"/>
      <c r="ED323" s="68"/>
      <c r="EH323" s="66"/>
      <c r="EI323" s="66"/>
      <c r="EJ323" s="68"/>
      <c r="EK323" s="252"/>
      <c r="EL323" s="252"/>
      <c r="EM323" s="252"/>
      <c r="EO323" s="252"/>
      <c r="EP323" s="252"/>
      <c r="EQ323" s="252"/>
      <c r="ES323" s="252"/>
      <c r="ET323" s="252"/>
      <c r="EU323" s="252"/>
      <c r="EW323" s="252"/>
      <c r="EX323" s="252"/>
      <c r="EY323" s="252"/>
      <c r="FA323" s="250"/>
      <c r="FB323" s="250"/>
      <c r="FC323" s="250"/>
      <c r="FD323" s="250"/>
      <c r="FE323" s="250"/>
      <c r="FF323" s="250"/>
      <c r="FG323" s="250"/>
      <c r="FH323" s="424"/>
      <c r="FI323" s="250"/>
      <c r="FJ323" s="250"/>
      <c r="FK323" s="250"/>
      <c r="FL323" s="256"/>
      <c r="FM323" s="250"/>
      <c r="FN323" s="256"/>
      <c r="FO323" s="250"/>
      <c r="FP323" s="256"/>
      <c r="FQ323" s="250"/>
      <c r="FR323" s="256"/>
      <c r="FS323" s="250"/>
      <c r="FT323" s="256"/>
      <c r="FU323" s="256"/>
      <c r="FV323" s="256"/>
      <c r="FW323" s="250"/>
      <c r="FX323" s="424"/>
      <c r="FY323" s="251"/>
      <c r="GC323" s="252"/>
      <c r="GF323" s="252"/>
      <c r="GG323" s="252"/>
      <c r="GH323" s="252"/>
      <c r="GI323" s="252"/>
      <c r="GJ323" s="252"/>
      <c r="GK323" s="251"/>
      <c r="GL323" s="250"/>
      <c r="GM323" s="250"/>
      <c r="GN323" s="250"/>
      <c r="GO323" s="250"/>
      <c r="GP323" s="250"/>
      <c r="GQ323" s="250"/>
      <c r="GR323" s="250"/>
      <c r="GS323" s="250"/>
      <c r="GT323" s="250"/>
      <c r="GU323" s="251"/>
      <c r="GV323" s="250"/>
      <c r="GW323" s="250"/>
      <c r="GX323" s="250"/>
      <c r="GY323" s="250"/>
      <c r="GZ323" s="250"/>
      <c r="HA323" s="250"/>
      <c r="HB323" s="250"/>
      <c r="HC323" s="250"/>
      <c r="HD323" s="250"/>
      <c r="HE323" s="250"/>
      <c r="HF323" s="250"/>
      <c r="HG323" s="250"/>
      <c r="HH323" s="251"/>
      <c r="HI323" s="424"/>
      <c r="HJ323" s="255"/>
      <c r="HK323" s="255"/>
      <c r="HL323" s="250"/>
      <c r="HM323" s="255"/>
      <c r="HN323" s="255"/>
      <c r="HO323" s="255"/>
      <c r="HP323" s="250"/>
      <c r="HQ323" s="250"/>
      <c r="HR323" s="250"/>
      <c r="HS323" s="250"/>
      <c r="HT323" s="250"/>
      <c r="HU323" s="251"/>
      <c r="HX323" s="252"/>
      <c r="HY323" s="252"/>
      <c r="HZ323" s="252"/>
      <c r="ID323" s="252"/>
      <c r="IE323" s="252"/>
      <c r="IF323" s="252"/>
      <c r="IJ323" s="252"/>
      <c r="IK323" s="252"/>
      <c r="IL323" s="252"/>
      <c r="IP323" s="252"/>
      <c r="IQ323" s="252"/>
      <c r="IR323" s="252"/>
      <c r="IY323" s="66"/>
      <c r="IZ323" s="66"/>
      <c r="JA323" s="66"/>
      <c r="JB323" s="250"/>
      <c r="JC323" s="66"/>
      <c r="JD323" s="66"/>
      <c r="JE323" s="66"/>
      <c r="JF323" s="66"/>
      <c r="JG323" s="66"/>
      <c r="JH323" s="66"/>
      <c r="JI323" s="66"/>
      <c r="JJ323" s="66"/>
      <c r="JK323" s="8"/>
      <c r="JN323" s="252"/>
      <c r="JO323" s="252"/>
      <c r="JP323" s="252"/>
      <c r="JT323" s="252"/>
      <c r="JU323" s="252"/>
      <c r="JV323" s="252"/>
      <c r="JZ323" s="252"/>
      <c r="KA323" s="252"/>
      <c r="KB323" s="252"/>
      <c r="KF323" s="252"/>
      <c r="KG323" s="252"/>
      <c r="KH323" s="252"/>
      <c r="KO323" s="66"/>
      <c r="KP323" s="66"/>
      <c r="KQ323" s="66"/>
      <c r="KR323" s="66"/>
      <c r="KS323" s="66"/>
      <c r="KT323" s="66"/>
      <c r="KU323" s="66"/>
      <c r="KV323" s="66"/>
      <c r="KW323" s="66"/>
      <c r="KX323" s="66"/>
      <c r="KY323" s="66"/>
      <c r="KZ323" s="66"/>
      <c r="LA323" s="8"/>
      <c r="LD323" s="252"/>
      <c r="LE323" s="252"/>
      <c r="LF323" s="252"/>
      <c r="LJ323" s="252"/>
      <c r="LK323" s="252"/>
      <c r="LN323" s="252"/>
      <c r="LO323" s="252"/>
      <c r="LP323" s="252"/>
      <c r="LT323" s="271"/>
      <c r="LU323" s="250"/>
      <c r="LV323" s="250"/>
      <c r="LW323" s="250"/>
      <c r="LX323" s="250"/>
      <c r="LY323" s="250"/>
      <c r="LZ323" s="250"/>
      <c r="MA323" s="250"/>
      <c r="MB323" s="250"/>
      <c r="MC323" s="250"/>
      <c r="MD323" s="250"/>
      <c r="ME323" s="250"/>
      <c r="MF323" s="250"/>
      <c r="MG323" s="250"/>
      <c r="MH323" s="250"/>
      <c r="MI323" s="250"/>
      <c r="MJ323" s="250"/>
      <c r="MK323" s="424"/>
      <c r="ML323" s="640"/>
      <c r="MM323" s="251"/>
      <c r="MN323" s="252"/>
      <c r="MO323" s="252"/>
      <c r="MP323" s="252"/>
      <c r="MQ323" s="252"/>
      <c r="MR323" s="252"/>
      <c r="MS323" s="252"/>
      <c r="MT323" s="252"/>
      <c r="MU323" s="252"/>
      <c r="MV323" s="252"/>
      <c r="MW323" s="252"/>
      <c r="MX323" s="252"/>
      <c r="MY323" s="252"/>
      <c r="MZ323" s="252"/>
      <c r="NA323" s="252"/>
      <c r="NB323" s="252"/>
      <c r="NC323" s="251"/>
      <c r="ND323" s="250"/>
      <c r="NE323" s="250"/>
      <c r="NF323" s="250"/>
      <c r="NG323" s="250"/>
      <c r="NH323" s="250"/>
      <c r="NI323" s="250"/>
      <c r="NJ323" s="250"/>
      <c r="NK323" s="250"/>
      <c r="NL323" s="250"/>
      <c r="NM323" s="250"/>
      <c r="NN323" s="250"/>
      <c r="NO323" s="250"/>
      <c r="NP323" s="250"/>
      <c r="NQ323" s="250"/>
      <c r="NR323" s="250"/>
      <c r="NS323" s="250"/>
      <c r="NT323" s="250"/>
      <c r="NU323" s="250"/>
      <c r="NV323" s="250"/>
      <c r="NW323" s="251"/>
      <c r="OT323" s="8"/>
      <c r="QG323" s="8"/>
      <c r="RT323" s="8"/>
    </row>
    <row r="324" spans="1:488" s="282" customFormat="1" x14ac:dyDescent="0.25">
      <c r="A324" s="66"/>
      <c r="B324" s="8"/>
      <c r="C324" s="66"/>
      <c r="D324" s="66"/>
      <c r="E324" s="66"/>
      <c r="F324" s="66"/>
      <c r="G324" s="66"/>
      <c r="H324" s="66"/>
      <c r="I324" s="66"/>
      <c r="J324" s="66"/>
      <c r="K324" s="66"/>
      <c r="L324" s="66"/>
      <c r="M324" s="66"/>
      <c r="N324" s="66"/>
      <c r="O324" s="66"/>
      <c r="P324" s="66"/>
      <c r="Q324" s="66"/>
      <c r="R324" s="66"/>
      <c r="S324" s="66"/>
      <c r="T324" s="68"/>
      <c r="AC324" s="66"/>
      <c r="AD324" s="66"/>
      <c r="AE324" s="68"/>
      <c r="AN324" s="66"/>
      <c r="AO324" s="66"/>
      <c r="AP324" s="68"/>
      <c r="AW324" s="66"/>
      <c r="AX324" s="68"/>
      <c r="BD324" s="66"/>
      <c r="BE324" s="68"/>
      <c r="BF324" s="66"/>
      <c r="BG324" s="66"/>
      <c r="BH324" s="66"/>
      <c r="BI324" s="66"/>
      <c r="BJ324" s="66"/>
      <c r="BK324" s="66"/>
      <c r="BL324" s="68"/>
      <c r="BO324" s="66"/>
      <c r="BP324" s="68"/>
      <c r="BV324" s="66"/>
      <c r="BW324" s="68"/>
      <c r="CB324" s="8"/>
      <c r="CH324" s="8"/>
      <c r="CK324" s="299"/>
      <c r="CL324" s="299"/>
      <c r="CM324" s="66"/>
      <c r="CN324" s="66"/>
      <c r="CO324" s="68"/>
      <c r="CR324" s="8"/>
      <c r="CX324" s="66"/>
      <c r="CY324" s="532"/>
      <c r="DE324" s="66"/>
      <c r="DF324" s="66"/>
      <c r="DG324" s="68"/>
      <c r="DH324" s="68"/>
      <c r="DK324" s="66"/>
      <c r="DL324" s="66"/>
      <c r="DM324" s="66"/>
      <c r="DN324" s="66"/>
      <c r="DO324" s="66"/>
      <c r="DP324" s="66"/>
      <c r="DQ324" s="66"/>
      <c r="DR324" s="66"/>
      <c r="DS324" s="66"/>
      <c r="DT324" s="68"/>
      <c r="DU324" s="66"/>
      <c r="DV324" s="296"/>
      <c r="DW324" s="330"/>
      <c r="DX324" s="631"/>
      <c r="DY324" s="631"/>
      <c r="DZ324" s="631"/>
      <c r="EA324" s="330"/>
      <c r="EC324" s="66"/>
      <c r="ED324" s="68"/>
      <c r="EH324" s="66"/>
      <c r="EI324" s="66"/>
      <c r="EJ324" s="68"/>
      <c r="EK324" s="252"/>
      <c r="EL324" s="252"/>
      <c r="EM324" s="252"/>
      <c r="EO324" s="252"/>
      <c r="EP324" s="252"/>
      <c r="EQ324" s="252"/>
      <c r="ES324" s="252"/>
      <c r="ET324" s="252"/>
      <c r="EU324" s="252"/>
      <c r="EW324" s="252"/>
      <c r="EX324" s="252"/>
      <c r="EY324" s="252"/>
      <c r="FA324" s="250"/>
      <c r="FB324" s="250"/>
      <c r="FC324" s="250"/>
      <c r="FD324" s="250"/>
      <c r="FE324" s="250"/>
      <c r="FF324" s="250"/>
      <c r="FG324" s="250"/>
      <c r="FH324" s="424"/>
      <c r="FI324" s="250"/>
      <c r="FJ324" s="250"/>
      <c r="FK324" s="250"/>
      <c r="FL324" s="256"/>
      <c r="FM324" s="250"/>
      <c r="FN324" s="256"/>
      <c r="FO324" s="250"/>
      <c r="FP324" s="256"/>
      <c r="FQ324" s="250"/>
      <c r="FR324" s="256"/>
      <c r="FS324" s="250"/>
      <c r="FT324" s="256"/>
      <c r="FU324" s="256"/>
      <c r="FV324" s="256"/>
      <c r="FW324" s="250"/>
      <c r="FX324" s="424"/>
      <c r="FY324" s="251"/>
      <c r="GC324" s="252"/>
      <c r="GF324" s="252"/>
      <c r="GG324" s="252"/>
      <c r="GH324" s="252"/>
      <c r="GI324" s="252"/>
      <c r="GJ324" s="252"/>
      <c r="GK324" s="251"/>
      <c r="GL324" s="250"/>
      <c r="GM324" s="250"/>
      <c r="GN324" s="250"/>
      <c r="GO324" s="250"/>
      <c r="GP324" s="250"/>
      <c r="GQ324" s="250"/>
      <c r="GR324" s="250"/>
      <c r="GS324" s="250"/>
      <c r="GT324" s="250"/>
      <c r="GU324" s="251"/>
      <c r="GV324" s="250"/>
      <c r="GW324" s="250"/>
      <c r="GX324" s="250"/>
      <c r="GY324" s="250"/>
      <c r="GZ324" s="250"/>
      <c r="HA324" s="250"/>
      <c r="HB324" s="250"/>
      <c r="HC324" s="250"/>
      <c r="HD324" s="250"/>
      <c r="HE324" s="250"/>
      <c r="HF324" s="250"/>
      <c r="HG324" s="250"/>
      <c r="HH324" s="251"/>
      <c r="HI324" s="424"/>
      <c r="HJ324" s="255"/>
      <c r="HK324" s="255"/>
      <c r="HL324" s="250"/>
      <c r="HM324" s="255"/>
      <c r="HN324" s="255"/>
      <c r="HO324" s="255"/>
      <c r="HP324" s="250"/>
      <c r="HQ324" s="250"/>
      <c r="HR324" s="250"/>
      <c r="HS324" s="250"/>
      <c r="HT324" s="250"/>
      <c r="HU324" s="251"/>
      <c r="HX324" s="252"/>
      <c r="HY324" s="252"/>
      <c r="HZ324" s="252"/>
      <c r="ID324" s="252"/>
      <c r="IE324" s="252"/>
      <c r="IF324" s="252"/>
      <c r="IJ324" s="252"/>
      <c r="IK324" s="252"/>
      <c r="IL324" s="252"/>
      <c r="IP324" s="252"/>
      <c r="IQ324" s="252"/>
      <c r="IR324" s="252"/>
      <c r="IY324" s="66"/>
      <c r="IZ324" s="66"/>
      <c r="JA324" s="66"/>
      <c r="JB324" s="250"/>
      <c r="JC324" s="66"/>
      <c r="JD324" s="66"/>
      <c r="JE324" s="66"/>
      <c r="JF324" s="66"/>
      <c r="JG324" s="66"/>
      <c r="JH324" s="66"/>
      <c r="JI324" s="66"/>
      <c r="JJ324" s="66"/>
      <c r="JK324" s="8"/>
      <c r="JN324" s="252"/>
      <c r="JO324" s="252"/>
      <c r="JP324" s="252"/>
      <c r="JT324" s="252"/>
      <c r="JU324" s="252"/>
      <c r="JV324" s="252"/>
      <c r="JZ324" s="252"/>
      <c r="KA324" s="252"/>
      <c r="KB324" s="252"/>
      <c r="KF324" s="252"/>
      <c r="KG324" s="252"/>
      <c r="KH324" s="252"/>
      <c r="KO324" s="66"/>
      <c r="KP324" s="66"/>
      <c r="KQ324" s="66"/>
      <c r="KR324" s="66"/>
      <c r="KS324" s="66"/>
      <c r="KT324" s="66"/>
      <c r="KU324" s="66"/>
      <c r="KV324" s="66"/>
      <c r="KW324" s="66"/>
      <c r="KX324" s="66"/>
      <c r="KY324" s="66"/>
      <c r="KZ324" s="66"/>
      <c r="LA324" s="8"/>
      <c r="LD324" s="252"/>
      <c r="LE324" s="252"/>
      <c r="LF324" s="252"/>
      <c r="LJ324" s="252"/>
      <c r="LK324" s="252"/>
      <c r="LN324" s="252"/>
      <c r="LO324" s="252"/>
      <c r="LP324" s="252"/>
      <c r="LT324" s="271"/>
      <c r="LU324" s="250"/>
      <c r="LV324" s="250"/>
      <c r="LW324" s="250"/>
      <c r="LX324" s="250"/>
      <c r="LY324" s="250"/>
      <c r="LZ324" s="250"/>
      <c r="MA324" s="250"/>
      <c r="MB324" s="250"/>
      <c r="MC324" s="250"/>
      <c r="MD324" s="250"/>
      <c r="ME324" s="250"/>
      <c r="MF324" s="250"/>
      <c r="MG324" s="250"/>
      <c r="MH324" s="250"/>
      <c r="MI324" s="250"/>
      <c r="MJ324" s="250"/>
      <c r="MK324" s="424"/>
      <c r="ML324" s="640"/>
      <c r="MM324" s="251"/>
      <c r="MN324" s="252"/>
      <c r="MO324" s="252"/>
      <c r="MP324" s="252"/>
      <c r="MQ324" s="252"/>
      <c r="MR324" s="252"/>
      <c r="MS324" s="252"/>
      <c r="MT324" s="252"/>
      <c r="MU324" s="252"/>
      <c r="MV324" s="252"/>
      <c r="MW324" s="252"/>
      <c r="MX324" s="252"/>
      <c r="MY324" s="252"/>
      <c r="MZ324" s="252"/>
      <c r="NA324" s="252"/>
      <c r="NB324" s="252"/>
      <c r="NC324" s="251"/>
      <c r="ND324" s="250"/>
      <c r="NE324" s="250"/>
      <c r="NF324" s="250"/>
      <c r="NG324" s="250"/>
      <c r="NH324" s="250"/>
      <c r="NI324" s="250"/>
      <c r="NJ324" s="250"/>
      <c r="NK324" s="250"/>
      <c r="NL324" s="250"/>
      <c r="NM324" s="250"/>
      <c r="NN324" s="250"/>
      <c r="NO324" s="250"/>
      <c r="NP324" s="250"/>
      <c r="NQ324" s="250"/>
      <c r="NR324" s="250"/>
      <c r="NS324" s="250"/>
      <c r="NT324" s="250"/>
      <c r="NU324" s="250"/>
      <c r="NV324" s="250"/>
      <c r="NW324" s="251"/>
      <c r="OT324" s="8"/>
      <c r="QG324" s="8"/>
      <c r="RT324" s="8"/>
    </row>
    <row r="325" spans="1:488" s="282" customFormat="1" x14ac:dyDescent="0.25">
      <c r="A325" s="66"/>
      <c r="B325" s="8"/>
      <c r="C325" s="66"/>
      <c r="D325" s="66"/>
      <c r="E325" s="66"/>
      <c r="F325" s="66"/>
      <c r="G325" s="66"/>
      <c r="H325" s="66"/>
      <c r="I325" s="66"/>
      <c r="J325" s="66"/>
      <c r="K325" s="66"/>
      <c r="L325" s="66"/>
      <c r="M325" s="66"/>
      <c r="N325" s="66"/>
      <c r="O325" s="66"/>
      <c r="P325" s="66"/>
      <c r="Q325" s="66"/>
      <c r="R325" s="66"/>
      <c r="S325" s="66"/>
      <c r="T325" s="68"/>
      <c r="AC325" s="66"/>
      <c r="AD325" s="66"/>
      <c r="AE325" s="68"/>
      <c r="AN325" s="66"/>
      <c r="AO325" s="66"/>
      <c r="AP325" s="68"/>
      <c r="AW325" s="66"/>
      <c r="AX325" s="68"/>
      <c r="BD325" s="66"/>
      <c r="BE325" s="68"/>
      <c r="BF325" s="66"/>
      <c r="BG325" s="66"/>
      <c r="BH325" s="66"/>
      <c r="BI325" s="66"/>
      <c r="BJ325" s="66"/>
      <c r="BK325" s="66"/>
      <c r="BL325" s="68"/>
      <c r="BO325" s="66"/>
      <c r="BP325" s="68"/>
      <c r="BV325" s="66"/>
      <c r="BW325" s="68"/>
      <c r="CB325" s="8"/>
      <c r="CH325" s="8"/>
      <c r="CK325" s="299"/>
      <c r="CL325" s="299"/>
      <c r="CM325" s="66"/>
      <c r="CN325" s="66"/>
      <c r="CO325" s="68"/>
      <c r="CR325" s="8"/>
      <c r="CX325" s="66"/>
      <c r="CY325" s="532"/>
      <c r="DE325" s="66"/>
      <c r="DF325" s="66"/>
      <c r="DG325" s="68"/>
      <c r="DH325" s="68"/>
      <c r="DK325" s="66"/>
      <c r="DL325" s="66"/>
      <c r="DM325" s="66"/>
      <c r="DN325" s="66"/>
      <c r="DO325" s="66"/>
      <c r="DP325" s="66"/>
      <c r="DQ325" s="66"/>
      <c r="DR325" s="66"/>
      <c r="DS325" s="66"/>
      <c r="DT325" s="68"/>
      <c r="DU325" s="66"/>
      <c r="DV325" s="296"/>
      <c r="DW325" s="330"/>
      <c r="DX325" s="631"/>
      <c r="DY325" s="631"/>
      <c r="DZ325" s="631"/>
      <c r="EA325" s="330"/>
      <c r="EC325" s="66"/>
      <c r="ED325" s="68"/>
      <c r="EH325" s="66"/>
      <c r="EI325" s="66"/>
      <c r="EJ325" s="68"/>
      <c r="EK325" s="252"/>
      <c r="EL325" s="252"/>
      <c r="EM325" s="252"/>
      <c r="EO325" s="252"/>
      <c r="EP325" s="252"/>
      <c r="EQ325" s="252"/>
      <c r="ES325" s="252"/>
      <c r="ET325" s="252"/>
      <c r="EU325" s="252"/>
      <c r="EW325" s="252"/>
      <c r="EX325" s="252"/>
      <c r="EY325" s="252"/>
      <c r="FA325" s="250"/>
      <c r="FB325" s="250"/>
      <c r="FC325" s="250"/>
      <c r="FD325" s="250"/>
      <c r="FE325" s="250"/>
      <c r="FF325" s="250"/>
      <c r="FG325" s="250"/>
      <c r="FH325" s="424"/>
      <c r="FI325" s="250"/>
      <c r="FJ325" s="250"/>
      <c r="FK325" s="250"/>
      <c r="FL325" s="256"/>
      <c r="FM325" s="250"/>
      <c r="FN325" s="256"/>
      <c r="FO325" s="250"/>
      <c r="FP325" s="256"/>
      <c r="FQ325" s="250"/>
      <c r="FR325" s="256"/>
      <c r="FS325" s="250"/>
      <c r="FT325" s="256"/>
      <c r="FU325" s="256"/>
      <c r="FV325" s="256"/>
      <c r="FW325" s="250"/>
      <c r="FX325" s="424"/>
      <c r="FY325" s="251"/>
      <c r="GC325" s="252"/>
      <c r="GF325" s="252"/>
      <c r="GG325" s="252"/>
      <c r="GH325" s="252"/>
      <c r="GI325" s="252"/>
      <c r="GJ325" s="252"/>
      <c r="GK325" s="251"/>
      <c r="GL325" s="250"/>
      <c r="GM325" s="250"/>
      <c r="GN325" s="250"/>
      <c r="GO325" s="250"/>
      <c r="GP325" s="250"/>
      <c r="GQ325" s="250"/>
      <c r="GR325" s="250"/>
      <c r="GS325" s="250"/>
      <c r="GT325" s="250"/>
      <c r="GU325" s="251"/>
      <c r="GV325" s="250"/>
      <c r="GW325" s="250"/>
      <c r="GX325" s="250"/>
      <c r="GY325" s="250"/>
      <c r="GZ325" s="250"/>
      <c r="HA325" s="250"/>
      <c r="HB325" s="250"/>
      <c r="HC325" s="250"/>
      <c r="HD325" s="250"/>
      <c r="HE325" s="250"/>
      <c r="HF325" s="250"/>
      <c r="HG325" s="250"/>
      <c r="HH325" s="251"/>
      <c r="HI325" s="424"/>
      <c r="HJ325" s="255"/>
      <c r="HK325" s="255"/>
      <c r="HL325" s="250"/>
      <c r="HM325" s="255"/>
      <c r="HN325" s="255"/>
      <c r="HO325" s="255"/>
      <c r="HP325" s="250"/>
      <c r="HQ325" s="250"/>
      <c r="HR325" s="250"/>
      <c r="HS325" s="250"/>
      <c r="HT325" s="250"/>
      <c r="HU325" s="251"/>
      <c r="HX325" s="252"/>
      <c r="HY325" s="252"/>
      <c r="HZ325" s="252"/>
      <c r="ID325" s="252"/>
      <c r="IE325" s="252"/>
      <c r="IF325" s="252"/>
      <c r="IJ325" s="252"/>
      <c r="IK325" s="252"/>
      <c r="IL325" s="252"/>
      <c r="IP325" s="252"/>
      <c r="IQ325" s="252"/>
      <c r="IR325" s="252"/>
      <c r="IY325" s="66"/>
      <c r="IZ325" s="66"/>
      <c r="JA325" s="66"/>
      <c r="JB325" s="250"/>
      <c r="JC325" s="66"/>
      <c r="JD325" s="66"/>
      <c r="JE325" s="66"/>
      <c r="JF325" s="66"/>
      <c r="JG325" s="66"/>
      <c r="JH325" s="66"/>
      <c r="JI325" s="66"/>
      <c r="JJ325" s="66"/>
      <c r="JK325" s="8"/>
      <c r="JN325" s="252"/>
      <c r="JO325" s="252"/>
      <c r="JP325" s="252"/>
      <c r="JT325" s="252"/>
      <c r="JU325" s="252"/>
      <c r="JV325" s="252"/>
      <c r="JZ325" s="252"/>
      <c r="KA325" s="252"/>
      <c r="KB325" s="252"/>
      <c r="KF325" s="252"/>
      <c r="KG325" s="252"/>
      <c r="KH325" s="252"/>
      <c r="KO325" s="66"/>
      <c r="KP325" s="66"/>
      <c r="KQ325" s="66"/>
      <c r="KR325" s="66"/>
      <c r="KS325" s="66"/>
      <c r="KT325" s="66"/>
      <c r="KU325" s="66"/>
      <c r="KV325" s="66"/>
      <c r="KW325" s="66"/>
      <c r="KX325" s="66"/>
      <c r="KY325" s="66"/>
      <c r="KZ325" s="66"/>
      <c r="LA325" s="8"/>
      <c r="LD325" s="252"/>
      <c r="LE325" s="252"/>
      <c r="LF325" s="252"/>
      <c r="LJ325" s="252"/>
      <c r="LK325" s="252"/>
      <c r="LN325" s="252"/>
      <c r="LO325" s="252"/>
      <c r="LP325" s="252"/>
      <c r="LT325" s="271"/>
      <c r="LU325" s="250"/>
      <c r="LV325" s="250"/>
      <c r="LW325" s="250"/>
      <c r="LX325" s="250"/>
      <c r="LY325" s="250"/>
      <c r="LZ325" s="250"/>
      <c r="MA325" s="250"/>
      <c r="MB325" s="250"/>
      <c r="MC325" s="250"/>
      <c r="MD325" s="250"/>
      <c r="ME325" s="250"/>
      <c r="MF325" s="250"/>
      <c r="MG325" s="250"/>
      <c r="MH325" s="250"/>
      <c r="MI325" s="250"/>
      <c r="MJ325" s="250"/>
      <c r="MK325" s="424"/>
      <c r="ML325" s="640"/>
      <c r="MM325" s="251"/>
      <c r="MN325" s="252"/>
      <c r="MO325" s="252"/>
      <c r="MP325" s="252"/>
      <c r="MQ325" s="252"/>
      <c r="MR325" s="252"/>
      <c r="MS325" s="252"/>
      <c r="MT325" s="252"/>
      <c r="MU325" s="252"/>
      <c r="MV325" s="252"/>
      <c r="MW325" s="252"/>
      <c r="MX325" s="252"/>
      <c r="MY325" s="252"/>
      <c r="MZ325" s="252"/>
      <c r="NA325" s="252"/>
      <c r="NB325" s="252"/>
      <c r="NC325" s="251"/>
      <c r="ND325" s="250"/>
      <c r="NE325" s="250"/>
      <c r="NF325" s="250"/>
      <c r="NG325" s="250"/>
      <c r="NH325" s="250"/>
      <c r="NI325" s="250"/>
      <c r="NJ325" s="250"/>
      <c r="NK325" s="250"/>
      <c r="NL325" s="250"/>
      <c r="NM325" s="250"/>
      <c r="NN325" s="250"/>
      <c r="NO325" s="250"/>
      <c r="NP325" s="250"/>
      <c r="NQ325" s="250"/>
      <c r="NR325" s="250"/>
      <c r="NS325" s="250"/>
      <c r="NT325" s="250"/>
      <c r="NU325" s="250"/>
      <c r="NV325" s="250"/>
      <c r="NW325" s="251"/>
      <c r="OT325" s="8"/>
      <c r="QG325" s="8"/>
      <c r="RT325" s="8"/>
    </row>
    <row r="326" spans="1:488" s="282" customFormat="1" x14ac:dyDescent="0.25">
      <c r="A326" s="66"/>
      <c r="B326" s="8"/>
      <c r="C326" s="66"/>
      <c r="D326" s="66"/>
      <c r="E326" s="66"/>
      <c r="F326" s="66"/>
      <c r="G326" s="66"/>
      <c r="H326" s="66"/>
      <c r="I326" s="66"/>
      <c r="J326" s="66"/>
      <c r="K326" s="66"/>
      <c r="L326" s="66"/>
      <c r="M326" s="66"/>
      <c r="N326" s="66"/>
      <c r="O326" s="66"/>
      <c r="P326" s="66"/>
      <c r="Q326" s="66"/>
      <c r="R326" s="66"/>
      <c r="S326" s="66"/>
      <c r="T326" s="68"/>
      <c r="AC326" s="66"/>
      <c r="AD326" s="66"/>
      <c r="AE326" s="68"/>
      <c r="AN326" s="66"/>
      <c r="AO326" s="66"/>
      <c r="AP326" s="68"/>
      <c r="AW326" s="66"/>
      <c r="AX326" s="68"/>
      <c r="BD326" s="66"/>
      <c r="BE326" s="68"/>
      <c r="BF326" s="66"/>
      <c r="BG326" s="66"/>
      <c r="BH326" s="66"/>
      <c r="BI326" s="66"/>
      <c r="BJ326" s="66"/>
      <c r="BK326" s="66"/>
      <c r="BL326" s="68"/>
      <c r="BO326" s="66"/>
      <c r="BP326" s="68"/>
      <c r="BV326" s="66"/>
      <c r="BW326" s="68"/>
      <c r="CB326" s="8"/>
      <c r="CH326" s="8"/>
      <c r="CK326" s="299"/>
      <c r="CL326" s="299"/>
      <c r="CM326" s="66"/>
      <c r="CN326" s="66"/>
      <c r="CO326" s="68"/>
      <c r="CR326" s="8"/>
      <c r="CX326" s="66"/>
      <c r="CY326" s="532"/>
      <c r="DE326" s="66"/>
      <c r="DF326" s="66"/>
      <c r="DG326" s="68"/>
      <c r="DH326" s="68"/>
      <c r="DK326" s="66"/>
      <c r="DL326" s="66"/>
      <c r="DM326" s="66"/>
      <c r="DN326" s="66"/>
      <c r="DO326" s="66"/>
      <c r="DP326" s="66"/>
      <c r="DQ326" s="66"/>
      <c r="DR326" s="66"/>
      <c r="DS326" s="66"/>
      <c r="DT326" s="68"/>
      <c r="DU326" s="66"/>
      <c r="DV326" s="296"/>
      <c r="DW326" s="330"/>
      <c r="DX326" s="631"/>
      <c r="DY326" s="631"/>
      <c r="DZ326" s="631"/>
      <c r="EA326" s="330"/>
      <c r="EC326" s="66"/>
      <c r="ED326" s="68"/>
      <c r="EH326" s="66"/>
      <c r="EI326" s="66"/>
      <c r="EJ326" s="68"/>
      <c r="EK326" s="252"/>
      <c r="EL326" s="252"/>
      <c r="EM326" s="252"/>
      <c r="EO326" s="252"/>
      <c r="EP326" s="252"/>
      <c r="EQ326" s="252"/>
      <c r="ES326" s="252"/>
      <c r="ET326" s="252"/>
      <c r="EU326" s="252"/>
      <c r="EW326" s="252"/>
      <c r="EX326" s="252"/>
      <c r="EY326" s="252"/>
      <c r="FA326" s="250"/>
      <c r="FB326" s="250"/>
      <c r="FC326" s="250"/>
      <c r="FD326" s="250"/>
      <c r="FE326" s="250"/>
      <c r="FF326" s="250"/>
      <c r="FG326" s="250"/>
      <c r="FH326" s="424"/>
      <c r="FI326" s="250"/>
      <c r="FJ326" s="250"/>
      <c r="FK326" s="250"/>
      <c r="FL326" s="256"/>
      <c r="FM326" s="250"/>
      <c r="FN326" s="256"/>
      <c r="FO326" s="250"/>
      <c r="FP326" s="256"/>
      <c r="FQ326" s="250"/>
      <c r="FR326" s="256"/>
      <c r="FS326" s="250"/>
      <c r="FT326" s="256"/>
      <c r="FU326" s="256"/>
      <c r="FV326" s="256"/>
      <c r="FW326" s="250"/>
      <c r="FX326" s="424"/>
      <c r="FY326" s="251"/>
      <c r="GC326" s="252"/>
      <c r="GF326" s="252"/>
      <c r="GG326" s="252"/>
      <c r="GH326" s="252"/>
      <c r="GI326" s="252"/>
      <c r="GJ326" s="252"/>
      <c r="GK326" s="251"/>
      <c r="GL326" s="250"/>
      <c r="GM326" s="250"/>
      <c r="GN326" s="250"/>
      <c r="GO326" s="250"/>
      <c r="GP326" s="250"/>
      <c r="GQ326" s="250"/>
      <c r="GR326" s="250"/>
      <c r="GS326" s="250"/>
      <c r="GT326" s="250"/>
      <c r="GU326" s="251"/>
      <c r="GV326" s="250"/>
      <c r="GW326" s="250"/>
      <c r="GX326" s="250"/>
      <c r="GY326" s="250"/>
      <c r="GZ326" s="250"/>
      <c r="HA326" s="250"/>
      <c r="HB326" s="250"/>
      <c r="HC326" s="250"/>
      <c r="HD326" s="250"/>
      <c r="HE326" s="250"/>
      <c r="HF326" s="250"/>
      <c r="HG326" s="250"/>
      <c r="HH326" s="251"/>
      <c r="HI326" s="424"/>
      <c r="HJ326" s="255"/>
      <c r="HK326" s="255"/>
      <c r="HL326" s="250"/>
      <c r="HM326" s="255"/>
      <c r="HN326" s="255"/>
      <c r="HO326" s="255"/>
      <c r="HP326" s="250"/>
      <c r="HQ326" s="250"/>
      <c r="HR326" s="250"/>
      <c r="HS326" s="250"/>
      <c r="HT326" s="250"/>
      <c r="HU326" s="251"/>
      <c r="HX326" s="252"/>
      <c r="HY326" s="252"/>
      <c r="HZ326" s="252"/>
      <c r="ID326" s="252"/>
      <c r="IE326" s="252"/>
      <c r="IF326" s="252"/>
      <c r="IJ326" s="252"/>
      <c r="IK326" s="252"/>
      <c r="IL326" s="252"/>
      <c r="IP326" s="252"/>
      <c r="IQ326" s="252"/>
      <c r="IR326" s="252"/>
      <c r="IY326" s="66"/>
      <c r="IZ326" s="66"/>
      <c r="JA326" s="66"/>
      <c r="JB326" s="250"/>
      <c r="JC326" s="66"/>
      <c r="JD326" s="66"/>
      <c r="JE326" s="66"/>
      <c r="JF326" s="66"/>
      <c r="JG326" s="66"/>
      <c r="JH326" s="66"/>
      <c r="JI326" s="66"/>
      <c r="JJ326" s="66"/>
      <c r="JK326" s="8"/>
      <c r="JN326" s="252"/>
      <c r="JO326" s="252"/>
      <c r="JP326" s="252"/>
      <c r="JT326" s="252"/>
      <c r="JU326" s="252"/>
      <c r="JV326" s="252"/>
      <c r="JZ326" s="252"/>
      <c r="KA326" s="252"/>
      <c r="KB326" s="252"/>
      <c r="KF326" s="252"/>
      <c r="KG326" s="252"/>
      <c r="KH326" s="252"/>
      <c r="KO326" s="66"/>
      <c r="KP326" s="66"/>
      <c r="KQ326" s="66"/>
      <c r="KR326" s="66"/>
      <c r="KS326" s="66"/>
      <c r="KT326" s="66"/>
      <c r="KU326" s="66"/>
      <c r="KV326" s="66"/>
      <c r="KW326" s="66"/>
      <c r="KX326" s="66"/>
      <c r="KY326" s="66"/>
      <c r="KZ326" s="66"/>
      <c r="LA326" s="8"/>
      <c r="LD326" s="252"/>
      <c r="LE326" s="252"/>
      <c r="LF326" s="252"/>
      <c r="LJ326" s="252"/>
      <c r="LK326" s="252"/>
      <c r="LN326" s="252"/>
      <c r="LO326" s="252"/>
      <c r="LP326" s="252"/>
      <c r="LT326" s="271"/>
      <c r="LU326" s="250"/>
      <c r="LV326" s="250"/>
      <c r="LW326" s="250"/>
      <c r="LX326" s="250"/>
      <c r="LY326" s="250"/>
      <c r="LZ326" s="250"/>
      <c r="MA326" s="250"/>
      <c r="MB326" s="250"/>
      <c r="MC326" s="250"/>
      <c r="MD326" s="250"/>
      <c r="ME326" s="250"/>
      <c r="MF326" s="250"/>
      <c r="MG326" s="250"/>
      <c r="MH326" s="250"/>
      <c r="MI326" s="250"/>
      <c r="MJ326" s="250"/>
      <c r="MK326" s="424"/>
      <c r="ML326" s="640"/>
      <c r="MM326" s="251"/>
      <c r="MN326" s="252"/>
      <c r="MO326" s="252"/>
      <c r="MP326" s="252"/>
      <c r="MQ326" s="252"/>
      <c r="MR326" s="252"/>
      <c r="MS326" s="252"/>
      <c r="MT326" s="252"/>
      <c r="MU326" s="252"/>
      <c r="MV326" s="252"/>
      <c r="MW326" s="252"/>
      <c r="MX326" s="252"/>
      <c r="MY326" s="252"/>
      <c r="MZ326" s="252"/>
      <c r="NA326" s="252"/>
      <c r="NB326" s="252"/>
      <c r="NC326" s="251"/>
      <c r="ND326" s="250"/>
      <c r="NE326" s="250"/>
      <c r="NF326" s="250"/>
      <c r="NG326" s="250"/>
      <c r="NH326" s="250"/>
      <c r="NI326" s="250"/>
      <c r="NJ326" s="250"/>
      <c r="NK326" s="250"/>
      <c r="NL326" s="250"/>
      <c r="NM326" s="250"/>
      <c r="NN326" s="250"/>
      <c r="NO326" s="250"/>
      <c r="NP326" s="250"/>
      <c r="NQ326" s="250"/>
      <c r="NR326" s="250"/>
      <c r="NS326" s="250"/>
      <c r="NT326" s="250"/>
      <c r="NU326" s="250"/>
      <c r="NV326" s="250"/>
      <c r="NW326" s="251"/>
      <c r="OT326" s="8"/>
      <c r="QG326" s="8"/>
      <c r="RT326" s="8"/>
    </row>
    <row r="327" spans="1:488" s="282" customFormat="1" x14ac:dyDescent="0.25">
      <c r="A327" s="66"/>
      <c r="B327" s="8"/>
      <c r="C327" s="66"/>
      <c r="D327" s="66"/>
      <c r="E327" s="66"/>
      <c r="F327" s="66"/>
      <c r="G327" s="66"/>
      <c r="H327" s="66"/>
      <c r="I327" s="66"/>
      <c r="J327" s="66"/>
      <c r="K327" s="66"/>
      <c r="L327" s="66"/>
      <c r="M327" s="66"/>
      <c r="N327" s="66"/>
      <c r="O327" s="66"/>
      <c r="P327" s="66"/>
      <c r="Q327" s="66"/>
      <c r="R327" s="66"/>
      <c r="S327" s="66"/>
      <c r="T327" s="68"/>
      <c r="AC327" s="66"/>
      <c r="AD327" s="66"/>
      <c r="AE327" s="68"/>
      <c r="AN327" s="66"/>
      <c r="AO327" s="66"/>
      <c r="AP327" s="68"/>
      <c r="AW327" s="66"/>
      <c r="AX327" s="68"/>
      <c r="BD327" s="66"/>
      <c r="BE327" s="68"/>
      <c r="BF327" s="66"/>
      <c r="BG327" s="66"/>
      <c r="BH327" s="66"/>
      <c r="BI327" s="66"/>
      <c r="BJ327" s="66"/>
      <c r="BK327" s="66"/>
      <c r="BL327" s="68"/>
      <c r="BO327" s="66"/>
      <c r="BP327" s="68"/>
      <c r="BV327" s="66"/>
      <c r="BW327" s="68"/>
      <c r="CB327" s="8"/>
      <c r="CH327" s="8"/>
      <c r="CK327" s="299"/>
      <c r="CL327" s="299"/>
      <c r="CM327" s="66"/>
      <c r="CN327" s="66"/>
      <c r="CO327" s="68"/>
      <c r="CR327" s="8"/>
      <c r="CX327" s="66"/>
      <c r="CY327" s="532"/>
      <c r="DE327" s="66"/>
      <c r="DF327" s="66"/>
      <c r="DG327" s="68"/>
      <c r="DH327" s="68"/>
      <c r="DK327" s="66"/>
      <c r="DL327" s="66"/>
      <c r="DM327" s="66"/>
      <c r="DN327" s="66"/>
      <c r="DO327" s="66"/>
      <c r="DP327" s="66"/>
      <c r="DQ327" s="66"/>
      <c r="DR327" s="66"/>
      <c r="DS327" s="66"/>
      <c r="DT327" s="68"/>
      <c r="DU327" s="66"/>
      <c r="DV327" s="296"/>
      <c r="DW327" s="330"/>
      <c r="DX327" s="631"/>
      <c r="DY327" s="631"/>
      <c r="DZ327" s="631"/>
      <c r="EA327" s="330"/>
      <c r="EC327" s="66"/>
      <c r="ED327" s="68"/>
      <c r="EH327" s="66"/>
      <c r="EI327" s="66"/>
      <c r="EJ327" s="68"/>
      <c r="EK327" s="252"/>
      <c r="EL327" s="252"/>
      <c r="EM327" s="252"/>
      <c r="EO327" s="252"/>
      <c r="EP327" s="252"/>
      <c r="EQ327" s="252"/>
      <c r="ES327" s="252"/>
      <c r="ET327" s="252"/>
      <c r="EU327" s="252"/>
      <c r="EW327" s="252"/>
      <c r="EX327" s="252"/>
      <c r="EY327" s="252"/>
      <c r="FA327" s="250"/>
      <c r="FB327" s="250"/>
      <c r="FC327" s="250"/>
      <c r="FD327" s="250"/>
      <c r="FE327" s="250"/>
      <c r="FF327" s="250"/>
      <c r="FG327" s="250"/>
      <c r="FH327" s="424"/>
      <c r="FI327" s="250"/>
      <c r="FJ327" s="250"/>
      <c r="FK327" s="250"/>
      <c r="FL327" s="256"/>
      <c r="FM327" s="250"/>
      <c r="FN327" s="256"/>
      <c r="FO327" s="250"/>
      <c r="FP327" s="256"/>
      <c r="FQ327" s="250"/>
      <c r="FR327" s="256"/>
      <c r="FS327" s="250"/>
      <c r="FT327" s="256"/>
      <c r="FU327" s="256"/>
      <c r="FV327" s="256"/>
      <c r="FW327" s="250"/>
      <c r="FX327" s="424"/>
      <c r="FY327" s="251"/>
      <c r="GC327" s="252"/>
      <c r="GF327" s="252"/>
      <c r="GG327" s="252"/>
      <c r="GH327" s="252"/>
      <c r="GI327" s="252"/>
      <c r="GJ327" s="252"/>
      <c r="GK327" s="251"/>
      <c r="GL327" s="250"/>
      <c r="GM327" s="250"/>
      <c r="GN327" s="250"/>
      <c r="GO327" s="250"/>
      <c r="GP327" s="250"/>
      <c r="GQ327" s="250"/>
      <c r="GR327" s="250"/>
      <c r="GS327" s="250"/>
      <c r="GT327" s="250"/>
      <c r="GU327" s="251"/>
      <c r="GV327" s="250"/>
      <c r="GW327" s="250"/>
      <c r="GX327" s="250"/>
      <c r="GY327" s="250"/>
      <c r="GZ327" s="250"/>
      <c r="HA327" s="250"/>
      <c r="HB327" s="250"/>
      <c r="HC327" s="250"/>
      <c r="HD327" s="250"/>
      <c r="HE327" s="250"/>
      <c r="HF327" s="250"/>
      <c r="HG327" s="250"/>
      <c r="HH327" s="251"/>
      <c r="HI327" s="424"/>
      <c r="HJ327" s="255"/>
      <c r="HK327" s="255"/>
      <c r="HL327" s="250"/>
      <c r="HM327" s="255"/>
      <c r="HN327" s="255"/>
      <c r="HO327" s="255"/>
      <c r="HP327" s="250"/>
      <c r="HQ327" s="250"/>
      <c r="HR327" s="250"/>
      <c r="HS327" s="250"/>
      <c r="HT327" s="250"/>
      <c r="HU327" s="251"/>
      <c r="HX327" s="252"/>
      <c r="HY327" s="252"/>
      <c r="HZ327" s="252"/>
      <c r="ID327" s="252"/>
      <c r="IE327" s="252"/>
      <c r="IF327" s="252"/>
      <c r="IJ327" s="252"/>
      <c r="IK327" s="252"/>
      <c r="IL327" s="252"/>
      <c r="IP327" s="252"/>
      <c r="IQ327" s="252"/>
      <c r="IR327" s="252"/>
      <c r="IY327" s="66"/>
      <c r="IZ327" s="66"/>
      <c r="JA327" s="66"/>
      <c r="JB327" s="250"/>
      <c r="JC327" s="66"/>
      <c r="JD327" s="66"/>
      <c r="JE327" s="66"/>
      <c r="JF327" s="66"/>
      <c r="JG327" s="66"/>
      <c r="JH327" s="66"/>
      <c r="JI327" s="66"/>
      <c r="JJ327" s="66"/>
      <c r="JK327" s="8"/>
      <c r="JN327" s="252"/>
      <c r="JO327" s="252"/>
      <c r="JP327" s="252"/>
      <c r="JT327" s="252"/>
      <c r="JU327" s="252"/>
      <c r="JV327" s="252"/>
      <c r="JZ327" s="252"/>
      <c r="KA327" s="252"/>
      <c r="KB327" s="252"/>
      <c r="KF327" s="252"/>
      <c r="KG327" s="252"/>
      <c r="KH327" s="252"/>
      <c r="KO327" s="66"/>
      <c r="KP327" s="66"/>
      <c r="KQ327" s="66"/>
      <c r="KR327" s="66"/>
      <c r="KS327" s="66"/>
      <c r="KT327" s="66"/>
      <c r="KU327" s="66"/>
      <c r="KV327" s="66"/>
      <c r="KW327" s="66"/>
      <c r="KX327" s="66"/>
      <c r="KY327" s="66"/>
      <c r="KZ327" s="66"/>
      <c r="LA327" s="8"/>
      <c r="LD327" s="252"/>
      <c r="LE327" s="252"/>
      <c r="LF327" s="252"/>
      <c r="LJ327" s="252"/>
      <c r="LK327" s="252"/>
      <c r="LN327" s="252"/>
      <c r="LO327" s="252"/>
      <c r="LP327" s="252"/>
      <c r="LT327" s="271"/>
      <c r="LU327" s="250"/>
      <c r="LV327" s="250"/>
      <c r="LW327" s="250"/>
      <c r="LX327" s="250"/>
      <c r="LY327" s="250"/>
      <c r="LZ327" s="250"/>
      <c r="MA327" s="250"/>
      <c r="MB327" s="250"/>
      <c r="MC327" s="250"/>
      <c r="MD327" s="250"/>
      <c r="ME327" s="250"/>
      <c r="MF327" s="250"/>
      <c r="MG327" s="250"/>
      <c r="MH327" s="250"/>
      <c r="MI327" s="250"/>
      <c r="MJ327" s="250"/>
      <c r="MK327" s="424"/>
      <c r="ML327" s="640"/>
      <c r="MM327" s="251"/>
      <c r="MN327" s="252"/>
      <c r="MO327" s="252"/>
      <c r="MP327" s="252"/>
      <c r="MQ327" s="252"/>
      <c r="MR327" s="252"/>
      <c r="MS327" s="252"/>
      <c r="MT327" s="252"/>
      <c r="MU327" s="252"/>
      <c r="MV327" s="252"/>
      <c r="MW327" s="252"/>
      <c r="MX327" s="252"/>
      <c r="MY327" s="252"/>
      <c r="MZ327" s="252"/>
      <c r="NA327" s="252"/>
      <c r="NB327" s="252"/>
      <c r="NC327" s="251"/>
      <c r="ND327" s="250"/>
      <c r="NE327" s="250"/>
      <c r="NF327" s="250"/>
      <c r="NG327" s="250"/>
      <c r="NH327" s="250"/>
      <c r="NI327" s="250"/>
      <c r="NJ327" s="250"/>
      <c r="NK327" s="250"/>
      <c r="NL327" s="250"/>
      <c r="NM327" s="250"/>
      <c r="NN327" s="250"/>
      <c r="NO327" s="250"/>
      <c r="NP327" s="250"/>
      <c r="NQ327" s="250"/>
      <c r="NR327" s="250"/>
      <c r="NS327" s="250"/>
      <c r="NT327" s="250"/>
      <c r="NU327" s="250"/>
      <c r="NV327" s="250"/>
      <c r="NW327" s="251"/>
      <c r="OT327" s="8"/>
      <c r="QG327" s="8"/>
      <c r="RT327" s="8"/>
    </row>
    <row r="328" spans="1:488" s="282" customFormat="1" x14ac:dyDescent="0.25">
      <c r="A328" s="66"/>
      <c r="B328" s="8"/>
      <c r="C328" s="66"/>
      <c r="D328" s="66"/>
      <c r="E328" s="66"/>
      <c r="F328" s="66"/>
      <c r="G328" s="66"/>
      <c r="H328" s="66"/>
      <c r="I328" s="66"/>
      <c r="J328" s="66"/>
      <c r="K328" s="66"/>
      <c r="L328" s="66"/>
      <c r="M328" s="66"/>
      <c r="N328" s="66"/>
      <c r="O328" s="66"/>
      <c r="P328" s="66"/>
      <c r="Q328" s="66"/>
      <c r="R328" s="66"/>
      <c r="S328" s="66"/>
      <c r="T328" s="68"/>
      <c r="AC328" s="66"/>
      <c r="AD328" s="66"/>
      <c r="AE328" s="68"/>
      <c r="AN328" s="66"/>
      <c r="AO328" s="66"/>
      <c r="AP328" s="68"/>
      <c r="AW328" s="66"/>
      <c r="AX328" s="68"/>
      <c r="BD328" s="66"/>
      <c r="BE328" s="68"/>
      <c r="BF328" s="66"/>
      <c r="BG328" s="66"/>
      <c r="BH328" s="66"/>
      <c r="BI328" s="66"/>
      <c r="BJ328" s="66"/>
      <c r="BK328" s="66"/>
      <c r="BL328" s="68"/>
      <c r="BO328" s="66"/>
      <c r="BP328" s="68"/>
      <c r="BV328" s="66"/>
      <c r="BW328" s="68"/>
      <c r="CB328" s="8"/>
      <c r="CH328" s="8"/>
      <c r="CK328" s="299"/>
      <c r="CL328" s="299"/>
      <c r="CM328" s="66"/>
      <c r="CN328" s="66"/>
      <c r="CO328" s="68"/>
      <c r="CR328" s="8"/>
      <c r="CX328" s="66"/>
      <c r="CY328" s="532"/>
      <c r="DE328" s="66"/>
      <c r="DF328" s="66"/>
      <c r="DG328" s="68"/>
      <c r="DH328" s="68"/>
      <c r="DK328" s="66"/>
      <c r="DL328" s="66"/>
      <c r="DM328" s="66"/>
      <c r="DN328" s="66"/>
      <c r="DO328" s="66"/>
      <c r="DP328" s="66"/>
      <c r="DQ328" s="66"/>
      <c r="DR328" s="66"/>
      <c r="DS328" s="66"/>
      <c r="DT328" s="68"/>
      <c r="DU328" s="66"/>
      <c r="DV328" s="296"/>
      <c r="DW328" s="330"/>
      <c r="DX328" s="631"/>
      <c r="DY328" s="631"/>
      <c r="DZ328" s="631"/>
      <c r="EA328" s="330"/>
      <c r="EC328" s="66"/>
      <c r="ED328" s="68"/>
      <c r="EH328" s="66"/>
      <c r="EI328" s="66"/>
      <c r="EJ328" s="68"/>
      <c r="EK328" s="252"/>
      <c r="EL328" s="252"/>
      <c r="EM328" s="252"/>
      <c r="EO328" s="252"/>
      <c r="EP328" s="252"/>
      <c r="EQ328" s="252"/>
      <c r="ES328" s="252"/>
      <c r="ET328" s="252"/>
      <c r="EU328" s="252"/>
      <c r="EW328" s="252"/>
      <c r="EX328" s="252"/>
      <c r="EY328" s="252"/>
      <c r="FA328" s="250"/>
      <c r="FB328" s="250"/>
      <c r="FC328" s="250"/>
      <c r="FD328" s="250"/>
      <c r="FE328" s="250"/>
      <c r="FF328" s="250"/>
      <c r="FG328" s="250"/>
      <c r="FH328" s="424"/>
      <c r="FI328" s="250"/>
      <c r="FJ328" s="250"/>
      <c r="FK328" s="250"/>
      <c r="FL328" s="256"/>
      <c r="FM328" s="250"/>
      <c r="FN328" s="256"/>
      <c r="FO328" s="250"/>
      <c r="FP328" s="256"/>
      <c r="FQ328" s="250"/>
      <c r="FR328" s="256"/>
      <c r="FS328" s="250"/>
      <c r="FT328" s="256"/>
      <c r="FU328" s="256"/>
      <c r="FV328" s="256"/>
      <c r="FW328" s="250"/>
      <c r="FX328" s="424"/>
      <c r="FY328" s="251"/>
      <c r="GC328" s="252"/>
      <c r="GF328" s="252"/>
      <c r="GG328" s="252"/>
      <c r="GH328" s="252"/>
      <c r="GI328" s="252"/>
      <c r="GJ328" s="252"/>
      <c r="GK328" s="251"/>
      <c r="GL328" s="250"/>
      <c r="GM328" s="250"/>
      <c r="GN328" s="250"/>
      <c r="GO328" s="250"/>
      <c r="GP328" s="250"/>
      <c r="GQ328" s="250"/>
      <c r="GR328" s="250"/>
      <c r="GS328" s="250"/>
      <c r="GT328" s="250"/>
      <c r="GU328" s="251"/>
      <c r="GV328" s="250"/>
      <c r="GW328" s="250"/>
      <c r="GX328" s="250"/>
      <c r="GY328" s="250"/>
      <c r="GZ328" s="250"/>
      <c r="HA328" s="250"/>
      <c r="HB328" s="250"/>
      <c r="HC328" s="250"/>
      <c r="HD328" s="250"/>
      <c r="HE328" s="250"/>
      <c r="HF328" s="250"/>
      <c r="HG328" s="250"/>
      <c r="HH328" s="251"/>
      <c r="HI328" s="424"/>
      <c r="HJ328" s="255"/>
      <c r="HK328" s="255"/>
      <c r="HL328" s="250"/>
      <c r="HM328" s="255"/>
      <c r="HN328" s="255"/>
      <c r="HO328" s="255"/>
      <c r="HP328" s="250"/>
      <c r="HQ328" s="250"/>
      <c r="HR328" s="250"/>
      <c r="HS328" s="250"/>
      <c r="HT328" s="250"/>
      <c r="HU328" s="251"/>
      <c r="HX328" s="252"/>
      <c r="HY328" s="252"/>
      <c r="HZ328" s="252"/>
      <c r="ID328" s="252"/>
      <c r="IE328" s="252"/>
      <c r="IF328" s="252"/>
      <c r="IJ328" s="252"/>
      <c r="IK328" s="252"/>
      <c r="IL328" s="252"/>
      <c r="IP328" s="252"/>
      <c r="IQ328" s="252"/>
      <c r="IR328" s="252"/>
      <c r="IY328" s="66"/>
      <c r="IZ328" s="66"/>
      <c r="JA328" s="66"/>
      <c r="JB328" s="250"/>
      <c r="JC328" s="66"/>
      <c r="JD328" s="66"/>
      <c r="JE328" s="66"/>
      <c r="JF328" s="66"/>
      <c r="JG328" s="66"/>
      <c r="JH328" s="66"/>
      <c r="JI328" s="66"/>
      <c r="JJ328" s="66"/>
      <c r="JK328" s="8"/>
      <c r="JN328" s="252"/>
      <c r="JO328" s="252"/>
      <c r="JP328" s="252"/>
      <c r="JT328" s="252"/>
      <c r="JU328" s="252"/>
      <c r="JV328" s="252"/>
      <c r="JZ328" s="252"/>
      <c r="KA328" s="252"/>
      <c r="KB328" s="252"/>
      <c r="KF328" s="252"/>
      <c r="KG328" s="252"/>
      <c r="KH328" s="252"/>
      <c r="KO328" s="66"/>
      <c r="KP328" s="66"/>
      <c r="KQ328" s="66"/>
      <c r="KR328" s="66"/>
      <c r="KS328" s="66"/>
      <c r="KT328" s="66"/>
      <c r="KU328" s="66"/>
      <c r="KV328" s="66"/>
      <c r="KW328" s="66"/>
      <c r="KX328" s="66"/>
      <c r="KY328" s="66"/>
      <c r="KZ328" s="66"/>
      <c r="LA328" s="8"/>
      <c r="LD328" s="252"/>
      <c r="LE328" s="252"/>
      <c r="LF328" s="252"/>
      <c r="LJ328" s="252"/>
      <c r="LK328" s="252"/>
      <c r="LN328" s="252"/>
      <c r="LO328" s="252"/>
      <c r="LP328" s="252"/>
      <c r="LT328" s="271"/>
      <c r="LU328" s="250"/>
      <c r="LV328" s="250"/>
      <c r="LW328" s="250"/>
      <c r="LX328" s="250"/>
      <c r="LY328" s="250"/>
      <c r="LZ328" s="250"/>
      <c r="MA328" s="250"/>
      <c r="MB328" s="250"/>
      <c r="MC328" s="250"/>
      <c r="MD328" s="250"/>
      <c r="ME328" s="250"/>
      <c r="MF328" s="250"/>
      <c r="MG328" s="250"/>
      <c r="MH328" s="250"/>
      <c r="MI328" s="250"/>
      <c r="MJ328" s="250"/>
      <c r="MK328" s="424"/>
      <c r="ML328" s="640"/>
      <c r="MM328" s="251"/>
      <c r="MN328" s="252"/>
      <c r="MO328" s="252"/>
      <c r="MP328" s="252"/>
      <c r="MQ328" s="252"/>
      <c r="MR328" s="252"/>
      <c r="MS328" s="252"/>
      <c r="MT328" s="252"/>
      <c r="MU328" s="252"/>
      <c r="MV328" s="252"/>
      <c r="MW328" s="252"/>
      <c r="MX328" s="252"/>
      <c r="MY328" s="252"/>
      <c r="MZ328" s="252"/>
      <c r="NA328" s="252"/>
      <c r="NB328" s="252"/>
      <c r="NC328" s="251"/>
      <c r="ND328" s="250"/>
      <c r="NE328" s="250"/>
      <c r="NF328" s="250"/>
      <c r="NG328" s="250"/>
      <c r="NH328" s="250"/>
      <c r="NI328" s="250"/>
      <c r="NJ328" s="250"/>
      <c r="NK328" s="250"/>
      <c r="NL328" s="250"/>
      <c r="NM328" s="250"/>
      <c r="NN328" s="250"/>
      <c r="NO328" s="250"/>
      <c r="NP328" s="250"/>
      <c r="NQ328" s="250"/>
      <c r="NR328" s="250"/>
      <c r="NS328" s="250"/>
      <c r="NT328" s="250"/>
      <c r="NU328" s="250"/>
      <c r="NV328" s="250"/>
      <c r="NW328" s="251"/>
      <c r="OT328" s="8"/>
      <c r="QG328" s="8"/>
      <c r="RT328" s="8"/>
    </row>
    <row r="329" spans="1:488" s="282" customFormat="1" x14ac:dyDescent="0.25">
      <c r="A329" s="66"/>
      <c r="B329" s="8"/>
      <c r="C329" s="66"/>
      <c r="D329" s="66"/>
      <c r="E329" s="66"/>
      <c r="F329" s="66"/>
      <c r="G329" s="66"/>
      <c r="H329" s="66"/>
      <c r="I329" s="66"/>
      <c r="J329" s="66"/>
      <c r="K329" s="66"/>
      <c r="L329" s="66"/>
      <c r="M329" s="66"/>
      <c r="N329" s="66"/>
      <c r="O329" s="66"/>
      <c r="P329" s="66"/>
      <c r="Q329" s="66"/>
      <c r="R329" s="66"/>
      <c r="S329" s="66"/>
      <c r="T329" s="68"/>
      <c r="AC329" s="66"/>
      <c r="AD329" s="66"/>
      <c r="AE329" s="68"/>
      <c r="AN329" s="66"/>
      <c r="AO329" s="66"/>
      <c r="AP329" s="68"/>
      <c r="AW329" s="66"/>
      <c r="AX329" s="68"/>
      <c r="BD329" s="66"/>
      <c r="BE329" s="68"/>
      <c r="BF329" s="66"/>
      <c r="BG329" s="66"/>
      <c r="BH329" s="66"/>
      <c r="BI329" s="66"/>
      <c r="BJ329" s="66"/>
      <c r="BK329" s="66"/>
      <c r="BL329" s="68"/>
      <c r="BO329" s="66"/>
      <c r="BP329" s="68"/>
      <c r="BV329" s="66"/>
      <c r="BW329" s="68"/>
      <c r="CB329" s="8"/>
      <c r="CH329" s="8"/>
      <c r="CK329" s="299"/>
      <c r="CL329" s="299"/>
      <c r="CM329" s="66"/>
      <c r="CN329" s="66"/>
      <c r="CO329" s="68"/>
      <c r="CR329" s="8"/>
      <c r="CX329" s="66"/>
      <c r="CY329" s="532"/>
      <c r="DE329" s="66"/>
      <c r="DF329" s="66"/>
      <c r="DG329" s="68"/>
      <c r="DH329" s="68"/>
      <c r="DK329" s="66"/>
      <c r="DL329" s="66"/>
      <c r="DM329" s="66"/>
      <c r="DN329" s="66"/>
      <c r="DO329" s="66"/>
      <c r="DP329" s="66"/>
      <c r="DQ329" s="66"/>
      <c r="DR329" s="66"/>
      <c r="DS329" s="66"/>
      <c r="DT329" s="68"/>
      <c r="DU329" s="66"/>
      <c r="DV329" s="296"/>
      <c r="DW329" s="330"/>
      <c r="DX329" s="631"/>
      <c r="DY329" s="631"/>
      <c r="DZ329" s="631"/>
      <c r="EA329" s="330"/>
      <c r="EC329" s="66"/>
      <c r="ED329" s="68"/>
      <c r="EH329" s="66"/>
      <c r="EI329" s="66"/>
      <c r="EJ329" s="68"/>
      <c r="EK329" s="252"/>
      <c r="EL329" s="252"/>
      <c r="EM329" s="252"/>
      <c r="EO329" s="252"/>
      <c r="EP329" s="252"/>
      <c r="EQ329" s="252"/>
      <c r="ES329" s="252"/>
      <c r="ET329" s="252"/>
      <c r="EU329" s="252"/>
      <c r="EW329" s="252"/>
      <c r="EX329" s="252"/>
      <c r="EY329" s="252"/>
      <c r="FA329" s="250"/>
      <c r="FB329" s="250"/>
      <c r="FC329" s="250"/>
      <c r="FD329" s="250"/>
      <c r="FE329" s="250"/>
      <c r="FF329" s="250"/>
      <c r="FG329" s="250"/>
      <c r="FH329" s="424"/>
      <c r="FI329" s="250"/>
      <c r="FJ329" s="250"/>
      <c r="FK329" s="250"/>
      <c r="FL329" s="256"/>
      <c r="FM329" s="250"/>
      <c r="FN329" s="256"/>
      <c r="FO329" s="250"/>
      <c r="FP329" s="256"/>
      <c r="FQ329" s="250"/>
      <c r="FR329" s="256"/>
      <c r="FS329" s="250"/>
      <c r="FT329" s="256"/>
      <c r="FU329" s="256"/>
      <c r="FV329" s="256"/>
      <c r="FW329" s="250"/>
      <c r="FX329" s="424"/>
      <c r="FY329" s="251"/>
      <c r="GC329" s="252"/>
      <c r="GF329" s="252"/>
      <c r="GG329" s="252"/>
      <c r="GH329" s="252"/>
      <c r="GI329" s="252"/>
      <c r="GJ329" s="252"/>
      <c r="GK329" s="251"/>
      <c r="GL329" s="250"/>
      <c r="GM329" s="250"/>
      <c r="GN329" s="250"/>
      <c r="GO329" s="250"/>
      <c r="GP329" s="250"/>
      <c r="GQ329" s="250"/>
      <c r="GR329" s="250"/>
      <c r="GS329" s="250"/>
      <c r="GT329" s="250"/>
      <c r="GU329" s="251"/>
      <c r="GV329" s="250"/>
      <c r="GW329" s="250"/>
      <c r="GX329" s="250"/>
      <c r="GY329" s="250"/>
      <c r="GZ329" s="250"/>
      <c r="HA329" s="250"/>
      <c r="HB329" s="250"/>
      <c r="HC329" s="250"/>
      <c r="HD329" s="250"/>
      <c r="HE329" s="250"/>
      <c r="HF329" s="250"/>
      <c r="HG329" s="250"/>
      <c r="HH329" s="251"/>
      <c r="HI329" s="424"/>
      <c r="HJ329" s="255"/>
      <c r="HK329" s="255"/>
      <c r="HL329" s="250"/>
      <c r="HM329" s="255"/>
      <c r="HN329" s="255"/>
      <c r="HO329" s="255"/>
      <c r="HP329" s="250"/>
      <c r="HQ329" s="250"/>
      <c r="HR329" s="250"/>
      <c r="HS329" s="250"/>
      <c r="HT329" s="250"/>
      <c r="HU329" s="251"/>
      <c r="HX329" s="252"/>
      <c r="HY329" s="252"/>
      <c r="HZ329" s="252"/>
      <c r="ID329" s="252"/>
      <c r="IE329" s="252"/>
      <c r="IF329" s="252"/>
      <c r="IJ329" s="252"/>
      <c r="IK329" s="252"/>
      <c r="IL329" s="252"/>
      <c r="IP329" s="252"/>
      <c r="IQ329" s="252"/>
      <c r="IR329" s="252"/>
      <c r="IY329" s="66"/>
      <c r="IZ329" s="66"/>
      <c r="JA329" s="66"/>
      <c r="JB329" s="250"/>
      <c r="JC329" s="66"/>
      <c r="JD329" s="66"/>
      <c r="JE329" s="66"/>
      <c r="JF329" s="66"/>
      <c r="JG329" s="66"/>
      <c r="JH329" s="66"/>
      <c r="JI329" s="66"/>
      <c r="JJ329" s="66"/>
      <c r="JK329" s="8"/>
      <c r="JN329" s="252"/>
      <c r="JO329" s="252"/>
      <c r="JP329" s="252"/>
      <c r="JT329" s="252"/>
      <c r="JU329" s="252"/>
      <c r="JV329" s="252"/>
      <c r="JZ329" s="252"/>
      <c r="KA329" s="252"/>
      <c r="KB329" s="252"/>
      <c r="KF329" s="252"/>
      <c r="KG329" s="252"/>
      <c r="KH329" s="252"/>
      <c r="KO329" s="66"/>
      <c r="KP329" s="66"/>
      <c r="KQ329" s="66"/>
      <c r="KR329" s="66"/>
      <c r="KS329" s="66"/>
      <c r="KT329" s="66"/>
      <c r="KU329" s="66"/>
      <c r="KV329" s="66"/>
      <c r="KW329" s="66"/>
      <c r="KX329" s="66"/>
      <c r="KY329" s="66"/>
      <c r="KZ329" s="66"/>
      <c r="LA329" s="8"/>
      <c r="LD329" s="252"/>
      <c r="LE329" s="252"/>
      <c r="LF329" s="252"/>
      <c r="LJ329" s="252"/>
      <c r="LK329" s="252"/>
      <c r="LN329" s="252"/>
      <c r="LO329" s="252"/>
      <c r="LP329" s="252"/>
      <c r="LT329" s="271"/>
      <c r="LU329" s="250"/>
      <c r="LV329" s="250"/>
      <c r="LW329" s="250"/>
      <c r="LX329" s="250"/>
      <c r="LY329" s="250"/>
      <c r="LZ329" s="250"/>
      <c r="MA329" s="250"/>
      <c r="MB329" s="250"/>
      <c r="MC329" s="250"/>
      <c r="MD329" s="250"/>
      <c r="ME329" s="250"/>
      <c r="MF329" s="250"/>
      <c r="MG329" s="250"/>
      <c r="MH329" s="250"/>
      <c r="MI329" s="250"/>
      <c r="MJ329" s="250"/>
      <c r="MK329" s="424"/>
      <c r="ML329" s="640"/>
      <c r="MM329" s="251"/>
      <c r="MN329" s="252"/>
      <c r="MO329" s="252"/>
      <c r="MP329" s="252"/>
      <c r="MQ329" s="252"/>
      <c r="MR329" s="252"/>
      <c r="MS329" s="252"/>
      <c r="MT329" s="252"/>
      <c r="MU329" s="252"/>
      <c r="MV329" s="252"/>
      <c r="MW329" s="252"/>
      <c r="MX329" s="252"/>
      <c r="MY329" s="252"/>
      <c r="MZ329" s="252"/>
      <c r="NA329" s="252"/>
      <c r="NB329" s="252"/>
      <c r="NC329" s="251"/>
      <c r="ND329" s="250"/>
      <c r="NE329" s="250"/>
      <c r="NF329" s="250"/>
      <c r="NG329" s="250"/>
      <c r="NH329" s="250"/>
      <c r="NI329" s="250"/>
      <c r="NJ329" s="250"/>
      <c r="NK329" s="250"/>
      <c r="NL329" s="250"/>
      <c r="NM329" s="250"/>
      <c r="NN329" s="250"/>
      <c r="NO329" s="250"/>
      <c r="NP329" s="250"/>
      <c r="NQ329" s="250"/>
      <c r="NR329" s="250"/>
      <c r="NS329" s="250"/>
      <c r="NT329" s="250"/>
      <c r="NU329" s="250"/>
      <c r="NV329" s="250"/>
      <c r="NW329" s="251"/>
      <c r="OT329" s="8"/>
      <c r="QG329" s="8"/>
      <c r="RT329" s="8"/>
    </row>
    <row r="330" spans="1:488" s="282" customFormat="1" x14ac:dyDescent="0.25">
      <c r="A330" s="66"/>
      <c r="B330" s="8"/>
      <c r="C330" s="66"/>
      <c r="D330" s="66"/>
      <c r="E330" s="66"/>
      <c r="F330" s="66"/>
      <c r="G330" s="66"/>
      <c r="H330" s="66"/>
      <c r="I330" s="66"/>
      <c r="J330" s="66"/>
      <c r="K330" s="66"/>
      <c r="L330" s="66"/>
      <c r="M330" s="66"/>
      <c r="N330" s="66"/>
      <c r="O330" s="66"/>
      <c r="P330" s="66"/>
      <c r="Q330" s="66"/>
      <c r="R330" s="66"/>
      <c r="S330" s="66"/>
      <c r="T330" s="68"/>
      <c r="AC330" s="66"/>
      <c r="AD330" s="66"/>
      <c r="AE330" s="68"/>
      <c r="AN330" s="66"/>
      <c r="AO330" s="66"/>
      <c r="AP330" s="68"/>
      <c r="AW330" s="66"/>
      <c r="AX330" s="68"/>
      <c r="BD330" s="66"/>
      <c r="BE330" s="68"/>
      <c r="BF330" s="66"/>
      <c r="BG330" s="66"/>
      <c r="BH330" s="66"/>
      <c r="BI330" s="66"/>
      <c r="BJ330" s="66"/>
      <c r="BK330" s="66"/>
      <c r="BL330" s="68"/>
      <c r="BO330" s="66"/>
      <c r="BP330" s="68"/>
      <c r="BV330" s="66"/>
      <c r="BW330" s="68"/>
      <c r="CB330" s="8"/>
      <c r="CH330" s="8"/>
      <c r="CK330" s="299"/>
      <c r="CL330" s="299"/>
      <c r="CM330" s="66"/>
      <c r="CN330" s="66"/>
      <c r="CO330" s="68"/>
      <c r="CR330" s="8"/>
      <c r="CX330" s="66"/>
      <c r="CY330" s="532"/>
      <c r="DE330" s="66"/>
      <c r="DF330" s="66"/>
      <c r="DG330" s="68"/>
      <c r="DH330" s="68"/>
      <c r="DK330" s="66"/>
      <c r="DL330" s="66"/>
      <c r="DM330" s="66"/>
      <c r="DN330" s="66"/>
      <c r="DO330" s="66"/>
      <c r="DP330" s="66"/>
      <c r="DQ330" s="66"/>
      <c r="DR330" s="66"/>
      <c r="DS330" s="66"/>
      <c r="DT330" s="68"/>
      <c r="DU330" s="66"/>
      <c r="DV330" s="296"/>
      <c r="DW330" s="330"/>
      <c r="DX330" s="631"/>
      <c r="DY330" s="631"/>
      <c r="DZ330" s="631"/>
      <c r="EA330" s="330"/>
      <c r="EC330" s="66"/>
      <c r="ED330" s="68"/>
      <c r="EH330" s="66"/>
      <c r="EI330" s="66"/>
      <c r="EJ330" s="68"/>
      <c r="EK330" s="252"/>
      <c r="EL330" s="252"/>
      <c r="EM330" s="252"/>
      <c r="EO330" s="252"/>
      <c r="EP330" s="252"/>
      <c r="EQ330" s="252"/>
      <c r="ES330" s="252"/>
      <c r="ET330" s="252"/>
      <c r="EU330" s="252"/>
      <c r="EW330" s="252"/>
      <c r="EX330" s="252"/>
      <c r="EY330" s="252"/>
      <c r="FA330" s="250"/>
      <c r="FB330" s="250"/>
      <c r="FC330" s="250"/>
      <c r="FD330" s="250"/>
      <c r="FE330" s="250"/>
      <c r="FF330" s="250"/>
      <c r="FG330" s="250"/>
      <c r="FH330" s="424"/>
      <c r="FI330" s="250"/>
      <c r="FJ330" s="250"/>
      <c r="FK330" s="250"/>
      <c r="FL330" s="256"/>
      <c r="FM330" s="250"/>
      <c r="FN330" s="256"/>
      <c r="FO330" s="250"/>
      <c r="FP330" s="256"/>
      <c r="FQ330" s="250"/>
      <c r="FR330" s="256"/>
      <c r="FS330" s="250"/>
      <c r="FT330" s="256"/>
      <c r="FU330" s="256"/>
      <c r="FV330" s="256"/>
      <c r="FW330" s="250"/>
      <c r="FX330" s="424"/>
      <c r="FY330" s="251"/>
      <c r="GC330" s="252"/>
      <c r="GF330" s="252"/>
      <c r="GG330" s="252"/>
      <c r="GH330" s="252"/>
      <c r="GI330" s="252"/>
      <c r="GJ330" s="252"/>
      <c r="GK330" s="251"/>
      <c r="GL330" s="250"/>
      <c r="GM330" s="250"/>
      <c r="GN330" s="250"/>
      <c r="GO330" s="250"/>
      <c r="GP330" s="250"/>
      <c r="GQ330" s="250"/>
      <c r="GR330" s="250"/>
      <c r="GS330" s="250"/>
      <c r="GT330" s="250"/>
      <c r="GU330" s="251"/>
      <c r="GV330" s="250"/>
      <c r="GW330" s="250"/>
      <c r="GX330" s="250"/>
      <c r="GY330" s="250"/>
      <c r="GZ330" s="250"/>
      <c r="HA330" s="250"/>
      <c r="HB330" s="250"/>
      <c r="HC330" s="250"/>
      <c r="HD330" s="250"/>
      <c r="HE330" s="250"/>
      <c r="HF330" s="250"/>
      <c r="HG330" s="250"/>
      <c r="HH330" s="251"/>
      <c r="HI330" s="424"/>
      <c r="HJ330" s="255"/>
      <c r="HK330" s="255"/>
      <c r="HL330" s="250"/>
      <c r="HM330" s="255"/>
      <c r="HN330" s="255"/>
      <c r="HO330" s="255"/>
      <c r="HP330" s="250"/>
      <c r="HQ330" s="250"/>
      <c r="HR330" s="250"/>
      <c r="HS330" s="250"/>
      <c r="HT330" s="250"/>
      <c r="HU330" s="251"/>
      <c r="HX330" s="252"/>
      <c r="HY330" s="252"/>
      <c r="HZ330" s="252"/>
      <c r="ID330" s="252"/>
      <c r="IE330" s="252"/>
      <c r="IF330" s="252"/>
      <c r="IJ330" s="252"/>
      <c r="IK330" s="252"/>
      <c r="IL330" s="252"/>
      <c r="IP330" s="252"/>
      <c r="IQ330" s="252"/>
      <c r="IR330" s="252"/>
      <c r="IY330" s="66"/>
      <c r="IZ330" s="66"/>
      <c r="JA330" s="66"/>
      <c r="JB330" s="250"/>
      <c r="JC330" s="66"/>
      <c r="JD330" s="66"/>
      <c r="JE330" s="66"/>
      <c r="JF330" s="66"/>
      <c r="JG330" s="66"/>
      <c r="JH330" s="66"/>
      <c r="JI330" s="66"/>
      <c r="JJ330" s="66"/>
      <c r="JK330" s="8"/>
      <c r="JN330" s="252"/>
      <c r="JO330" s="252"/>
      <c r="JP330" s="252"/>
      <c r="JT330" s="252"/>
      <c r="JU330" s="252"/>
      <c r="JV330" s="252"/>
      <c r="JZ330" s="252"/>
      <c r="KA330" s="252"/>
      <c r="KB330" s="252"/>
      <c r="KF330" s="252"/>
      <c r="KG330" s="252"/>
      <c r="KH330" s="252"/>
      <c r="KO330" s="66"/>
      <c r="KP330" s="66"/>
      <c r="KQ330" s="66"/>
      <c r="KR330" s="66"/>
      <c r="KS330" s="66"/>
      <c r="KT330" s="66"/>
      <c r="KU330" s="66"/>
      <c r="KV330" s="66"/>
      <c r="KW330" s="66"/>
      <c r="KX330" s="66"/>
      <c r="KY330" s="66"/>
      <c r="KZ330" s="66"/>
      <c r="LA330" s="8"/>
      <c r="LD330" s="252"/>
      <c r="LE330" s="252"/>
      <c r="LF330" s="252"/>
      <c r="LJ330" s="252"/>
      <c r="LK330" s="252"/>
      <c r="LN330" s="252"/>
      <c r="LO330" s="252"/>
      <c r="LP330" s="252"/>
      <c r="LT330" s="271"/>
      <c r="LU330" s="250"/>
      <c r="LV330" s="250"/>
      <c r="LW330" s="250"/>
      <c r="LX330" s="250"/>
      <c r="LY330" s="250"/>
      <c r="LZ330" s="250"/>
      <c r="MA330" s="250"/>
      <c r="MB330" s="250"/>
      <c r="MC330" s="250"/>
      <c r="MD330" s="250"/>
      <c r="ME330" s="250"/>
      <c r="MF330" s="250"/>
      <c r="MG330" s="250"/>
      <c r="MH330" s="250"/>
      <c r="MI330" s="250"/>
      <c r="MJ330" s="250"/>
      <c r="MK330" s="424"/>
      <c r="ML330" s="640"/>
      <c r="MM330" s="251"/>
      <c r="MN330" s="252"/>
      <c r="MO330" s="252"/>
      <c r="MP330" s="252"/>
      <c r="MQ330" s="252"/>
      <c r="MR330" s="252"/>
      <c r="MS330" s="252"/>
      <c r="MT330" s="252"/>
      <c r="MU330" s="252"/>
      <c r="MV330" s="252"/>
      <c r="MW330" s="252"/>
      <c r="MX330" s="252"/>
      <c r="MY330" s="252"/>
      <c r="MZ330" s="252"/>
      <c r="NA330" s="252"/>
      <c r="NB330" s="252"/>
      <c r="NC330" s="251"/>
      <c r="ND330" s="250"/>
      <c r="NE330" s="250"/>
      <c r="NF330" s="250"/>
      <c r="NG330" s="250"/>
      <c r="NH330" s="250"/>
      <c r="NI330" s="250"/>
      <c r="NJ330" s="250"/>
      <c r="NK330" s="250"/>
      <c r="NL330" s="250"/>
      <c r="NM330" s="250"/>
      <c r="NN330" s="250"/>
      <c r="NO330" s="250"/>
      <c r="NP330" s="250"/>
      <c r="NQ330" s="250"/>
      <c r="NR330" s="250"/>
      <c r="NS330" s="250"/>
      <c r="NT330" s="250"/>
      <c r="NU330" s="250"/>
      <c r="NV330" s="250"/>
      <c r="NW330" s="251"/>
      <c r="OT330" s="8"/>
      <c r="QG330" s="8"/>
      <c r="RT330" s="8"/>
    </row>
    <row r="331" spans="1:488" s="282" customFormat="1" x14ac:dyDescent="0.25">
      <c r="A331" s="66"/>
      <c r="B331" s="8"/>
      <c r="C331" s="66"/>
      <c r="D331" s="66"/>
      <c r="E331" s="66"/>
      <c r="F331" s="66"/>
      <c r="G331" s="66"/>
      <c r="H331" s="66"/>
      <c r="I331" s="66"/>
      <c r="J331" s="66"/>
      <c r="K331" s="66"/>
      <c r="L331" s="66"/>
      <c r="M331" s="66"/>
      <c r="N331" s="66"/>
      <c r="O331" s="66"/>
      <c r="P331" s="66"/>
      <c r="Q331" s="66"/>
      <c r="R331" s="66"/>
      <c r="S331" s="66"/>
      <c r="T331" s="68"/>
      <c r="AC331" s="66"/>
      <c r="AD331" s="66"/>
      <c r="AE331" s="68"/>
      <c r="AN331" s="66"/>
      <c r="AO331" s="66"/>
      <c r="AP331" s="68"/>
      <c r="AW331" s="66"/>
      <c r="AX331" s="68"/>
      <c r="BD331" s="66"/>
      <c r="BE331" s="68"/>
      <c r="BF331" s="66"/>
      <c r="BG331" s="66"/>
      <c r="BH331" s="66"/>
      <c r="BI331" s="66"/>
      <c r="BJ331" s="66"/>
      <c r="BK331" s="66"/>
      <c r="BL331" s="68"/>
      <c r="BO331" s="66"/>
      <c r="BP331" s="68"/>
      <c r="BV331" s="66"/>
      <c r="BW331" s="68"/>
      <c r="CB331" s="8"/>
      <c r="CH331" s="8"/>
      <c r="CK331" s="299"/>
      <c r="CL331" s="299"/>
      <c r="CM331" s="66"/>
      <c r="CN331" s="66"/>
      <c r="CO331" s="68"/>
      <c r="CR331" s="8"/>
      <c r="CX331" s="66"/>
      <c r="CY331" s="532"/>
      <c r="DE331" s="66"/>
      <c r="DF331" s="66"/>
      <c r="DG331" s="68"/>
      <c r="DH331" s="68"/>
      <c r="DK331" s="66"/>
      <c r="DL331" s="66"/>
      <c r="DM331" s="66"/>
      <c r="DN331" s="66"/>
      <c r="DO331" s="66"/>
      <c r="DP331" s="66"/>
      <c r="DQ331" s="66"/>
      <c r="DR331" s="66"/>
      <c r="DS331" s="66"/>
      <c r="DT331" s="68"/>
      <c r="DU331" s="66"/>
      <c r="DV331" s="296"/>
      <c r="DW331" s="330"/>
      <c r="DX331" s="631"/>
      <c r="DY331" s="631"/>
      <c r="DZ331" s="631"/>
      <c r="EA331" s="330"/>
      <c r="EC331" s="66"/>
      <c r="ED331" s="68"/>
      <c r="EH331" s="66"/>
      <c r="EI331" s="66"/>
      <c r="EJ331" s="68"/>
      <c r="EK331" s="252"/>
      <c r="EL331" s="252"/>
      <c r="EM331" s="252"/>
      <c r="EO331" s="252"/>
      <c r="EP331" s="252"/>
      <c r="EQ331" s="252"/>
      <c r="ES331" s="252"/>
      <c r="ET331" s="252"/>
      <c r="EU331" s="252"/>
      <c r="EW331" s="252"/>
      <c r="EX331" s="252"/>
      <c r="EY331" s="252"/>
      <c r="FA331" s="250"/>
      <c r="FB331" s="250"/>
      <c r="FC331" s="250"/>
      <c r="FD331" s="250"/>
      <c r="FE331" s="250"/>
      <c r="FF331" s="250"/>
      <c r="FG331" s="250"/>
      <c r="FH331" s="424"/>
      <c r="FI331" s="250"/>
      <c r="FJ331" s="250"/>
      <c r="FK331" s="250"/>
      <c r="FL331" s="256"/>
      <c r="FM331" s="250"/>
      <c r="FN331" s="256"/>
      <c r="FO331" s="250"/>
      <c r="FP331" s="256"/>
      <c r="FQ331" s="250"/>
      <c r="FR331" s="256"/>
      <c r="FS331" s="250"/>
      <c r="FT331" s="256"/>
      <c r="FU331" s="256"/>
      <c r="FV331" s="256"/>
      <c r="FW331" s="250"/>
      <c r="FX331" s="424"/>
      <c r="FY331" s="251"/>
      <c r="GC331" s="252"/>
      <c r="GF331" s="252"/>
      <c r="GG331" s="252"/>
      <c r="GH331" s="252"/>
      <c r="GI331" s="252"/>
      <c r="GJ331" s="252"/>
      <c r="GK331" s="251"/>
      <c r="GL331" s="250"/>
      <c r="GM331" s="250"/>
      <c r="GN331" s="250"/>
      <c r="GO331" s="250"/>
      <c r="GP331" s="250"/>
      <c r="GQ331" s="250"/>
      <c r="GR331" s="250"/>
      <c r="GS331" s="250"/>
      <c r="GT331" s="250"/>
      <c r="GU331" s="251"/>
      <c r="GV331" s="250"/>
      <c r="GW331" s="250"/>
      <c r="GX331" s="250"/>
      <c r="GY331" s="250"/>
      <c r="GZ331" s="250"/>
      <c r="HA331" s="250"/>
      <c r="HB331" s="250"/>
      <c r="HC331" s="250"/>
      <c r="HD331" s="250"/>
      <c r="HE331" s="250"/>
      <c r="HF331" s="250"/>
      <c r="HG331" s="250"/>
      <c r="HH331" s="251"/>
      <c r="HI331" s="424"/>
      <c r="HJ331" s="255"/>
      <c r="HK331" s="255"/>
      <c r="HL331" s="250"/>
      <c r="HM331" s="255"/>
      <c r="HN331" s="255"/>
      <c r="HO331" s="255"/>
      <c r="HP331" s="250"/>
      <c r="HQ331" s="250"/>
      <c r="HR331" s="250"/>
      <c r="HS331" s="250"/>
      <c r="HT331" s="250"/>
      <c r="HU331" s="251"/>
      <c r="HX331" s="252"/>
      <c r="HY331" s="252"/>
      <c r="HZ331" s="252"/>
      <c r="ID331" s="252"/>
      <c r="IE331" s="252"/>
      <c r="IF331" s="252"/>
      <c r="IJ331" s="252"/>
      <c r="IK331" s="252"/>
      <c r="IL331" s="252"/>
      <c r="IP331" s="252"/>
      <c r="IQ331" s="252"/>
      <c r="IR331" s="252"/>
      <c r="IY331" s="66"/>
      <c r="IZ331" s="66"/>
      <c r="JA331" s="66"/>
      <c r="JB331" s="250"/>
      <c r="JC331" s="66"/>
      <c r="JD331" s="66"/>
      <c r="JE331" s="66"/>
      <c r="JF331" s="66"/>
      <c r="JG331" s="66"/>
      <c r="JH331" s="66"/>
      <c r="JI331" s="66"/>
      <c r="JJ331" s="66"/>
      <c r="JK331" s="8"/>
      <c r="JN331" s="252"/>
      <c r="JO331" s="252"/>
      <c r="JP331" s="252"/>
      <c r="JT331" s="252"/>
      <c r="JU331" s="252"/>
      <c r="JV331" s="252"/>
      <c r="JZ331" s="252"/>
      <c r="KA331" s="252"/>
      <c r="KB331" s="252"/>
      <c r="KF331" s="252"/>
      <c r="KG331" s="252"/>
      <c r="KH331" s="252"/>
      <c r="KO331" s="66"/>
      <c r="KP331" s="66"/>
      <c r="KQ331" s="66"/>
      <c r="KR331" s="66"/>
      <c r="KS331" s="66"/>
      <c r="KT331" s="66"/>
      <c r="KU331" s="66"/>
      <c r="KV331" s="66"/>
      <c r="KW331" s="66"/>
      <c r="KX331" s="66"/>
      <c r="KY331" s="66"/>
      <c r="KZ331" s="66"/>
      <c r="LA331" s="8"/>
      <c r="LD331" s="252"/>
      <c r="LE331" s="252"/>
      <c r="LF331" s="252"/>
      <c r="LJ331" s="252"/>
      <c r="LK331" s="252"/>
      <c r="LN331" s="252"/>
      <c r="LO331" s="252"/>
      <c r="LP331" s="252"/>
      <c r="LT331" s="271"/>
      <c r="LU331" s="250"/>
      <c r="LV331" s="250"/>
      <c r="LW331" s="250"/>
      <c r="LX331" s="250"/>
      <c r="LY331" s="250"/>
      <c r="LZ331" s="250"/>
      <c r="MA331" s="250"/>
      <c r="MB331" s="250"/>
      <c r="MC331" s="250"/>
      <c r="MD331" s="250"/>
      <c r="ME331" s="250"/>
      <c r="MF331" s="250"/>
      <c r="MG331" s="250"/>
      <c r="MH331" s="250"/>
      <c r="MI331" s="250"/>
      <c r="MJ331" s="250"/>
      <c r="MK331" s="424"/>
      <c r="ML331" s="640"/>
      <c r="MM331" s="251"/>
      <c r="MN331" s="252"/>
      <c r="MO331" s="252"/>
      <c r="MP331" s="252"/>
      <c r="MQ331" s="252"/>
      <c r="MR331" s="252"/>
      <c r="MS331" s="252"/>
      <c r="MT331" s="252"/>
      <c r="MU331" s="252"/>
      <c r="MV331" s="252"/>
      <c r="MW331" s="252"/>
      <c r="MX331" s="252"/>
      <c r="MY331" s="252"/>
      <c r="MZ331" s="252"/>
      <c r="NA331" s="252"/>
      <c r="NB331" s="252"/>
      <c r="NC331" s="251"/>
      <c r="ND331" s="250"/>
      <c r="NE331" s="250"/>
      <c r="NF331" s="250"/>
      <c r="NG331" s="250"/>
      <c r="NH331" s="250"/>
      <c r="NI331" s="250"/>
      <c r="NJ331" s="250"/>
      <c r="NK331" s="250"/>
      <c r="NL331" s="250"/>
      <c r="NM331" s="250"/>
      <c r="NN331" s="250"/>
      <c r="NO331" s="250"/>
      <c r="NP331" s="250"/>
      <c r="NQ331" s="250"/>
      <c r="NR331" s="250"/>
      <c r="NS331" s="250"/>
      <c r="NT331" s="250"/>
      <c r="NU331" s="250"/>
      <c r="NV331" s="250"/>
      <c r="NW331" s="251"/>
      <c r="OT331" s="8"/>
      <c r="QG331" s="8"/>
      <c r="RT331" s="8"/>
    </row>
    <row r="332" spans="1:488" s="282" customFormat="1" x14ac:dyDescent="0.25">
      <c r="A332" s="66"/>
      <c r="B332" s="8"/>
      <c r="C332" s="66"/>
      <c r="D332" s="66"/>
      <c r="E332" s="66"/>
      <c r="F332" s="66"/>
      <c r="G332" s="66"/>
      <c r="H332" s="66"/>
      <c r="I332" s="66"/>
      <c r="J332" s="66"/>
      <c r="K332" s="66"/>
      <c r="L332" s="66"/>
      <c r="M332" s="66"/>
      <c r="N332" s="66"/>
      <c r="O332" s="66"/>
      <c r="P332" s="66"/>
      <c r="Q332" s="66"/>
      <c r="R332" s="66"/>
      <c r="S332" s="66"/>
      <c r="T332" s="68"/>
      <c r="AC332" s="66"/>
      <c r="AD332" s="66"/>
      <c r="AE332" s="68"/>
      <c r="AN332" s="66"/>
      <c r="AO332" s="66"/>
      <c r="AP332" s="68"/>
      <c r="AW332" s="66"/>
      <c r="AX332" s="68"/>
      <c r="BD332" s="66"/>
      <c r="BE332" s="68"/>
      <c r="BF332" s="66"/>
      <c r="BG332" s="66"/>
      <c r="BH332" s="66"/>
      <c r="BI332" s="66"/>
      <c r="BJ332" s="66"/>
      <c r="BK332" s="66"/>
      <c r="BL332" s="68"/>
      <c r="BO332" s="66"/>
      <c r="BP332" s="68"/>
      <c r="BV332" s="66"/>
      <c r="BW332" s="68"/>
      <c r="CB332" s="8"/>
      <c r="CH332" s="8"/>
      <c r="CK332" s="299"/>
      <c r="CL332" s="299"/>
      <c r="CM332" s="66"/>
      <c r="CN332" s="66"/>
      <c r="CO332" s="68"/>
      <c r="CR332" s="8"/>
      <c r="CX332" s="66"/>
      <c r="CY332" s="532"/>
      <c r="DE332" s="66"/>
      <c r="DF332" s="66"/>
      <c r="DG332" s="68"/>
      <c r="DH332" s="68"/>
      <c r="DK332" s="66"/>
      <c r="DL332" s="66"/>
      <c r="DM332" s="66"/>
      <c r="DN332" s="66"/>
      <c r="DO332" s="66"/>
      <c r="DP332" s="66"/>
      <c r="DQ332" s="66"/>
      <c r="DR332" s="66"/>
      <c r="DS332" s="66"/>
      <c r="DT332" s="68"/>
      <c r="DU332" s="66"/>
      <c r="DV332" s="296"/>
      <c r="DW332" s="330"/>
      <c r="DX332" s="631"/>
      <c r="DY332" s="631"/>
      <c r="DZ332" s="631"/>
      <c r="EA332" s="330"/>
      <c r="EC332" s="66"/>
      <c r="ED332" s="68"/>
      <c r="EH332" s="66"/>
      <c r="EI332" s="66"/>
      <c r="EJ332" s="68"/>
      <c r="EK332" s="252"/>
      <c r="EL332" s="252"/>
      <c r="EM332" s="252"/>
      <c r="EO332" s="252"/>
      <c r="EP332" s="252"/>
      <c r="EQ332" s="252"/>
      <c r="ES332" s="252"/>
      <c r="ET332" s="252"/>
      <c r="EU332" s="252"/>
      <c r="EW332" s="252"/>
      <c r="EX332" s="252"/>
      <c r="EY332" s="252"/>
      <c r="FA332" s="250"/>
      <c r="FB332" s="250"/>
      <c r="FC332" s="250"/>
      <c r="FD332" s="250"/>
      <c r="FE332" s="250"/>
      <c r="FF332" s="250"/>
      <c r="FG332" s="250"/>
      <c r="FH332" s="424"/>
      <c r="FI332" s="250"/>
      <c r="FJ332" s="250"/>
      <c r="FK332" s="250"/>
      <c r="FL332" s="256"/>
      <c r="FM332" s="250"/>
      <c r="FN332" s="256"/>
      <c r="FO332" s="250"/>
      <c r="FP332" s="256"/>
      <c r="FQ332" s="250"/>
      <c r="FR332" s="256"/>
      <c r="FS332" s="250"/>
      <c r="FT332" s="256"/>
      <c r="FU332" s="256"/>
      <c r="FV332" s="256"/>
      <c r="FW332" s="250"/>
      <c r="FX332" s="424"/>
      <c r="FY332" s="251"/>
      <c r="GC332" s="252"/>
      <c r="GF332" s="252"/>
      <c r="GG332" s="252"/>
      <c r="GH332" s="252"/>
      <c r="GI332" s="252"/>
      <c r="GJ332" s="252"/>
      <c r="GK332" s="251"/>
      <c r="GL332" s="250"/>
      <c r="GM332" s="250"/>
      <c r="GN332" s="250"/>
      <c r="GO332" s="250"/>
      <c r="GP332" s="250"/>
      <c r="GQ332" s="250"/>
      <c r="GR332" s="250"/>
      <c r="GS332" s="250"/>
      <c r="GT332" s="250"/>
      <c r="GU332" s="251"/>
      <c r="GV332" s="250"/>
      <c r="GW332" s="250"/>
      <c r="GX332" s="250"/>
      <c r="GY332" s="250"/>
      <c r="GZ332" s="250"/>
      <c r="HA332" s="250"/>
      <c r="HB332" s="250"/>
      <c r="HC332" s="250"/>
      <c r="HD332" s="250"/>
      <c r="HE332" s="250"/>
      <c r="HF332" s="250"/>
      <c r="HG332" s="250"/>
      <c r="HH332" s="251"/>
      <c r="HI332" s="424"/>
      <c r="HJ332" s="255"/>
      <c r="HK332" s="255"/>
      <c r="HL332" s="250"/>
      <c r="HM332" s="255"/>
      <c r="HN332" s="255"/>
      <c r="HO332" s="255"/>
      <c r="HP332" s="250"/>
      <c r="HQ332" s="250"/>
      <c r="HR332" s="250"/>
      <c r="HS332" s="250"/>
      <c r="HT332" s="250"/>
      <c r="HU332" s="251"/>
      <c r="HX332" s="252"/>
      <c r="HY332" s="252"/>
      <c r="HZ332" s="252"/>
      <c r="ID332" s="252"/>
      <c r="IE332" s="252"/>
      <c r="IF332" s="252"/>
      <c r="IJ332" s="252"/>
      <c r="IK332" s="252"/>
      <c r="IL332" s="252"/>
      <c r="IP332" s="252"/>
      <c r="IQ332" s="252"/>
      <c r="IR332" s="252"/>
      <c r="IY332" s="66"/>
      <c r="IZ332" s="66"/>
      <c r="JA332" s="66"/>
      <c r="JB332" s="250"/>
      <c r="JC332" s="66"/>
      <c r="JD332" s="66"/>
      <c r="JE332" s="66"/>
      <c r="JF332" s="66"/>
      <c r="JG332" s="66"/>
      <c r="JH332" s="66"/>
      <c r="JI332" s="66"/>
      <c r="JJ332" s="66"/>
      <c r="JK332" s="8"/>
      <c r="JN332" s="252"/>
      <c r="JO332" s="252"/>
      <c r="JP332" s="252"/>
      <c r="JT332" s="252"/>
      <c r="JU332" s="252"/>
      <c r="JV332" s="252"/>
      <c r="JZ332" s="252"/>
      <c r="KA332" s="252"/>
      <c r="KB332" s="252"/>
      <c r="KF332" s="252"/>
      <c r="KG332" s="252"/>
      <c r="KH332" s="252"/>
      <c r="KO332" s="66"/>
      <c r="KP332" s="66"/>
      <c r="KQ332" s="66"/>
      <c r="KR332" s="66"/>
      <c r="KS332" s="66"/>
      <c r="KT332" s="66"/>
      <c r="KU332" s="66"/>
      <c r="KV332" s="66"/>
      <c r="KW332" s="66"/>
      <c r="KX332" s="66"/>
      <c r="KY332" s="66"/>
      <c r="KZ332" s="66"/>
      <c r="LA332" s="8"/>
      <c r="LD332" s="252"/>
      <c r="LE332" s="252"/>
      <c r="LF332" s="252"/>
      <c r="LJ332" s="252"/>
      <c r="LK332" s="252"/>
      <c r="LN332" s="252"/>
      <c r="LO332" s="252"/>
      <c r="LP332" s="252"/>
      <c r="LT332" s="271"/>
      <c r="LU332" s="250"/>
      <c r="LV332" s="250"/>
      <c r="LW332" s="250"/>
      <c r="LX332" s="250"/>
      <c r="LY332" s="250"/>
      <c r="LZ332" s="250"/>
      <c r="MA332" s="250"/>
      <c r="MB332" s="250"/>
      <c r="MC332" s="250"/>
      <c r="MD332" s="250"/>
      <c r="ME332" s="250"/>
      <c r="MF332" s="250"/>
      <c r="MG332" s="250"/>
      <c r="MH332" s="250"/>
      <c r="MI332" s="250"/>
      <c r="MJ332" s="250"/>
      <c r="MK332" s="424"/>
      <c r="ML332" s="640"/>
      <c r="MM332" s="251"/>
      <c r="MN332" s="252"/>
      <c r="MO332" s="252"/>
      <c r="MP332" s="252"/>
      <c r="MQ332" s="252"/>
      <c r="MR332" s="252"/>
      <c r="MS332" s="252"/>
      <c r="MT332" s="252"/>
      <c r="MU332" s="252"/>
      <c r="MV332" s="252"/>
      <c r="MW332" s="252"/>
      <c r="MX332" s="252"/>
      <c r="MY332" s="252"/>
      <c r="MZ332" s="252"/>
      <c r="NA332" s="252"/>
      <c r="NB332" s="252"/>
      <c r="NC332" s="251"/>
      <c r="ND332" s="250"/>
      <c r="NE332" s="250"/>
      <c r="NF332" s="250"/>
      <c r="NG332" s="250"/>
      <c r="NH332" s="250"/>
      <c r="NI332" s="250"/>
      <c r="NJ332" s="250"/>
      <c r="NK332" s="250"/>
      <c r="NL332" s="250"/>
      <c r="NM332" s="250"/>
      <c r="NN332" s="250"/>
      <c r="NO332" s="250"/>
      <c r="NP332" s="250"/>
      <c r="NQ332" s="250"/>
      <c r="NR332" s="250"/>
      <c r="NS332" s="250"/>
      <c r="NT332" s="250"/>
      <c r="NU332" s="250"/>
      <c r="NV332" s="250"/>
      <c r="NW332" s="251"/>
      <c r="OT332" s="8"/>
      <c r="QG332" s="8"/>
      <c r="RT332" s="8"/>
    </row>
    <row r="333" spans="1:488" s="282" customFormat="1" x14ac:dyDescent="0.25">
      <c r="A333" s="66"/>
      <c r="B333" s="8"/>
      <c r="C333" s="66"/>
      <c r="D333" s="66"/>
      <c r="E333" s="66"/>
      <c r="F333" s="66"/>
      <c r="G333" s="66"/>
      <c r="H333" s="66"/>
      <c r="I333" s="66"/>
      <c r="J333" s="66"/>
      <c r="K333" s="66"/>
      <c r="L333" s="66"/>
      <c r="M333" s="66"/>
      <c r="N333" s="66"/>
      <c r="O333" s="66"/>
      <c r="P333" s="66"/>
      <c r="Q333" s="66"/>
      <c r="R333" s="66"/>
      <c r="S333" s="66"/>
      <c r="T333" s="68"/>
      <c r="AC333" s="66"/>
      <c r="AD333" s="66"/>
      <c r="AE333" s="68"/>
      <c r="AN333" s="66"/>
      <c r="AO333" s="66"/>
      <c r="AP333" s="68"/>
      <c r="AW333" s="66"/>
      <c r="AX333" s="68"/>
      <c r="BD333" s="66"/>
      <c r="BE333" s="68"/>
      <c r="BF333" s="66"/>
      <c r="BG333" s="66"/>
      <c r="BH333" s="66"/>
      <c r="BI333" s="66"/>
      <c r="BJ333" s="66"/>
      <c r="BK333" s="66"/>
      <c r="BL333" s="68"/>
      <c r="BO333" s="66"/>
      <c r="BP333" s="68"/>
      <c r="BV333" s="66"/>
      <c r="BW333" s="68"/>
      <c r="CB333" s="8"/>
      <c r="CH333" s="8"/>
      <c r="CK333" s="299"/>
      <c r="CL333" s="299"/>
      <c r="CM333" s="66"/>
      <c r="CN333" s="66"/>
      <c r="CO333" s="68"/>
      <c r="CR333" s="8"/>
      <c r="CX333" s="66"/>
      <c r="CY333" s="532"/>
      <c r="DE333" s="66"/>
      <c r="DF333" s="66"/>
      <c r="DG333" s="68"/>
      <c r="DH333" s="68"/>
      <c r="DK333" s="66"/>
      <c r="DL333" s="66"/>
      <c r="DM333" s="66"/>
      <c r="DN333" s="66"/>
      <c r="DO333" s="66"/>
      <c r="DP333" s="66"/>
      <c r="DQ333" s="66"/>
      <c r="DR333" s="66"/>
      <c r="DS333" s="66"/>
      <c r="DT333" s="68"/>
      <c r="DU333" s="66"/>
      <c r="DV333" s="296"/>
      <c r="DW333" s="330"/>
      <c r="DX333" s="631"/>
      <c r="DY333" s="631"/>
      <c r="DZ333" s="631"/>
      <c r="EA333" s="330"/>
      <c r="EC333" s="66"/>
      <c r="ED333" s="68"/>
      <c r="EH333" s="66"/>
      <c r="EI333" s="66"/>
      <c r="EJ333" s="68"/>
      <c r="EK333" s="252"/>
      <c r="EL333" s="252"/>
      <c r="EM333" s="252"/>
      <c r="EO333" s="252"/>
      <c r="EP333" s="252"/>
      <c r="EQ333" s="252"/>
      <c r="ES333" s="252"/>
      <c r="ET333" s="252"/>
      <c r="EU333" s="252"/>
      <c r="EW333" s="252"/>
      <c r="EX333" s="252"/>
      <c r="EY333" s="252"/>
      <c r="FA333" s="250"/>
      <c r="FB333" s="250"/>
      <c r="FC333" s="250"/>
      <c r="FD333" s="250"/>
      <c r="FE333" s="250"/>
      <c r="FF333" s="250"/>
      <c r="FG333" s="250"/>
      <c r="FH333" s="424"/>
      <c r="FI333" s="250"/>
      <c r="FJ333" s="250"/>
      <c r="FK333" s="250"/>
      <c r="FL333" s="256"/>
      <c r="FM333" s="250"/>
      <c r="FN333" s="256"/>
      <c r="FO333" s="250"/>
      <c r="FP333" s="256"/>
      <c r="FQ333" s="250"/>
      <c r="FR333" s="256"/>
      <c r="FS333" s="250"/>
      <c r="FT333" s="256"/>
      <c r="FU333" s="256"/>
      <c r="FV333" s="256"/>
      <c r="FW333" s="250"/>
      <c r="FX333" s="424"/>
      <c r="FY333" s="251"/>
      <c r="GC333" s="252"/>
      <c r="GF333" s="252"/>
      <c r="GG333" s="252"/>
      <c r="GH333" s="252"/>
      <c r="GI333" s="252"/>
      <c r="GJ333" s="252"/>
      <c r="GK333" s="251"/>
      <c r="GL333" s="250"/>
      <c r="GM333" s="250"/>
      <c r="GN333" s="250"/>
      <c r="GO333" s="250"/>
      <c r="GP333" s="250"/>
      <c r="GQ333" s="250"/>
      <c r="GR333" s="250"/>
      <c r="GS333" s="250"/>
      <c r="GT333" s="250"/>
      <c r="GU333" s="251"/>
      <c r="GV333" s="250"/>
      <c r="GW333" s="250"/>
      <c r="GX333" s="250"/>
      <c r="GY333" s="250"/>
      <c r="GZ333" s="250"/>
      <c r="HA333" s="250"/>
      <c r="HB333" s="250"/>
      <c r="HC333" s="250"/>
      <c r="HD333" s="250"/>
      <c r="HE333" s="250"/>
      <c r="HF333" s="250"/>
      <c r="HG333" s="250"/>
      <c r="HH333" s="251"/>
      <c r="HI333" s="424"/>
      <c r="HJ333" s="255"/>
      <c r="HK333" s="255"/>
      <c r="HL333" s="250"/>
      <c r="HM333" s="255"/>
      <c r="HN333" s="255"/>
      <c r="HO333" s="255"/>
      <c r="HP333" s="250"/>
      <c r="HQ333" s="250"/>
      <c r="HR333" s="250"/>
      <c r="HS333" s="250"/>
      <c r="HT333" s="250"/>
      <c r="HU333" s="251"/>
      <c r="HX333" s="252"/>
      <c r="HY333" s="252"/>
      <c r="HZ333" s="252"/>
      <c r="ID333" s="252"/>
      <c r="IE333" s="252"/>
      <c r="IF333" s="252"/>
      <c r="IJ333" s="252"/>
      <c r="IK333" s="252"/>
      <c r="IL333" s="252"/>
      <c r="IP333" s="252"/>
      <c r="IQ333" s="252"/>
      <c r="IR333" s="252"/>
      <c r="IY333" s="66"/>
      <c r="IZ333" s="66"/>
      <c r="JA333" s="66"/>
      <c r="JB333" s="250"/>
      <c r="JC333" s="66"/>
      <c r="JD333" s="66"/>
      <c r="JE333" s="66"/>
      <c r="JF333" s="66"/>
      <c r="JG333" s="66"/>
      <c r="JH333" s="66"/>
      <c r="JI333" s="66"/>
      <c r="JJ333" s="66"/>
      <c r="JK333" s="8"/>
      <c r="JN333" s="252"/>
      <c r="JO333" s="252"/>
      <c r="JP333" s="252"/>
      <c r="JT333" s="252"/>
      <c r="JU333" s="252"/>
      <c r="JV333" s="252"/>
      <c r="JZ333" s="252"/>
      <c r="KA333" s="252"/>
      <c r="KB333" s="252"/>
      <c r="KF333" s="252"/>
      <c r="KG333" s="252"/>
      <c r="KH333" s="252"/>
      <c r="KO333" s="66"/>
      <c r="KP333" s="66"/>
      <c r="KQ333" s="66"/>
      <c r="KR333" s="66"/>
      <c r="KS333" s="66"/>
      <c r="KT333" s="66"/>
      <c r="KU333" s="66"/>
      <c r="KV333" s="66"/>
      <c r="KW333" s="66"/>
      <c r="KX333" s="66"/>
      <c r="KY333" s="66"/>
      <c r="KZ333" s="66"/>
      <c r="LA333" s="8"/>
      <c r="LD333" s="252"/>
      <c r="LE333" s="252"/>
      <c r="LF333" s="252"/>
      <c r="LJ333" s="252"/>
      <c r="LK333" s="252"/>
      <c r="LN333" s="252"/>
      <c r="LO333" s="252"/>
      <c r="LP333" s="252"/>
      <c r="LT333" s="271"/>
      <c r="LU333" s="250"/>
      <c r="LV333" s="250"/>
      <c r="LW333" s="250"/>
      <c r="LX333" s="250"/>
      <c r="LY333" s="250"/>
      <c r="LZ333" s="250"/>
      <c r="MA333" s="250"/>
      <c r="MB333" s="250"/>
      <c r="MC333" s="250"/>
      <c r="MD333" s="250"/>
      <c r="ME333" s="250"/>
      <c r="MF333" s="250"/>
      <c r="MG333" s="250"/>
      <c r="MH333" s="250"/>
      <c r="MI333" s="250"/>
      <c r="MJ333" s="250"/>
      <c r="MK333" s="424"/>
      <c r="ML333" s="640"/>
      <c r="MM333" s="251"/>
      <c r="MN333" s="252"/>
      <c r="MO333" s="252"/>
      <c r="MP333" s="252"/>
      <c r="MQ333" s="252"/>
      <c r="MR333" s="252"/>
      <c r="MS333" s="252"/>
      <c r="MT333" s="252"/>
      <c r="MU333" s="252"/>
      <c r="MV333" s="252"/>
      <c r="MW333" s="252"/>
      <c r="MX333" s="252"/>
      <c r="MY333" s="252"/>
      <c r="MZ333" s="252"/>
      <c r="NA333" s="252"/>
      <c r="NB333" s="252"/>
      <c r="NC333" s="251"/>
      <c r="ND333" s="250"/>
      <c r="NE333" s="250"/>
      <c r="NF333" s="250"/>
      <c r="NG333" s="250"/>
      <c r="NH333" s="250"/>
      <c r="NI333" s="250"/>
      <c r="NJ333" s="250"/>
      <c r="NK333" s="250"/>
      <c r="NL333" s="250"/>
      <c r="NM333" s="250"/>
      <c r="NN333" s="250"/>
      <c r="NO333" s="250"/>
      <c r="NP333" s="250"/>
      <c r="NQ333" s="250"/>
      <c r="NR333" s="250"/>
      <c r="NS333" s="250"/>
      <c r="NT333" s="250"/>
      <c r="NU333" s="250"/>
      <c r="NV333" s="250"/>
      <c r="NW333" s="251"/>
      <c r="OT333" s="8"/>
      <c r="QG333" s="8"/>
      <c r="RT333" s="8"/>
    </row>
    <row r="334" spans="1:488" s="282" customFormat="1" x14ac:dyDescent="0.25">
      <c r="A334" s="66"/>
      <c r="B334" s="8"/>
      <c r="C334" s="66"/>
      <c r="D334" s="66"/>
      <c r="E334" s="66"/>
      <c r="F334" s="66"/>
      <c r="G334" s="66"/>
      <c r="H334" s="66"/>
      <c r="I334" s="66"/>
      <c r="J334" s="66"/>
      <c r="K334" s="66"/>
      <c r="L334" s="66"/>
      <c r="M334" s="66"/>
      <c r="N334" s="66"/>
      <c r="O334" s="66"/>
      <c r="P334" s="66"/>
      <c r="Q334" s="66"/>
      <c r="R334" s="66"/>
      <c r="S334" s="66"/>
      <c r="T334" s="68"/>
      <c r="AC334" s="66"/>
      <c r="AD334" s="66"/>
      <c r="AE334" s="68"/>
      <c r="AN334" s="66"/>
      <c r="AO334" s="66"/>
      <c r="AP334" s="68"/>
      <c r="AW334" s="66"/>
      <c r="AX334" s="68"/>
      <c r="BD334" s="66"/>
      <c r="BE334" s="68"/>
      <c r="BF334" s="66"/>
      <c r="BG334" s="66"/>
      <c r="BH334" s="66"/>
      <c r="BI334" s="66"/>
      <c r="BJ334" s="66"/>
      <c r="BK334" s="66"/>
      <c r="BL334" s="68"/>
      <c r="BO334" s="66"/>
      <c r="BP334" s="68"/>
      <c r="BV334" s="66"/>
      <c r="BW334" s="68"/>
      <c r="CB334" s="8"/>
      <c r="CH334" s="8"/>
      <c r="CK334" s="299"/>
      <c r="CL334" s="299"/>
      <c r="CM334" s="66"/>
      <c r="CN334" s="66"/>
      <c r="CO334" s="68"/>
      <c r="CR334" s="8"/>
      <c r="CX334" s="66"/>
      <c r="CY334" s="532"/>
      <c r="DE334" s="66"/>
      <c r="DF334" s="66"/>
      <c r="DG334" s="68"/>
      <c r="DH334" s="68"/>
      <c r="DK334" s="66"/>
      <c r="DL334" s="66"/>
      <c r="DM334" s="66"/>
      <c r="DN334" s="66"/>
      <c r="DO334" s="66"/>
      <c r="DP334" s="66"/>
      <c r="DQ334" s="66"/>
      <c r="DR334" s="66"/>
      <c r="DS334" s="66"/>
      <c r="DT334" s="68"/>
      <c r="DU334" s="66"/>
      <c r="DV334" s="296"/>
      <c r="DW334" s="330"/>
      <c r="DX334" s="631"/>
      <c r="DY334" s="631"/>
      <c r="DZ334" s="631"/>
      <c r="EA334" s="330"/>
      <c r="EC334" s="66"/>
      <c r="ED334" s="68"/>
      <c r="EH334" s="66"/>
      <c r="EI334" s="66"/>
      <c r="EJ334" s="68"/>
      <c r="EK334" s="252"/>
      <c r="EL334" s="252"/>
      <c r="EM334" s="252"/>
      <c r="EO334" s="252"/>
      <c r="EP334" s="252"/>
      <c r="EQ334" s="252"/>
      <c r="ES334" s="252"/>
      <c r="ET334" s="252"/>
      <c r="EU334" s="252"/>
      <c r="EW334" s="252"/>
      <c r="EX334" s="252"/>
      <c r="EY334" s="252"/>
      <c r="FA334" s="250"/>
      <c r="FB334" s="250"/>
      <c r="FC334" s="250"/>
      <c r="FD334" s="250"/>
      <c r="FE334" s="250"/>
      <c r="FF334" s="250"/>
      <c r="FG334" s="250"/>
      <c r="FH334" s="424"/>
      <c r="FI334" s="250"/>
      <c r="FJ334" s="250"/>
      <c r="FK334" s="250"/>
      <c r="FL334" s="256"/>
      <c r="FM334" s="250"/>
      <c r="FN334" s="256"/>
      <c r="FO334" s="250"/>
      <c r="FP334" s="256"/>
      <c r="FQ334" s="250"/>
      <c r="FR334" s="256"/>
      <c r="FS334" s="250"/>
      <c r="FT334" s="256"/>
      <c r="FU334" s="256"/>
      <c r="FV334" s="256"/>
      <c r="FW334" s="250"/>
      <c r="FX334" s="424"/>
      <c r="FY334" s="251"/>
      <c r="GC334" s="252"/>
      <c r="GF334" s="252"/>
      <c r="GG334" s="252"/>
      <c r="GH334" s="252"/>
      <c r="GI334" s="252"/>
      <c r="GJ334" s="252"/>
      <c r="GK334" s="251"/>
      <c r="GL334" s="250"/>
      <c r="GM334" s="250"/>
      <c r="GN334" s="250"/>
      <c r="GO334" s="250"/>
      <c r="GP334" s="250"/>
      <c r="GQ334" s="250"/>
      <c r="GR334" s="250"/>
      <c r="GS334" s="250"/>
      <c r="GT334" s="250"/>
      <c r="GU334" s="251"/>
      <c r="GV334" s="250"/>
      <c r="GW334" s="250"/>
      <c r="GX334" s="250"/>
      <c r="GY334" s="250"/>
      <c r="GZ334" s="250"/>
      <c r="HA334" s="250"/>
      <c r="HB334" s="250"/>
      <c r="HC334" s="250"/>
      <c r="HD334" s="250"/>
      <c r="HE334" s="250"/>
      <c r="HF334" s="250"/>
      <c r="HG334" s="250"/>
      <c r="HH334" s="251"/>
      <c r="HI334" s="424"/>
      <c r="HJ334" s="255"/>
      <c r="HK334" s="255"/>
      <c r="HL334" s="250"/>
      <c r="HM334" s="255"/>
      <c r="HN334" s="255"/>
      <c r="HO334" s="255"/>
      <c r="HP334" s="250"/>
      <c r="HQ334" s="250"/>
      <c r="HR334" s="250"/>
      <c r="HS334" s="250"/>
      <c r="HT334" s="250"/>
      <c r="HU334" s="251"/>
      <c r="HX334" s="252"/>
      <c r="HY334" s="252"/>
      <c r="HZ334" s="252"/>
      <c r="ID334" s="252"/>
      <c r="IE334" s="252"/>
      <c r="IF334" s="252"/>
      <c r="IJ334" s="252"/>
      <c r="IK334" s="252"/>
      <c r="IL334" s="252"/>
      <c r="IP334" s="252"/>
      <c r="IQ334" s="252"/>
      <c r="IR334" s="252"/>
      <c r="IY334" s="66"/>
      <c r="IZ334" s="66"/>
      <c r="JA334" s="66"/>
      <c r="JB334" s="250"/>
      <c r="JC334" s="66"/>
      <c r="JD334" s="66"/>
      <c r="JE334" s="66"/>
      <c r="JF334" s="66"/>
      <c r="JG334" s="66"/>
      <c r="JH334" s="66"/>
      <c r="JI334" s="66"/>
      <c r="JJ334" s="66"/>
      <c r="JK334" s="8"/>
      <c r="JN334" s="252"/>
      <c r="JO334" s="252"/>
      <c r="JP334" s="252"/>
      <c r="JT334" s="252"/>
      <c r="JU334" s="252"/>
      <c r="JV334" s="252"/>
      <c r="JZ334" s="252"/>
      <c r="KA334" s="252"/>
      <c r="KB334" s="252"/>
      <c r="KF334" s="252"/>
      <c r="KG334" s="252"/>
      <c r="KH334" s="252"/>
      <c r="KO334" s="66"/>
      <c r="KP334" s="66"/>
      <c r="KQ334" s="66"/>
      <c r="KR334" s="66"/>
      <c r="KS334" s="66"/>
      <c r="KT334" s="66"/>
      <c r="KU334" s="66"/>
      <c r="KV334" s="66"/>
      <c r="KW334" s="66"/>
      <c r="KX334" s="66"/>
      <c r="KY334" s="66"/>
      <c r="KZ334" s="66"/>
      <c r="LA334" s="8"/>
      <c r="LD334" s="252"/>
      <c r="LE334" s="252"/>
      <c r="LF334" s="252"/>
      <c r="LJ334" s="252"/>
      <c r="LK334" s="252"/>
      <c r="LN334" s="252"/>
      <c r="LO334" s="252"/>
      <c r="LP334" s="252"/>
      <c r="LT334" s="271"/>
      <c r="LU334" s="250"/>
      <c r="LV334" s="250"/>
      <c r="LW334" s="250"/>
      <c r="LX334" s="250"/>
      <c r="LY334" s="250"/>
      <c r="LZ334" s="250"/>
      <c r="MA334" s="250"/>
      <c r="MB334" s="250"/>
      <c r="MC334" s="250"/>
      <c r="MD334" s="250"/>
      <c r="ME334" s="250"/>
      <c r="MF334" s="250"/>
      <c r="MG334" s="250"/>
      <c r="MH334" s="250"/>
      <c r="MI334" s="250"/>
      <c r="MJ334" s="250"/>
      <c r="MK334" s="424"/>
      <c r="ML334" s="640"/>
      <c r="MM334" s="251"/>
      <c r="MN334" s="252"/>
      <c r="MO334" s="252"/>
      <c r="MP334" s="252"/>
      <c r="MQ334" s="252"/>
      <c r="MR334" s="252"/>
      <c r="MS334" s="252"/>
      <c r="MT334" s="252"/>
      <c r="MU334" s="252"/>
      <c r="MV334" s="252"/>
      <c r="MW334" s="252"/>
      <c r="MX334" s="252"/>
      <c r="MY334" s="252"/>
      <c r="MZ334" s="252"/>
      <c r="NA334" s="252"/>
      <c r="NB334" s="252"/>
      <c r="NC334" s="251"/>
      <c r="ND334" s="250"/>
      <c r="NE334" s="250"/>
      <c r="NF334" s="250"/>
      <c r="NG334" s="250"/>
      <c r="NH334" s="250"/>
      <c r="NI334" s="250"/>
      <c r="NJ334" s="250"/>
      <c r="NK334" s="250"/>
      <c r="NL334" s="250"/>
      <c r="NM334" s="250"/>
      <c r="NN334" s="250"/>
      <c r="NO334" s="250"/>
      <c r="NP334" s="250"/>
      <c r="NQ334" s="250"/>
      <c r="NR334" s="250"/>
      <c r="NS334" s="250"/>
      <c r="NT334" s="250"/>
      <c r="NU334" s="250"/>
      <c r="NV334" s="250"/>
      <c r="NW334" s="251"/>
      <c r="OT334" s="8"/>
      <c r="QG334" s="8"/>
      <c r="RT334" s="8"/>
    </row>
    <row r="335" spans="1:488" s="282" customFormat="1" x14ac:dyDescent="0.25">
      <c r="A335" s="66"/>
      <c r="B335" s="8"/>
      <c r="C335" s="66"/>
      <c r="D335" s="66"/>
      <c r="E335" s="66"/>
      <c r="F335" s="66"/>
      <c r="G335" s="66"/>
      <c r="H335" s="66"/>
      <c r="I335" s="66"/>
      <c r="J335" s="66"/>
      <c r="K335" s="66"/>
      <c r="L335" s="66"/>
      <c r="M335" s="66"/>
      <c r="N335" s="66"/>
      <c r="O335" s="66"/>
      <c r="P335" s="66"/>
      <c r="Q335" s="66"/>
      <c r="R335" s="66"/>
      <c r="S335" s="66"/>
      <c r="T335" s="68"/>
      <c r="AC335" s="66"/>
      <c r="AD335" s="66"/>
      <c r="AE335" s="68"/>
      <c r="AN335" s="66"/>
      <c r="AO335" s="66"/>
      <c r="AP335" s="68"/>
      <c r="AW335" s="66"/>
      <c r="AX335" s="68"/>
      <c r="BD335" s="66"/>
      <c r="BE335" s="68"/>
      <c r="BF335" s="66"/>
      <c r="BG335" s="66"/>
      <c r="BH335" s="66"/>
      <c r="BI335" s="66"/>
      <c r="BJ335" s="66"/>
      <c r="BK335" s="66"/>
      <c r="BL335" s="68"/>
      <c r="BO335" s="66"/>
      <c r="BP335" s="68"/>
      <c r="BV335" s="66"/>
      <c r="BW335" s="68"/>
      <c r="CB335" s="8"/>
      <c r="CH335" s="8"/>
      <c r="CK335" s="299"/>
      <c r="CL335" s="299"/>
      <c r="CM335" s="66"/>
      <c r="CN335" s="66"/>
      <c r="CO335" s="68"/>
      <c r="CR335" s="8"/>
      <c r="CX335" s="66"/>
      <c r="CY335" s="532"/>
      <c r="DE335" s="66"/>
      <c r="DF335" s="66"/>
      <c r="DG335" s="68"/>
      <c r="DH335" s="68"/>
      <c r="DK335" s="66"/>
      <c r="DL335" s="66"/>
      <c r="DM335" s="66"/>
      <c r="DN335" s="66"/>
      <c r="DO335" s="66"/>
      <c r="DP335" s="66"/>
      <c r="DQ335" s="66"/>
      <c r="DR335" s="66"/>
      <c r="DS335" s="66"/>
      <c r="DT335" s="68"/>
      <c r="DU335" s="66"/>
      <c r="DV335" s="296"/>
      <c r="DW335" s="330"/>
      <c r="DX335" s="631"/>
      <c r="DY335" s="631"/>
      <c r="DZ335" s="631"/>
      <c r="EA335" s="330"/>
      <c r="EC335" s="66"/>
      <c r="ED335" s="68"/>
      <c r="EH335" s="66"/>
      <c r="EI335" s="66"/>
      <c r="EJ335" s="68"/>
      <c r="EK335" s="252"/>
      <c r="EL335" s="252"/>
      <c r="EM335" s="252"/>
      <c r="EO335" s="252"/>
      <c r="EP335" s="252"/>
      <c r="EQ335" s="252"/>
      <c r="ES335" s="252"/>
      <c r="ET335" s="252"/>
      <c r="EU335" s="252"/>
      <c r="EW335" s="252"/>
      <c r="EX335" s="252"/>
      <c r="EY335" s="252"/>
      <c r="FA335" s="250"/>
      <c r="FB335" s="250"/>
      <c r="FC335" s="250"/>
      <c r="FD335" s="250"/>
      <c r="FE335" s="250"/>
      <c r="FF335" s="250"/>
      <c r="FG335" s="250"/>
      <c r="FH335" s="424"/>
      <c r="FI335" s="250"/>
      <c r="FJ335" s="250"/>
      <c r="FK335" s="250"/>
      <c r="FL335" s="256"/>
      <c r="FM335" s="250"/>
      <c r="FN335" s="256"/>
      <c r="FO335" s="250"/>
      <c r="FP335" s="256"/>
      <c r="FQ335" s="250"/>
      <c r="FR335" s="256"/>
      <c r="FS335" s="250"/>
      <c r="FT335" s="256"/>
      <c r="FU335" s="256"/>
      <c r="FV335" s="256"/>
      <c r="FW335" s="250"/>
      <c r="FX335" s="424"/>
      <c r="FY335" s="251"/>
      <c r="GC335" s="252"/>
      <c r="GF335" s="252"/>
      <c r="GG335" s="252"/>
      <c r="GH335" s="252"/>
      <c r="GI335" s="252"/>
      <c r="GJ335" s="252"/>
      <c r="GK335" s="251"/>
      <c r="GL335" s="250"/>
      <c r="GM335" s="250"/>
      <c r="GN335" s="250"/>
      <c r="GO335" s="250"/>
      <c r="GP335" s="250"/>
      <c r="GQ335" s="250"/>
      <c r="GR335" s="250"/>
      <c r="GS335" s="250"/>
      <c r="GT335" s="250"/>
      <c r="GU335" s="251"/>
      <c r="GV335" s="250"/>
      <c r="GW335" s="250"/>
      <c r="GX335" s="250"/>
      <c r="GY335" s="250"/>
      <c r="GZ335" s="250"/>
      <c r="HA335" s="250"/>
      <c r="HB335" s="250"/>
      <c r="HC335" s="250"/>
      <c r="HD335" s="250"/>
      <c r="HE335" s="250"/>
      <c r="HF335" s="250"/>
      <c r="HG335" s="250"/>
      <c r="HH335" s="251"/>
      <c r="HI335" s="424"/>
      <c r="HJ335" s="255"/>
      <c r="HK335" s="255"/>
      <c r="HL335" s="250"/>
      <c r="HM335" s="255"/>
      <c r="HN335" s="255"/>
      <c r="HO335" s="255"/>
      <c r="HP335" s="250"/>
      <c r="HQ335" s="250"/>
      <c r="HR335" s="250"/>
      <c r="HS335" s="250"/>
      <c r="HT335" s="250"/>
      <c r="HU335" s="251"/>
      <c r="HX335" s="252"/>
      <c r="HY335" s="252"/>
      <c r="HZ335" s="252"/>
      <c r="ID335" s="252"/>
      <c r="IE335" s="252"/>
      <c r="IF335" s="252"/>
      <c r="IJ335" s="252"/>
      <c r="IK335" s="252"/>
      <c r="IL335" s="252"/>
      <c r="IP335" s="252"/>
      <c r="IQ335" s="252"/>
      <c r="IR335" s="252"/>
      <c r="IY335" s="66"/>
      <c r="IZ335" s="66"/>
      <c r="JA335" s="66"/>
      <c r="JB335" s="250"/>
      <c r="JC335" s="66"/>
      <c r="JD335" s="66"/>
      <c r="JE335" s="66"/>
      <c r="JF335" s="66"/>
      <c r="JG335" s="66"/>
      <c r="JH335" s="66"/>
      <c r="JI335" s="66"/>
      <c r="JJ335" s="66"/>
      <c r="JK335" s="8"/>
      <c r="JN335" s="252"/>
      <c r="JO335" s="252"/>
      <c r="JP335" s="252"/>
      <c r="JT335" s="252"/>
      <c r="JU335" s="252"/>
      <c r="JV335" s="252"/>
      <c r="JZ335" s="252"/>
      <c r="KA335" s="252"/>
      <c r="KB335" s="252"/>
      <c r="KF335" s="252"/>
      <c r="KG335" s="252"/>
      <c r="KH335" s="252"/>
      <c r="KO335" s="66"/>
      <c r="KP335" s="66"/>
      <c r="KQ335" s="66"/>
      <c r="KR335" s="66"/>
      <c r="KS335" s="66"/>
      <c r="KT335" s="66"/>
      <c r="KU335" s="66"/>
      <c r="KV335" s="66"/>
      <c r="KW335" s="66"/>
      <c r="KX335" s="66"/>
      <c r="KY335" s="66"/>
      <c r="KZ335" s="66"/>
      <c r="LA335" s="8"/>
      <c r="LD335" s="252"/>
      <c r="LE335" s="252"/>
      <c r="LF335" s="252"/>
      <c r="LJ335" s="252"/>
      <c r="LK335" s="252"/>
      <c r="LN335" s="252"/>
      <c r="LO335" s="252"/>
      <c r="LP335" s="252"/>
      <c r="LT335" s="271"/>
      <c r="LU335" s="250"/>
      <c r="LV335" s="250"/>
      <c r="LW335" s="250"/>
      <c r="LX335" s="250"/>
      <c r="LY335" s="250"/>
      <c r="LZ335" s="250"/>
      <c r="MA335" s="250"/>
      <c r="MB335" s="250"/>
      <c r="MC335" s="250"/>
      <c r="MD335" s="250"/>
      <c r="ME335" s="250"/>
      <c r="MF335" s="250"/>
      <c r="MG335" s="250"/>
      <c r="MH335" s="250"/>
      <c r="MI335" s="250"/>
      <c r="MJ335" s="250"/>
      <c r="MK335" s="424"/>
      <c r="ML335" s="640"/>
      <c r="MM335" s="251"/>
      <c r="MN335" s="252"/>
      <c r="MO335" s="252"/>
      <c r="MP335" s="252"/>
      <c r="MQ335" s="252"/>
      <c r="MR335" s="252"/>
      <c r="MS335" s="252"/>
      <c r="MT335" s="252"/>
      <c r="MU335" s="252"/>
      <c r="MV335" s="252"/>
      <c r="MW335" s="252"/>
      <c r="MX335" s="252"/>
      <c r="MY335" s="252"/>
      <c r="MZ335" s="252"/>
      <c r="NA335" s="252"/>
      <c r="NB335" s="252"/>
      <c r="NC335" s="251"/>
      <c r="ND335" s="250"/>
      <c r="NE335" s="250"/>
      <c r="NF335" s="250"/>
      <c r="NG335" s="250"/>
      <c r="NH335" s="250"/>
      <c r="NI335" s="250"/>
      <c r="NJ335" s="250"/>
      <c r="NK335" s="250"/>
      <c r="NL335" s="250"/>
      <c r="NM335" s="250"/>
      <c r="NN335" s="250"/>
      <c r="NO335" s="250"/>
      <c r="NP335" s="250"/>
      <c r="NQ335" s="250"/>
      <c r="NR335" s="250"/>
      <c r="NS335" s="250"/>
      <c r="NT335" s="250"/>
      <c r="NU335" s="250"/>
      <c r="NV335" s="250"/>
      <c r="NW335" s="251"/>
      <c r="OT335" s="8"/>
      <c r="QG335" s="8"/>
      <c r="RT335" s="8"/>
    </row>
    <row r="336" spans="1:488" s="282" customFormat="1" x14ac:dyDescent="0.25">
      <c r="A336" s="66"/>
      <c r="B336" s="8"/>
      <c r="C336" s="66"/>
      <c r="D336" s="66"/>
      <c r="E336" s="66"/>
      <c r="F336" s="66"/>
      <c r="G336" s="66"/>
      <c r="H336" s="66"/>
      <c r="I336" s="66"/>
      <c r="J336" s="66"/>
      <c r="K336" s="66"/>
      <c r="L336" s="66"/>
      <c r="M336" s="66"/>
      <c r="N336" s="66"/>
      <c r="O336" s="66"/>
      <c r="P336" s="66"/>
      <c r="Q336" s="66"/>
      <c r="R336" s="66"/>
      <c r="S336" s="66"/>
      <c r="T336" s="68"/>
      <c r="AC336" s="66"/>
      <c r="AD336" s="66"/>
      <c r="AE336" s="68"/>
      <c r="AN336" s="66"/>
      <c r="AO336" s="66"/>
      <c r="AP336" s="68"/>
      <c r="AW336" s="66"/>
      <c r="AX336" s="68"/>
      <c r="BD336" s="66"/>
      <c r="BE336" s="68"/>
      <c r="BF336" s="66"/>
      <c r="BG336" s="66"/>
      <c r="BH336" s="66"/>
      <c r="BI336" s="66"/>
      <c r="BJ336" s="66"/>
      <c r="BK336" s="66"/>
      <c r="BL336" s="68"/>
      <c r="BO336" s="66"/>
      <c r="BP336" s="68"/>
      <c r="BV336" s="66"/>
      <c r="BW336" s="68"/>
      <c r="CB336" s="8"/>
      <c r="CH336" s="8"/>
      <c r="CK336" s="299"/>
      <c r="CL336" s="299"/>
      <c r="CM336" s="66"/>
      <c r="CN336" s="66"/>
      <c r="CO336" s="68"/>
      <c r="CR336" s="8"/>
      <c r="CX336" s="66"/>
      <c r="CY336" s="532"/>
      <c r="DE336" s="66"/>
      <c r="DF336" s="66"/>
      <c r="DG336" s="68"/>
      <c r="DH336" s="68"/>
      <c r="DK336" s="66"/>
      <c r="DL336" s="66"/>
      <c r="DM336" s="66"/>
      <c r="DN336" s="66"/>
      <c r="DO336" s="66"/>
      <c r="DP336" s="66"/>
      <c r="DQ336" s="66"/>
      <c r="DR336" s="66"/>
      <c r="DS336" s="66"/>
      <c r="DT336" s="68"/>
      <c r="DU336" s="66"/>
      <c r="DV336" s="296"/>
      <c r="DW336" s="330"/>
      <c r="DX336" s="631"/>
      <c r="DY336" s="631"/>
      <c r="DZ336" s="631"/>
      <c r="EA336" s="330"/>
      <c r="EC336" s="66"/>
      <c r="ED336" s="68"/>
      <c r="EH336" s="66"/>
      <c r="EI336" s="66"/>
      <c r="EJ336" s="68"/>
      <c r="EK336" s="252"/>
      <c r="EL336" s="252"/>
      <c r="EM336" s="252"/>
      <c r="EO336" s="252"/>
      <c r="EP336" s="252"/>
      <c r="EQ336" s="252"/>
      <c r="ES336" s="252"/>
      <c r="ET336" s="252"/>
      <c r="EU336" s="252"/>
      <c r="EW336" s="252"/>
      <c r="EX336" s="252"/>
      <c r="EY336" s="252"/>
      <c r="FA336" s="250"/>
      <c r="FB336" s="250"/>
      <c r="FC336" s="250"/>
      <c r="FD336" s="250"/>
      <c r="FE336" s="250"/>
      <c r="FF336" s="250"/>
      <c r="FG336" s="250"/>
      <c r="FH336" s="424"/>
      <c r="FI336" s="250"/>
      <c r="FJ336" s="250"/>
      <c r="FK336" s="250"/>
      <c r="FL336" s="256"/>
      <c r="FM336" s="250"/>
      <c r="FN336" s="256"/>
      <c r="FO336" s="250"/>
      <c r="FP336" s="256"/>
      <c r="FQ336" s="250"/>
      <c r="FR336" s="256"/>
      <c r="FS336" s="250"/>
      <c r="FT336" s="256"/>
      <c r="FU336" s="256"/>
      <c r="FV336" s="256"/>
      <c r="FW336" s="250"/>
      <c r="FX336" s="424"/>
      <c r="FY336" s="251"/>
      <c r="GC336" s="252"/>
      <c r="GF336" s="252"/>
      <c r="GG336" s="252"/>
      <c r="GH336" s="252"/>
      <c r="GI336" s="252"/>
      <c r="GJ336" s="252"/>
      <c r="GK336" s="251"/>
      <c r="GL336" s="250"/>
      <c r="GM336" s="250"/>
      <c r="GN336" s="250"/>
      <c r="GO336" s="250"/>
      <c r="GP336" s="250"/>
      <c r="GQ336" s="250"/>
      <c r="GR336" s="250"/>
      <c r="GS336" s="250"/>
      <c r="GT336" s="250"/>
      <c r="GU336" s="251"/>
      <c r="GV336" s="250"/>
      <c r="GW336" s="250"/>
      <c r="GX336" s="250"/>
      <c r="GY336" s="250"/>
      <c r="GZ336" s="250"/>
      <c r="HA336" s="250"/>
      <c r="HB336" s="250"/>
      <c r="HC336" s="250"/>
      <c r="HD336" s="250"/>
      <c r="HE336" s="250"/>
      <c r="HF336" s="250"/>
      <c r="HG336" s="250"/>
      <c r="HH336" s="251"/>
      <c r="HI336" s="424"/>
      <c r="HJ336" s="255"/>
      <c r="HK336" s="255"/>
      <c r="HL336" s="250"/>
      <c r="HM336" s="255"/>
      <c r="HN336" s="255"/>
      <c r="HO336" s="255"/>
      <c r="HP336" s="250"/>
      <c r="HQ336" s="250"/>
      <c r="HR336" s="250"/>
      <c r="HS336" s="250"/>
      <c r="HT336" s="250"/>
      <c r="HU336" s="251"/>
      <c r="HX336" s="252"/>
      <c r="HY336" s="252"/>
      <c r="HZ336" s="252"/>
      <c r="ID336" s="252"/>
      <c r="IE336" s="252"/>
      <c r="IF336" s="252"/>
      <c r="IJ336" s="252"/>
      <c r="IK336" s="252"/>
      <c r="IL336" s="252"/>
      <c r="IP336" s="252"/>
      <c r="IQ336" s="252"/>
      <c r="IR336" s="252"/>
      <c r="IY336" s="66"/>
      <c r="IZ336" s="66"/>
      <c r="JA336" s="66"/>
      <c r="JB336" s="250"/>
      <c r="JC336" s="66"/>
      <c r="JD336" s="66"/>
      <c r="JE336" s="66"/>
      <c r="JF336" s="66"/>
      <c r="JG336" s="66"/>
      <c r="JH336" s="66"/>
      <c r="JI336" s="66"/>
      <c r="JJ336" s="66"/>
      <c r="JK336" s="8"/>
      <c r="JN336" s="252"/>
      <c r="JO336" s="252"/>
      <c r="JP336" s="252"/>
      <c r="JT336" s="252"/>
      <c r="JU336" s="252"/>
      <c r="JV336" s="252"/>
      <c r="JZ336" s="252"/>
      <c r="KA336" s="252"/>
      <c r="KB336" s="252"/>
      <c r="KF336" s="252"/>
      <c r="KG336" s="252"/>
      <c r="KH336" s="252"/>
      <c r="KO336" s="66"/>
      <c r="KP336" s="66"/>
      <c r="KQ336" s="66"/>
      <c r="KR336" s="66"/>
      <c r="KS336" s="66"/>
      <c r="KT336" s="66"/>
      <c r="KU336" s="66"/>
      <c r="KV336" s="66"/>
      <c r="KW336" s="66"/>
      <c r="KX336" s="66"/>
      <c r="KY336" s="66"/>
      <c r="KZ336" s="66"/>
      <c r="LA336" s="8"/>
      <c r="LD336" s="252"/>
      <c r="LE336" s="252"/>
      <c r="LF336" s="252"/>
      <c r="LJ336" s="252"/>
      <c r="LK336" s="252"/>
      <c r="LN336" s="252"/>
      <c r="LO336" s="252"/>
      <c r="LP336" s="252"/>
      <c r="LT336" s="271"/>
      <c r="LU336" s="250"/>
      <c r="LV336" s="250"/>
      <c r="LW336" s="250"/>
      <c r="LX336" s="250"/>
      <c r="LY336" s="250"/>
      <c r="LZ336" s="250"/>
      <c r="MA336" s="250"/>
      <c r="MB336" s="250"/>
      <c r="MC336" s="250"/>
      <c r="MD336" s="250"/>
      <c r="ME336" s="250"/>
      <c r="MF336" s="250"/>
      <c r="MG336" s="250"/>
      <c r="MH336" s="250"/>
      <c r="MI336" s="250"/>
      <c r="MJ336" s="250"/>
      <c r="MK336" s="424"/>
      <c r="ML336" s="640"/>
      <c r="MM336" s="251"/>
      <c r="MN336" s="252"/>
      <c r="MO336" s="252"/>
      <c r="MP336" s="252"/>
      <c r="MQ336" s="252"/>
      <c r="MR336" s="252"/>
      <c r="MS336" s="252"/>
      <c r="MT336" s="252"/>
      <c r="MU336" s="252"/>
      <c r="MV336" s="252"/>
      <c r="MW336" s="252"/>
      <c r="MX336" s="252"/>
      <c r="MY336" s="252"/>
      <c r="MZ336" s="252"/>
      <c r="NA336" s="252"/>
      <c r="NB336" s="252"/>
      <c r="NC336" s="251"/>
      <c r="ND336" s="250"/>
      <c r="NE336" s="250"/>
      <c r="NF336" s="250"/>
      <c r="NG336" s="250"/>
      <c r="NH336" s="250"/>
      <c r="NI336" s="250"/>
      <c r="NJ336" s="250"/>
      <c r="NK336" s="250"/>
      <c r="NL336" s="250"/>
      <c r="NM336" s="250"/>
      <c r="NN336" s="250"/>
      <c r="NO336" s="250"/>
      <c r="NP336" s="250"/>
      <c r="NQ336" s="250"/>
      <c r="NR336" s="250"/>
      <c r="NS336" s="250"/>
      <c r="NT336" s="250"/>
      <c r="NU336" s="250"/>
      <c r="NV336" s="250"/>
      <c r="NW336" s="251"/>
      <c r="OT336" s="8"/>
      <c r="QG336" s="8"/>
      <c r="RT336" s="8"/>
    </row>
    <row r="337" spans="1:488" s="282" customFormat="1" x14ac:dyDescent="0.25">
      <c r="A337" s="66"/>
      <c r="B337" s="8"/>
      <c r="C337" s="66"/>
      <c r="D337" s="66"/>
      <c r="E337" s="66"/>
      <c r="F337" s="66"/>
      <c r="G337" s="66"/>
      <c r="H337" s="66"/>
      <c r="I337" s="66"/>
      <c r="J337" s="66"/>
      <c r="K337" s="66"/>
      <c r="L337" s="66"/>
      <c r="M337" s="66"/>
      <c r="N337" s="66"/>
      <c r="O337" s="66"/>
      <c r="P337" s="66"/>
      <c r="Q337" s="66"/>
      <c r="R337" s="66"/>
      <c r="S337" s="66"/>
      <c r="T337" s="68"/>
      <c r="AC337" s="66"/>
      <c r="AD337" s="66"/>
      <c r="AE337" s="68"/>
      <c r="AN337" s="66"/>
      <c r="AO337" s="66"/>
      <c r="AP337" s="68"/>
      <c r="AW337" s="66"/>
      <c r="AX337" s="68"/>
      <c r="BD337" s="66"/>
      <c r="BE337" s="68"/>
      <c r="BF337" s="66"/>
      <c r="BG337" s="66"/>
      <c r="BH337" s="66"/>
      <c r="BI337" s="66"/>
      <c r="BJ337" s="66"/>
      <c r="BK337" s="66"/>
      <c r="BL337" s="68"/>
      <c r="BO337" s="66"/>
      <c r="BP337" s="68"/>
      <c r="BV337" s="66"/>
      <c r="BW337" s="68"/>
      <c r="CB337" s="8"/>
      <c r="CH337" s="8"/>
      <c r="CK337" s="299"/>
      <c r="CL337" s="299"/>
      <c r="CM337" s="66"/>
      <c r="CN337" s="66"/>
      <c r="CO337" s="68"/>
      <c r="CR337" s="8"/>
      <c r="CX337" s="66"/>
      <c r="CY337" s="532"/>
      <c r="DE337" s="66"/>
      <c r="DF337" s="66"/>
      <c r="DG337" s="68"/>
      <c r="DH337" s="68"/>
      <c r="DK337" s="66"/>
      <c r="DL337" s="66"/>
      <c r="DM337" s="66"/>
      <c r="DN337" s="66"/>
      <c r="DO337" s="66"/>
      <c r="DP337" s="66"/>
      <c r="DQ337" s="66"/>
      <c r="DR337" s="66"/>
      <c r="DS337" s="66"/>
      <c r="DT337" s="68"/>
      <c r="DU337" s="66"/>
      <c r="DV337" s="296"/>
      <c r="DW337" s="330"/>
      <c r="DX337" s="631"/>
      <c r="DY337" s="631"/>
      <c r="DZ337" s="631"/>
      <c r="EA337" s="330"/>
      <c r="EC337" s="66"/>
      <c r="ED337" s="68"/>
      <c r="EH337" s="66"/>
      <c r="EI337" s="66"/>
      <c r="EJ337" s="68"/>
      <c r="EK337" s="252"/>
      <c r="EL337" s="252"/>
      <c r="EM337" s="252"/>
      <c r="EO337" s="252"/>
      <c r="EP337" s="252"/>
      <c r="EQ337" s="252"/>
      <c r="ES337" s="252"/>
      <c r="ET337" s="252"/>
      <c r="EU337" s="252"/>
      <c r="EW337" s="252"/>
      <c r="EX337" s="252"/>
      <c r="EY337" s="252"/>
      <c r="FA337" s="250"/>
      <c r="FB337" s="250"/>
      <c r="FC337" s="250"/>
      <c r="FD337" s="250"/>
      <c r="FE337" s="250"/>
      <c r="FF337" s="250"/>
      <c r="FG337" s="250"/>
      <c r="FH337" s="424"/>
      <c r="FI337" s="250"/>
      <c r="FJ337" s="250"/>
      <c r="FK337" s="250"/>
      <c r="FL337" s="256"/>
      <c r="FM337" s="250"/>
      <c r="FN337" s="256"/>
      <c r="FO337" s="250"/>
      <c r="FP337" s="256"/>
      <c r="FQ337" s="250"/>
      <c r="FR337" s="256"/>
      <c r="FS337" s="250"/>
      <c r="FT337" s="256"/>
      <c r="FU337" s="256"/>
      <c r="FV337" s="256"/>
      <c r="FW337" s="250"/>
      <c r="FX337" s="424"/>
      <c r="FY337" s="251"/>
      <c r="GC337" s="252"/>
      <c r="GF337" s="252"/>
      <c r="GG337" s="252"/>
      <c r="GH337" s="252"/>
      <c r="GI337" s="252"/>
      <c r="GJ337" s="252"/>
      <c r="GK337" s="251"/>
      <c r="GL337" s="250"/>
      <c r="GM337" s="250"/>
      <c r="GN337" s="250"/>
      <c r="GO337" s="250"/>
      <c r="GP337" s="250"/>
      <c r="GQ337" s="250"/>
      <c r="GR337" s="250"/>
      <c r="GS337" s="250"/>
      <c r="GT337" s="250"/>
      <c r="GU337" s="251"/>
      <c r="GV337" s="250"/>
      <c r="GW337" s="250"/>
      <c r="GX337" s="250"/>
      <c r="GY337" s="250"/>
      <c r="GZ337" s="250"/>
      <c r="HA337" s="250"/>
      <c r="HB337" s="250"/>
      <c r="HC337" s="250"/>
      <c r="HD337" s="250"/>
      <c r="HE337" s="250"/>
      <c r="HF337" s="250"/>
      <c r="HG337" s="250"/>
      <c r="HH337" s="251"/>
      <c r="HI337" s="424"/>
      <c r="HJ337" s="255"/>
      <c r="HK337" s="255"/>
      <c r="HL337" s="250"/>
      <c r="HM337" s="255"/>
      <c r="HN337" s="255"/>
      <c r="HO337" s="255"/>
      <c r="HP337" s="250"/>
      <c r="HQ337" s="250"/>
      <c r="HR337" s="250"/>
      <c r="HS337" s="250"/>
      <c r="HT337" s="250"/>
      <c r="HU337" s="251"/>
      <c r="HX337" s="252"/>
      <c r="HY337" s="252"/>
      <c r="HZ337" s="252"/>
      <c r="ID337" s="252"/>
      <c r="IE337" s="252"/>
      <c r="IF337" s="252"/>
      <c r="IJ337" s="252"/>
      <c r="IK337" s="252"/>
      <c r="IL337" s="252"/>
      <c r="IP337" s="252"/>
      <c r="IQ337" s="252"/>
      <c r="IR337" s="252"/>
      <c r="IY337" s="66"/>
      <c r="IZ337" s="66"/>
      <c r="JA337" s="66"/>
      <c r="JB337" s="250"/>
      <c r="JC337" s="66"/>
      <c r="JD337" s="66"/>
      <c r="JE337" s="66"/>
      <c r="JF337" s="66"/>
      <c r="JG337" s="66"/>
      <c r="JH337" s="66"/>
      <c r="JI337" s="66"/>
      <c r="JJ337" s="66"/>
      <c r="JK337" s="8"/>
      <c r="JN337" s="252"/>
      <c r="JO337" s="252"/>
      <c r="JP337" s="252"/>
      <c r="JT337" s="252"/>
      <c r="JU337" s="252"/>
      <c r="JV337" s="252"/>
      <c r="JZ337" s="252"/>
      <c r="KA337" s="252"/>
      <c r="KB337" s="252"/>
      <c r="KF337" s="252"/>
      <c r="KG337" s="252"/>
      <c r="KH337" s="252"/>
      <c r="KO337" s="66"/>
      <c r="KP337" s="66"/>
      <c r="KQ337" s="66"/>
      <c r="KR337" s="66"/>
      <c r="KS337" s="66"/>
      <c r="KT337" s="66"/>
      <c r="KU337" s="66"/>
      <c r="KV337" s="66"/>
      <c r="KW337" s="66"/>
      <c r="KX337" s="66"/>
      <c r="KY337" s="66"/>
      <c r="KZ337" s="66"/>
      <c r="LA337" s="8"/>
      <c r="LD337" s="252"/>
      <c r="LE337" s="252"/>
      <c r="LF337" s="252"/>
      <c r="LJ337" s="252"/>
      <c r="LK337" s="252"/>
      <c r="LN337" s="252"/>
      <c r="LO337" s="252"/>
      <c r="LP337" s="252"/>
      <c r="LT337" s="271"/>
      <c r="LU337" s="250"/>
      <c r="LV337" s="250"/>
      <c r="LW337" s="250"/>
      <c r="LX337" s="250"/>
      <c r="LY337" s="250"/>
      <c r="LZ337" s="250"/>
      <c r="MA337" s="250"/>
      <c r="MB337" s="250"/>
      <c r="MC337" s="250"/>
      <c r="MD337" s="250"/>
      <c r="ME337" s="250"/>
      <c r="MF337" s="250"/>
      <c r="MG337" s="250"/>
      <c r="MH337" s="250"/>
      <c r="MI337" s="250"/>
      <c r="MJ337" s="250"/>
      <c r="MK337" s="424"/>
      <c r="ML337" s="640"/>
      <c r="MM337" s="251"/>
      <c r="MN337" s="252"/>
      <c r="MO337" s="252"/>
      <c r="MP337" s="252"/>
      <c r="MQ337" s="252"/>
      <c r="MR337" s="252"/>
      <c r="MS337" s="252"/>
      <c r="MT337" s="252"/>
      <c r="MU337" s="252"/>
      <c r="MV337" s="252"/>
      <c r="MW337" s="252"/>
      <c r="MX337" s="252"/>
      <c r="MY337" s="252"/>
      <c r="MZ337" s="252"/>
      <c r="NA337" s="252"/>
      <c r="NB337" s="252"/>
      <c r="NC337" s="251"/>
      <c r="ND337" s="250"/>
      <c r="NE337" s="250"/>
      <c r="NF337" s="250"/>
      <c r="NG337" s="250"/>
      <c r="NH337" s="250"/>
      <c r="NI337" s="250"/>
      <c r="NJ337" s="250"/>
      <c r="NK337" s="250"/>
      <c r="NL337" s="250"/>
      <c r="NM337" s="250"/>
      <c r="NN337" s="250"/>
      <c r="NO337" s="250"/>
      <c r="NP337" s="250"/>
      <c r="NQ337" s="250"/>
      <c r="NR337" s="250"/>
      <c r="NS337" s="250"/>
      <c r="NT337" s="250"/>
      <c r="NU337" s="250"/>
      <c r="NV337" s="250"/>
      <c r="NW337" s="251"/>
      <c r="OT337" s="8"/>
      <c r="QG337" s="8"/>
      <c r="RT337" s="8"/>
    </row>
    <row r="338" spans="1:488" s="282" customFormat="1" x14ac:dyDescent="0.25">
      <c r="A338" s="66"/>
      <c r="B338" s="8"/>
      <c r="C338" s="66"/>
      <c r="D338" s="66"/>
      <c r="E338" s="66"/>
      <c r="F338" s="66"/>
      <c r="G338" s="66"/>
      <c r="H338" s="66"/>
      <c r="I338" s="66"/>
      <c r="J338" s="66"/>
      <c r="K338" s="66"/>
      <c r="L338" s="66"/>
      <c r="M338" s="66"/>
      <c r="N338" s="66"/>
      <c r="O338" s="66"/>
      <c r="P338" s="66"/>
      <c r="Q338" s="66"/>
      <c r="R338" s="66"/>
      <c r="S338" s="66"/>
      <c r="T338" s="68"/>
      <c r="AC338" s="66"/>
      <c r="AD338" s="66"/>
      <c r="AE338" s="68"/>
      <c r="AN338" s="66"/>
      <c r="AO338" s="66"/>
      <c r="AP338" s="68"/>
      <c r="AW338" s="66"/>
      <c r="AX338" s="68"/>
      <c r="BD338" s="66"/>
      <c r="BE338" s="68"/>
      <c r="BF338" s="66"/>
      <c r="BG338" s="66"/>
      <c r="BH338" s="66"/>
      <c r="BI338" s="66"/>
      <c r="BJ338" s="66"/>
      <c r="BK338" s="66"/>
      <c r="BL338" s="68"/>
      <c r="BO338" s="66"/>
      <c r="BP338" s="68"/>
      <c r="BV338" s="66"/>
      <c r="BW338" s="68"/>
      <c r="CB338" s="8"/>
      <c r="CH338" s="8"/>
      <c r="CK338" s="299"/>
      <c r="CL338" s="299"/>
      <c r="CM338" s="66"/>
      <c r="CN338" s="66"/>
      <c r="CO338" s="68"/>
      <c r="CR338" s="8"/>
      <c r="CX338" s="66"/>
      <c r="CY338" s="532"/>
      <c r="DE338" s="66"/>
      <c r="DF338" s="66"/>
      <c r="DG338" s="68"/>
      <c r="DH338" s="68"/>
      <c r="DK338" s="66"/>
      <c r="DL338" s="66"/>
      <c r="DM338" s="66"/>
      <c r="DN338" s="66"/>
      <c r="DO338" s="66"/>
      <c r="DP338" s="66"/>
      <c r="DQ338" s="66"/>
      <c r="DR338" s="66"/>
      <c r="DS338" s="66"/>
      <c r="DT338" s="68"/>
      <c r="DU338" s="66"/>
      <c r="DV338" s="296"/>
      <c r="DW338" s="330"/>
      <c r="DX338" s="631"/>
      <c r="DY338" s="631"/>
      <c r="DZ338" s="631"/>
      <c r="EA338" s="330"/>
      <c r="EC338" s="66"/>
      <c r="ED338" s="68"/>
      <c r="EH338" s="66"/>
      <c r="EI338" s="66"/>
      <c r="EJ338" s="68"/>
      <c r="EK338" s="252"/>
      <c r="EL338" s="252"/>
      <c r="EM338" s="252"/>
      <c r="EO338" s="252"/>
      <c r="EP338" s="252"/>
      <c r="EQ338" s="252"/>
      <c r="ES338" s="252"/>
      <c r="ET338" s="252"/>
      <c r="EU338" s="252"/>
      <c r="EW338" s="252"/>
      <c r="EX338" s="252"/>
      <c r="EY338" s="252"/>
      <c r="FA338" s="250"/>
      <c r="FB338" s="250"/>
      <c r="FC338" s="250"/>
      <c r="FD338" s="250"/>
      <c r="FE338" s="250"/>
      <c r="FF338" s="250"/>
      <c r="FG338" s="250"/>
      <c r="FH338" s="424"/>
      <c r="FI338" s="250"/>
      <c r="FJ338" s="250"/>
      <c r="FK338" s="250"/>
      <c r="FL338" s="256"/>
      <c r="FM338" s="250"/>
      <c r="FN338" s="256"/>
      <c r="FO338" s="250"/>
      <c r="FP338" s="256"/>
      <c r="FQ338" s="250"/>
      <c r="FR338" s="256"/>
      <c r="FS338" s="250"/>
      <c r="FT338" s="256"/>
      <c r="FU338" s="256"/>
      <c r="FV338" s="256"/>
      <c r="FW338" s="250"/>
      <c r="FX338" s="424"/>
      <c r="FY338" s="251"/>
      <c r="GC338" s="252"/>
      <c r="GF338" s="252"/>
      <c r="GG338" s="252"/>
      <c r="GH338" s="252"/>
      <c r="GI338" s="252"/>
      <c r="GJ338" s="252"/>
      <c r="GK338" s="251"/>
      <c r="GL338" s="250"/>
      <c r="GM338" s="250"/>
      <c r="GN338" s="250"/>
      <c r="GO338" s="250"/>
      <c r="GP338" s="250"/>
      <c r="GQ338" s="250"/>
      <c r="GR338" s="250"/>
      <c r="GS338" s="250"/>
      <c r="GT338" s="250"/>
      <c r="GU338" s="251"/>
      <c r="GV338" s="250"/>
      <c r="GW338" s="250"/>
      <c r="GX338" s="250"/>
      <c r="GY338" s="250"/>
      <c r="GZ338" s="250"/>
      <c r="HA338" s="250"/>
      <c r="HB338" s="250"/>
      <c r="HC338" s="250"/>
      <c r="HD338" s="250"/>
      <c r="HE338" s="250"/>
      <c r="HF338" s="250"/>
      <c r="HG338" s="250"/>
      <c r="HH338" s="251"/>
      <c r="HI338" s="424"/>
      <c r="HJ338" s="255"/>
      <c r="HK338" s="255"/>
      <c r="HL338" s="250"/>
      <c r="HM338" s="255"/>
      <c r="HN338" s="255"/>
      <c r="HO338" s="255"/>
      <c r="HP338" s="250"/>
      <c r="HQ338" s="250"/>
      <c r="HR338" s="250"/>
      <c r="HS338" s="250"/>
      <c r="HT338" s="250"/>
      <c r="HU338" s="251"/>
      <c r="HX338" s="252"/>
      <c r="HY338" s="252"/>
      <c r="HZ338" s="252"/>
      <c r="ID338" s="252"/>
      <c r="IE338" s="252"/>
      <c r="IF338" s="252"/>
      <c r="IJ338" s="252"/>
      <c r="IK338" s="252"/>
      <c r="IL338" s="252"/>
      <c r="IP338" s="252"/>
      <c r="IQ338" s="252"/>
      <c r="IR338" s="252"/>
      <c r="IY338" s="66"/>
      <c r="IZ338" s="66"/>
      <c r="JA338" s="66"/>
      <c r="JB338" s="250"/>
      <c r="JC338" s="66"/>
      <c r="JD338" s="66"/>
      <c r="JE338" s="66"/>
      <c r="JF338" s="66"/>
      <c r="JG338" s="66"/>
      <c r="JH338" s="66"/>
      <c r="JI338" s="66"/>
      <c r="JJ338" s="66"/>
      <c r="JK338" s="8"/>
      <c r="JN338" s="252"/>
      <c r="JO338" s="252"/>
      <c r="JP338" s="252"/>
      <c r="JT338" s="252"/>
      <c r="JU338" s="252"/>
      <c r="JV338" s="252"/>
      <c r="JZ338" s="252"/>
      <c r="KA338" s="252"/>
      <c r="KB338" s="252"/>
      <c r="KF338" s="252"/>
      <c r="KG338" s="252"/>
      <c r="KH338" s="252"/>
      <c r="KO338" s="66"/>
      <c r="KP338" s="66"/>
      <c r="KQ338" s="66"/>
      <c r="KR338" s="66"/>
      <c r="KS338" s="66"/>
      <c r="KT338" s="66"/>
      <c r="KU338" s="66"/>
      <c r="KV338" s="66"/>
      <c r="KW338" s="66"/>
      <c r="KX338" s="66"/>
      <c r="KY338" s="66"/>
      <c r="KZ338" s="66"/>
      <c r="LA338" s="8"/>
      <c r="LD338" s="252"/>
      <c r="LE338" s="252"/>
      <c r="LF338" s="252"/>
      <c r="LJ338" s="252"/>
      <c r="LK338" s="252"/>
      <c r="LN338" s="252"/>
      <c r="LO338" s="252"/>
      <c r="LP338" s="252"/>
      <c r="LT338" s="271"/>
      <c r="LU338" s="250"/>
      <c r="LV338" s="250"/>
      <c r="LW338" s="250"/>
      <c r="LX338" s="250"/>
      <c r="LY338" s="250"/>
      <c r="LZ338" s="250"/>
      <c r="MA338" s="250"/>
      <c r="MB338" s="250"/>
      <c r="MC338" s="250"/>
      <c r="MD338" s="250"/>
      <c r="ME338" s="250"/>
      <c r="MF338" s="250"/>
      <c r="MG338" s="250"/>
      <c r="MH338" s="250"/>
      <c r="MI338" s="250"/>
      <c r="MJ338" s="250"/>
      <c r="MK338" s="424"/>
      <c r="ML338" s="640"/>
      <c r="MM338" s="251"/>
      <c r="MN338" s="252"/>
      <c r="MO338" s="252"/>
      <c r="MP338" s="252"/>
      <c r="MQ338" s="252"/>
      <c r="MR338" s="252"/>
      <c r="MS338" s="252"/>
      <c r="MT338" s="252"/>
      <c r="MU338" s="252"/>
      <c r="MV338" s="252"/>
      <c r="MW338" s="252"/>
      <c r="MX338" s="252"/>
      <c r="MY338" s="252"/>
      <c r="MZ338" s="252"/>
      <c r="NA338" s="252"/>
      <c r="NB338" s="252"/>
      <c r="NC338" s="251"/>
      <c r="ND338" s="250"/>
      <c r="NE338" s="250"/>
      <c r="NF338" s="250"/>
      <c r="NG338" s="250"/>
      <c r="NH338" s="250"/>
      <c r="NI338" s="250"/>
      <c r="NJ338" s="250"/>
      <c r="NK338" s="250"/>
      <c r="NL338" s="250"/>
      <c r="NM338" s="250"/>
      <c r="NN338" s="250"/>
      <c r="NO338" s="250"/>
      <c r="NP338" s="250"/>
      <c r="NQ338" s="250"/>
      <c r="NR338" s="250"/>
      <c r="NS338" s="250"/>
      <c r="NT338" s="250"/>
      <c r="NU338" s="250"/>
      <c r="NV338" s="250"/>
      <c r="NW338" s="251"/>
      <c r="OT338" s="8"/>
      <c r="QG338" s="8"/>
      <c r="RT338" s="8"/>
    </row>
    <row r="339" spans="1:488" s="282" customFormat="1" x14ac:dyDescent="0.25">
      <c r="A339" s="66"/>
      <c r="B339" s="8"/>
      <c r="C339" s="66"/>
      <c r="D339" s="66"/>
      <c r="E339" s="66"/>
      <c r="F339" s="66"/>
      <c r="G339" s="66"/>
      <c r="H339" s="66"/>
      <c r="I339" s="66"/>
      <c r="J339" s="66"/>
      <c r="K339" s="66"/>
      <c r="L339" s="66"/>
      <c r="M339" s="66"/>
      <c r="N339" s="66"/>
      <c r="O339" s="66"/>
      <c r="P339" s="66"/>
      <c r="Q339" s="66"/>
      <c r="R339" s="66"/>
      <c r="S339" s="66"/>
      <c r="T339" s="68"/>
      <c r="AC339" s="66"/>
      <c r="AD339" s="66"/>
      <c r="AE339" s="68"/>
      <c r="AN339" s="66"/>
      <c r="AO339" s="66"/>
      <c r="AP339" s="68"/>
      <c r="AW339" s="66"/>
      <c r="AX339" s="68"/>
      <c r="BD339" s="66"/>
      <c r="BE339" s="68"/>
      <c r="BF339" s="66"/>
      <c r="BG339" s="66"/>
      <c r="BH339" s="66"/>
      <c r="BI339" s="66"/>
      <c r="BJ339" s="66"/>
      <c r="BK339" s="66"/>
      <c r="BL339" s="68"/>
      <c r="BO339" s="66"/>
      <c r="BP339" s="68"/>
      <c r="BV339" s="66"/>
      <c r="BW339" s="68"/>
      <c r="CB339" s="8"/>
      <c r="CH339" s="8"/>
      <c r="CK339" s="299"/>
      <c r="CL339" s="299"/>
      <c r="CM339" s="66"/>
      <c r="CN339" s="66"/>
      <c r="CO339" s="68"/>
      <c r="CR339" s="8"/>
      <c r="CX339" s="66"/>
      <c r="CY339" s="532"/>
      <c r="DE339" s="66"/>
      <c r="DF339" s="66"/>
      <c r="DG339" s="68"/>
      <c r="DH339" s="68"/>
      <c r="DK339" s="66"/>
      <c r="DL339" s="66"/>
      <c r="DM339" s="66"/>
      <c r="DN339" s="66"/>
      <c r="DO339" s="66"/>
      <c r="DP339" s="66"/>
      <c r="DQ339" s="66"/>
      <c r="DR339" s="66"/>
      <c r="DS339" s="66"/>
      <c r="DT339" s="68"/>
      <c r="DU339" s="66"/>
      <c r="DV339" s="296"/>
      <c r="DW339" s="330"/>
      <c r="DX339" s="631"/>
      <c r="DY339" s="631"/>
      <c r="DZ339" s="631"/>
      <c r="EA339" s="330"/>
      <c r="EC339" s="66"/>
      <c r="ED339" s="68"/>
      <c r="EH339" s="66"/>
      <c r="EI339" s="66"/>
      <c r="EJ339" s="68"/>
      <c r="EK339" s="252"/>
      <c r="EL339" s="252"/>
      <c r="EM339" s="252"/>
      <c r="EO339" s="252"/>
      <c r="EP339" s="252"/>
      <c r="EQ339" s="252"/>
      <c r="ES339" s="252"/>
      <c r="ET339" s="252"/>
      <c r="EU339" s="252"/>
      <c r="EW339" s="252"/>
      <c r="EX339" s="252"/>
      <c r="EY339" s="252"/>
      <c r="FA339" s="250"/>
      <c r="FB339" s="250"/>
      <c r="FC339" s="250"/>
      <c r="FD339" s="250"/>
      <c r="FE339" s="250"/>
      <c r="FF339" s="250"/>
      <c r="FG339" s="250"/>
      <c r="FH339" s="424"/>
      <c r="FI339" s="250"/>
      <c r="FJ339" s="250"/>
      <c r="FK339" s="250"/>
      <c r="FL339" s="256"/>
      <c r="FM339" s="250"/>
      <c r="FN339" s="256"/>
      <c r="FO339" s="250"/>
      <c r="FP339" s="256"/>
      <c r="FQ339" s="250"/>
      <c r="FR339" s="256"/>
      <c r="FS339" s="250"/>
      <c r="FT339" s="256"/>
      <c r="FU339" s="256"/>
      <c r="FV339" s="256"/>
      <c r="FW339" s="250"/>
      <c r="FX339" s="424"/>
      <c r="FY339" s="251"/>
      <c r="GC339" s="252"/>
      <c r="GF339" s="252"/>
      <c r="GG339" s="252"/>
      <c r="GH339" s="252"/>
      <c r="GI339" s="252"/>
      <c r="GJ339" s="252"/>
      <c r="GK339" s="251"/>
      <c r="GL339" s="250"/>
      <c r="GM339" s="250"/>
      <c r="GN339" s="250"/>
      <c r="GO339" s="250"/>
      <c r="GP339" s="250"/>
      <c r="GQ339" s="250"/>
      <c r="GR339" s="250"/>
      <c r="GS339" s="250"/>
      <c r="GT339" s="250"/>
      <c r="GU339" s="251"/>
      <c r="GV339" s="250"/>
      <c r="GW339" s="250"/>
      <c r="GX339" s="250"/>
      <c r="GY339" s="250"/>
      <c r="GZ339" s="250"/>
      <c r="HA339" s="250"/>
      <c r="HB339" s="250"/>
      <c r="HC339" s="250"/>
      <c r="HD339" s="250"/>
      <c r="HE339" s="250"/>
      <c r="HF339" s="250"/>
      <c r="HG339" s="250"/>
      <c r="HH339" s="251"/>
      <c r="HI339" s="424"/>
      <c r="HJ339" s="255"/>
      <c r="HK339" s="255"/>
      <c r="HL339" s="250"/>
      <c r="HM339" s="255"/>
      <c r="HN339" s="255"/>
      <c r="HO339" s="255"/>
      <c r="HP339" s="250"/>
      <c r="HQ339" s="250"/>
      <c r="HR339" s="250"/>
      <c r="HS339" s="250"/>
      <c r="HT339" s="250"/>
      <c r="HU339" s="251"/>
      <c r="HX339" s="252"/>
      <c r="HY339" s="252"/>
      <c r="HZ339" s="252"/>
      <c r="ID339" s="252"/>
      <c r="IE339" s="252"/>
      <c r="IF339" s="252"/>
      <c r="IJ339" s="252"/>
      <c r="IK339" s="252"/>
      <c r="IL339" s="252"/>
      <c r="IP339" s="252"/>
      <c r="IQ339" s="252"/>
      <c r="IR339" s="252"/>
      <c r="IY339" s="66"/>
      <c r="IZ339" s="66"/>
      <c r="JA339" s="66"/>
      <c r="JB339" s="250"/>
      <c r="JC339" s="66"/>
      <c r="JD339" s="66"/>
      <c r="JE339" s="66"/>
      <c r="JF339" s="66"/>
      <c r="JG339" s="66"/>
      <c r="JH339" s="66"/>
      <c r="JI339" s="66"/>
      <c r="JJ339" s="66"/>
      <c r="JK339" s="8"/>
      <c r="JN339" s="252"/>
      <c r="JO339" s="252"/>
      <c r="JP339" s="252"/>
      <c r="JT339" s="252"/>
      <c r="JU339" s="252"/>
      <c r="JV339" s="252"/>
      <c r="JZ339" s="252"/>
      <c r="KA339" s="252"/>
      <c r="KB339" s="252"/>
      <c r="KF339" s="252"/>
      <c r="KG339" s="252"/>
      <c r="KH339" s="252"/>
      <c r="KO339" s="66"/>
      <c r="KP339" s="66"/>
      <c r="KQ339" s="66"/>
      <c r="KR339" s="66"/>
      <c r="KS339" s="66"/>
      <c r="KT339" s="66"/>
      <c r="KU339" s="66"/>
      <c r="KV339" s="66"/>
      <c r="KW339" s="66"/>
      <c r="KX339" s="66"/>
      <c r="KY339" s="66"/>
      <c r="KZ339" s="66"/>
      <c r="LA339" s="8"/>
      <c r="LD339" s="252"/>
      <c r="LE339" s="252"/>
      <c r="LF339" s="252"/>
      <c r="LJ339" s="252"/>
      <c r="LK339" s="252"/>
      <c r="LN339" s="252"/>
      <c r="LO339" s="252"/>
      <c r="LP339" s="252"/>
      <c r="LT339" s="271"/>
      <c r="LU339" s="250"/>
      <c r="LV339" s="250"/>
      <c r="LW339" s="250"/>
      <c r="LX339" s="250"/>
      <c r="LY339" s="250"/>
      <c r="LZ339" s="250"/>
      <c r="MA339" s="250"/>
      <c r="MB339" s="250"/>
      <c r="MC339" s="250"/>
      <c r="MD339" s="250"/>
      <c r="ME339" s="250"/>
      <c r="MF339" s="250"/>
      <c r="MG339" s="250"/>
      <c r="MH339" s="250"/>
      <c r="MI339" s="250"/>
      <c r="MJ339" s="250"/>
      <c r="MK339" s="424"/>
      <c r="ML339" s="640"/>
      <c r="MM339" s="251"/>
      <c r="MN339" s="252"/>
      <c r="MO339" s="252"/>
      <c r="MP339" s="252"/>
      <c r="MQ339" s="252"/>
      <c r="MR339" s="252"/>
      <c r="MS339" s="252"/>
      <c r="MT339" s="252"/>
      <c r="MU339" s="252"/>
      <c r="MV339" s="252"/>
      <c r="MW339" s="252"/>
      <c r="MX339" s="252"/>
      <c r="MY339" s="252"/>
      <c r="MZ339" s="252"/>
      <c r="NA339" s="252"/>
      <c r="NB339" s="252"/>
      <c r="NC339" s="251"/>
      <c r="ND339" s="250"/>
      <c r="NE339" s="250"/>
      <c r="NF339" s="250"/>
      <c r="NG339" s="250"/>
      <c r="NH339" s="250"/>
      <c r="NI339" s="250"/>
      <c r="NJ339" s="250"/>
      <c r="NK339" s="250"/>
      <c r="NL339" s="250"/>
      <c r="NM339" s="250"/>
      <c r="NN339" s="250"/>
      <c r="NO339" s="250"/>
      <c r="NP339" s="250"/>
      <c r="NQ339" s="250"/>
      <c r="NR339" s="250"/>
      <c r="NS339" s="250"/>
      <c r="NT339" s="250"/>
      <c r="NU339" s="250"/>
      <c r="NV339" s="250"/>
      <c r="NW339" s="251"/>
      <c r="OT339" s="8"/>
      <c r="QG339" s="8"/>
      <c r="RT339" s="8"/>
    </row>
    <row r="340" spans="1:488" s="282" customFormat="1" x14ac:dyDescent="0.25">
      <c r="A340" s="66"/>
      <c r="B340" s="8"/>
      <c r="C340" s="66"/>
      <c r="D340" s="66"/>
      <c r="E340" s="66"/>
      <c r="F340" s="66"/>
      <c r="G340" s="66"/>
      <c r="H340" s="66"/>
      <c r="I340" s="66"/>
      <c r="J340" s="66"/>
      <c r="K340" s="66"/>
      <c r="L340" s="66"/>
      <c r="M340" s="66"/>
      <c r="N340" s="66"/>
      <c r="O340" s="66"/>
      <c r="P340" s="66"/>
      <c r="Q340" s="66"/>
      <c r="R340" s="66"/>
      <c r="S340" s="66"/>
      <c r="T340" s="68"/>
      <c r="AC340" s="66"/>
      <c r="AD340" s="66"/>
      <c r="AE340" s="68"/>
      <c r="AN340" s="66"/>
      <c r="AO340" s="66"/>
      <c r="AP340" s="68"/>
      <c r="AW340" s="66"/>
      <c r="AX340" s="68"/>
      <c r="BD340" s="66"/>
      <c r="BE340" s="68"/>
      <c r="BF340" s="66"/>
      <c r="BG340" s="66"/>
      <c r="BH340" s="66"/>
      <c r="BI340" s="66"/>
      <c r="BJ340" s="66"/>
      <c r="BK340" s="66"/>
      <c r="BL340" s="68"/>
      <c r="BO340" s="66"/>
      <c r="BP340" s="68"/>
      <c r="BV340" s="66"/>
      <c r="BW340" s="68"/>
      <c r="CB340" s="8"/>
      <c r="CH340" s="8"/>
      <c r="CK340" s="299"/>
      <c r="CL340" s="299"/>
      <c r="CM340" s="66"/>
      <c r="CN340" s="66"/>
      <c r="CO340" s="68"/>
      <c r="CR340" s="8"/>
      <c r="CX340" s="66"/>
      <c r="CY340" s="532"/>
      <c r="DE340" s="66"/>
      <c r="DF340" s="66"/>
      <c r="DG340" s="68"/>
      <c r="DH340" s="68"/>
      <c r="DK340" s="66"/>
      <c r="DL340" s="66"/>
      <c r="DM340" s="66"/>
      <c r="DN340" s="66"/>
      <c r="DO340" s="66"/>
      <c r="DP340" s="66"/>
      <c r="DQ340" s="66"/>
      <c r="DR340" s="66"/>
      <c r="DS340" s="66"/>
      <c r="DT340" s="68"/>
      <c r="DU340" s="66"/>
      <c r="DV340" s="296"/>
      <c r="DW340" s="330"/>
      <c r="DX340" s="631"/>
      <c r="DY340" s="631"/>
      <c r="DZ340" s="631"/>
      <c r="EA340" s="330"/>
      <c r="EC340" s="66"/>
      <c r="ED340" s="68"/>
      <c r="EH340" s="66"/>
      <c r="EI340" s="66"/>
      <c r="EJ340" s="68"/>
      <c r="EK340" s="252"/>
      <c r="EL340" s="252"/>
      <c r="EM340" s="252"/>
      <c r="EO340" s="252"/>
      <c r="EP340" s="252"/>
      <c r="EQ340" s="252"/>
      <c r="ES340" s="252"/>
      <c r="ET340" s="252"/>
      <c r="EU340" s="252"/>
      <c r="EW340" s="252"/>
      <c r="EX340" s="252"/>
      <c r="EY340" s="252"/>
      <c r="FA340" s="250"/>
      <c r="FB340" s="250"/>
      <c r="FC340" s="250"/>
      <c r="FD340" s="250"/>
      <c r="FE340" s="250"/>
      <c r="FF340" s="250"/>
      <c r="FG340" s="250"/>
      <c r="FH340" s="424"/>
      <c r="FI340" s="250"/>
      <c r="FJ340" s="250"/>
      <c r="FK340" s="250"/>
      <c r="FL340" s="256"/>
      <c r="FM340" s="250"/>
      <c r="FN340" s="256"/>
      <c r="FO340" s="250"/>
      <c r="FP340" s="256"/>
      <c r="FQ340" s="250"/>
      <c r="FR340" s="256"/>
      <c r="FS340" s="250"/>
      <c r="FT340" s="256"/>
      <c r="FU340" s="256"/>
      <c r="FV340" s="256"/>
      <c r="FW340" s="250"/>
      <c r="FX340" s="424"/>
      <c r="FY340" s="251"/>
      <c r="GC340" s="252"/>
      <c r="GF340" s="252"/>
      <c r="GG340" s="252"/>
      <c r="GH340" s="252"/>
      <c r="GI340" s="252"/>
      <c r="GJ340" s="252"/>
      <c r="GK340" s="251"/>
      <c r="GL340" s="250"/>
      <c r="GM340" s="250"/>
      <c r="GN340" s="250"/>
      <c r="GO340" s="250"/>
      <c r="GP340" s="250"/>
      <c r="GQ340" s="250"/>
      <c r="GR340" s="250"/>
      <c r="GS340" s="250"/>
      <c r="GT340" s="250"/>
      <c r="GU340" s="251"/>
      <c r="GV340" s="250"/>
      <c r="GW340" s="250"/>
      <c r="GX340" s="250"/>
      <c r="GY340" s="250"/>
      <c r="GZ340" s="250"/>
      <c r="HA340" s="250"/>
      <c r="HB340" s="250"/>
      <c r="HC340" s="250"/>
      <c r="HD340" s="250"/>
      <c r="HE340" s="250"/>
      <c r="HF340" s="250"/>
      <c r="HG340" s="250"/>
      <c r="HH340" s="251"/>
      <c r="HI340" s="424"/>
      <c r="HJ340" s="255"/>
      <c r="HK340" s="255"/>
      <c r="HL340" s="250"/>
      <c r="HM340" s="255"/>
      <c r="HN340" s="255"/>
      <c r="HO340" s="255"/>
      <c r="HP340" s="250"/>
      <c r="HQ340" s="250"/>
      <c r="HR340" s="250"/>
      <c r="HS340" s="250"/>
      <c r="HT340" s="250"/>
      <c r="HU340" s="251"/>
      <c r="HX340" s="252"/>
      <c r="HY340" s="252"/>
      <c r="HZ340" s="252"/>
      <c r="ID340" s="252"/>
      <c r="IE340" s="252"/>
      <c r="IF340" s="252"/>
      <c r="IJ340" s="252"/>
      <c r="IK340" s="252"/>
      <c r="IL340" s="252"/>
      <c r="IP340" s="252"/>
      <c r="IQ340" s="252"/>
      <c r="IR340" s="252"/>
      <c r="IY340" s="66"/>
      <c r="IZ340" s="66"/>
      <c r="JA340" s="66"/>
      <c r="JB340" s="250"/>
      <c r="JC340" s="66"/>
      <c r="JD340" s="66"/>
      <c r="JE340" s="66"/>
      <c r="JF340" s="66"/>
      <c r="JG340" s="66"/>
      <c r="JH340" s="66"/>
      <c r="JI340" s="66"/>
      <c r="JJ340" s="66"/>
      <c r="JK340" s="8"/>
      <c r="JN340" s="252"/>
      <c r="JO340" s="252"/>
      <c r="JP340" s="252"/>
      <c r="JT340" s="252"/>
      <c r="JU340" s="252"/>
      <c r="JV340" s="252"/>
      <c r="JZ340" s="252"/>
      <c r="KA340" s="252"/>
      <c r="KB340" s="252"/>
      <c r="KF340" s="252"/>
      <c r="KG340" s="252"/>
      <c r="KH340" s="252"/>
      <c r="KO340" s="66"/>
      <c r="KP340" s="66"/>
      <c r="KQ340" s="66"/>
      <c r="KR340" s="66"/>
      <c r="KS340" s="66"/>
      <c r="KT340" s="66"/>
      <c r="KU340" s="66"/>
      <c r="KV340" s="66"/>
      <c r="KW340" s="66"/>
      <c r="KX340" s="66"/>
      <c r="KY340" s="66"/>
      <c r="KZ340" s="66"/>
      <c r="LA340" s="8"/>
      <c r="LD340" s="252"/>
      <c r="LE340" s="252"/>
      <c r="LF340" s="252"/>
      <c r="LJ340" s="252"/>
      <c r="LK340" s="252"/>
      <c r="LN340" s="252"/>
      <c r="LO340" s="252"/>
      <c r="LP340" s="252"/>
      <c r="LT340" s="271"/>
      <c r="LU340" s="250"/>
      <c r="LV340" s="250"/>
      <c r="LW340" s="250"/>
      <c r="LX340" s="250"/>
      <c r="LY340" s="250"/>
      <c r="LZ340" s="250"/>
      <c r="MA340" s="250"/>
      <c r="MB340" s="250"/>
      <c r="MC340" s="250"/>
      <c r="MD340" s="250"/>
      <c r="ME340" s="250"/>
      <c r="MF340" s="250"/>
      <c r="MG340" s="250"/>
      <c r="MH340" s="250"/>
      <c r="MI340" s="250"/>
      <c r="MJ340" s="250"/>
      <c r="MK340" s="424"/>
      <c r="ML340" s="640"/>
      <c r="MM340" s="251"/>
      <c r="MN340" s="252"/>
      <c r="MO340" s="252"/>
      <c r="MP340" s="252"/>
      <c r="MQ340" s="252"/>
      <c r="MR340" s="252"/>
      <c r="MS340" s="252"/>
      <c r="MT340" s="252"/>
      <c r="MU340" s="252"/>
      <c r="MV340" s="252"/>
      <c r="MW340" s="252"/>
      <c r="MX340" s="252"/>
      <c r="MY340" s="252"/>
      <c r="MZ340" s="252"/>
      <c r="NA340" s="252"/>
      <c r="NB340" s="252"/>
      <c r="NC340" s="251"/>
      <c r="ND340" s="250"/>
      <c r="NE340" s="250"/>
      <c r="NF340" s="250"/>
      <c r="NG340" s="250"/>
      <c r="NH340" s="250"/>
      <c r="NI340" s="250"/>
      <c r="NJ340" s="250"/>
      <c r="NK340" s="250"/>
      <c r="NL340" s="250"/>
      <c r="NM340" s="250"/>
      <c r="NN340" s="250"/>
      <c r="NO340" s="250"/>
      <c r="NP340" s="250"/>
      <c r="NQ340" s="250"/>
      <c r="NR340" s="250"/>
      <c r="NS340" s="250"/>
      <c r="NT340" s="250"/>
      <c r="NU340" s="250"/>
      <c r="NV340" s="250"/>
      <c r="NW340" s="251"/>
      <c r="OT340" s="8"/>
      <c r="QG340" s="8"/>
      <c r="RT340" s="8"/>
    </row>
    <row r="341" spans="1:488" s="282" customFormat="1" x14ac:dyDescent="0.25">
      <c r="A341" s="66"/>
      <c r="B341" s="8"/>
      <c r="C341" s="66"/>
      <c r="D341" s="66"/>
      <c r="E341" s="66"/>
      <c r="F341" s="66"/>
      <c r="G341" s="66"/>
      <c r="H341" s="66"/>
      <c r="I341" s="66"/>
      <c r="J341" s="66"/>
      <c r="K341" s="66"/>
      <c r="L341" s="66"/>
      <c r="M341" s="66"/>
      <c r="N341" s="66"/>
      <c r="O341" s="66"/>
      <c r="P341" s="66"/>
      <c r="Q341" s="66"/>
      <c r="R341" s="66"/>
      <c r="S341" s="66"/>
      <c r="T341" s="68"/>
      <c r="AC341" s="66"/>
      <c r="AD341" s="66"/>
      <c r="AE341" s="68"/>
      <c r="AN341" s="66"/>
      <c r="AO341" s="66"/>
      <c r="AP341" s="68"/>
      <c r="AW341" s="66"/>
      <c r="AX341" s="68"/>
      <c r="BD341" s="66"/>
      <c r="BE341" s="68"/>
      <c r="BF341" s="66"/>
      <c r="BG341" s="66"/>
      <c r="BH341" s="66"/>
      <c r="BI341" s="66"/>
      <c r="BJ341" s="66"/>
      <c r="BK341" s="66"/>
      <c r="BL341" s="68"/>
      <c r="BO341" s="66"/>
      <c r="BP341" s="68"/>
      <c r="BV341" s="66"/>
      <c r="BW341" s="68"/>
      <c r="CB341" s="8"/>
      <c r="CH341" s="8"/>
      <c r="CK341" s="299"/>
      <c r="CL341" s="299"/>
      <c r="CM341" s="66"/>
      <c r="CN341" s="66"/>
      <c r="CO341" s="68"/>
      <c r="CR341" s="8"/>
      <c r="CX341" s="66"/>
      <c r="CY341" s="532"/>
      <c r="DE341" s="66"/>
      <c r="DF341" s="66"/>
      <c r="DG341" s="68"/>
      <c r="DH341" s="68"/>
      <c r="DK341" s="66"/>
      <c r="DL341" s="66"/>
      <c r="DM341" s="66"/>
      <c r="DN341" s="66"/>
      <c r="DO341" s="66"/>
      <c r="DP341" s="66"/>
      <c r="DQ341" s="66"/>
      <c r="DR341" s="66"/>
      <c r="DS341" s="66"/>
      <c r="DT341" s="68"/>
      <c r="DU341" s="66"/>
      <c r="DV341" s="296"/>
      <c r="DW341" s="330"/>
      <c r="DX341" s="631"/>
      <c r="DY341" s="631"/>
      <c r="DZ341" s="631"/>
      <c r="EA341" s="330"/>
      <c r="EC341" s="66"/>
      <c r="ED341" s="68"/>
      <c r="EH341" s="66"/>
      <c r="EI341" s="66"/>
      <c r="EJ341" s="68"/>
      <c r="EK341" s="252"/>
      <c r="EL341" s="252"/>
      <c r="EM341" s="252"/>
      <c r="EO341" s="252"/>
      <c r="EP341" s="252"/>
      <c r="EQ341" s="252"/>
      <c r="ES341" s="252"/>
      <c r="ET341" s="252"/>
      <c r="EU341" s="252"/>
      <c r="EW341" s="252"/>
      <c r="EX341" s="252"/>
      <c r="EY341" s="252"/>
      <c r="FA341" s="250"/>
      <c r="FB341" s="250"/>
      <c r="FC341" s="250"/>
      <c r="FD341" s="250"/>
      <c r="FE341" s="250"/>
      <c r="FF341" s="250"/>
      <c r="FG341" s="250"/>
      <c r="FH341" s="424"/>
      <c r="FI341" s="250"/>
      <c r="FJ341" s="250"/>
      <c r="FK341" s="250"/>
      <c r="FL341" s="256"/>
      <c r="FM341" s="250"/>
      <c r="FN341" s="256"/>
      <c r="FO341" s="250"/>
      <c r="FP341" s="256"/>
      <c r="FQ341" s="250"/>
      <c r="FR341" s="256"/>
      <c r="FS341" s="250"/>
      <c r="FT341" s="256"/>
      <c r="FU341" s="256"/>
      <c r="FV341" s="256"/>
      <c r="FW341" s="250"/>
      <c r="FX341" s="424"/>
      <c r="FY341" s="251"/>
      <c r="GC341" s="252"/>
      <c r="GF341" s="252"/>
      <c r="GG341" s="252"/>
      <c r="GH341" s="252"/>
      <c r="GI341" s="252"/>
      <c r="GJ341" s="252"/>
      <c r="GK341" s="251"/>
      <c r="GL341" s="250"/>
      <c r="GM341" s="250"/>
      <c r="GN341" s="250"/>
      <c r="GO341" s="250"/>
      <c r="GP341" s="250"/>
      <c r="GQ341" s="250"/>
      <c r="GR341" s="250"/>
      <c r="GS341" s="250"/>
      <c r="GT341" s="250"/>
      <c r="GU341" s="251"/>
      <c r="GV341" s="250"/>
      <c r="GW341" s="250"/>
      <c r="GX341" s="250"/>
      <c r="GY341" s="250"/>
      <c r="GZ341" s="250"/>
      <c r="HA341" s="250"/>
      <c r="HB341" s="250"/>
      <c r="HC341" s="250"/>
      <c r="HD341" s="250"/>
      <c r="HE341" s="250"/>
      <c r="HF341" s="250"/>
      <c r="HG341" s="250"/>
      <c r="HH341" s="251"/>
      <c r="HI341" s="424"/>
      <c r="HJ341" s="255"/>
      <c r="HK341" s="255"/>
      <c r="HL341" s="250"/>
      <c r="HM341" s="255"/>
      <c r="HN341" s="255"/>
      <c r="HO341" s="255"/>
      <c r="HP341" s="250"/>
      <c r="HQ341" s="250"/>
      <c r="HR341" s="250"/>
      <c r="HS341" s="250"/>
      <c r="HT341" s="250"/>
      <c r="HU341" s="251"/>
      <c r="HX341" s="252"/>
      <c r="HY341" s="252"/>
      <c r="HZ341" s="252"/>
      <c r="ID341" s="252"/>
      <c r="IE341" s="252"/>
      <c r="IF341" s="252"/>
      <c r="IJ341" s="252"/>
      <c r="IK341" s="252"/>
      <c r="IL341" s="252"/>
      <c r="IP341" s="252"/>
      <c r="IQ341" s="252"/>
      <c r="IR341" s="252"/>
      <c r="IY341" s="66"/>
      <c r="IZ341" s="66"/>
      <c r="JA341" s="66"/>
      <c r="JB341" s="250"/>
      <c r="JC341" s="66"/>
      <c r="JD341" s="66"/>
      <c r="JE341" s="66"/>
      <c r="JF341" s="66"/>
      <c r="JG341" s="66"/>
      <c r="JH341" s="66"/>
      <c r="JI341" s="66"/>
      <c r="JJ341" s="66"/>
      <c r="JK341" s="8"/>
      <c r="JN341" s="252"/>
      <c r="JO341" s="252"/>
      <c r="JP341" s="252"/>
      <c r="JT341" s="252"/>
      <c r="JU341" s="252"/>
      <c r="JV341" s="252"/>
      <c r="JZ341" s="252"/>
      <c r="KA341" s="252"/>
      <c r="KB341" s="252"/>
      <c r="KF341" s="252"/>
      <c r="KG341" s="252"/>
      <c r="KH341" s="252"/>
      <c r="KO341" s="66"/>
      <c r="KP341" s="66"/>
      <c r="KQ341" s="66"/>
      <c r="KR341" s="66"/>
      <c r="KS341" s="66"/>
      <c r="KT341" s="66"/>
      <c r="KU341" s="66"/>
      <c r="KV341" s="66"/>
      <c r="KW341" s="66"/>
      <c r="KX341" s="66"/>
      <c r="KY341" s="66"/>
      <c r="KZ341" s="66"/>
      <c r="LA341" s="8"/>
      <c r="LD341" s="252"/>
      <c r="LE341" s="252"/>
      <c r="LF341" s="252"/>
      <c r="LJ341" s="252"/>
      <c r="LK341" s="252"/>
      <c r="LN341" s="252"/>
      <c r="LO341" s="252"/>
      <c r="LP341" s="252"/>
      <c r="LT341" s="271"/>
      <c r="LU341" s="250"/>
      <c r="LV341" s="250"/>
      <c r="LW341" s="250"/>
      <c r="LX341" s="250"/>
      <c r="LY341" s="250"/>
      <c r="LZ341" s="250"/>
      <c r="MA341" s="250"/>
      <c r="MB341" s="250"/>
      <c r="MC341" s="250"/>
      <c r="MD341" s="250"/>
      <c r="ME341" s="250"/>
      <c r="MF341" s="250"/>
      <c r="MG341" s="250"/>
      <c r="MH341" s="250"/>
      <c r="MI341" s="250"/>
      <c r="MJ341" s="250"/>
      <c r="MK341" s="424"/>
      <c r="ML341" s="640"/>
      <c r="MM341" s="251"/>
      <c r="MN341" s="252"/>
      <c r="MO341" s="252"/>
      <c r="MP341" s="252"/>
      <c r="MQ341" s="252"/>
      <c r="MR341" s="252"/>
      <c r="MS341" s="252"/>
      <c r="MT341" s="252"/>
      <c r="MU341" s="252"/>
      <c r="MV341" s="252"/>
      <c r="MW341" s="252"/>
      <c r="MX341" s="252"/>
      <c r="MY341" s="252"/>
      <c r="MZ341" s="252"/>
      <c r="NA341" s="252"/>
      <c r="NB341" s="252"/>
      <c r="NC341" s="251"/>
      <c r="ND341" s="250"/>
      <c r="NE341" s="250"/>
      <c r="NF341" s="250"/>
      <c r="NG341" s="250"/>
      <c r="NH341" s="250"/>
      <c r="NI341" s="250"/>
      <c r="NJ341" s="250"/>
      <c r="NK341" s="250"/>
      <c r="NL341" s="250"/>
      <c r="NM341" s="250"/>
      <c r="NN341" s="250"/>
      <c r="NO341" s="250"/>
      <c r="NP341" s="250"/>
      <c r="NQ341" s="250"/>
      <c r="NR341" s="250"/>
      <c r="NS341" s="250"/>
      <c r="NT341" s="250"/>
      <c r="NU341" s="250"/>
      <c r="NV341" s="250"/>
      <c r="NW341" s="251"/>
      <c r="OT341" s="8"/>
      <c r="QG341" s="8"/>
      <c r="RT341" s="8"/>
    </row>
    <row r="342" spans="1:488" s="282" customFormat="1" x14ac:dyDescent="0.25">
      <c r="A342" s="66"/>
      <c r="B342" s="8"/>
      <c r="C342" s="66"/>
      <c r="D342" s="66"/>
      <c r="E342" s="66"/>
      <c r="F342" s="66"/>
      <c r="G342" s="66"/>
      <c r="H342" s="66"/>
      <c r="I342" s="66"/>
      <c r="J342" s="66"/>
      <c r="K342" s="66"/>
      <c r="L342" s="66"/>
      <c r="M342" s="66"/>
      <c r="N342" s="66"/>
      <c r="O342" s="66"/>
      <c r="P342" s="66"/>
      <c r="Q342" s="66"/>
      <c r="R342" s="66"/>
      <c r="S342" s="66"/>
      <c r="T342" s="68"/>
      <c r="AC342" s="66"/>
      <c r="AD342" s="66"/>
      <c r="AE342" s="68"/>
      <c r="AN342" s="66"/>
      <c r="AO342" s="66"/>
      <c r="AP342" s="68"/>
      <c r="AW342" s="66"/>
      <c r="AX342" s="68"/>
      <c r="BD342" s="66"/>
      <c r="BE342" s="68"/>
      <c r="BF342" s="66"/>
      <c r="BG342" s="66"/>
      <c r="BH342" s="66"/>
      <c r="BI342" s="66"/>
      <c r="BJ342" s="66"/>
      <c r="BK342" s="66"/>
      <c r="BL342" s="68"/>
      <c r="BO342" s="66"/>
      <c r="BP342" s="68"/>
      <c r="BV342" s="66"/>
      <c r="BW342" s="68"/>
      <c r="CB342" s="8"/>
      <c r="CH342" s="8"/>
      <c r="CK342" s="299"/>
      <c r="CL342" s="299"/>
      <c r="CM342" s="66"/>
      <c r="CN342" s="66"/>
      <c r="CO342" s="68"/>
      <c r="CR342" s="8"/>
      <c r="CX342" s="66"/>
      <c r="CY342" s="532"/>
      <c r="DE342" s="66"/>
      <c r="DF342" s="66"/>
      <c r="DG342" s="68"/>
      <c r="DH342" s="68"/>
      <c r="DK342" s="66"/>
      <c r="DL342" s="66"/>
      <c r="DM342" s="66"/>
      <c r="DN342" s="66"/>
      <c r="DO342" s="66"/>
      <c r="DP342" s="66"/>
      <c r="DQ342" s="66"/>
      <c r="DR342" s="66"/>
      <c r="DS342" s="66"/>
      <c r="DT342" s="68"/>
      <c r="DU342" s="66"/>
      <c r="DV342" s="296"/>
      <c r="DW342" s="330"/>
      <c r="DX342" s="631"/>
      <c r="DY342" s="631"/>
      <c r="DZ342" s="631"/>
      <c r="EA342" s="330"/>
      <c r="EC342" s="66"/>
      <c r="ED342" s="68"/>
      <c r="EH342" s="66"/>
      <c r="EI342" s="66"/>
      <c r="EJ342" s="68"/>
      <c r="EK342" s="252"/>
      <c r="EL342" s="252"/>
      <c r="EM342" s="252"/>
      <c r="EO342" s="252"/>
      <c r="EP342" s="252"/>
      <c r="EQ342" s="252"/>
      <c r="ES342" s="252"/>
      <c r="ET342" s="252"/>
      <c r="EU342" s="252"/>
      <c r="EW342" s="252"/>
      <c r="EX342" s="252"/>
      <c r="EY342" s="252"/>
      <c r="FA342" s="250"/>
      <c r="FB342" s="250"/>
      <c r="FC342" s="250"/>
      <c r="FD342" s="250"/>
      <c r="FE342" s="250"/>
      <c r="FF342" s="250"/>
      <c r="FG342" s="250"/>
      <c r="FH342" s="424"/>
      <c r="FI342" s="250"/>
      <c r="FJ342" s="250"/>
      <c r="FK342" s="250"/>
      <c r="FL342" s="256"/>
      <c r="FM342" s="250"/>
      <c r="FN342" s="256"/>
      <c r="FO342" s="250"/>
      <c r="FP342" s="256"/>
      <c r="FQ342" s="250"/>
      <c r="FR342" s="256"/>
      <c r="FS342" s="250"/>
      <c r="FT342" s="256"/>
      <c r="FU342" s="256"/>
      <c r="FV342" s="256"/>
      <c r="FW342" s="250"/>
      <c r="FX342" s="424"/>
      <c r="FY342" s="251"/>
      <c r="GC342" s="252"/>
      <c r="GF342" s="252"/>
      <c r="GG342" s="252"/>
      <c r="GH342" s="252"/>
      <c r="GI342" s="252"/>
      <c r="GJ342" s="252"/>
      <c r="GK342" s="251"/>
      <c r="GL342" s="250"/>
      <c r="GM342" s="250"/>
      <c r="GN342" s="250"/>
      <c r="GO342" s="250"/>
      <c r="GP342" s="250"/>
      <c r="GQ342" s="250"/>
      <c r="GR342" s="250"/>
      <c r="GS342" s="250"/>
      <c r="GT342" s="250"/>
      <c r="GU342" s="251"/>
      <c r="GV342" s="250"/>
      <c r="GW342" s="250"/>
      <c r="GX342" s="250"/>
      <c r="GY342" s="250"/>
      <c r="GZ342" s="250"/>
      <c r="HA342" s="250"/>
      <c r="HB342" s="250"/>
      <c r="HC342" s="250"/>
      <c r="HD342" s="250"/>
      <c r="HE342" s="250"/>
      <c r="HF342" s="250"/>
      <c r="HG342" s="250"/>
      <c r="HH342" s="251"/>
      <c r="HI342" s="424"/>
      <c r="HJ342" s="255"/>
      <c r="HK342" s="255"/>
      <c r="HL342" s="250"/>
      <c r="HM342" s="255"/>
      <c r="HN342" s="255"/>
      <c r="HO342" s="255"/>
      <c r="HP342" s="250"/>
      <c r="HQ342" s="250"/>
      <c r="HR342" s="250"/>
      <c r="HS342" s="250"/>
      <c r="HT342" s="250"/>
      <c r="HU342" s="251"/>
      <c r="HX342" s="252"/>
      <c r="HY342" s="252"/>
      <c r="HZ342" s="252"/>
      <c r="ID342" s="252"/>
      <c r="IE342" s="252"/>
      <c r="IF342" s="252"/>
      <c r="IJ342" s="252"/>
      <c r="IK342" s="252"/>
      <c r="IL342" s="252"/>
      <c r="IP342" s="252"/>
      <c r="IQ342" s="252"/>
      <c r="IR342" s="252"/>
      <c r="IY342" s="66"/>
      <c r="IZ342" s="66"/>
      <c r="JA342" s="66"/>
      <c r="JB342" s="250"/>
      <c r="JC342" s="66"/>
      <c r="JD342" s="66"/>
      <c r="JE342" s="66"/>
      <c r="JF342" s="66"/>
      <c r="JG342" s="66"/>
      <c r="JH342" s="66"/>
      <c r="JI342" s="66"/>
      <c r="JJ342" s="66"/>
      <c r="JK342" s="8"/>
      <c r="JN342" s="252"/>
      <c r="JO342" s="252"/>
      <c r="JP342" s="252"/>
      <c r="JT342" s="252"/>
      <c r="JU342" s="252"/>
      <c r="JV342" s="252"/>
      <c r="JZ342" s="252"/>
      <c r="KA342" s="252"/>
      <c r="KB342" s="252"/>
      <c r="KF342" s="252"/>
      <c r="KG342" s="252"/>
      <c r="KH342" s="252"/>
      <c r="KO342" s="66"/>
      <c r="KP342" s="66"/>
      <c r="KQ342" s="66"/>
      <c r="KR342" s="66"/>
      <c r="KS342" s="66"/>
      <c r="KT342" s="66"/>
      <c r="KU342" s="66"/>
      <c r="KV342" s="66"/>
      <c r="KW342" s="66"/>
      <c r="KX342" s="66"/>
      <c r="KY342" s="66"/>
      <c r="KZ342" s="66"/>
      <c r="LA342" s="8"/>
      <c r="LD342" s="252"/>
      <c r="LE342" s="252"/>
      <c r="LF342" s="252"/>
      <c r="LJ342" s="252"/>
      <c r="LK342" s="252"/>
      <c r="LN342" s="252"/>
      <c r="LO342" s="252"/>
      <c r="LP342" s="252"/>
      <c r="LT342" s="271"/>
      <c r="LU342" s="250"/>
      <c r="LV342" s="250"/>
      <c r="LW342" s="250"/>
      <c r="LX342" s="250"/>
      <c r="LY342" s="250"/>
      <c r="LZ342" s="250"/>
      <c r="MA342" s="250"/>
      <c r="MB342" s="250"/>
      <c r="MC342" s="250"/>
      <c r="MD342" s="250"/>
      <c r="ME342" s="250"/>
      <c r="MF342" s="250"/>
      <c r="MG342" s="250"/>
      <c r="MH342" s="250"/>
      <c r="MI342" s="250"/>
      <c r="MJ342" s="250"/>
      <c r="MK342" s="424"/>
      <c r="ML342" s="640"/>
      <c r="MM342" s="251"/>
      <c r="MN342" s="252"/>
      <c r="MO342" s="252"/>
      <c r="MP342" s="252"/>
      <c r="MQ342" s="252"/>
      <c r="MR342" s="252"/>
      <c r="MS342" s="252"/>
      <c r="MT342" s="252"/>
      <c r="MU342" s="252"/>
      <c r="MV342" s="252"/>
      <c r="MW342" s="252"/>
      <c r="MX342" s="252"/>
      <c r="MY342" s="252"/>
      <c r="MZ342" s="252"/>
      <c r="NA342" s="252"/>
      <c r="NB342" s="252"/>
      <c r="NC342" s="251"/>
      <c r="ND342" s="250"/>
      <c r="NE342" s="250"/>
      <c r="NF342" s="250"/>
      <c r="NG342" s="250"/>
      <c r="NH342" s="250"/>
      <c r="NI342" s="250"/>
      <c r="NJ342" s="250"/>
      <c r="NK342" s="250"/>
      <c r="NL342" s="250"/>
      <c r="NM342" s="250"/>
      <c r="NN342" s="250"/>
      <c r="NO342" s="250"/>
      <c r="NP342" s="250"/>
      <c r="NQ342" s="250"/>
      <c r="NR342" s="250"/>
      <c r="NS342" s="250"/>
      <c r="NT342" s="250"/>
      <c r="NU342" s="250"/>
      <c r="NV342" s="250"/>
      <c r="NW342" s="251"/>
      <c r="OT342" s="8"/>
      <c r="QG342" s="8"/>
      <c r="RT342" s="8"/>
    </row>
    <row r="343" spans="1:488" s="282" customFormat="1" x14ac:dyDescent="0.25">
      <c r="A343" s="66"/>
      <c r="B343" s="8"/>
      <c r="C343" s="66"/>
      <c r="D343" s="66"/>
      <c r="E343" s="66"/>
      <c r="F343" s="66"/>
      <c r="G343" s="66"/>
      <c r="H343" s="66"/>
      <c r="I343" s="66"/>
      <c r="J343" s="66"/>
      <c r="K343" s="66"/>
      <c r="L343" s="66"/>
      <c r="M343" s="66"/>
      <c r="N343" s="66"/>
      <c r="O343" s="66"/>
      <c r="P343" s="66"/>
      <c r="Q343" s="66"/>
      <c r="R343" s="66"/>
      <c r="S343" s="66"/>
      <c r="T343" s="68"/>
      <c r="AC343" s="66"/>
      <c r="AD343" s="66"/>
      <c r="AE343" s="68"/>
      <c r="AN343" s="66"/>
      <c r="AO343" s="66"/>
      <c r="AP343" s="68"/>
      <c r="AW343" s="66"/>
      <c r="AX343" s="68"/>
      <c r="BD343" s="66"/>
      <c r="BE343" s="68"/>
      <c r="BF343" s="66"/>
      <c r="BG343" s="66"/>
      <c r="BH343" s="66"/>
      <c r="BI343" s="66"/>
      <c r="BJ343" s="66"/>
      <c r="BK343" s="66"/>
      <c r="BL343" s="68"/>
      <c r="BO343" s="66"/>
      <c r="BP343" s="68"/>
      <c r="BV343" s="66"/>
      <c r="BW343" s="68"/>
      <c r="CB343" s="8"/>
      <c r="CH343" s="8"/>
      <c r="CK343" s="299"/>
      <c r="CL343" s="299"/>
      <c r="CM343" s="66"/>
      <c r="CN343" s="66"/>
      <c r="CO343" s="68"/>
      <c r="CR343" s="8"/>
      <c r="CX343" s="66"/>
      <c r="CY343" s="532"/>
      <c r="DE343" s="66"/>
      <c r="DF343" s="66"/>
      <c r="DG343" s="68"/>
      <c r="DH343" s="68"/>
      <c r="DK343" s="66"/>
      <c r="DL343" s="66"/>
      <c r="DM343" s="66"/>
      <c r="DN343" s="66"/>
      <c r="DO343" s="66"/>
      <c r="DP343" s="66"/>
      <c r="DQ343" s="66"/>
      <c r="DR343" s="66"/>
      <c r="DS343" s="66"/>
      <c r="DT343" s="68"/>
      <c r="DU343" s="66"/>
      <c r="DV343" s="296"/>
      <c r="DW343" s="330"/>
      <c r="DX343" s="631"/>
      <c r="DY343" s="631"/>
      <c r="DZ343" s="631"/>
      <c r="EA343" s="330"/>
      <c r="EC343" s="66"/>
      <c r="ED343" s="68"/>
      <c r="EH343" s="66"/>
      <c r="EI343" s="66"/>
      <c r="EJ343" s="68"/>
      <c r="EK343" s="252"/>
      <c r="EL343" s="252"/>
      <c r="EM343" s="252"/>
      <c r="EO343" s="252"/>
      <c r="EP343" s="252"/>
      <c r="EQ343" s="252"/>
      <c r="ES343" s="252"/>
      <c r="ET343" s="252"/>
      <c r="EU343" s="252"/>
      <c r="EW343" s="252"/>
      <c r="EX343" s="252"/>
      <c r="EY343" s="252"/>
      <c r="FA343" s="250"/>
      <c r="FB343" s="250"/>
      <c r="FC343" s="250"/>
      <c r="FD343" s="250"/>
      <c r="FE343" s="250"/>
      <c r="FF343" s="250"/>
      <c r="FG343" s="250"/>
      <c r="FH343" s="424"/>
      <c r="FI343" s="250"/>
      <c r="FJ343" s="250"/>
      <c r="FK343" s="250"/>
      <c r="FL343" s="256"/>
      <c r="FM343" s="250"/>
      <c r="FN343" s="256"/>
      <c r="FO343" s="250"/>
      <c r="FP343" s="256"/>
      <c r="FQ343" s="250"/>
      <c r="FR343" s="256"/>
      <c r="FS343" s="250"/>
      <c r="FT343" s="256"/>
      <c r="FU343" s="256"/>
      <c r="FV343" s="256"/>
      <c r="FW343" s="250"/>
      <c r="FX343" s="424"/>
      <c r="FY343" s="251"/>
      <c r="GC343" s="252"/>
      <c r="GF343" s="252"/>
      <c r="GG343" s="252"/>
      <c r="GH343" s="252"/>
      <c r="GI343" s="252"/>
      <c r="GJ343" s="252"/>
      <c r="GK343" s="251"/>
      <c r="GL343" s="250"/>
      <c r="GM343" s="250"/>
      <c r="GN343" s="250"/>
      <c r="GO343" s="250"/>
      <c r="GP343" s="250"/>
      <c r="GQ343" s="250"/>
      <c r="GR343" s="250"/>
      <c r="GS343" s="250"/>
      <c r="GT343" s="250"/>
      <c r="GU343" s="251"/>
      <c r="GV343" s="250"/>
      <c r="GW343" s="250"/>
      <c r="GX343" s="250"/>
      <c r="GY343" s="250"/>
      <c r="GZ343" s="250"/>
      <c r="HA343" s="250"/>
      <c r="HB343" s="250"/>
      <c r="HC343" s="250"/>
      <c r="HD343" s="250"/>
      <c r="HE343" s="250"/>
      <c r="HF343" s="250"/>
      <c r="HG343" s="250"/>
      <c r="HH343" s="251"/>
      <c r="HI343" s="424"/>
      <c r="HJ343" s="255"/>
      <c r="HK343" s="255"/>
      <c r="HL343" s="250"/>
      <c r="HM343" s="255"/>
      <c r="HN343" s="255"/>
      <c r="HO343" s="255"/>
      <c r="HP343" s="250"/>
      <c r="HQ343" s="250"/>
      <c r="HR343" s="250"/>
      <c r="HS343" s="250"/>
      <c r="HT343" s="250"/>
      <c r="HU343" s="251"/>
      <c r="HX343" s="252"/>
      <c r="HY343" s="252"/>
      <c r="HZ343" s="252"/>
      <c r="ID343" s="252"/>
      <c r="IE343" s="252"/>
      <c r="IF343" s="252"/>
      <c r="IJ343" s="252"/>
      <c r="IK343" s="252"/>
      <c r="IL343" s="252"/>
      <c r="IP343" s="252"/>
      <c r="IQ343" s="252"/>
      <c r="IR343" s="252"/>
      <c r="IY343" s="66"/>
      <c r="IZ343" s="66"/>
      <c r="JA343" s="66"/>
      <c r="JB343" s="250"/>
      <c r="JC343" s="66"/>
      <c r="JD343" s="66"/>
      <c r="JE343" s="66"/>
      <c r="JF343" s="66"/>
      <c r="JG343" s="66"/>
      <c r="JH343" s="66"/>
      <c r="JI343" s="66"/>
      <c r="JJ343" s="66"/>
      <c r="JK343" s="8"/>
      <c r="JN343" s="252"/>
      <c r="JO343" s="252"/>
      <c r="JP343" s="252"/>
      <c r="JT343" s="252"/>
      <c r="JU343" s="252"/>
      <c r="JV343" s="252"/>
      <c r="JZ343" s="252"/>
      <c r="KA343" s="252"/>
      <c r="KB343" s="252"/>
      <c r="KF343" s="252"/>
      <c r="KG343" s="252"/>
      <c r="KH343" s="252"/>
      <c r="KO343" s="66"/>
      <c r="KP343" s="66"/>
      <c r="KQ343" s="66"/>
      <c r="KR343" s="66"/>
      <c r="KS343" s="66"/>
      <c r="KT343" s="66"/>
      <c r="KU343" s="66"/>
      <c r="KV343" s="66"/>
      <c r="KW343" s="66"/>
      <c r="KX343" s="66"/>
      <c r="KY343" s="66"/>
      <c r="KZ343" s="66"/>
      <c r="LA343" s="8"/>
      <c r="LD343" s="252"/>
      <c r="LE343" s="252"/>
      <c r="LF343" s="252"/>
      <c r="LJ343" s="252"/>
      <c r="LK343" s="252"/>
      <c r="LN343" s="252"/>
      <c r="LO343" s="252"/>
      <c r="LP343" s="252"/>
      <c r="LT343" s="271"/>
      <c r="LU343" s="250"/>
      <c r="LV343" s="250"/>
      <c r="LW343" s="250"/>
      <c r="LX343" s="250"/>
      <c r="LY343" s="250"/>
      <c r="LZ343" s="250"/>
      <c r="MA343" s="250"/>
      <c r="MB343" s="250"/>
      <c r="MC343" s="250"/>
      <c r="MD343" s="250"/>
      <c r="ME343" s="250"/>
      <c r="MF343" s="250"/>
      <c r="MG343" s="250"/>
      <c r="MH343" s="250"/>
      <c r="MI343" s="250"/>
      <c r="MJ343" s="250"/>
      <c r="MK343" s="424"/>
      <c r="ML343" s="640"/>
      <c r="MM343" s="251"/>
      <c r="MN343" s="252"/>
      <c r="MO343" s="252"/>
      <c r="MP343" s="252"/>
      <c r="MQ343" s="252"/>
      <c r="MR343" s="252"/>
      <c r="MS343" s="252"/>
      <c r="MT343" s="252"/>
      <c r="MU343" s="252"/>
      <c r="MV343" s="252"/>
      <c r="MW343" s="252"/>
      <c r="MX343" s="252"/>
      <c r="MY343" s="252"/>
      <c r="MZ343" s="252"/>
      <c r="NA343" s="252"/>
      <c r="NB343" s="252"/>
      <c r="NC343" s="251"/>
      <c r="ND343" s="250"/>
      <c r="NE343" s="250"/>
      <c r="NF343" s="250"/>
      <c r="NG343" s="250"/>
      <c r="NH343" s="250"/>
      <c r="NI343" s="250"/>
      <c r="NJ343" s="250"/>
      <c r="NK343" s="250"/>
      <c r="NL343" s="250"/>
      <c r="NM343" s="250"/>
      <c r="NN343" s="250"/>
      <c r="NO343" s="250"/>
      <c r="NP343" s="250"/>
      <c r="NQ343" s="250"/>
      <c r="NR343" s="250"/>
      <c r="NS343" s="250"/>
      <c r="NT343" s="250"/>
      <c r="NU343" s="250"/>
      <c r="NV343" s="250"/>
      <c r="NW343" s="251"/>
      <c r="OT343" s="8"/>
      <c r="QG343" s="8"/>
      <c r="RT343" s="8"/>
    </row>
    <row r="344" spans="1:488" s="282" customFormat="1" x14ac:dyDescent="0.25">
      <c r="A344" s="66"/>
      <c r="B344" s="8"/>
      <c r="C344" s="66"/>
      <c r="D344" s="66"/>
      <c r="E344" s="66"/>
      <c r="F344" s="66"/>
      <c r="G344" s="66"/>
      <c r="H344" s="66"/>
      <c r="I344" s="66"/>
      <c r="J344" s="66"/>
      <c r="K344" s="66"/>
      <c r="L344" s="66"/>
      <c r="M344" s="66"/>
      <c r="N344" s="66"/>
      <c r="O344" s="66"/>
      <c r="P344" s="66"/>
      <c r="Q344" s="66"/>
      <c r="R344" s="66"/>
      <c r="S344" s="66"/>
      <c r="T344" s="68"/>
      <c r="AC344" s="66"/>
      <c r="AD344" s="66"/>
      <c r="AE344" s="68"/>
      <c r="AN344" s="66"/>
      <c r="AO344" s="66"/>
      <c r="AP344" s="68"/>
      <c r="AW344" s="66"/>
      <c r="AX344" s="68"/>
      <c r="BD344" s="66"/>
      <c r="BE344" s="68"/>
      <c r="BF344" s="66"/>
      <c r="BG344" s="66"/>
      <c r="BH344" s="66"/>
      <c r="BI344" s="66"/>
      <c r="BJ344" s="66"/>
      <c r="BK344" s="66"/>
      <c r="BL344" s="68"/>
      <c r="BO344" s="66"/>
      <c r="BP344" s="68"/>
      <c r="BV344" s="66"/>
      <c r="BW344" s="68"/>
      <c r="CB344" s="8"/>
      <c r="CH344" s="8"/>
      <c r="CK344" s="299"/>
      <c r="CL344" s="299"/>
      <c r="CM344" s="66"/>
      <c r="CN344" s="66"/>
      <c r="CO344" s="68"/>
      <c r="CR344" s="8"/>
      <c r="CX344" s="66"/>
      <c r="CY344" s="532"/>
      <c r="DE344" s="66"/>
      <c r="DF344" s="66"/>
      <c r="DG344" s="68"/>
      <c r="DH344" s="68"/>
      <c r="DK344" s="66"/>
      <c r="DL344" s="66"/>
      <c r="DM344" s="66"/>
      <c r="DN344" s="66"/>
      <c r="DO344" s="66"/>
      <c r="DP344" s="66"/>
      <c r="DQ344" s="66"/>
      <c r="DR344" s="66"/>
      <c r="DS344" s="66"/>
      <c r="DT344" s="68"/>
      <c r="DU344" s="66"/>
      <c r="DV344" s="296"/>
      <c r="DW344" s="330"/>
      <c r="DX344" s="631"/>
      <c r="DY344" s="631"/>
      <c r="DZ344" s="631"/>
      <c r="EA344" s="330"/>
      <c r="EC344" s="66"/>
      <c r="ED344" s="68"/>
      <c r="EH344" s="66"/>
      <c r="EI344" s="66"/>
      <c r="EJ344" s="68"/>
      <c r="EK344" s="252"/>
      <c r="EL344" s="252"/>
      <c r="EM344" s="252"/>
      <c r="EO344" s="252"/>
      <c r="EP344" s="252"/>
      <c r="EQ344" s="252"/>
      <c r="ES344" s="252"/>
      <c r="ET344" s="252"/>
      <c r="EU344" s="252"/>
      <c r="EW344" s="252"/>
      <c r="EX344" s="252"/>
      <c r="EY344" s="252"/>
      <c r="FA344" s="250"/>
      <c r="FB344" s="250"/>
      <c r="FC344" s="250"/>
      <c r="FD344" s="250"/>
      <c r="FE344" s="250"/>
      <c r="FF344" s="250"/>
      <c r="FG344" s="250"/>
      <c r="FH344" s="424"/>
      <c r="FI344" s="250"/>
      <c r="FJ344" s="250"/>
      <c r="FK344" s="250"/>
      <c r="FL344" s="256"/>
      <c r="FM344" s="250"/>
      <c r="FN344" s="256"/>
      <c r="FO344" s="250"/>
      <c r="FP344" s="256"/>
      <c r="FQ344" s="250"/>
      <c r="FR344" s="256"/>
      <c r="FS344" s="250"/>
      <c r="FT344" s="256"/>
      <c r="FU344" s="256"/>
      <c r="FV344" s="256"/>
      <c r="FW344" s="250"/>
      <c r="FX344" s="424"/>
      <c r="FY344" s="251"/>
      <c r="GC344" s="252"/>
      <c r="GF344" s="252"/>
      <c r="GG344" s="252"/>
      <c r="GH344" s="252"/>
      <c r="GI344" s="252"/>
      <c r="GJ344" s="252"/>
      <c r="GK344" s="251"/>
      <c r="GL344" s="250"/>
      <c r="GM344" s="250"/>
      <c r="GN344" s="250"/>
      <c r="GO344" s="250"/>
      <c r="GP344" s="250"/>
      <c r="GQ344" s="250"/>
      <c r="GR344" s="250"/>
      <c r="GS344" s="250"/>
      <c r="GT344" s="250"/>
      <c r="GU344" s="251"/>
      <c r="GV344" s="250"/>
      <c r="GW344" s="250"/>
      <c r="GX344" s="250"/>
      <c r="GY344" s="250"/>
      <c r="GZ344" s="250"/>
      <c r="HA344" s="250"/>
      <c r="HB344" s="250"/>
      <c r="HC344" s="250"/>
      <c r="HD344" s="250"/>
      <c r="HE344" s="250"/>
      <c r="HF344" s="250"/>
      <c r="HG344" s="250"/>
      <c r="HH344" s="251"/>
      <c r="HI344" s="424"/>
      <c r="HJ344" s="255"/>
      <c r="HK344" s="255"/>
      <c r="HL344" s="250"/>
      <c r="HM344" s="255"/>
      <c r="HN344" s="255"/>
      <c r="HO344" s="255"/>
      <c r="HP344" s="250"/>
      <c r="HQ344" s="250"/>
      <c r="HR344" s="250"/>
      <c r="HS344" s="250"/>
      <c r="HT344" s="250"/>
      <c r="HU344" s="251"/>
      <c r="HX344" s="252"/>
      <c r="HY344" s="252"/>
      <c r="HZ344" s="252"/>
      <c r="ID344" s="252"/>
      <c r="IE344" s="252"/>
      <c r="IF344" s="252"/>
      <c r="IJ344" s="252"/>
      <c r="IK344" s="252"/>
      <c r="IL344" s="252"/>
      <c r="IP344" s="252"/>
      <c r="IQ344" s="252"/>
      <c r="IR344" s="252"/>
      <c r="IY344" s="66"/>
      <c r="IZ344" s="66"/>
      <c r="JA344" s="66"/>
      <c r="JB344" s="250"/>
      <c r="JC344" s="66"/>
      <c r="JD344" s="66"/>
      <c r="JE344" s="66"/>
      <c r="JF344" s="66"/>
      <c r="JG344" s="66"/>
      <c r="JH344" s="66"/>
      <c r="JI344" s="66"/>
      <c r="JJ344" s="66"/>
      <c r="JK344" s="8"/>
      <c r="JN344" s="252"/>
      <c r="JO344" s="252"/>
      <c r="JP344" s="252"/>
      <c r="JT344" s="252"/>
      <c r="JU344" s="252"/>
      <c r="JV344" s="252"/>
      <c r="JZ344" s="252"/>
      <c r="KA344" s="252"/>
      <c r="KB344" s="252"/>
      <c r="KF344" s="252"/>
      <c r="KG344" s="252"/>
      <c r="KH344" s="252"/>
      <c r="KO344" s="66"/>
      <c r="KP344" s="66"/>
      <c r="KQ344" s="66"/>
      <c r="KR344" s="66"/>
      <c r="KS344" s="66"/>
      <c r="KT344" s="66"/>
      <c r="KU344" s="66"/>
      <c r="KV344" s="66"/>
      <c r="KW344" s="66"/>
      <c r="KX344" s="66"/>
      <c r="KY344" s="66"/>
      <c r="KZ344" s="66"/>
      <c r="LA344" s="8"/>
      <c r="LD344" s="252"/>
      <c r="LE344" s="252"/>
      <c r="LF344" s="252"/>
      <c r="LJ344" s="252"/>
      <c r="LK344" s="252"/>
      <c r="LN344" s="252"/>
      <c r="LO344" s="252"/>
      <c r="LP344" s="252"/>
      <c r="LT344" s="271"/>
      <c r="LU344" s="250"/>
      <c r="LV344" s="250"/>
      <c r="LW344" s="250"/>
      <c r="LX344" s="250"/>
      <c r="LY344" s="250"/>
      <c r="LZ344" s="250"/>
      <c r="MA344" s="250"/>
      <c r="MB344" s="250"/>
      <c r="MC344" s="250"/>
      <c r="MD344" s="250"/>
      <c r="ME344" s="250"/>
      <c r="MF344" s="250"/>
      <c r="MG344" s="250"/>
      <c r="MH344" s="250"/>
      <c r="MI344" s="250"/>
      <c r="MJ344" s="250"/>
      <c r="MK344" s="424"/>
      <c r="ML344" s="640"/>
      <c r="MM344" s="251"/>
      <c r="MN344" s="252"/>
      <c r="MO344" s="252"/>
      <c r="MP344" s="252"/>
      <c r="MQ344" s="252"/>
      <c r="MR344" s="252"/>
      <c r="MS344" s="252"/>
      <c r="MT344" s="252"/>
      <c r="MU344" s="252"/>
      <c r="MV344" s="252"/>
      <c r="MW344" s="252"/>
      <c r="MX344" s="252"/>
      <c r="MY344" s="252"/>
      <c r="MZ344" s="252"/>
      <c r="NA344" s="252"/>
      <c r="NB344" s="252"/>
      <c r="NC344" s="251"/>
      <c r="ND344" s="250"/>
      <c r="NE344" s="250"/>
      <c r="NF344" s="250"/>
      <c r="NG344" s="250"/>
      <c r="NH344" s="250"/>
      <c r="NI344" s="250"/>
      <c r="NJ344" s="250"/>
      <c r="NK344" s="250"/>
      <c r="NL344" s="250"/>
      <c r="NM344" s="250"/>
      <c r="NN344" s="250"/>
      <c r="NO344" s="250"/>
      <c r="NP344" s="250"/>
      <c r="NQ344" s="250"/>
      <c r="NR344" s="250"/>
      <c r="NS344" s="250"/>
      <c r="NT344" s="250"/>
      <c r="NU344" s="250"/>
      <c r="NV344" s="250"/>
      <c r="NW344" s="251"/>
      <c r="OT344" s="8"/>
      <c r="QG344" s="8"/>
      <c r="RT344" s="8"/>
    </row>
    <row r="345" spans="1:488" s="282" customFormat="1" x14ac:dyDescent="0.25">
      <c r="A345" s="66"/>
      <c r="B345" s="8"/>
      <c r="C345" s="66"/>
      <c r="D345" s="66"/>
      <c r="E345" s="66"/>
      <c r="F345" s="66"/>
      <c r="G345" s="66"/>
      <c r="H345" s="66"/>
      <c r="I345" s="66"/>
      <c r="J345" s="66"/>
      <c r="K345" s="66"/>
      <c r="L345" s="66"/>
      <c r="M345" s="66"/>
      <c r="N345" s="66"/>
      <c r="O345" s="66"/>
      <c r="P345" s="66"/>
      <c r="Q345" s="66"/>
      <c r="R345" s="66"/>
      <c r="S345" s="66"/>
      <c r="T345" s="68"/>
      <c r="AC345" s="66"/>
      <c r="AD345" s="66"/>
      <c r="AE345" s="68"/>
      <c r="AN345" s="66"/>
      <c r="AO345" s="66"/>
      <c r="AP345" s="68"/>
      <c r="AW345" s="66"/>
      <c r="AX345" s="68"/>
      <c r="BD345" s="66"/>
      <c r="BE345" s="68"/>
      <c r="BF345" s="66"/>
      <c r="BG345" s="66"/>
      <c r="BH345" s="66"/>
      <c r="BI345" s="66"/>
      <c r="BJ345" s="66"/>
      <c r="BK345" s="66"/>
      <c r="BL345" s="68"/>
      <c r="BO345" s="66"/>
      <c r="BP345" s="68"/>
      <c r="BV345" s="66"/>
      <c r="BW345" s="68"/>
      <c r="CB345" s="8"/>
      <c r="CH345" s="8"/>
      <c r="CK345" s="299"/>
      <c r="CL345" s="299"/>
      <c r="CM345" s="66"/>
      <c r="CN345" s="66"/>
      <c r="CO345" s="68"/>
      <c r="CR345" s="8"/>
      <c r="CX345" s="66"/>
      <c r="CY345" s="532"/>
      <c r="DE345" s="66"/>
      <c r="DF345" s="66"/>
      <c r="DG345" s="68"/>
      <c r="DH345" s="68"/>
      <c r="DK345" s="66"/>
      <c r="DL345" s="66"/>
      <c r="DM345" s="66"/>
      <c r="DN345" s="66"/>
      <c r="DO345" s="66"/>
      <c r="DP345" s="66"/>
      <c r="DQ345" s="66"/>
      <c r="DR345" s="66"/>
      <c r="DS345" s="66"/>
      <c r="DT345" s="68"/>
      <c r="DU345" s="66"/>
      <c r="DV345" s="296"/>
      <c r="DW345" s="330"/>
      <c r="DX345" s="631"/>
      <c r="DY345" s="631"/>
      <c r="DZ345" s="631"/>
      <c r="EA345" s="330"/>
      <c r="EC345" s="66"/>
      <c r="ED345" s="68"/>
      <c r="EH345" s="66"/>
      <c r="EI345" s="66"/>
      <c r="EJ345" s="68"/>
      <c r="EK345" s="252"/>
      <c r="EL345" s="252"/>
      <c r="EM345" s="252"/>
      <c r="EO345" s="252"/>
      <c r="EP345" s="252"/>
      <c r="EQ345" s="252"/>
      <c r="ES345" s="252"/>
      <c r="ET345" s="252"/>
      <c r="EU345" s="252"/>
      <c r="EW345" s="252"/>
      <c r="EX345" s="252"/>
      <c r="EY345" s="252"/>
      <c r="FA345" s="250"/>
      <c r="FB345" s="250"/>
      <c r="FC345" s="250"/>
      <c r="FD345" s="250"/>
      <c r="FE345" s="250"/>
      <c r="FF345" s="250"/>
      <c r="FG345" s="250"/>
      <c r="FH345" s="424"/>
      <c r="FI345" s="250"/>
      <c r="FJ345" s="250"/>
      <c r="FK345" s="250"/>
      <c r="FL345" s="256"/>
      <c r="FM345" s="250"/>
      <c r="FN345" s="256"/>
      <c r="FO345" s="250"/>
      <c r="FP345" s="256"/>
      <c r="FQ345" s="250"/>
      <c r="FR345" s="256"/>
      <c r="FS345" s="250"/>
      <c r="FT345" s="256"/>
      <c r="FU345" s="256"/>
      <c r="FV345" s="256"/>
      <c r="FW345" s="250"/>
      <c r="FX345" s="424"/>
      <c r="FY345" s="251"/>
      <c r="GC345" s="252"/>
      <c r="GF345" s="252"/>
      <c r="GG345" s="252"/>
      <c r="GH345" s="252"/>
      <c r="GI345" s="252"/>
      <c r="GJ345" s="252"/>
      <c r="GK345" s="251"/>
      <c r="GL345" s="250"/>
      <c r="GM345" s="250"/>
      <c r="GN345" s="250"/>
      <c r="GO345" s="250"/>
      <c r="GP345" s="250"/>
      <c r="GQ345" s="250"/>
      <c r="GR345" s="250"/>
      <c r="GS345" s="250"/>
      <c r="GT345" s="250"/>
      <c r="GU345" s="251"/>
      <c r="GV345" s="250"/>
      <c r="GW345" s="250"/>
      <c r="GX345" s="250"/>
      <c r="GY345" s="250"/>
      <c r="GZ345" s="250"/>
      <c r="HA345" s="250"/>
      <c r="HB345" s="250"/>
      <c r="HC345" s="250"/>
      <c r="HD345" s="250"/>
      <c r="HE345" s="250"/>
      <c r="HF345" s="250"/>
      <c r="HG345" s="250"/>
      <c r="HH345" s="251"/>
      <c r="HI345" s="424"/>
      <c r="HJ345" s="255"/>
      <c r="HK345" s="255"/>
      <c r="HL345" s="250"/>
      <c r="HM345" s="255"/>
      <c r="HN345" s="255"/>
      <c r="HO345" s="255"/>
      <c r="HP345" s="250"/>
      <c r="HQ345" s="250"/>
      <c r="HR345" s="250"/>
      <c r="HS345" s="250"/>
      <c r="HT345" s="250"/>
      <c r="HU345" s="251"/>
      <c r="HX345" s="252"/>
      <c r="HY345" s="252"/>
      <c r="HZ345" s="252"/>
      <c r="ID345" s="252"/>
      <c r="IE345" s="252"/>
      <c r="IF345" s="252"/>
      <c r="IJ345" s="252"/>
      <c r="IK345" s="252"/>
      <c r="IL345" s="252"/>
      <c r="IP345" s="252"/>
      <c r="IQ345" s="252"/>
      <c r="IR345" s="252"/>
      <c r="IY345" s="66"/>
      <c r="IZ345" s="66"/>
      <c r="JA345" s="66"/>
      <c r="JB345" s="250"/>
      <c r="JC345" s="66"/>
      <c r="JD345" s="66"/>
      <c r="JE345" s="66"/>
      <c r="JF345" s="66"/>
      <c r="JG345" s="66"/>
      <c r="JH345" s="66"/>
      <c r="JI345" s="66"/>
      <c r="JJ345" s="66"/>
      <c r="JK345" s="8"/>
      <c r="JN345" s="252"/>
      <c r="JO345" s="252"/>
      <c r="JP345" s="252"/>
      <c r="JT345" s="252"/>
      <c r="JU345" s="252"/>
      <c r="JV345" s="252"/>
      <c r="JZ345" s="252"/>
      <c r="KA345" s="252"/>
      <c r="KB345" s="252"/>
      <c r="KF345" s="252"/>
      <c r="KG345" s="252"/>
      <c r="KH345" s="252"/>
      <c r="KO345" s="66"/>
      <c r="KP345" s="66"/>
      <c r="KQ345" s="66"/>
      <c r="KR345" s="66"/>
      <c r="KS345" s="66"/>
      <c r="KT345" s="66"/>
      <c r="KU345" s="66"/>
      <c r="KV345" s="66"/>
      <c r="KW345" s="66"/>
      <c r="KX345" s="66"/>
      <c r="KY345" s="66"/>
      <c r="KZ345" s="66"/>
      <c r="LA345" s="8"/>
      <c r="LD345" s="252"/>
      <c r="LE345" s="252"/>
      <c r="LF345" s="252"/>
      <c r="LJ345" s="252"/>
      <c r="LK345" s="252"/>
      <c r="LN345" s="252"/>
      <c r="LO345" s="252"/>
      <c r="LP345" s="252"/>
      <c r="LT345" s="271"/>
      <c r="LU345" s="250"/>
      <c r="LV345" s="250"/>
      <c r="LW345" s="250"/>
      <c r="LX345" s="250"/>
      <c r="LY345" s="250"/>
      <c r="LZ345" s="250"/>
      <c r="MA345" s="250"/>
      <c r="MB345" s="250"/>
      <c r="MC345" s="250"/>
      <c r="MD345" s="250"/>
      <c r="ME345" s="250"/>
      <c r="MF345" s="250"/>
      <c r="MG345" s="250"/>
      <c r="MH345" s="250"/>
      <c r="MI345" s="250"/>
      <c r="MJ345" s="250"/>
      <c r="MK345" s="424"/>
      <c r="ML345" s="640"/>
      <c r="MM345" s="251"/>
      <c r="MN345" s="252"/>
      <c r="MO345" s="252"/>
      <c r="MP345" s="252"/>
      <c r="MQ345" s="252"/>
      <c r="MR345" s="252"/>
      <c r="MS345" s="252"/>
      <c r="MT345" s="252"/>
      <c r="MU345" s="252"/>
      <c r="MV345" s="252"/>
      <c r="MW345" s="252"/>
      <c r="MX345" s="252"/>
      <c r="MY345" s="252"/>
      <c r="MZ345" s="252"/>
      <c r="NA345" s="252"/>
      <c r="NB345" s="252"/>
      <c r="NC345" s="251"/>
      <c r="ND345" s="250"/>
      <c r="NE345" s="250"/>
      <c r="NF345" s="250"/>
      <c r="NG345" s="250"/>
      <c r="NH345" s="250"/>
      <c r="NI345" s="250"/>
      <c r="NJ345" s="250"/>
      <c r="NK345" s="250"/>
      <c r="NL345" s="250"/>
      <c r="NM345" s="250"/>
      <c r="NN345" s="250"/>
      <c r="NO345" s="250"/>
      <c r="NP345" s="250"/>
      <c r="NQ345" s="250"/>
      <c r="NR345" s="250"/>
      <c r="NS345" s="250"/>
      <c r="NT345" s="250"/>
      <c r="NU345" s="250"/>
      <c r="NV345" s="250"/>
      <c r="NW345" s="251"/>
      <c r="OT345" s="8"/>
      <c r="QG345" s="8"/>
      <c r="RT345" s="8"/>
    </row>
    <row r="346" spans="1:488" s="282" customFormat="1" x14ac:dyDescent="0.25">
      <c r="A346" s="66"/>
      <c r="B346" s="8"/>
      <c r="C346" s="66"/>
      <c r="D346" s="66"/>
      <c r="E346" s="66"/>
      <c r="F346" s="66"/>
      <c r="G346" s="66"/>
      <c r="H346" s="66"/>
      <c r="I346" s="66"/>
      <c r="J346" s="66"/>
      <c r="K346" s="66"/>
      <c r="L346" s="66"/>
      <c r="M346" s="66"/>
      <c r="N346" s="66"/>
      <c r="O346" s="66"/>
      <c r="P346" s="66"/>
      <c r="Q346" s="66"/>
      <c r="R346" s="66"/>
      <c r="S346" s="66"/>
      <c r="T346" s="68"/>
      <c r="AC346" s="66"/>
      <c r="AD346" s="66"/>
      <c r="AE346" s="68"/>
      <c r="AN346" s="66"/>
      <c r="AO346" s="66"/>
      <c r="AP346" s="68"/>
      <c r="AW346" s="66"/>
      <c r="AX346" s="68"/>
      <c r="BD346" s="66"/>
      <c r="BE346" s="68"/>
      <c r="BF346" s="66"/>
      <c r="BG346" s="66"/>
      <c r="BH346" s="66"/>
      <c r="BI346" s="66"/>
      <c r="BJ346" s="66"/>
      <c r="BK346" s="66"/>
      <c r="BL346" s="68"/>
      <c r="BO346" s="66"/>
      <c r="BP346" s="68"/>
      <c r="BV346" s="66"/>
      <c r="BW346" s="68"/>
      <c r="CB346" s="8"/>
      <c r="CH346" s="8"/>
      <c r="CK346" s="299"/>
      <c r="CL346" s="299"/>
      <c r="CM346" s="66"/>
      <c r="CN346" s="66"/>
      <c r="CO346" s="68"/>
      <c r="CR346" s="8"/>
      <c r="CX346" s="66"/>
      <c r="CY346" s="532"/>
      <c r="DE346" s="66"/>
      <c r="DF346" s="66"/>
      <c r="DG346" s="68"/>
      <c r="DH346" s="68"/>
      <c r="DK346" s="66"/>
      <c r="DL346" s="66"/>
      <c r="DM346" s="66"/>
      <c r="DN346" s="66"/>
      <c r="DO346" s="66"/>
      <c r="DP346" s="66"/>
      <c r="DQ346" s="66"/>
      <c r="DR346" s="66"/>
      <c r="DS346" s="66"/>
      <c r="DT346" s="68"/>
      <c r="DU346" s="66"/>
      <c r="DV346" s="296"/>
      <c r="DW346" s="330"/>
      <c r="DX346" s="631"/>
      <c r="DY346" s="631"/>
      <c r="DZ346" s="631"/>
      <c r="EA346" s="330"/>
      <c r="EC346" s="66"/>
      <c r="ED346" s="68"/>
      <c r="EH346" s="66"/>
      <c r="EI346" s="66"/>
      <c r="EJ346" s="68"/>
      <c r="EK346" s="252"/>
      <c r="EL346" s="252"/>
      <c r="EM346" s="252"/>
      <c r="EO346" s="252"/>
      <c r="EP346" s="252"/>
      <c r="EQ346" s="252"/>
      <c r="ES346" s="252"/>
      <c r="ET346" s="252"/>
      <c r="EU346" s="252"/>
      <c r="EW346" s="252"/>
      <c r="EX346" s="252"/>
      <c r="EY346" s="252"/>
      <c r="FA346" s="250"/>
      <c r="FB346" s="250"/>
      <c r="FC346" s="250"/>
      <c r="FD346" s="250"/>
      <c r="FE346" s="250"/>
      <c r="FF346" s="250"/>
      <c r="FG346" s="250"/>
      <c r="FH346" s="424"/>
      <c r="FI346" s="250"/>
      <c r="FJ346" s="250"/>
      <c r="FK346" s="250"/>
      <c r="FL346" s="256"/>
      <c r="FM346" s="250"/>
      <c r="FN346" s="256"/>
      <c r="FO346" s="250"/>
      <c r="FP346" s="256"/>
      <c r="FQ346" s="250"/>
      <c r="FR346" s="256"/>
      <c r="FS346" s="250"/>
      <c r="FT346" s="256"/>
      <c r="FU346" s="256"/>
      <c r="FV346" s="256"/>
      <c r="FW346" s="250"/>
      <c r="FX346" s="424"/>
      <c r="FY346" s="251"/>
      <c r="GC346" s="252"/>
      <c r="GF346" s="252"/>
      <c r="GG346" s="252"/>
      <c r="GH346" s="252"/>
      <c r="GI346" s="252"/>
      <c r="GJ346" s="252"/>
      <c r="GK346" s="251"/>
      <c r="GL346" s="250"/>
      <c r="GM346" s="250"/>
      <c r="GN346" s="250"/>
      <c r="GO346" s="250"/>
      <c r="GP346" s="250"/>
      <c r="GQ346" s="250"/>
      <c r="GR346" s="250"/>
      <c r="GS346" s="250"/>
      <c r="GT346" s="250"/>
      <c r="GU346" s="251"/>
      <c r="GV346" s="250"/>
      <c r="GW346" s="250"/>
      <c r="GX346" s="250"/>
      <c r="GY346" s="250"/>
      <c r="GZ346" s="250"/>
      <c r="HA346" s="250"/>
      <c r="HB346" s="250"/>
      <c r="HC346" s="250"/>
      <c r="HD346" s="250"/>
      <c r="HE346" s="250"/>
      <c r="HF346" s="250"/>
      <c r="HG346" s="250"/>
      <c r="HH346" s="251"/>
      <c r="HI346" s="424"/>
      <c r="HJ346" s="255"/>
      <c r="HK346" s="255"/>
      <c r="HL346" s="250"/>
      <c r="HM346" s="255"/>
      <c r="HN346" s="255"/>
      <c r="HO346" s="255"/>
      <c r="HP346" s="250"/>
      <c r="HQ346" s="250"/>
      <c r="HR346" s="250"/>
      <c r="HS346" s="250"/>
      <c r="HT346" s="250"/>
      <c r="HU346" s="251"/>
      <c r="HX346" s="252"/>
      <c r="HY346" s="252"/>
      <c r="HZ346" s="252"/>
      <c r="ID346" s="252"/>
      <c r="IE346" s="252"/>
      <c r="IF346" s="252"/>
      <c r="IJ346" s="252"/>
      <c r="IK346" s="252"/>
      <c r="IL346" s="252"/>
      <c r="IP346" s="252"/>
      <c r="IQ346" s="252"/>
      <c r="IR346" s="252"/>
      <c r="IY346" s="66"/>
      <c r="IZ346" s="66"/>
      <c r="JA346" s="66"/>
      <c r="JB346" s="250"/>
      <c r="JC346" s="66"/>
      <c r="JD346" s="66"/>
      <c r="JE346" s="66"/>
      <c r="JF346" s="66"/>
      <c r="JG346" s="66"/>
      <c r="JH346" s="66"/>
      <c r="JI346" s="66"/>
      <c r="JJ346" s="66"/>
      <c r="JK346" s="8"/>
      <c r="JN346" s="252"/>
      <c r="JO346" s="252"/>
      <c r="JP346" s="252"/>
      <c r="JT346" s="252"/>
      <c r="JU346" s="252"/>
      <c r="JV346" s="252"/>
      <c r="JZ346" s="252"/>
      <c r="KA346" s="252"/>
      <c r="KB346" s="252"/>
      <c r="KF346" s="252"/>
      <c r="KG346" s="252"/>
      <c r="KH346" s="252"/>
      <c r="KO346" s="66"/>
      <c r="KP346" s="66"/>
      <c r="KQ346" s="66"/>
      <c r="KR346" s="66"/>
      <c r="KS346" s="66"/>
      <c r="KT346" s="66"/>
      <c r="KU346" s="66"/>
      <c r="KV346" s="66"/>
      <c r="KW346" s="66"/>
      <c r="KX346" s="66"/>
      <c r="KY346" s="66"/>
      <c r="KZ346" s="66"/>
      <c r="LA346" s="8"/>
      <c r="LD346" s="252"/>
      <c r="LE346" s="252"/>
      <c r="LF346" s="252"/>
      <c r="LJ346" s="252"/>
      <c r="LK346" s="252"/>
      <c r="LN346" s="252"/>
      <c r="LO346" s="252"/>
      <c r="LP346" s="252"/>
      <c r="LT346" s="271"/>
      <c r="LU346" s="250"/>
      <c r="LV346" s="250"/>
      <c r="LW346" s="250"/>
      <c r="LX346" s="250"/>
      <c r="LY346" s="250"/>
      <c r="LZ346" s="250"/>
      <c r="MA346" s="250"/>
      <c r="MB346" s="250"/>
      <c r="MC346" s="250"/>
      <c r="MD346" s="250"/>
      <c r="ME346" s="250"/>
      <c r="MF346" s="250"/>
      <c r="MG346" s="250"/>
      <c r="MH346" s="250"/>
      <c r="MI346" s="250"/>
      <c r="MJ346" s="250"/>
      <c r="MK346" s="424"/>
      <c r="ML346" s="640"/>
      <c r="MM346" s="251"/>
      <c r="MN346" s="252"/>
      <c r="MO346" s="252"/>
      <c r="MP346" s="252"/>
      <c r="MQ346" s="252"/>
      <c r="MR346" s="252"/>
      <c r="MS346" s="252"/>
      <c r="MT346" s="252"/>
      <c r="MU346" s="252"/>
      <c r="MV346" s="252"/>
      <c r="MW346" s="252"/>
      <c r="MX346" s="252"/>
      <c r="MY346" s="252"/>
      <c r="MZ346" s="252"/>
      <c r="NA346" s="252"/>
      <c r="NB346" s="252"/>
      <c r="NC346" s="251"/>
      <c r="ND346" s="250"/>
      <c r="NE346" s="250"/>
      <c r="NF346" s="250"/>
      <c r="NG346" s="250"/>
      <c r="NH346" s="250"/>
      <c r="NI346" s="250"/>
      <c r="NJ346" s="250"/>
      <c r="NK346" s="250"/>
      <c r="NL346" s="250"/>
      <c r="NM346" s="250"/>
      <c r="NN346" s="250"/>
      <c r="NO346" s="250"/>
      <c r="NP346" s="250"/>
      <c r="NQ346" s="250"/>
      <c r="NR346" s="250"/>
      <c r="NS346" s="250"/>
      <c r="NT346" s="250"/>
      <c r="NU346" s="250"/>
      <c r="NV346" s="250"/>
      <c r="NW346" s="251"/>
      <c r="OT346" s="8"/>
      <c r="QG346" s="8"/>
      <c r="RT346" s="8"/>
    </row>
    <row r="347" spans="1:488" s="282" customFormat="1" x14ac:dyDescent="0.25">
      <c r="A347" s="66"/>
      <c r="B347" s="8"/>
      <c r="C347" s="66"/>
      <c r="D347" s="66"/>
      <c r="E347" s="66"/>
      <c r="F347" s="66"/>
      <c r="G347" s="66"/>
      <c r="H347" s="66"/>
      <c r="I347" s="66"/>
      <c r="J347" s="66"/>
      <c r="K347" s="66"/>
      <c r="L347" s="66"/>
      <c r="M347" s="66"/>
      <c r="N347" s="66"/>
      <c r="O347" s="66"/>
      <c r="P347" s="66"/>
      <c r="Q347" s="66"/>
      <c r="R347" s="66"/>
      <c r="S347" s="66"/>
      <c r="T347" s="68"/>
      <c r="AC347" s="66"/>
      <c r="AD347" s="66"/>
      <c r="AE347" s="68"/>
      <c r="AN347" s="66"/>
      <c r="AO347" s="66"/>
      <c r="AP347" s="68"/>
      <c r="AW347" s="66"/>
      <c r="AX347" s="68"/>
      <c r="BD347" s="66"/>
      <c r="BE347" s="68"/>
      <c r="BF347" s="66"/>
      <c r="BG347" s="66"/>
      <c r="BH347" s="66"/>
      <c r="BI347" s="66"/>
      <c r="BJ347" s="66"/>
      <c r="BK347" s="66"/>
      <c r="BL347" s="68"/>
      <c r="BO347" s="66"/>
      <c r="BP347" s="68"/>
      <c r="BV347" s="66"/>
      <c r="BW347" s="68"/>
      <c r="CB347" s="8"/>
      <c r="CH347" s="8"/>
      <c r="CK347" s="299"/>
      <c r="CL347" s="299"/>
      <c r="CM347" s="66"/>
      <c r="CN347" s="66"/>
      <c r="CO347" s="68"/>
      <c r="CR347" s="8"/>
      <c r="CX347" s="66"/>
      <c r="CY347" s="532"/>
      <c r="DE347" s="66"/>
      <c r="DF347" s="66"/>
      <c r="DG347" s="68"/>
      <c r="DH347" s="68"/>
      <c r="DK347" s="66"/>
      <c r="DL347" s="66"/>
      <c r="DM347" s="66"/>
      <c r="DN347" s="66"/>
      <c r="DO347" s="66"/>
      <c r="DP347" s="66"/>
      <c r="DQ347" s="66"/>
      <c r="DR347" s="66"/>
      <c r="DS347" s="66"/>
      <c r="DT347" s="68"/>
      <c r="DU347" s="66"/>
      <c r="DV347" s="296"/>
      <c r="DW347" s="330"/>
      <c r="DX347" s="631"/>
      <c r="DY347" s="631"/>
      <c r="DZ347" s="631"/>
      <c r="EA347" s="330"/>
      <c r="EC347" s="66"/>
      <c r="ED347" s="68"/>
      <c r="EH347" s="66"/>
      <c r="EI347" s="66"/>
      <c r="EJ347" s="68"/>
      <c r="EK347" s="252"/>
      <c r="EL347" s="252"/>
      <c r="EM347" s="252"/>
      <c r="EO347" s="252"/>
      <c r="EP347" s="252"/>
      <c r="EQ347" s="252"/>
      <c r="ES347" s="252"/>
      <c r="ET347" s="252"/>
      <c r="EU347" s="252"/>
      <c r="EW347" s="252"/>
      <c r="EX347" s="252"/>
      <c r="EY347" s="252"/>
      <c r="FA347" s="250"/>
      <c r="FB347" s="250"/>
      <c r="FC347" s="250"/>
      <c r="FD347" s="250"/>
      <c r="FE347" s="250"/>
      <c r="FF347" s="250"/>
      <c r="FG347" s="250"/>
      <c r="FH347" s="424"/>
      <c r="FI347" s="250"/>
      <c r="FJ347" s="250"/>
      <c r="FK347" s="250"/>
      <c r="FL347" s="256"/>
      <c r="FM347" s="250"/>
      <c r="FN347" s="256"/>
      <c r="FO347" s="250"/>
      <c r="FP347" s="256"/>
      <c r="FQ347" s="250"/>
      <c r="FR347" s="256"/>
      <c r="FS347" s="250"/>
      <c r="FT347" s="256"/>
      <c r="FU347" s="256"/>
      <c r="FV347" s="256"/>
      <c r="FW347" s="250"/>
      <c r="FX347" s="424"/>
      <c r="FY347" s="251"/>
      <c r="GC347" s="252"/>
      <c r="GF347" s="252"/>
      <c r="GG347" s="252"/>
      <c r="GH347" s="252"/>
      <c r="GI347" s="252"/>
      <c r="GJ347" s="252"/>
      <c r="GK347" s="251"/>
      <c r="GL347" s="250"/>
      <c r="GM347" s="250"/>
      <c r="GN347" s="250"/>
      <c r="GO347" s="250"/>
      <c r="GP347" s="250"/>
      <c r="GQ347" s="250"/>
      <c r="GR347" s="250"/>
      <c r="GS347" s="250"/>
      <c r="GT347" s="250"/>
      <c r="GU347" s="251"/>
      <c r="GV347" s="250"/>
      <c r="GW347" s="250"/>
      <c r="GX347" s="250"/>
      <c r="GY347" s="250"/>
      <c r="GZ347" s="250"/>
      <c r="HA347" s="250"/>
      <c r="HB347" s="250"/>
      <c r="HC347" s="250"/>
      <c r="HD347" s="250"/>
      <c r="HE347" s="250"/>
      <c r="HF347" s="250"/>
      <c r="HG347" s="250"/>
      <c r="HH347" s="251"/>
      <c r="HI347" s="424"/>
      <c r="HJ347" s="255"/>
      <c r="HK347" s="255"/>
      <c r="HL347" s="250"/>
      <c r="HM347" s="255"/>
      <c r="HN347" s="255"/>
      <c r="HO347" s="255"/>
      <c r="HP347" s="250"/>
      <c r="HQ347" s="250"/>
      <c r="HR347" s="250"/>
      <c r="HS347" s="250"/>
      <c r="HT347" s="250"/>
      <c r="HU347" s="251"/>
      <c r="HX347" s="252"/>
      <c r="HY347" s="252"/>
      <c r="HZ347" s="252"/>
      <c r="ID347" s="252"/>
      <c r="IE347" s="252"/>
      <c r="IF347" s="252"/>
      <c r="IJ347" s="252"/>
      <c r="IK347" s="252"/>
      <c r="IL347" s="252"/>
      <c r="IP347" s="252"/>
      <c r="IQ347" s="252"/>
      <c r="IR347" s="252"/>
      <c r="IY347" s="66"/>
      <c r="IZ347" s="66"/>
      <c r="JA347" s="66"/>
      <c r="JB347" s="250"/>
      <c r="JC347" s="66"/>
      <c r="JD347" s="66"/>
      <c r="JE347" s="66"/>
      <c r="JF347" s="66"/>
      <c r="JG347" s="66"/>
      <c r="JH347" s="66"/>
      <c r="JI347" s="66"/>
      <c r="JJ347" s="66"/>
      <c r="JK347" s="8"/>
      <c r="JN347" s="252"/>
      <c r="JO347" s="252"/>
      <c r="JP347" s="252"/>
      <c r="JT347" s="252"/>
      <c r="JU347" s="252"/>
      <c r="JV347" s="252"/>
      <c r="JZ347" s="252"/>
      <c r="KA347" s="252"/>
      <c r="KB347" s="252"/>
      <c r="KF347" s="252"/>
      <c r="KG347" s="252"/>
      <c r="KH347" s="252"/>
      <c r="KO347" s="66"/>
      <c r="KP347" s="66"/>
      <c r="KQ347" s="66"/>
      <c r="KR347" s="66"/>
      <c r="KS347" s="66"/>
      <c r="KT347" s="66"/>
      <c r="KU347" s="66"/>
      <c r="KV347" s="66"/>
      <c r="KW347" s="66"/>
      <c r="KX347" s="66"/>
      <c r="KY347" s="66"/>
      <c r="KZ347" s="66"/>
      <c r="LA347" s="8"/>
      <c r="LD347" s="252"/>
      <c r="LE347" s="252"/>
      <c r="LF347" s="252"/>
      <c r="LJ347" s="252"/>
      <c r="LK347" s="252"/>
      <c r="LN347" s="252"/>
      <c r="LO347" s="252"/>
      <c r="LP347" s="252"/>
      <c r="LT347" s="271"/>
      <c r="LU347" s="250"/>
      <c r="LV347" s="250"/>
      <c r="LW347" s="250"/>
      <c r="LX347" s="250"/>
      <c r="LY347" s="250"/>
      <c r="LZ347" s="250"/>
      <c r="MA347" s="250"/>
      <c r="MB347" s="250"/>
      <c r="MC347" s="250"/>
      <c r="MD347" s="250"/>
      <c r="ME347" s="250"/>
      <c r="MF347" s="250"/>
      <c r="MG347" s="250"/>
      <c r="MH347" s="250"/>
      <c r="MI347" s="250"/>
      <c r="MJ347" s="250"/>
      <c r="MK347" s="424"/>
      <c r="ML347" s="640"/>
      <c r="MM347" s="251"/>
      <c r="MN347" s="252"/>
      <c r="MO347" s="252"/>
      <c r="MP347" s="252"/>
      <c r="MQ347" s="252"/>
      <c r="MR347" s="252"/>
      <c r="MS347" s="252"/>
      <c r="MT347" s="252"/>
      <c r="MU347" s="252"/>
      <c r="MV347" s="252"/>
      <c r="MW347" s="252"/>
      <c r="MX347" s="252"/>
      <c r="MY347" s="252"/>
      <c r="MZ347" s="252"/>
      <c r="NA347" s="252"/>
      <c r="NB347" s="252"/>
      <c r="NC347" s="251"/>
      <c r="ND347" s="250"/>
      <c r="NE347" s="250"/>
      <c r="NF347" s="250"/>
      <c r="NG347" s="250"/>
      <c r="NH347" s="250"/>
      <c r="NI347" s="250"/>
      <c r="NJ347" s="250"/>
      <c r="NK347" s="250"/>
      <c r="NL347" s="250"/>
      <c r="NM347" s="250"/>
      <c r="NN347" s="250"/>
      <c r="NO347" s="250"/>
      <c r="NP347" s="250"/>
      <c r="NQ347" s="250"/>
      <c r="NR347" s="250"/>
      <c r="NS347" s="250"/>
      <c r="NT347" s="250"/>
      <c r="NU347" s="250"/>
      <c r="NV347" s="250"/>
      <c r="NW347" s="251"/>
      <c r="OT347" s="8"/>
      <c r="QG347" s="8"/>
      <c r="RT347" s="8"/>
    </row>
    <row r="348" spans="1:488" s="282" customFormat="1" x14ac:dyDescent="0.25">
      <c r="A348" s="66"/>
      <c r="B348" s="8"/>
      <c r="C348" s="66"/>
      <c r="D348" s="66"/>
      <c r="E348" s="66"/>
      <c r="F348" s="66"/>
      <c r="G348" s="66"/>
      <c r="H348" s="66"/>
      <c r="I348" s="66"/>
      <c r="J348" s="66"/>
      <c r="K348" s="66"/>
      <c r="L348" s="66"/>
      <c r="M348" s="66"/>
      <c r="N348" s="66"/>
      <c r="O348" s="66"/>
      <c r="P348" s="66"/>
      <c r="Q348" s="66"/>
      <c r="R348" s="66"/>
      <c r="S348" s="66"/>
      <c r="T348" s="68"/>
      <c r="AC348" s="66"/>
      <c r="AD348" s="66"/>
      <c r="AE348" s="68"/>
      <c r="AN348" s="66"/>
      <c r="AO348" s="66"/>
      <c r="AP348" s="68"/>
      <c r="AW348" s="66"/>
      <c r="AX348" s="68"/>
      <c r="BD348" s="66"/>
      <c r="BE348" s="68"/>
      <c r="BF348" s="66"/>
      <c r="BG348" s="66"/>
      <c r="BH348" s="66"/>
      <c r="BI348" s="66"/>
      <c r="BJ348" s="66"/>
      <c r="BK348" s="66"/>
      <c r="BL348" s="68"/>
      <c r="BO348" s="66"/>
      <c r="BP348" s="68"/>
      <c r="BV348" s="66"/>
      <c r="BW348" s="68"/>
      <c r="CB348" s="8"/>
      <c r="CH348" s="8"/>
      <c r="CK348" s="299"/>
      <c r="CL348" s="299"/>
      <c r="CM348" s="66"/>
      <c r="CN348" s="66"/>
      <c r="CO348" s="68"/>
      <c r="CR348" s="8"/>
      <c r="CX348" s="66"/>
      <c r="CY348" s="532"/>
      <c r="DE348" s="66"/>
      <c r="DF348" s="66"/>
      <c r="DG348" s="68"/>
      <c r="DH348" s="68"/>
      <c r="DK348" s="66"/>
      <c r="DL348" s="66"/>
      <c r="DM348" s="66"/>
      <c r="DN348" s="66"/>
      <c r="DO348" s="66"/>
      <c r="DP348" s="66"/>
      <c r="DQ348" s="66"/>
      <c r="DR348" s="66"/>
      <c r="DS348" s="66"/>
      <c r="DT348" s="68"/>
      <c r="DU348" s="66"/>
      <c r="DV348" s="296"/>
      <c r="DW348" s="330"/>
      <c r="DX348" s="631"/>
      <c r="DY348" s="631"/>
      <c r="DZ348" s="631"/>
      <c r="EA348" s="330"/>
      <c r="EC348" s="66"/>
      <c r="ED348" s="68"/>
      <c r="EH348" s="66"/>
      <c r="EI348" s="66"/>
      <c r="EJ348" s="68"/>
      <c r="EK348" s="252"/>
      <c r="EL348" s="252"/>
      <c r="EM348" s="252"/>
      <c r="EO348" s="252"/>
      <c r="EP348" s="252"/>
      <c r="EQ348" s="252"/>
      <c r="ES348" s="252"/>
      <c r="ET348" s="252"/>
      <c r="EU348" s="252"/>
      <c r="EW348" s="252"/>
      <c r="EX348" s="252"/>
      <c r="EY348" s="252"/>
      <c r="FA348" s="250"/>
      <c r="FB348" s="250"/>
      <c r="FC348" s="250"/>
      <c r="FD348" s="250"/>
      <c r="FE348" s="250"/>
      <c r="FF348" s="250"/>
      <c r="FG348" s="250"/>
      <c r="FH348" s="424"/>
      <c r="FI348" s="250"/>
      <c r="FJ348" s="250"/>
      <c r="FK348" s="250"/>
      <c r="FL348" s="256"/>
      <c r="FM348" s="250"/>
      <c r="FN348" s="256"/>
      <c r="FO348" s="250"/>
      <c r="FP348" s="256"/>
      <c r="FQ348" s="250"/>
      <c r="FR348" s="256"/>
      <c r="FS348" s="250"/>
      <c r="FT348" s="256"/>
      <c r="FU348" s="256"/>
      <c r="FV348" s="256"/>
      <c r="FW348" s="250"/>
      <c r="FX348" s="424"/>
      <c r="FY348" s="251"/>
      <c r="GC348" s="252"/>
      <c r="GF348" s="252"/>
      <c r="GG348" s="252"/>
      <c r="GH348" s="252"/>
      <c r="GI348" s="252"/>
      <c r="GJ348" s="252"/>
      <c r="GK348" s="251"/>
      <c r="GL348" s="250"/>
      <c r="GM348" s="250"/>
      <c r="GN348" s="250"/>
      <c r="GO348" s="250"/>
      <c r="GP348" s="250"/>
      <c r="GQ348" s="250"/>
      <c r="GR348" s="250"/>
      <c r="GS348" s="250"/>
      <c r="GT348" s="250"/>
      <c r="GU348" s="251"/>
      <c r="GV348" s="250"/>
      <c r="GW348" s="250"/>
      <c r="GX348" s="250"/>
      <c r="GY348" s="250"/>
      <c r="GZ348" s="250"/>
      <c r="HA348" s="250"/>
      <c r="HB348" s="250"/>
      <c r="HC348" s="250"/>
      <c r="HD348" s="250"/>
      <c r="HE348" s="250"/>
      <c r="HF348" s="250"/>
      <c r="HG348" s="250"/>
      <c r="HH348" s="251"/>
      <c r="HI348" s="424"/>
      <c r="HJ348" s="255"/>
      <c r="HK348" s="255"/>
      <c r="HL348" s="250"/>
      <c r="HM348" s="255"/>
      <c r="HN348" s="255"/>
      <c r="HO348" s="255"/>
      <c r="HP348" s="250"/>
      <c r="HQ348" s="250"/>
      <c r="HR348" s="250"/>
      <c r="HS348" s="250"/>
      <c r="HT348" s="250"/>
      <c r="HU348" s="251"/>
      <c r="HX348" s="252"/>
      <c r="HY348" s="252"/>
      <c r="HZ348" s="252"/>
      <c r="ID348" s="252"/>
      <c r="IE348" s="252"/>
      <c r="IF348" s="252"/>
      <c r="IJ348" s="252"/>
      <c r="IK348" s="252"/>
      <c r="IL348" s="252"/>
      <c r="IP348" s="252"/>
      <c r="IQ348" s="252"/>
      <c r="IR348" s="252"/>
      <c r="IY348" s="66"/>
      <c r="IZ348" s="66"/>
      <c r="JA348" s="66"/>
      <c r="JB348" s="250"/>
      <c r="JC348" s="66"/>
      <c r="JD348" s="66"/>
      <c r="JE348" s="66"/>
      <c r="JF348" s="66"/>
      <c r="JG348" s="66"/>
      <c r="JH348" s="66"/>
      <c r="JI348" s="66"/>
      <c r="JJ348" s="66"/>
      <c r="JK348" s="8"/>
      <c r="JN348" s="252"/>
      <c r="JO348" s="252"/>
      <c r="JP348" s="252"/>
      <c r="JT348" s="252"/>
      <c r="JU348" s="252"/>
      <c r="JV348" s="252"/>
      <c r="JZ348" s="252"/>
      <c r="KA348" s="252"/>
      <c r="KB348" s="252"/>
      <c r="KF348" s="252"/>
      <c r="KG348" s="252"/>
      <c r="KH348" s="252"/>
      <c r="KO348" s="66"/>
      <c r="KP348" s="66"/>
      <c r="KQ348" s="66"/>
      <c r="KR348" s="66"/>
      <c r="KS348" s="66"/>
      <c r="KT348" s="66"/>
      <c r="KU348" s="66"/>
      <c r="KV348" s="66"/>
      <c r="KW348" s="66"/>
      <c r="KX348" s="66"/>
      <c r="KY348" s="66"/>
      <c r="KZ348" s="66"/>
      <c r="LA348" s="8"/>
      <c r="LD348" s="252"/>
      <c r="LE348" s="252"/>
      <c r="LF348" s="252"/>
      <c r="LJ348" s="252"/>
      <c r="LK348" s="252"/>
      <c r="LN348" s="252"/>
      <c r="LO348" s="252"/>
      <c r="LP348" s="252"/>
      <c r="LT348" s="271"/>
      <c r="LU348" s="250"/>
      <c r="LV348" s="250"/>
      <c r="LW348" s="250"/>
      <c r="LX348" s="250"/>
      <c r="LY348" s="250"/>
      <c r="LZ348" s="250"/>
      <c r="MA348" s="250"/>
      <c r="MB348" s="250"/>
      <c r="MC348" s="250"/>
      <c r="MD348" s="250"/>
      <c r="ME348" s="250"/>
      <c r="MF348" s="250"/>
      <c r="MG348" s="250"/>
      <c r="MH348" s="250"/>
      <c r="MI348" s="250"/>
      <c r="MJ348" s="250"/>
      <c r="MK348" s="424"/>
      <c r="ML348" s="640"/>
      <c r="MM348" s="251"/>
      <c r="MN348" s="252"/>
      <c r="MO348" s="252"/>
      <c r="MP348" s="252"/>
      <c r="MQ348" s="252"/>
      <c r="MR348" s="252"/>
      <c r="MS348" s="252"/>
      <c r="MT348" s="252"/>
      <c r="MU348" s="252"/>
      <c r="MV348" s="252"/>
      <c r="MW348" s="252"/>
      <c r="MX348" s="252"/>
      <c r="MY348" s="252"/>
      <c r="MZ348" s="252"/>
      <c r="NA348" s="252"/>
      <c r="NB348" s="252"/>
      <c r="NC348" s="251"/>
      <c r="ND348" s="250"/>
      <c r="NE348" s="250"/>
      <c r="NF348" s="250"/>
      <c r="NG348" s="250"/>
      <c r="NH348" s="250"/>
      <c r="NI348" s="250"/>
      <c r="NJ348" s="250"/>
      <c r="NK348" s="250"/>
      <c r="NL348" s="250"/>
      <c r="NM348" s="250"/>
      <c r="NN348" s="250"/>
      <c r="NO348" s="250"/>
      <c r="NP348" s="250"/>
      <c r="NQ348" s="250"/>
      <c r="NR348" s="250"/>
      <c r="NS348" s="250"/>
      <c r="NT348" s="250"/>
      <c r="NU348" s="250"/>
      <c r="NV348" s="250"/>
      <c r="NW348" s="251"/>
      <c r="OT348" s="8"/>
      <c r="QG348" s="8"/>
      <c r="RT348" s="8"/>
    </row>
    <row r="349" spans="1:488" s="282" customFormat="1" x14ac:dyDescent="0.25">
      <c r="A349" s="66"/>
      <c r="B349" s="8"/>
      <c r="C349" s="66"/>
      <c r="D349" s="66"/>
      <c r="E349" s="66"/>
      <c r="F349" s="66"/>
      <c r="G349" s="66"/>
      <c r="H349" s="66"/>
      <c r="I349" s="66"/>
      <c r="J349" s="66"/>
      <c r="K349" s="66"/>
      <c r="L349" s="66"/>
      <c r="M349" s="66"/>
      <c r="N349" s="66"/>
      <c r="O349" s="66"/>
      <c r="P349" s="66"/>
      <c r="Q349" s="66"/>
      <c r="R349" s="66"/>
      <c r="S349" s="66"/>
      <c r="T349" s="68"/>
      <c r="AC349" s="66"/>
      <c r="AD349" s="66"/>
      <c r="AE349" s="68"/>
      <c r="AN349" s="66"/>
      <c r="AO349" s="66"/>
      <c r="AP349" s="68"/>
      <c r="AW349" s="66"/>
      <c r="AX349" s="68"/>
      <c r="BD349" s="66"/>
      <c r="BE349" s="68"/>
      <c r="BF349" s="66"/>
      <c r="BG349" s="66"/>
      <c r="BH349" s="66"/>
      <c r="BI349" s="66"/>
      <c r="BJ349" s="66"/>
      <c r="BK349" s="66"/>
      <c r="BL349" s="68"/>
      <c r="BO349" s="66"/>
      <c r="BP349" s="68"/>
      <c r="BV349" s="66"/>
      <c r="BW349" s="68"/>
      <c r="CB349" s="8"/>
      <c r="CH349" s="8"/>
      <c r="CK349" s="299"/>
      <c r="CL349" s="299"/>
      <c r="CM349" s="66"/>
      <c r="CN349" s="66"/>
      <c r="CO349" s="68"/>
      <c r="CR349" s="8"/>
      <c r="CX349" s="66"/>
      <c r="CY349" s="532"/>
      <c r="DE349" s="66"/>
      <c r="DF349" s="66"/>
      <c r="DG349" s="68"/>
      <c r="DH349" s="68"/>
      <c r="DK349" s="66"/>
      <c r="DL349" s="66"/>
      <c r="DM349" s="66"/>
      <c r="DN349" s="66"/>
      <c r="DO349" s="66"/>
      <c r="DP349" s="66"/>
      <c r="DQ349" s="66"/>
      <c r="DR349" s="66"/>
      <c r="DS349" s="66"/>
      <c r="DT349" s="68"/>
      <c r="DU349" s="66"/>
      <c r="DV349" s="296"/>
      <c r="DW349" s="330"/>
      <c r="DX349" s="631"/>
      <c r="DY349" s="631"/>
      <c r="DZ349" s="631"/>
      <c r="EA349" s="330"/>
      <c r="EC349" s="66"/>
      <c r="ED349" s="68"/>
      <c r="EH349" s="66"/>
      <c r="EI349" s="66"/>
      <c r="EJ349" s="68"/>
      <c r="EK349" s="252"/>
      <c r="EL349" s="252"/>
      <c r="EM349" s="252"/>
      <c r="EO349" s="252"/>
      <c r="EP349" s="252"/>
      <c r="EQ349" s="252"/>
      <c r="ES349" s="252"/>
      <c r="ET349" s="252"/>
      <c r="EU349" s="252"/>
      <c r="EW349" s="252"/>
      <c r="EX349" s="252"/>
      <c r="EY349" s="252"/>
      <c r="FA349" s="250"/>
      <c r="FB349" s="250"/>
      <c r="FC349" s="250"/>
      <c r="FD349" s="250"/>
      <c r="FE349" s="250"/>
      <c r="FF349" s="250"/>
      <c r="FG349" s="250"/>
      <c r="FH349" s="424"/>
      <c r="FI349" s="250"/>
      <c r="FJ349" s="250"/>
      <c r="FK349" s="250"/>
      <c r="FL349" s="256"/>
      <c r="FM349" s="250"/>
      <c r="FN349" s="256"/>
      <c r="FO349" s="250"/>
      <c r="FP349" s="256"/>
      <c r="FQ349" s="250"/>
      <c r="FR349" s="256"/>
      <c r="FS349" s="250"/>
      <c r="FT349" s="256"/>
      <c r="FU349" s="256"/>
      <c r="FV349" s="256"/>
      <c r="FW349" s="250"/>
      <c r="FX349" s="424"/>
      <c r="FY349" s="251"/>
      <c r="GC349" s="252"/>
      <c r="GF349" s="252"/>
      <c r="GG349" s="252"/>
      <c r="GH349" s="252"/>
      <c r="GI349" s="252"/>
      <c r="GJ349" s="252"/>
      <c r="GK349" s="251"/>
      <c r="GL349" s="250"/>
      <c r="GM349" s="250"/>
      <c r="GN349" s="250"/>
      <c r="GO349" s="250"/>
      <c r="GP349" s="250"/>
      <c r="GQ349" s="250"/>
      <c r="GR349" s="250"/>
      <c r="GS349" s="250"/>
      <c r="GT349" s="250"/>
      <c r="GU349" s="251"/>
      <c r="GV349" s="250"/>
      <c r="GW349" s="250"/>
      <c r="GX349" s="250"/>
      <c r="GY349" s="250"/>
      <c r="GZ349" s="250"/>
      <c r="HA349" s="250"/>
      <c r="HB349" s="250"/>
      <c r="HC349" s="250"/>
      <c r="HD349" s="250"/>
      <c r="HE349" s="250"/>
      <c r="HF349" s="250"/>
      <c r="HG349" s="250"/>
      <c r="HH349" s="251"/>
      <c r="HI349" s="424"/>
      <c r="HJ349" s="255"/>
      <c r="HK349" s="255"/>
      <c r="HL349" s="250"/>
      <c r="HM349" s="255"/>
      <c r="HN349" s="255"/>
      <c r="HO349" s="255"/>
      <c r="HP349" s="250"/>
      <c r="HQ349" s="250"/>
      <c r="HR349" s="250"/>
      <c r="HS349" s="250"/>
      <c r="HT349" s="250"/>
      <c r="HU349" s="251"/>
      <c r="HX349" s="252"/>
      <c r="HY349" s="252"/>
      <c r="HZ349" s="252"/>
      <c r="ID349" s="252"/>
      <c r="IE349" s="252"/>
      <c r="IF349" s="252"/>
      <c r="IJ349" s="252"/>
      <c r="IK349" s="252"/>
      <c r="IL349" s="252"/>
      <c r="IP349" s="252"/>
      <c r="IQ349" s="252"/>
      <c r="IR349" s="252"/>
      <c r="IY349" s="66"/>
      <c r="IZ349" s="66"/>
      <c r="JA349" s="66"/>
      <c r="JB349" s="250"/>
      <c r="JC349" s="66"/>
      <c r="JD349" s="66"/>
      <c r="JE349" s="66"/>
      <c r="JF349" s="66"/>
      <c r="JG349" s="66"/>
      <c r="JH349" s="66"/>
      <c r="JI349" s="66"/>
      <c r="JJ349" s="66"/>
      <c r="JK349" s="8"/>
      <c r="JN349" s="252"/>
      <c r="JO349" s="252"/>
      <c r="JP349" s="252"/>
      <c r="JT349" s="252"/>
      <c r="JU349" s="252"/>
      <c r="JV349" s="252"/>
      <c r="JZ349" s="252"/>
      <c r="KA349" s="252"/>
      <c r="KB349" s="252"/>
      <c r="KF349" s="252"/>
      <c r="KG349" s="252"/>
      <c r="KH349" s="252"/>
      <c r="KO349" s="66"/>
      <c r="KP349" s="66"/>
      <c r="KQ349" s="66"/>
      <c r="KR349" s="66"/>
      <c r="KS349" s="66"/>
      <c r="KT349" s="66"/>
      <c r="KU349" s="66"/>
      <c r="KV349" s="66"/>
      <c r="KW349" s="66"/>
      <c r="KX349" s="66"/>
      <c r="KY349" s="66"/>
      <c r="KZ349" s="66"/>
      <c r="LA349" s="8"/>
      <c r="LD349" s="252"/>
      <c r="LE349" s="252"/>
      <c r="LF349" s="252"/>
      <c r="LJ349" s="252"/>
      <c r="LK349" s="252"/>
      <c r="LN349" s="252"/>
      <c r="LO349" s="252"/>
      <c r="LP349" s="252"/>
      <c r="LT349" s="271"/>
      <c r="LU349" s="250"/>
      <c r="LV349" s="250"/>
      <c r="LW349" s="250"/>
      <c r="LX349" s="250"/>
      <c r="LY349" s="250"/>
      <c r="LZ349" s="250"/>
      <c r="MA349" s="250"/>
      <c r="MB349" s="250"/>
      <c r="MC349" s="250"/>
      <c r="MD349" s="250"/>
      <c r="ME349" s="250"/>
      <c r="MF349" s="250"/>
      <c r="MG349" s="250"/>
      <c r="MH349" s="250"/>
      <c r="MI349" s="250"/>
      <c r="MJ349" s="250"/>
      <c r="MK349" s="424"/>
      <c r="ML349" s="640"/>
      <c r="MM349" s="251"/>
      <c r="MN349" s="252"/>
      <c r="MO349" s="252"/>
      <c r="MP349" s="252"/>
      <c r="MQ349" s="252"/>
      <c r="MR349" s="252"/>
      <c r="MS349" s="252"/>
      <c r="MT349" s="252"/>
      <c r="MU349" s="252"/>
      <c r="MV349" s="252"/>
      <c r="MW349" s="252"/>
      <c r="MX349" s="252"/>
      <c r="MY349" s="252"/>
      <c r="MZ349" s="252"/>
      <c r="NA349" s="252"/>
      <c r="NB349" s="252"/>
      <c r="NC349" s="251"/>
      <c r="ND349" s="250"/>
      <c r="NE349" s="250"/>
      <c r="NF349" s="250"/>
      <c r="NG349" s="250"/>
      <c r="NH349" s="250"/>
      <c r="NI349" s="250"/>
      <c r="NJ349" s="250"/>
      <c r="NK349" s="250"/>
      <c r="NL349" s="250"/>
      <c r="NM349" s="250"/>
      <c r="NN349" s="250"/>
      <c r="NO349" s="250"/>
      <c r="NP349" s="250"/>
      <c r="NQ349" s="250"/>
      <c r="NR349" s="250"/>
      <c r="NS349" s="250"/>
      <c r="NT349" s="250"/>
      <c r="NU349" s="250"/>
      <c r="NV349" s="250"/>
      <c r="NW349" s="251"/>
      <c r="OT349" s="8"/>
      <c r="QG349" s="8"/>
      <c r="RT349" s="8"/>
    </row>
    <row r="350" spans="1:488" s="282" customFormat="1" x14ac:dyDescent="0.25">
      <c r="A350" s="66"/>
      <c r="B350" s="8"/>
      <c r="C350" s="66"/>
      <c r="D350" s="66"/>
      <c r="E350" s="66"/>
      <c r="F350" s="66"/>
      <c r="G350" s="66"/>
      <c r="H350" s="66"/>
      <c r="I350" s="66"/>
      <c r="J350" s="66"/>
      <c r="K350" s="66"/>
      <c r="L350" s="66"/>
      <c r="M350" s="66"/>
      <c r="N350" s="66"/>
      <c r="O350" s="66"/>
      <c r="P350" s="66"/>
      <c r="Q350" s="66"/>
      <c r="R350" s="66"/>
      <c r="S350" s="66"/>
      <c r="T350" s="68"/>
      <c r="AC350" s="66"/>
      <c r="AD350" s="66"/>
      <c r="AE350" s="68"/>
      <c r="AN350" s="66"/>
      <c r="AO350" s="66"/>
      <c r="AP350" s="68"/>
      <c r="AW350" s="66"/>
      <c r="AX350" s="68"/>
      <c r="BD350" s="66"/>
      <c r="BE350" s="68"/>
      <c r="BF350" s="66"/>
      <c r="BG350" s="66"/>
      <c r="BH350" s="66"/>
      <c r="BI350" s="66"/>
      <c r="BJ350" s="66"/>
      <c r="BK350" s="66"/>
      <c r="BL350" s="68"/>
      <c r="BO350" s="66"/>
      <c r="BP350" s="68"/>
      <c r="BV350" s="66"/>
      <c r="BW350" s="68"/>
      <c r="CB350" s="8"/>
      <c r="CH350" s="8"/>
      <c r="CK350" s="299"/>
      <c r="CL350" s="299"/>
      <c r="CM350" s="66"/>
      <c r="CN350" s="66"/>
      <c r="CO350" s="68"/>
      <c r="CR350" s="8"/>
      <c r="CX350" s="66"/>
      <c r="CY350" s="532"/>
      <c r="DE350" s="66"/>
      <c r="DF350" s="66"/>
      <c r="DG350" s="68"/>
      <c r="DH350" s="68"/>
      <c r="DK350" s="66"/>
      <c r="DL350" s="66"/>
      <c r="DM350" s="66"/>
      <c r="DN350" s="66"/>
      <c r="DO350" s="66"/>
      <c r="DP350" s="66"/>
      <c r="DQ350" s="66"/>
      <c r="DR350" s="66"/>
      <c r="DS350" s="66"/>
      <c r="DT350" s="68"/>
      <c r="DU350" s="66"/>
      <c r="DV350" s="296"/>
      <c r="DW350" s="330"/>
      <c r="DX350" s="631"/>
      <c r="DY350" s="631"/>
      <c r="DZ350" s="631"/>
      <c r="EA350" s="330"/>
      <c r="EC350" s="66"/>
      <c r="ED350" s="68"/>
      <c r="EH350" s="66"/>
      <c r="EI350" s="66"/>
      <c r="EJ350" s="68"/>
      <c r="EK350" s="252"/>
      <c r="EL350" s="252"/>
      <c r="EM350" s="252"/>
      <c r="EO350" s="252"/>
      <c r="EP350" s="252"/>
      <c r="EQ350" s="252"/>
      <c r="ES350" s="252"/>
      <c r="ET350" s="252"/>
      <c r="EU350" s="252"/>
      <c r="EW350" s="252"/>
      <c r="EX350" s="252"/>
      <c r="EY350" s="252"/>
      <c r="FA350" s="250"/>
      <c r="FB350" s="250"/>
      <c r="FC350" s="250"/>
      <c r="FD350" s="250"/>
      <c r="FE350" s="250"/>
      <c r="FF350" s="250"/>
      <c r="FG350" s="250"/>
      <c r="FH350" s="424"/>
      <c r="FI350" s="250"/>
      <c r="FJ350" s="250"/>
      <c r="FK350" s="250"/>
      <c r="FL350" s="256"/>
      <c r="FM350" s="250"/>
      <c r="FN350" s="256"/>
      <c r="FO350" s="250"/>
      <c r="FP350" s="256"/>
      <c r="FQ350" s="250"/>
      <c r="FR350" s="256"/>
      <c r="FS350" s="250"/>
      <c r="FT350" s="256"/>
      <c r="FU350" s="256"/>
      <c r="FV350" s="256"/>
      <c r="FW350" s="250"/>
      <c r="FX350" s="424"/>
      <c r="FY350" s="251"/>
      <c r="GC350" s="252"/>
      <c r="GF350" s="252"/>
      <c r="GG350" s="252"/>
      <c r="GH350" s="252"/>
      <c r="GI350" s="252"/>
      <c r="GJ350" s="252"/>
      <c r="GK350" s="251"/>
      <c r="GL350" s="250"/>
      <c r="GM350" s="250"/>
      <c r="GN350" s="250"/>
      <c r="GO350" s="250"/>
      <c r="GP350" s="250"/>
      <c r="GQ350" s="250"/>
      <c r="GR350" s="250"/>
      <c r="GS350" s="250"/>
      <c r="GT350" s="250"/>
      <c r="GU350" s="251"/>
      <c r="GV350" s="250"/>
      <c r="GW350" s="250"/>
      <c r="GX350" s="250"/>
      <c r="GY350" s="250"/>
      <c r="GZ350" s="250"/>
      <c r="HA350" s="250"/>
      <c r="HB350" s="250"/>
      <c r="HC350" s="250"/>
      <c r="HD350" s="250"/>
      <c r="HE350" s="250"/>
      <c r="HF350" s="250"/>
      <c r="HG350" s="250"/>
      <c r="HH350" s="251"/>
      <c r="HI350" s="424"/>
      <c r="HJ350" s="255"/>
      <c r="HK350" s="255"/>
      <c r="HL350" s="250"/>
      <c r="HM350" s="255"/>
      <c r="HN350" s="255"/>
      <c r="HO350" s="255"/>
      <c r="HP350" s="250"/>
      <c r="HQ350" s="250"/>
      <c r="HR350" s="250"/>
      <c r="HS350" s="250"/>
      <c r="HT350" s="250"/>
      <c r="HU350" s="251"/>
      <c r="HX350" s="252"/>
      <c r="HY350" s="252"/>
      <c r="HZ350" s="252"/>
      <c r="ID350" s="252"/>
      <c r="IE350" s="252"/>
      <c r="IF350" s="252"/>
      <c r="IJ350" s="252"/>
      <c r="IK350" s="252"/>
      <c r="IL350" s="252"/>
      <c r="IP350" s="252"/>
      <c r="IQ350" s="252"/>
      <c r="IR350" s="252"/>
      <c r="IY350" s="66"/>
      <c r="IZ350" s="66"/>
      <c r="JA350" s="66"/>
      <c r="JB350" s="250"/>
      <c r="JC350" s="66"/>
      <c r="JD350" s="66"/>
      <c r="JE350" s="66"/>
      <c r="JF350" s="66"/>
      <c r="JG350" s="66"/>
      <c r="JH350" s="66"/>
      <c r="JI350" s="66"/>
      <c r="JJ350" s="66"/>
      <c r="JK350" s="8"/>
      <c r="JN350" s="252"/>
      <c r="JO350" s="252"/>
      <c r="JP350" s="252"/>
      <c r="JT350" s="252"/>
      <c r="JU350" s="252"/>
      <c r="JV350" s="252"/>
      <c r="JZ350" s="252"/>
      <c r="KA350" s="252"/>
      <c r="KB350" s="252"/>
      <c r="KF350" s="252"/>
      <c r="KG350" s="252"/>
      <c r="KH350" s="252"/>
      <c r="KO350" s="66"/>
      <c r="KP350" s="66"/>
      <c r="KQ350" s="66"/>
      <c r="KR350" s="66"/>
      <c r="KS350" s="66"/>
      <c r="KT350" s="66"/>
      <c r="KU350" s="66"/>
      <c r="KV350" s="66"/>
      <c r="KW350" s="66"/>
      <c r="KX350" s="66"/>
      <c r="KY350" s="66"/>
      <c r="KZ350" s="66"/>
      <c r="LA350" s="8"/>
      <c r="LD350" s="252"/>
      <c r="LE350" s="252"/>
      <c r="LF350" s="252"/>
      <c r="LJ350" s="252"/>
      <c r="LK350" s="252"/>
      <c r="LN350" s="252"/>
      <c r="LO350" s="252"/>
      <c r="LP350" s="252"/>
      <c r="LT350" s="271"/>
      <c r="LU350" s="250"/>
      <c r="LV350" s="250"/>
      <c r="LW350" s="250"/>
      <c r="LX350" s="250"/>
      <c r="LY350" s="250"/>
      <c r="LZ350" s="250"/>
      <c r="MA350" s="250"/>
      <c r="MB350" s="250"/>
      <c r="MC350" s="250"/>
      <c r="MD350" s="250"/>
      <c r="ME350" s="250"/>
      <c r="MF350" s="250"/>
      <c r="MG350" s="250"/>
      <c r="MH350" s="250"/>
      <c r="MI350" s="250"/>
      <c r="MJ350" s="250"/>
      <c r="MK350" s="424"/>
      <c r="ML350" s="640"/>
      <c r="MM350" s="251"/>
      <c r="MN350" s="252"/>
      <c r="MO350" s="252"/>
      <c r="MP350" s="252"/>
      <c r="MQ350" s="252"/>
      <c r="MR350" s="252"/>
      <c r="MS350" s="252"/>
      <c r="MT350" s="252"/>
      <c r="MU350" s="252"/>
      <c r="MV350" s="252"/>
      <c r="MW350" s="252"/>
      <c r="MX350" s="252"/>
      <c r="MY350" s="252"/>
      <c r="MZ350" s="252"/>
      <c r="NA350" s="252"/>
      <c r="NB350" s="252"/>
      <c r="NC350" s="251"/>
      <c r="ND350" s="250"/>
      <c r="NE350" s="250"/>
      <c r="NF350" s="250"/>
      <c r="NG350" s="250"/>
      <c r="NH350" s="250"/>
      <c r="NI350" s="250"/>
      <c r="NJ350" s="250"/>
      <c r="NK350" s="250"/>
      <c r="NL350" s="250"/>
      <c r="NM350" s="250"/>
      <c r="NN350" s="250"/>
      <c r="NO350" s="250"/>
      <c r="NP350" s="250"/>
      <c r="NQ350" s="250"/>
      <c r="NR350" s="250"/>
      <c r="NS350" s="250"/>
      <c r="NT350" s="250"/>
      <c r="NU350" s="250"/>
      <c r="NV350" s="250"/>
      <c r="NW350" s="251"/>
      <c r="OT350" s="8"/>
      <c r="QG350" s="8"/>
      <c r="RT350" s="8"/>
    </row>
    <row r="351" spans="1:488" s="282" customFormat="1" x14ac:dyDescent="0.25">
      <c r="A351" s="66"/>
      <c r="B351" s="8"/>
      <c r="C351" s="66"/>
      <c r="D351" s="66"/>
      <c r="E351" s="66"/>
      <c r="F351" s="66"/>
      <c r="G351" s="66"/>
      <c r="H351" s="66"/>
      <c r="I351" s="66"/>
      <c r="J351" s="66"/>
      <c r="K351" s="66"/>
      <c r="L351" s="66"/>
      <c r="M351" s="66"/>
      <c r="N351" s="66"/>
      <c r="O351" s="66"/>
      <c r="P351" s="66"/>
      <c r="Q351" s="66"/>
      <c r="R351" s="66"/>
      <c r="S351" s="66"/>
      <c r="T351" s="68"/>
      <c r="AC351" s="66"/>
      <c r="AD351" s="66"/>
      <c r="AE351" s="68"/>
      <c r="AN351" s="66"/>
      <c r="AO351" s="66"/>
      <c r="AP351" s="68"/>
      <c r="AW351" s="66"/>
      <c r="AX351" s="68"/>
      <c r="BD351" s="66"/>
      <c r="BE351" s="68"/>
      <c r="BF351" s="66"/>
      <c r="BG351" s="66"/>
      <c r="BH351" s="66"/>
      <c r="BI351" s="66"/>
      <c r="BJ351" s="66"/>
      <c r="BK351" s="66"/>
      <c r="BL351" s="68"/>
      <c r="BO351" s="66"/>
      <c r="BP351" s="68"/>
      <c r="BV351" s="66"/>
      <c r="BW351" s="68"/>
      <c r="CB351" s="8"/>
      <c r="CH351" s="8"/>
      <c r="CK351" s="299"/>
      <c r="CL351" s="299"/>
      <c r="CM351" s="66"/>
      <c r="CN351" s="66"/>
      <c r="CO351" s="68"/>
      <c r="CR351" s="8"/>
      <c r="CX351" s="66"/>
      <c r="CY351" s="532"/>
      <c r="DE351" s="66"/>
      <c r="DF351" s="66"/>
      <c r="DG351" s="68"/>
      <c r="DH351" s="68"/>
      <c r="DK351" s="66"/>
      <c r="DL351" s="66"/>
      <c r="DM351" s="66"/>
      <c r="DN351" s="66"/>
      <c r="DO351" s="66"/>
      <c r="DP351" s="66"/>
      <c r="DQ351" s="66"/>
      <c r="DR351" s="66"/>
      <c r="DS351" s="66"/>
      <c r="DT351" s="68"/>
      <c r="DU351" s="66"/>
      <c r="DV351" s="296"/>
      <c r="DW351" s="330"/>
      <c r="DX351" s="631"/>
      <c r="DY351" s="631"/>
      <c r="DZ351" s="631"/>
      <c r="EA351" s="330"/>
      <c r="EC351" s="66"/>
      <c r="ED351" s="68"/>
      <c r="EH351" s="66"/>
      <c r="EI351" s="66"/>
      <c r="EJ351" s="68"/>
      <c r="EK351" s="252"/>
      <c r="EL351" s="252"/>
      <c r="EM351" s="252"/>
      <c r="EO351" s="252"/>
      <c r="EP351" s="252"/>
      <c r="EQ351" s="252"/>
      <c r="ES351" s="252"/>
      <c r="ET351" s="252"/>
      <c r="EU351" s="252"/>
      <c r="EW351" s="252"/>
      <c r="EX351" s="252"/>
      <c r="EY351" s="252"/>
      <c r="FA351" s="250"/>
      <c r="FB351" s="250"/>
      <c r="FC351" s="250"/>
      <c r="FD351" s="250"/>
      <c r="FE351" s="250"/>
      <c r="FF351" s="250"/>
      <c r="FG351" s="250"/>
      <c r="FH351" s="424"/>
      <c r="FI351" s="250"/>
      <c r="FJ351" s="250"/>
      <c r="FK351" s="250"/>
      <c r="FL351" s="256"/>
      <c r="FM351" s="250"/>
      <c r="FN351" s="256"/>
      <c r="FO351" s="250"/>
      <c r="FP351" s="256"/>
      <c r="FQ351" s="250"/>
      <c r="FR351" s="256"/>
      <c r="FS351" s="250"/>
      <c r="FT351" s="256"/>
      <c r="FU351" s="256"/>
      <c r="FV351" s="256"/>
      <c r="FW351" s="250"/>
      <c r="FX351" s="424"/>
      <c r="FY351" s="251"/>
      <c r="GC351" s="252"/>
      <c r="GF351" s="252"/>
      <c r="GG351" s="252"/>
      <c r="GH351" s="252"/>
      <c r="GI351" s="252"/>
      <c r="GJ351" s="252"/>
      <c r="GK351" s="251"/>
      <c r="GL351" s="250"/>
      <c r="GM351" s="250"/>
      <c r="GN351" s="250"/>
      <c r="GO351" s="250"/>
      <c r="GP351" s="250"/>
      <c r="GQ351" s="250"/>
      <c r="GR351" s="250"/>
      <c r="GS351" s="250"/>
      <c r="GT351" s="250"/>
      <c r="GU351" s="251"/>
      <c r="GV351" s="250"/>
      <c r="GW351" s="250"/>
      <c r="GX351" s="250"/>
      <c r="GY351" s="250"/>
      <c r="GZ351" s="250"/>
      <c r="HA351" s="250"/>
      <c r="HB351" s="250"/>
      <c r="HC351" s="250"/>
      <c r="HD351" s="250"/>
      <c r="HE351" s="250"/>
      <c r="HF351" s="250"/>
      <c r="HG351" s="250"/>
      <c r="HH351" s="251"/>
      <c r="HI351" s="424"/>
      <c r="HJ351" s="255"/>
      <c r="HK351" s="255"/>
      <c r="HL351" s="250"/>
      <c r="HM351" s="255"/>
      <c r="HN351" s="255"/>
      <c r="HO351" s="255"/>
      <c r="HP351" s="250"/>
      <c r="HQ351" s="250"/>
      <c r="HR351" s="250"/>
      <c r="HS351" s="250"/>
      <c r="HT351" s="250"/>
      <c r="HU351" s="251"/>
      <c r="HX351" s="252"/>
      <c r="HY351" s="252"/>
      <c r="HZ351" s="252"/>
      <c r="ID351" s="252"/>
      <c r="IE351" s="252"/>
      <c r="IF351" s="252"/>
      <c r="IJ351" s="252"/>
      <c r="IK351" s="252"/>
      <c r="IL351" s="252"/>
      <c r="IP351" s="252"/>
      <c r="IQ351" s="252"/>
      <c r="IR351" s="252"/>
      <c r="IY351" s="66"/>
      <c r="IZ351" s="66"/>
      <c r="JA351" s="66"/>
      <c r="JB351" s="250"/>
      <c r="JC351" s="66"/>
      <c r="JD351" s="66"/>
      <c r="JE351" s="66"/>
      <c r="JF351" s="66"/>
      <c r="JG351" s="66"/>
      <c r="JH351" s="66"/>
      <c r="JI351" s="66"/>
      <c r="JJ351" s="66"/>
      <c r="JK351" s="8"/>
      <c r="JN351" s="252"/>
      <c r="JO351" s="252"/>
      <c r="JP351" s="252"/>
      <c r="JT351" s="252"/>
      <c r="JU351" s="252"/>
      <c r="JV351" s="252"/>
      <c r="JZ351" s="252"/>
      <c r="KA351" s="252"/>
      <c r="KB351" s="252"/>
      <c r="KF351" s="252"/>
      <c r="KG351" s="252"/>
      <c r="KH351" s="252"/>
      <c r="KO351" s="66"/>
      <c r="KP351" s="66"/>
      <c r="KQ351" s="66"/>
      <c r="KR351" s="66"/>
      <c r="KS351" s="66"/>
      <c r="KT351" s="66"/>
      <c r="KU351" s="66"/>
      <c r="KV351" s="66"/>
      <c r="KW351" s="66"/>
      <c r="KX351" s="66"/>
      <c r="KY351" s="66"/>
      <c r="KZ351" s="66"/>
      <c r="LA351" s="8"/>
      <c r="LD351" s="252"/>
      <c r="LE351" s="252"/>
      <c r="LF351" s="252"/>
      <c r="LJ351" s="252"/>
      <c r="LK351" s="252"/>
      <c r="LN351" s="252"/>
      <c r="LO351" s="252"/>
      <c r="LP351" s="252"/>
      <c r="LT351" s="271"/>
      <c r="LU351" s="250"/>
      <c r="LV351" s="250"/>
      <c r="LW351" s="250"/>
      <c r="LX351" s="250"/>
      <c r="LY351" s="250"/>
      <c r="LZ351" s="250"/>
      <c r="MA351" s="250"/>
      <c r="MB351" s="250"/>
      <c r="MC351" s="250"/>
      <c r="MD351" s="250"/>
      <c r="ME351" s="250"/>
      <c r="MF351" s="250"/>
      <c r="MG351" s="250"/>
      <c r="MH351" s="250"/>
      <c r="MI351" s="250"/>
      <c r="MJ351" s="250"/>
      <c r="MK351" s="424"/>
      <c r="ML351" s="640"/>
      <c r="MM351" s="251"/>
      <c r="MN351" s="252"/>
      <c r="MO351" s="252"/>
      <c r="MP351" s="252"/>
      <c r="MQ351" s="252"/>
      <c r="MR351" s="252"/>
      <c r="MS351" s="252"/>
      <c r="MT351" s="252"/>
      <c r="MU351" s="252"/>
      <c r="MV351" s="252"/>
      <c r="MW351" s="252"/>
      <c r="MX351" s="252"/>
      <c r="MY351" s="252"/>
      <c r="MZ351" s="252"/>
      <c r="NA351" s="252"/>
      <c r="NB351" s="252"/>
      <c r="NC351" s="251"/>
      <c r="ND351" s="250"/>
      <c r="NE351" s="250"/>
      <c r="NF351" s="250"/>
      <c r="NG351" s="250"/>
      <c r="NH351" s="250"/>
      <c r="NI351" s="250"/>
      <c r="NJ351" s="250"/>
      <c r="NK351" s="250"/>
      <c r="NL351" s="250"/>
      <c r="NM351" s="250"/>
      <c r="NN351" s="250"/>
      <c r="NO351" s="250"/>
      <c r="NP351" s="250"/>
      <c r="NQ351" s="250"/>
      <c r="NR351" s="250"/>
      <c r="NS351" s="250"/>
      <c r="NT351" s="250"/>
      <c r="NU351" s="250"/>
      <c r="NV351" s="250"/>
      <c r="NW351" s="251"/>
      <c r="OT351" s="8"/>
      <c r="QG351" s="8"/>
      <c r="RT351" s="8"/>
    </row>
    <row r="352" spans="1:488" s="282" customFormat="1" x14ac:dyDescent="0.25">
      <c r="A352" s="66"/>
      <c r="B352" s="8"/>
      <c r="C352" s="66"/>
      <c r="D352" s="66"/>
      <c r="E352" s="66"/>
      <c r="F352" s="66"/>
      <c r="G352" s="66"/>
      <c r="H352" s="66"/>
      <c r="I352" s="66"/>
      <c r="J352" s="66"/>
      <c r="K352" s="66"/>
      <c r="L352" s="66"/>
      <c r="M352" s="66"/>
      <c r="N352" s="66"/>
      <c r="O352" s="66"/>
      <c r="P352" s="66"/>
      <c r="Q352" s="66"/>
      <c r="R352" s="66"/>
      <c r="S352" s="66"/>
      <c r="T352" s="68"/>
      <c r="AC352" s="66"/>
      <c r="AD352" s="66"/>
      <c r="AE352" s="68"/>
      <c r="AN352" s="66"/>
      <c r="AO352" s="66"/>
      <c r="AP352" s="68"/>
      <c r="AW352" s="66"/>
      <c r="AX352" s="68"/>
      <c r="BD352" s="66"/>
      <c r="BE352" s="68"/>
      <c r="BF352" s="66"/>
      <c r="BG352" s="66"/>
      <c r="BH352" s="66"/>
      <c r="BI352" s="66"/>
      <c r="BJ352" s="66"/>
      <c r="BK352" s="66"/>
      <c r="BL352" s="68"/>
      <c r="BO352" s="66"/>
      <c r="BP352" s="68"/>
      <c r="BV352" s="66"/>
      <c r="BW352" s="68"/>
      <c r="CB352" s="8"/>
      <c r="CH352" s="8"/>
      <c r="CK352" s="299"/>
      <c r="CL352" s="299"/>
      <c r="CM352" s="66"/>
      <c r="CN352" s="66"/>
      <c r="CO352" s="68"/>
      <c r="CR352" s="8"/>
      <c r="CX352" s="66"/>
      <c r="CY352" s="532"/>
      <c r="DE352" s="66"/>
      <c r="DF352" s="66"/>
      <c r="DG352" s="68"/>
      <c r="DH352" s="68"/>
      <c r="DK352" s="66"/>
      <c r="DL352" s="66"/>
      <c r="DM352" s="66"/>
      <c r="DN352" s="66"/>
      <c r="DO352" s="66"/>
      <c r="DP352" s="66"/>
      <c r="DQ352" s="66"/>
      <c r="DR352" s="66"/>
      <c r="DS352" s="66"/>
      <c r="DT352" s="68"/>
      <c r="DU352" s="66"/>
      <c r="DV352" s="296"/>
      <c r="DW352" s="330"/>
      <c r="DX352" s="631"/>
      <c r="DY352" s="631"/>
      <c r="DZ352" s="631"/>
      <c r="EA352" s="330"/>
      <c r="EC352" s="66"/>
      <c r="ED352" s="68"/>
      <c r="EH352" s="66"/>
      <c r="EI352" s="66"/>
      <c r="EJ352" s="68"/>
      <c r="EK352" s="252"/>
      <c r="EL352" s="252"/>
      <c r="EM352" s="252"/>
      <c r="EO352" s="252"/>
      <c r="EP352" s="252"/>
      <c r="EQ352" s="252"/>
      <c r="ES352" s="252"/>
      <c r="ET352" s="252"/>
      <c r="EU352" s="252"/>
      <c r="EW352" s="252"/>
      <c r="EX352" s="252"/>
      <c r="EY352" s="252"/>
      <c r="FA352" s="250"/>
      <c r="FB352" s="250"/>
      <c r="FC352" s="250"/>
      <c r="FD352" s="250"/>
      <c r="FE352" s="250"/>
      <c r="FF352" s="250"/>
      <c r="FG352" s="250"/>
      <c r="FH352" s="424"/>
      <c r="FI352" s="250"/>
      <c r="FJ352" s="250"/>
      <c r="FK352" s="250"/>
      <c r="FL352" s="256"/>
      <c r="FM352" s="250"/>
      <c r="FN352" s="256"/>
      <c r="FO352" s="250"/>
      <c r="FP352" s="256"/>
      <c r="FQ352" s="250"/>
      <c r="FR352" s="256"/>
      <c r="FS352" s="250"/>
      <c r="FT352" s="256"/>
      <c r="FU352" s="256"/>
      <c r="FV352" s="256"/>
      <c r="FW352" s="250"/>
      <c r="FX352" s="424"/>
      <c r="FY352" s="251"/>
      <c r="GC352" s="252"/>
      <c r="GF352" s="252"/>
      <c r="GG352" s="252"/>
      <c r="GH352" s="252"/>
      <c r="GI352" s="252"/>
      <c r="GJ352" s="252"/>
      <c r="GK352" s="251"/>
      <c r="GL352" s="250"/>
      <c r="GM352" s="250"/>
      <c r="GN352" s="250"/>
      <c r="GO352" s="250"/>
      <c r="GP352" s="250"/>
      <c r="GQ352" s="250"/>
      <c r="GR352" s="250"/>
      <c r="GS352" s="250"/>
      <c r="GT352" s="250"/>
      <c r="GU352" s="251"/>
      <c r="GV352" s="250"/>
      <c r="GW352" s="250"/>
      <c r="GX352" s="250"/>
      <c r="GY352" s="250"/>
      <c r="GZ352" s="250"/>
      <c r="HA352" s="250"/>
      <c r="HB352" s="250"/>
      <c r="HC352" s="250"/>
      <c r="HD352" s="250"/>
      <c r="HE352" s="250"/>
      <c r="HF352" s="250"/>
      <c r="HG352" s="250"/>
      <c r="HH352" s="251"/>
      <c r="HI352" s="424"/>
      <c r="HJ352" s="255"/>
      <c r="HK352" s="255"/>
      <c r="HL352" s="250"/>
      <c r="HM352" s="255"/>
      <c r="HN352" s="255"/>
      <c r="HO352" s="255"/>
      <c r="HP352" s="250"/>
      <c r="HQ352" s="250"/>
      <c r="HR352" s="250"/>
      <c r="HS352" s="250"/>
      <c r="HT352" s="250"/>
      <c r="HU352" s="251"/>
      <c r="HX352" s="252"/>
      <c r="HY352" s="252"/>
      <c r="HZ352" s="252"/>
      <c r="ID352" s="252"/>
      <c r="IE352" s="252"/>
      <c r="IF352" s="252"/>
      <c r="IJ352" s="252"/>
      <c r="IK352" s="252"/>
      <c r="IL352" s="252"/>
      <c r="IP352" s="252"/>
      <c r="IQ352" s="252"/>
      <c r="IR352" s="252"/>
      <c r="IY352" s="66"/>
      <c r="IZ352" s="66"/>
      <c r="JA352" s="66"/>
      <c r="JB352" s="250"/>
      <c r="JC352" s="66"/>
      <c r="JD352" s="66"/>
      <c r="JE352" s="66"/>
      <c r="JF352" s="66"/>
      <c r="JG352" s="66"/>
      <c r="JH352" s="66"/>
      <c r="JI352" s="66"/>
      <c r="JJ352" s="66"/>
      <c r="JK352" s="8"/>
      <c r="JN352" s="252"/>
      <c r="JO352" s="252"/>
      <c r="JP352" s="252"/>
      <c r="JT352" s="252"/>
      <c r="JU352" s="252"/>
      <c r="JV352" s="252"/>
      <c r="JZ352" s="252"/>
      <c r="KA352" s="252"/>
      <c r="KB352" s="252"/>
      <c r="KF352" s="252"/>
      <c r="KG352" s="252"/>
      <c r="KH352" s="252"/>
      <c r="KO352" s="66"/>
      <c r="KP352" s="66"/>
      <c r="KQ352" s="66"/>
      <c r="KR352" s="66"/>
      <c r="KS352" s="66"/>
      <c r="KT352" s="66"/>
      <c r="KU352" s="66"/>
      <c r="KV352" s="66"/>
      <c r="KW352" s="66"/>
      <c r="KX352" s="66"/>
      <c r="KY352" s="66"/>
      <c r="KZ352" s="66"/>
      <c r="LA352" s="8"/>
      <c r="LD352" s="252"/>
      <c r="LE352" s="252"/>
      <c r="LF352" s="252"/>
      <c r="LJ352" s="252"/>
      <c r="LK352" s="252"/>
      <c r="LN352" s="252"/>
      <c r="LO352" s="252"/>
      <c r="LP352" s="252"/>
      <c r="LT352" s="271"/>
      <c r="LU352" s="250"/>
      <c r="LV352" s="250"/>
      <c r="LW352" s="250"/>
      <c r="LX352" s="250"/>
      <c r="LY352" s="250"/>
      <c r="LZ352" s="250"/>
      <c r="MA352" s="250"/>
      <c r="MB352" s="250"/>
      <c r="MC352" s="250"/>
      <c r="MD352" s="250"/>
      <c r="ME352" s="250"/>
      <c r="MF352" s="250"/>
      <c r="MG352" s="250"/>
      <c r="MH352" s="250"/>
      <c r="MI352" s="250"/>
      <c r="MJ352" s="250"/>
      <c r="MK352" s="424"/>
      <c r="ML352" s="640"/>
      <c r="MM352" s="251"/>
      <c r="MN352" s="252"/>
      <c r="MO352" s="252"/>
      <c r="MP352" s="252"/>
      <c r="MQ352" s="252"/>
      <c r="MR352" s="252"/>
      <c r="MS352" s="252"/>
      <c r="MT352" s="252"/>
      <c r="MU352" s="252"/>
      <c r="MV352" s="252"/>
      <c r="MW352" s="252"/>
      <c r="MX352" s="252"/>
      <c r="MY352" s="252"/>
      <c r="MZ352" s="252"/>
      <c r="NA352" s="252"/>
      <c r="NB352" s="252"/>
      <c r="NC352" s="251"/>
      <c r="ND352" s="250"/>
      <c r="NE352" s="250"/>
      <c r="NF352" s="250"/>
      <c r="NG352" s="250"/>
      <c r="NH352" s="250"/>
      <c r="NI352" s="250"/>
      <c r="NJ352" s="250"/>
      <c r="NK352" s="250"/>
      <c r="NL352" s="250"/>
      <c r="NM352" s="250"/>
      <c r="NN352" s="250"/>
      <c r="NO352" s="250"/>
      <c r="NP352" s="250"/>
      <c r="NQ352" s="250"/>
      <c r="NR352" s="250"/>
      <c r="NS352" s="250"/>
      <c r="NT352" s="250"/>
      <c r="NU352" s="250"/>
      <c r="NV352" s="250"/>
      <c r="NW352" s="251"/>
      <c r="OT352" s="8"/>
      <c r="QG352" s="8"/>
      <c r="RT352" s="8"/>
    </row>
    <row r="353" spans="1:488" s="282" customFormat="1" x14ac:dyDescent="0.25">
      <c r="A353" s="66"/>
      <c r="B353" s="8"/>
      <c r="C353" s="66"/>
      <c r="D353" s="66"/>
      <c r="E353" s="66"/>
      <c r="F353" s="66"/>
      <c r="G353" s="66"/>
      <c r="H353" s="66"/>
      <c r="I353" s="66"/>
      <c r="J353" s="66"/>
      <c r="K353" s="66"/>
      <c r="L353" s="66"/>
      <c r="M353" s="66"/>
      <c r="N353" s="66"/>
      <c r="O353" s="66"/>
      <c r="P353" s="66"/>
      <c r="Q353" s="66"/>
      <c r="R353" s="66"/>
      <c r="S353" s="66"/>
      <c r="T353" s="68"/>
      <c r="AC353" s="66"/>
      <c r="AD353" s="66"/>
      <c r="AE353" s="68"/>
      <c r="AN353" s="66"/>
      <c r="AO353" s="66"/>
      <c r="AP353" s="68"/>
      <c r="AW353" s="66"/>
      <c r="AX353" s="68"/>
      <c r="BD353" s="66"/>
      <c r="BE353" s="68"/>
      <c r="BF353" s="66"/>
      <c r="BG353" s="66"/>
      <c r="BH353" s="66"/>
      <c r="BI353" s="66"/>
      <c r="BJ353" s="66"/>
      <c r="BK353" s="66"/>
      <c r="BL353" s="68"/>
      <c r="BO353" s="66"/>
      <c r="BP353" s="68"/>
      <c r="BV353" s="66"/>
      <c r="BW353" s="68"/>
      <c r="CB353" s="8"/>
      <c r="CH353" s="8"/>
      <c r="CK353" s="299"/>
      <c r="CL353" s="299"/>
      <c r="CM353" s="66"/>
      <c r="CN353" s="66"/>
      <c r="CO353" s="68"/>
      <c r="CR353" s="8"/>
      <c r="CX353" s="66"/>
      <c r="CY353" s="532"/>
      <c r="DE353" s="66"/>
      <c r="DF353" s="66"/>
      <c r="DG353" s="68"/>
      <c r="DH353" s="68"/>
      <c r="DK353" s="66"/>
      <c r="DL353" s="66"/>
      <c r="DM353" s="66"/>
      <c r="DN353" s="66"/>
      <c r="DO353" s="66"/>
      <c r="DP353" s="66"/>
      <c r="DQ353" s="66"/>
      <c r="DR353" s="66"/>
      <c r="DS353" s="66"/>
      <c r="DT353" s="68"/>
      <c r="DU353" s="66"/>
      <c r="DV353" s="296"/>
      <c r="DW353" s="330"/>
      <c r="DX353" s="631"/>
      <c r="DY353" s="631"/>
      <c r="DZ353" s="631"/>
      <c r="EA353" s="330"/>
      <c r="EC353" s="66"/>
      <c r="ED353" s="68"/>
      <c r="EH353" s="66"/>
      <c r="EI353" s="66"/>
      <c r="EJ353" s="68"/>
      <c r="EK353" s="252"/>
      <c r="EL353" s="252"/>
      <c r="EM353" s="252"/>
      <c r="EO353" s="252"/>
      <c r="EP353" s="252"/>
      <c r="EQ353" s="252"/>
      <c r="ES353" s="252"/>
      <c r="ET353" s="252"/>
      <c r="EU353" s="252"/>
      <c r="EW353" s="252"/>
      <c r="EX353" s="252"/>
      <c r="EY353" s="252"/>
      <c r="FA353" s="250"/>
      <c r="FB353" s="250"/>
      <c r="FC353" s="250"/>
      <c r="FD353" s="250"/>
      <c r="FE353" s="250"/>
      <c r="FF353" s="250"/>
      <c r="FG353" s="250"/>
      <c r="FH353" s="424"/>
      <c r="FI353" s="250"/>
      <c r="FJ353" s="250"/>
      <c r="FK353" s="250"/>
      <c r="FL353" s="256"/>
      <c r="FM353" s="250"/>
      <c r="FN353" s="256"/>
      <c r="FO353" s="250"/>
      <c r="FP353" s="256"/>
      <c r="FQ353" s="250"/>
      <c r="FR353" s="256"/>
      <c r="FS353" s="250"/>
      <c r="FT353" s="256"/>
      <c r="FU353" s="256"/>
      <c r="FV353" s="256"/>
      <c r="FW353" s="250"/>
      <c r="FX353" s="424"/>
      <c r="FY353" s="251"/>
      <c r="GC353" s="252"/>
      <c r="GF353" s="252"/>
      <c r="GG353" s="252"/>
      <c r="GH353" s="252"/>
      <c r="GI353" s="252"/>
      <c r="GJ353" s="252"/>
      <c r="GK353" s="251"/>
      <c r="GL353" s="250"/>
      <c r="GM353" s="250"/>
      <c r="GN353" s="250"/>
      <c r="GO353" s="250"/>
      <c r="GP353" s="250"/>
      <c r="GQ353" s="250"/>
      <c r="GR353" s="250"/>
      <c r="GS353" s="250"/>
      <c r="GT353" s="250"/>
      <c r="GU353" s="251"/>
      <c r="GV353" s="250"/>
      <c r="GW353" s="250"/>
      <c r="GX353" s="250"/>
      <c r="GY353" s="250"/>
      <c r="GZ353" s="250"/>
      <c r="HA353" s="250"/>
      <c r="HB353" s="250"/>
      <c r="HC353" s="250"/>
      <c r="HD353" s="250"/>
      <c r="HE353" s="250"/>
      <c r="HF353" s="250"/>
      <c r="HG353" s="250"/>
      <c r="HH353" s="251"/>
      <c r="HI353" s="424"/>
      <c r="HJ353" s="255"/>
      <c r="HK353" s="255"/>
      <c r="HL353" s="250"/>
      <c r="HM353" s="255"/>
      <c r="HN353" s="255"/>
      <c r="HO353" s="255"/>
      <c r="HP353" s="250"/>
      <c r="HQ353" s="250"/>
      <c r="HR353" s="250"/>
      <c r="HS353" s="250"/>
      <c r="HT353" s="250"/>
      <c r="HU353" s="251"/>
      <c r="HX353" s="252"/>
      <c r="HY353" s="252"/>
      <c r="HZ353" s="252"/>
      <c r="ID353" s="252"/>
      <c r="IE353" s="252"/>
      <c r="IF353" s="252"/>
      <c r="IJ353" s="252"/>
      <c r="IK353" s="252"/>
      <c r="IL353" s="252"/>
      <c r="IP353" s="252"/>
      <c r="IQ353" s="252"/>
      <c r="IR353" s="252"/>
      <c r="IY353" s="66"/>
      <c r="IZ353" s="66"/>
      <c r="JA353" s="66"/>
      <c r="JB353" s="250"/>
      <c r="JC353" s="66"/>
      <c r="JD353" s="66"/>
      <c r="JE353" s="66"/>
      <c r="JF353" s="66"/>
      <c r="JG353" s="66"/>
      <c r="JH353" s="66"/>
      <c r="JI353" s="66"/>
      <c r="JJ353" s="66"/>
      <c r="JK353" s="8"/>
      <c r="JN353" s="252"/>
      <c r="JO353" s="252"/>
      <c r="JP353" s="252"/>
      <c r="JT353" s="252"/>
      <c r="JU353" s="252"/>
      <c r="JV353" s="252"/>
      <c r="JZ353" s="252"/>
      <c r="KA353" s="252"/>
      <c r="KB353" s="252"/>
      <c r="KF353" s="252"/>
      <c r="KG353" s="252"/>
      <c r="KH353" s="252"/>
      <c r="KO353" s="66"/>
      <c r="KP353" s="66"/>
      <c r="KQ353" s="66"/>
      <c r="KR353" s="66"/>
      <c r="KS353" s="66"/>
      <c r="KT353" s="66"/>
      <c r="KU353" s="66"/>
      <c r="KV353" s="66"/>
      <c r="KW353" s="66"/>
      <c r="KX353" s="66"/>
      <c r="KY353" s="66"/>
      <c r="KZ353" s="66"/>
      <c r="LA353" s="8"/>
      <c r="LD353" s="252"/>
      <c r="LE353" s="252"/>
      <c r="LF353" s="252"/>
      <c r="LJ353" s="252"/>
      <c r="LK353" s="252"/>
      <c r="LN353" s="252"/>
      <c r="LO353" s="252"/>
      <c r="LP353" s="252"/>
      <c r="LT353" s="271"/>
      <c r="LU353" s="250"/>
      <c r="LV353" s="250"/>
      <c r="LW353" s="250"/>
      <c r="LX353" s="250"/>
      <c r="LY353" s="250"/>
      <c r="LZ353" s="250"/>
      <c r="MA353" s="250"/>
      <c r="MB353" s="250"/>
      <c r="MC353" s="250"/>
      <c r="MD353" s="250"/>
      <c r="ME353" s="250"/>
      <c r="MF353" s="250"/>
      <c r="MG353" s="250"/>
      <c r="MH353" s="250"/>
      <c r="MI353" s="250"/>
      <c r="MJ353" s="250"/>
      <c r="MK353" s="424"/>
      <c r="ML353" s="640"/>
      <c r="MM353" s="251"/>
      <c r="MN353" s="252"/>
      <c r="MO353" s="252"/>
      <c r="MP353" s="252"/>
      <c r="MQ353" s="252"/>
      <c r="MR353" s="252"/>
      <c r="MS353" s="252"/>
      <c r="MT353" s="252"/>
      <c r="MU353" s="252"/>
      <c r="MV353" s="252"/>
      <c r="MW353" s="252"/>
      <c r="MX353" s="252"/>
      <c r="MY353" s="252"/>
      <c r="MZ353" s="252"/>
      <c r="NA353" s="252"/>
      <c r="NB353" s="252"/>
      <c r="NC353" s="251"/>
      <c r="ND353" s="250"/>
      <c r="NE353" s="250"/>
      <c r="NF353" s="250"/>
      <c r="NG353" s="250"/>
      <c r="NH353" s="250"/>
      <c r="NI353" s="250"/>
      <c r="NJ353" s="250"/>
      <c r="NK353" s="250"/>
      <c r="NL353" s="250"/>
      <c r="NM353" s="250"/>
      <c r="NN353" s="250"/>
      <c r="NO353" s="250"/>
      <c r="NP353" s="250"/>
      <c r="NQ353" s="250"/>
      <c r="NR353" s="250"/>
      <c r="NS353" s="250"/>
      <c r="NT353" s="250"/>
      <c r="NU353" s="250"/>
      <c r="NV353" s="250"/>
      <c r="NW353" s="251"/>
      <c r="OT353" s="8"/>
      <c r="QG353" s="8"/>
      <c r="RT353" s="8"/>
    </row>
    <row r="354" spans="1:488" s="282" customFormat="1" x14ac:dyDescent="0.25">
      <c r="A354" s="66"/>
      <c r="B354" s="8"/>
      <c r="C354" s="66"/>
      <c r="D354" s="66"/>
      <c r="E354" s="66"/>
      <c r="F354" s="66"/>
      <c r="G354" s="66"/>
      <c r="H354" s="66"/>
      <c r="I354" s="66"/>
      <c r="J354" s="66"/>
      <c r="K354" s="66"/>
      <c r="L354" s="66"/>
      <c r="M354" s="66"/>
      <c r="N354" s="66"/>
      <c r="O354" s="66"/>
      <c r="P354" s="66"/>
      <c r="Q354" s="66"/>
      <c r="R354" s="66"/>
      <c r="S354" s="66"/>
      <c r="T354" s="68"/>
      <c r="AC354" s="66"/>
      <c r="AD354" s="66"/>
      <c r="AE354" s="68"/>
      <c r="AN354" s="66"/>
      <c r="AO354" s="66"/>
      <c r="AP354" s="68"/>
      <c r="AW354" s="66"/>
      <c r="AX354" s="68"/>
      <c r="BD354" s="66"/>
      <c r="BE354" s="68"/>
      <c r="BF354" s="66"/>
      <c r="BG354" s="66"/>
      <c r="BH354" s="66"/>
      <c r="BI354" s="66"/>
      <c r="BJ354" s="66"/>
      <c r="BK354" s="66"/>
      <c r="BL354" s="68"/>
      <c r="BO354" s="66"/>
      <c r="BP354" s="68"/>
      <c r="BV354" s="66"/>
      <c r="BW354" s="68"/>
      <c r="CB354" s="8"/>
      <c r="CH354" s="8"/>
      <c r="CK354" s="299"/>
      <c r="CL354" s="299"/>
      <c r="CM354" s="66"/>
      <c r="CN354" s="66"/>
      <c r="CO354" s="68"/>
      <c r="CR354" s="8"/>
      <c r="CX354" s="66"/>
      <c r="CY354" s="532"/>
      <c r="DE354" s="66"/>
      <c r="DF354" s="66"/>
      <c r="DG354" s="68"/>
      <c r="DH354" s="68"/>
      <c r="DK354" s="66"/>
      <c r="DL354" s="66"/>
      <c r="DM354" s="66"/>
      <c r="DN354" s="66"/>
      <c r="DO354" s="66"/>
      <c r="DP354" s="66"/>
      <c r="DQ354" s="66"/>
      <c r="DR354" s="66"/>
      <c r="DS354" s="66"/>
      <c r="DT354" s="68"/>
      <c r="DU354" s="66"/>
      <c r="DV354" s="296"/>
      <c r="DW354" s="330"/>
      <c r="DX354" s="631"/>
      <c r="DY354" s="631"/>
      <c r="DZ354" s="631"/>
      <c r="EA354" s="330"/>
      <c r="EC354" s="66"/>
      <c r="ED354" s="68"/>
      <c r="EH354" s="66"/>
      <c r="EI354" s="66"/>
      <c r="EJ354" s="68"/>
      <c r="EK354" s="252"/>
      <c r="EL354" s="252"/>
      <c r="EM354" s="252"/>
      <c r="EO354" s="252"/>
      <c r="EP354" s="252"/>
      <c r="EQ354" s="252"/>
      <c r="ES354" s="252"/>
      <c r="ET354" s="252"/>
      <c r="EU354" s="252"/>
      <c r="EW354" s="252"/>
      <c r="EX354" s="252"/>
      <c r="EY354" s="252"/>
      <c r="FA354" s="250"/>
      <c r="FB354" s="250"/>
      <c r="FC354" s="250"/>
      <c r="FD354" s="250"/>
      <c r="FE354" s="250"/>
      <c r="FF354" s="250"/>
      <c r="FG354" s="250"/>
      <c r="FH354" s="424"/>
      <c r="FI354" s="250"/>
      <c r="FJ354" s="250"/>
      <c r="FK354" s="250"/>
      <c r="FL354" s="256"/>
      <c r="FM354" s="250"/>
      <c r="FN354" s="256"/>
      <c r="FO354" s="250"/>
      <c r="FP354" s="256"/>
      <c r="FQ354" s="250"/>
      <c r="FR354" s="256"/>
      <c r="FS354" s="250"/>
      <c r="FT354" s="256"/>
      <c r="FU354" s="256"/>
      <c r="FV354" s="256"/>
      <c r="FW354" s="250"/>
      <c r="FX354" s="424"/>
      <c r="FY354" s="251"/>
      <c r="GC354" s="252"/>
      <c r="GF354" s="252"/>
      <c r="GG354" s="252"/>
      <c r="GH354" s="252"/>
      <c r="GI354" s="252"/>
      <c r="GJ354" s="252"/>
      <c r="GK354" s="251"/>
      <c r="GL354" s="250"/>
      <c r="GM354" s="250"/>
      <c r="GN354" s="250"/>
      <c r="GO354" s="250"/>
      <c r="GP354" s="250"/>
      <c r="GQ354" s="250"/>
      <c r="GR354" s="250"/>
      <c r="GS354" s="250"/>
      <c r="GT354" s="250"/>
      <c r="GU354" s="251"/>
      <c r="GV354" s="250"/>
      <c r="GW354" s="250"/>
      <c r="GX354" s="250"/>
      <c r="GY354" s="250"/>
      <c r="GZ354" s="250"/>
      <c r="HA354" s="250"/>
      <c r="HB354" s="250"/>
      <c r="HC354" s="250"/>
      <c r="HD354" s="250"/>
      <c r="HE354" s="250"/>
      <c r="HF354" s="250"/>
      <c r="HG354" s="250"/>
      <c r="HH354" s="251"/>
      <c r="HI354" s="424"/>
      <c r="HJ354" s="255"/>
      <c r="HK354" s="255"/>
      <c r="HL354" s="250"/>
      <c r="HM354" s="255"/>
      <c r="HN354" s="255"/>
      <c r="HO354" s="255"/>
      <c r="HP354" s="250"/>
      <c r="HQ354" s="250"/>
      <c r="HR354" s="250"/>
      <c r="HS354" s="250"/>
      <c r="HT354" s="250"/>
      <c r="HU354" s="251"/>
      <c r="HX354" s="252"/>
      <c r="HY354" s="252"/>
      <c r="HZ354" s="252"/>
      <c r="ID354" s="252"/>
      <c r="IE354" s="252"/>
      <c r="IF354" s="252"/>
      <c r="IJ354" s="252"/>
      <c r="IK354" s="252"/>
      <c r="IL354" s="252"/>
      <c r="IP354" s="252"/>
      <c r="IQ354" s="252"/>
      <c r="IR354" s="252"/>
      <c r="IY354" s="66"/>
      <c r="IZ354" s="66"/>
      <c r="JA354" s="66"/>
      <c r="JB354" s="250"/>
      <c r="JC354" s="66"/>
      <c r="JD354" s="66"/>
      <c r="JE354" s="66"/>
      <c r="JF354" s="66"/>
      <c r="JG354" s="66"/>
      <c r="JH354" s="66"/>
      <c r="JI354" s="66"/>
      <c r="JJ354" s="66"/>
      <c r="JK354" s="8"/>
      <c r="JN354" s="252"/>
      <c r="JO354" s="252"/>
      <c r="JP354" s="252"/>
      <c r="JT354" s="252"/>
      <c r="JU354" s="252"/>
      <c r="JV354" s="252"/>
      <c r="JZ354" s="252"/>
      <c r="KA354" s="252"/>
      <c r="KB354" s="252"/>
      <c r="KF354" s="252"/>
      <c r="KG354" s="252"/>
      <c r="KH354" s="252"/>
      <c r="KO354" s="66"/>
      <c r="KP354" s="66"/>
      <c r="KQ354" s="66"/>
      <c r="KR354" s="66"/>
      <c r="KS354" s="66"/>
      <c r="KT354" s="66"/>
      <c r="KU354" s="66"/>
      <c r="KV354" s="66"/>
      <c r="KW354" s="66"/>
      <c r="KX354" s="66"/>
      <c r="KY354" s="66"/>
      <c r="KZ354" s="66"/>
      <c r="LA354" s="8"/>
      <c r="LD354" s="252"/>
      <c r="LE354" s="252"/>
      <c r="LF354" s="252"/>
      <c r="LJ354" s="252"/>
      <c r="LK354" s="252"/>
      <c r="LN354" s="252"/>
      <c r="LO354" s="252"/>
      <c r="LP354" s="252"/>
      <c r="LT354" s="271"/>
      <c r="LU354" s="250"/>
      <c r="LV354" s="250"/>
      <c r="LW354" s="250"/>
      <c r="LX354" s="250"/>
      <c r="LY354" s="250"/>
      <c r="LZ354" s="250"/>
      <c r="MA354" s="250"/>
      <c r="MB354" s="250"/>
      <c r="MC354" s="250"/>
      <c r="MD354" s="250"/>
      <c r="ME354" s="250"/>
      <c r="MF354" s="250"/>
      <c r="MG354" s="250"/>
      <c r="MH354" s="250"/>
      <c r="MI354" s="250"/>
      <c r="MJ354" s="250"/>
      <c r="MK354" s="424"/>
      <c r="ML354" s="640"/>
      <c r="MM354" s="251"/>
      <c r="MN354" s="252"/>
      <c r="MO354" s="252"/>
      <c r="MP354" s="252"/>
      <c r="MQ354" s="252"/>
      <c r="MR354" s="252"/>
      <c r="MS354" s="252"/>
      <c r="MT354" s="252"/>
      <c r="MU354" s="252"/>
      <c r="MV354" s="252"/>
      <c r="MW354" s="252"/>
      <c r="MX354" s="252"/>
      <c r="MY354" s="252"/>
      <c r="MZ354" s="252"/>
      <c r="NA354" s="252"/>
      <c r="NB354" s="252"/>
      <c r="NC354" s="251"/>
      <c r="ND354" s="250"/>
      <c r="NE354" s="250"/>
      <c r="NF354" s="250"/>
      <c r="NG354" s="250"/>
      <c r="NH354" s="250"/>
      <c r="NI354" s="250"/>
      <c r="NJ354" s="250"/>
      <c r="NK354" s="250"/>
      <c r="NL354" s="250"/>
      <c r="NM354" s="250"/>
      <c r="NN354" s="250"/>
      <c r="NO354" s="250"/>
      <c r="NP354" s="250"/>
      <c r="NQ354" s="250"/>
      <c r="NR354" s="250"/>
      <c r="NS354" s="250"/>
      <c r="NT354" s="250"/>
      <c r="NU354" s="250"/>
      <c r="NV354" s="250"/>
      <c r="NW354" s="251"/>
      <c r="OT354" s="8"/>
      <c r="QG354" s="8"/>
      <c r="RT354" s="8"/>
    </row>
    <row r="355" spans="1:488" s="282" customFormat="1" x14ac:dyDescent="0.25">
      <c r="A355" s="66"/>
      <c r="B355" s="8"/>
      <c r="C355" s="66"/>
      <c r="D355" s="66"/>
      <c r="E355" s="66"/>
      <c r="F355" s="66"/>
      <c r="G355" s="66"/>
      <c r="H355" s="66"/>
      <c r="I355" s="66"/>
      <c r="J355" s="66"/>
      <c r="K355" s="66"/>
      <c r="L355" s="66"/>
      <c r="M355" s="66"/>
      <c r="N355" s="66"/>
      <c r="O355" s="66"/>
      <c r="P355" s="66"/>
      <c r="Q355" s="66"/>
      <c r="R355" s="66"/>
      <c r="S355" s="66"/>
      <c r="T355" s="68"/>
      <c r="AC355" s="66"/>
      <c r="AD355" s="66"/>
      <c r="AE355" s="68"/>
      <c r="AN355" s="66"/>
      <c r="AO355" s="66"/>
      <c r="AP355" s="68"/>
      <c r="AW355" s="66"/>
      <c r="AX355" s="68"/>
      <c r="BD355" s="66"/>
      <c r="BE355" s="68"/>
      <c r="BF355" s="66"/>
      <c r="BG355" s="66"/>
      <c r="BH355" s="66"/>
      <c r="BI355" s="66"/>
      <c r="BJ355" s="66"/>
      <c r="BK355" s="66"/>
      <c r="BL355" s="68"/>
      <c r="BO355" s="66"/>
      <c r="BP355" s="68"/>
      <c r="BV355" s="66"/>
      <c r="BW355" s="68"/>
      <c r="CB355" s="8"/>
      <c r="CH355" s="8"/>
      <c r="CK355" s="299"/>
      <c r="CL355" s="299"/>
      <c r="CM355" s="66"/>
      <c r="CN355" s="66"/>
      <c r="CO355" s="68"/>
      <c r="CR355" s="8"/>
      <c r="CX355" s="66"/>
      <c r="CY355" s="532"/>
      <c r="DE355" s="66"/>
      <c r="DF355" s="66"/>
      <c r="DG355" s="68"/>
      <c r="DH355" s="68"/>
      <c r="DK355" s="66"/>
      <c r="DL355" s="66"/>
      <c r="DM355" s="66"/>
      <c r="DN355" s="66"/>
      <c r="DO355" s="66"/>
      <c r="DP355" s="66"/>
      <c r="DQ355" s="66"/>
      <c r="DR355" s="66"/>
      <c r="DS355" s="66"/>
      <c r="DT355" s="68"/>
      <c r="DU355" s="66"/>
      <c r="DV355" s="296"/>
      <c r="DW355" s="330"/>
      <c r="DX355" s="631"/>
      <c r="DY355" s="631"/>
      <c r="DZ355" s="631"/>
      <c r="EA355" s="330"/>
      <c r="EC355" s="66"/>
      <c r="ED355" s="68"/>
      <c r="EH355" s="66"/>
      <c r="EI355" s="66"/>
      <c r="EJ355" s="68"/>
      <c r="EK355" s="252"/>
      <c r="EL355" s="252"/>
      <c r="EM355" s="252"/>
      <c r="EO355" s="252"/>
      <c r="EP355" s="252"/>
      <c r="EQ355" s="252"/>
      <c r="ES355" s="252"/>
      <c r="ET355" s="252"/>
      <c r="EU355" s="252"/>
      <c r="EW355" s="252"/>
      <c r="EX355" s="252"/>
      <c r="EY355" s="252"/>
      <c r="FA355" s="250"/>
      <c r="FB355" s="250"/>
      <c r="FC355" s="250"/>
      <c r="FD355" s="250"/>
      <c r="FE355" s="250"/>
      <c r="FF355" s="250"/>
      <c r="FG355" s="250"/>
      <c r="FH355" s="424"/>
      <c r="FI355" s="250"/>
      <c r="FJ355" s="250"/>
      <c r="FK355" s="250"/>
      <c r="FL355" s="256"/>
      <c r="FM355" s="250"/>
      <c r="FN355" s="256"/>
      <c r="FO355" s="250"/>
      <c r="FP355" s="256"/>
      <c r="FQ355" s="250"/>
      <c r="FR355" s="256"/>
      <c r="FS355" s="250"/>
      <c r="FT355" s="256"/>
      <c r="FU355" s="256"/>
      <c r="FV355" s="256"/>
      <c r="FW355" s="250"/>
      <c r="FX355" s="424"/>
      <c r="FY355" s="251"/>
      <c r="GC355" s="252"/>
      <c r="GF355" s="252"/>
      <c r="GG355" s="252"/>
      <c r="GH355" s="252"/>
      <c r="GI355" s="252"/>
      <c r="GJ355" s="252"/>
      <c r="GK355" s="251"/>
      <c r="GL355" s="250"/>
      <c r="GM355" s="250"/>
      <c r="GN355" s="250"/>
      <c r="GO355" s="250"/>
      <c r="GP355" s="250"/>
      <c r="GQ355" s="250"/>
      <c r="GR355" s="250"/>
      <c r="GS355" s="250"/>
      <c r="GT355" s="250"/>
      <c r="GU355" s="251"/>
      <c r="GV355" s="250"/>
      <c r="GW355" s="250"/>
      <c r="GX355" s="250"/>
      <c r="GY355" s="250"/>
      <c r="GZ355" s="250"/>
      <c r="HA355" s="250"/>
      <c r="HB355" s="250"/>
      <c r="HC355" s="250"/>
      <c r="HD355" s="250"/>
      <c r="HE355" s="250"/>
      <c r="HF355" s="250"/>
      <c r="HG355" s="250"/>
      <c r="HH355" s="251"/>
      <c r="HI355" s="424"/>
      <c r="HJ355" s="255"/>
      <c r="HK355" s="255"/>
      <c r="HL355" s="250"/>
      <c r="HM355" s="255"/>
      <c r="HN355" s="255"/>
      <c r="HO355" s="255"/>
      <c r="HP355" s="250"/>
      <c r="HQ355" s="250"/>
      <c r="HR355" s="250"/>
      <c r="HS355" s="250"/>
      <c r="HT355" s="250"/>
      <c r="HU355" s="251"/>
      <c r="HX355" s="252"/>
      <c r="HY355" s="252"/>
      <c r="HZ355" s="252"/>
      <c r="ID355" s="252"/>
      <c r="IE355" s="252"/>
      <c r="IF355" s="252"/>
      <c r="IJ355" s="252"/>
      <c r="IK355" s="252"/>
      <c r="IL355" s="252"/>
      <c r="IP355" s="252"/>
      <c r="IQ355" s="252"/>
      <c r="IR355" s="252"/>
      <c r="IY355" s="66"/>
      <c r="IZ355" s="66"/>
      <c r="JA355" s="66"/>
      <c r="JB355" s="250"/>
      <c r="JC355" s="66"/>
      <c r="JD355" s="66"/>
      <c r="JE355" s="66"/>
      <c r="JF355" s="66"/>
      <c r="JG355" s="66"/>
      <c r="JH355" s="66"/>
      <c r="JI355" s="66"/>
      <c r="JJ355" s="66"/>
      <c r="JK355" s="8"/>
      <c r="JN355" s="252"/>
      <c r="JO355" s="252"/>
      <c r="JP355" s="252"/>
      <c r="JT355" s="252"/>
      <c r="JU355" s="252"/>
      <c r="JV355" s="252"/>
      <c r="JZ355" s="252"/>
      <c r="KA355" s="252"/>
      <c r="KB355" s="252"/>
      <c r="KF355" s="252"/>
      <c r="KG355" s="252"/>
      <c r="KH355" s="252"/>
      <c r="KO355" s="66"/>
      <c r="KP355" s="66"/>
      <c r="KQ355" s="66"/>
      <c r="KR355" s="66"/>
      <c r="KS355" s="66"/>
      <c r="KT355" s="66"/>
      <c r="KU355" s="66"/>
      <c r="KV355" s="66"/>
      <c r="KW355" s="66"/>
      <c r="KX355" s="66"/>
      <c r="KY355" s="66"/>
      <c r="KZ355" s="66"/>
      <c r="LA355" s="8"/>
      <c r="LD355" s="252"/>
      <c r="LE355" s="252"/>
      <c r="LF355" s="252"/>
      <c r="LJ355" s="252"/>
      <c r="LK355" s="252"/>
      <c r="LN355" s="252"/>
      <c r="LO355" s="252"/>
      <c r="LP355" s="252"/>
      <c r="LT355" s="271"/>
      <c r="LU355" s="250"/>
      <c r="LV355" s="250"/>
      <c r="LW355" s="250"/>
      <c r="LX355" s="250"/>
      <c r="LY355" s="250"/>
      <c r="LZ355" s="250"/>
      <c r="MA355" s="250"/>
      <c r="MB355" s="250"/>
      <c r="MC355" s="250"/>
      <c r="MD355" s="250"/>
      <c r="ME355" s="250"/>
      <c r="MF355" s="250"/>
      <c r="MG355" s="250"/>
      <c r="MH355" s="250"/>
      <c r="MI355" s="250"/>
      <c r="MJ355" s="250"/>
      <c r="MK355" s="424"/>
      <c r="ML355" s="640"/>
      <c r="MM355" s="251"/>
      <c r="MN355" s="252"/>
      <c r="MO355" s="252"/>
      <c r="MP355" s="252"/>
      <c r="MQ355" s="252"/>
      <c r="MR355" s="252"/>
      <c r="MS355" s="252"/>
      <c r="MT355" s="252"/>
      <c r="MU355" s="252"/>
      <c r="MV355" s="252"/>
      <c r="MW355" s="252"/>
      <c r="MX355" s="252"/>
      <c r="MY355" s="252"/>
      <c r="MZ355" s="252"/>
      <c r="NA355" s="252"/>
      <c r="NB355" s="252"/>
      <c r="NC355" s="251"/>
      <c r="ND355" s="250"/>
      <c r="NE355" s="250"/>
      <c r="NF355" s="250"/>
      <c r="NG355" s="250"/>
      <c r="NH355" s="250"/>
      <c r="NI355" s="250"/>
      <c r="NJ355" s="250"/>
      <c r="NK355" s="250"/>
      <c r="NL355" s="250"/>
      <c r="NM355" s="250"/>
      <c r="NN355" s="250"/>
      <c r="NO355" s="250"/>
      <c r="NP355" s="250"/>
      <c r="NQ355" s="250"/>
      <c r="NR355" s="250"/>
      <c r="NS355" s="250"/>
      <c r="NT355" s="250"/>
      <c r="NU355" s="250"/>
      <c r="NV355" s="250"/>
      <c r="NW355" s="251"/>
      <c r="OT355" s="8"/>
      <c r="QG355" s="8"/>
      <c r="RT355" s="8"/>
    </row>
    <row r="356" spans="1:488" s="282" customFormat="1" x14ac:dyDescent="0.25">
      <c r="A356" s="66"/>
      <c r="B356" s="8"/>
      <c r="C356" s="66"/>
      <c r="D356" s="66"/>
      <c r="E356" s="66"/>
      <c r="F356" s="66"/>
      <c r="G356" s="66"/>
      <c r="H356" s="66"/>
      <c r="I356" s="66"/>
      <c r="J356" s="66"/>
      <c r="K356" s="66"/>
      <c r="L356" s="66"/>
      <c r="M356" s="66"/>
      <c r="N356" s="66"/>
      <c r="O356" s="66"/>
      <c r="P356" s="66"/>
      <c r="Q356" s="66"/>
      <c r="R356" s="66"/>
      <c r="S356" s="66"/>
      <c r="T356" s="68"/>
      <c r="AC356" s="66"/>
      <c r="AD356" s="66"/>
      <c r="AE356" s="68"/>
      <c r="AN356" s="66"/>
      <c r="AO356" s="66"/>
      <c r="AP356" s="68"/>
      <c r="AW356" s="66"/>
      <c r="AX356" s="68"/>
      <c r="BD356" s="66"/>
      <c r="BE356" s="68"/>
      <c r="BF356" s="66"/>
      <c r="BG356" s="66"/>
      <c r="BH356" s="66"/>
      <c r="BI356" s="66"/>
      <c r="BJ356" s="66"/>
      <c r="BK356" s="66"/>
      <c r="BL356" s="68"/>
      <c r="BO356" s="66"/>
      <c r="BP356" s="68"/>
      <c r="BV356" s="66"/>
      <c r="BW356" s="68"/>
      <c r="CB356" s="8"/>
      <c r="CH356" s="8"/>
      <c r="CK356" s="299"/>
      <c r="CL356" s="299"/>
      <c r="CM356" s="66"/>
      <c r="CN356" s="66"/>
      <c r="CO356" s="68"/>
      <c r="CR356" s="8"/>
      <c r="CX356" s="66"/>
      <c r="CY356" s="532"/>
      <c r="DE356" s="66"/>
      <c r="DF356" s="66"/>
      <c r="DG356" s="68"/>
      <c r="DH356" s="68"/>
      <c r="DK356" s="66"/>
      <c r="DL356" s="66"/>
      <c r="DM356" s="66"/>
      <c r="DN356" s="66"/>
      <c r="DO356" s="66"/>
      <c r="DP356" s="66"/>
      <c r="DQ356" s="66"/>
      <c r="DR356" s="66"/>
      <c r="DS356" s="66"/>
      <c r="DT356" s="68"/>
      <c r="DU356" s="66"/>
      <c r="DV356" s="296"/>
      <c r="DW356" s="330"/>
      <c r="DX356" s="631"/>
      <c r="DY356" s="631"/>
      <c r="DZ356" s="631"/>
      <c r="EA356" s="330"/>
      <c r="EC356" s="66"/>
      <c r="ED356" s="68"/>
      <c r="EH356" s="66"/>
      <c r="EI356" s="66"/>
      <c r="EJ356" s="68"/>
      <c r="EK356" s="252"/>
      <c r="EL356" s="252"/>
      <c r="EM356" s="252"/>
      <c r="EO356" s="252"/>
      <c r="EP356" s="252"/>
      <c r="EQ356" s="252"/>
      <c r="ES356" s="252"/>
      <c r="ET356" s="252"/>
      <c r="EU356" s="252"/>
      <c r="EW356" s="252"/>
      <c r="EX356" s="252"/>
      <c r="EY356" s="252"/>
      <c r="FA356" s="250"/>
      <c r="FB356" s="250"/>
      <c r="FC356" s="250"/>
      <c r="FD356" s="250"/>
      <c r="FE356" s="250"/>
      <c r="FF356" s="250"/>
      <c r="FG356" s="250"/>
      <c r="FH356" s="424"/>
      <c r="FI356" s="250"/>
      <c r="FJ356" s="250"/>
      <c r="FK356" s="250"/>
      <c r="FL356" s="256"/>
      <c r="FM356" s="250"/>
      <c r="FN356" s="256"/>
      <c r="FO356" s="250"/>
      <c r="FP356" s="256"/>
      <c r="FQ356" s="250"/>
      <c r="FR356" s="256"/>
      <c r="FS356" s="250"/>
      <c r="FT356" s="256"/>
      <c r="FU356" s="256"/>
      <c r="FV356" s="256"/>
      <c r="FW356" s="250"/>
      <c r="FX356" s="424"/>
      <c r="FY356" s="251"/>
      <c r="GC356" s="252"/>
      <c r="GF356" s="252"/>
      <c r="GG356" s="252"/>
      <c r="GH356" s="252"/>
      <c r="GI356" s="252"/>
      <c r="GJ356" s="252"/>
      <c r="GK356" s="251"/>
      <c r="GL356" s="250"/>
      <c r="GM356" s="250"/>
      <c r="GN356" s="250"/>
      <c r="GO356" s="250"/>
      <c r="GP356" s="250"/>
      <c r="GQ356" s="250"/>
      <c r="GR356" s="250"/>
      <c r="GS356" s="250"/>
      <c r="GT356" s="250"/>
      <c r="GU356" s="251"/>
      <c r="GV356" s="250"/>
      <c r="GW356" s="250"/>
      <c r="GX356" s="250"/>
      <c r="GY356" s="250"/>
      <c r="GZ356" s="250"/>
      <c r="HA356" s="250"/>
      <c r="HB356" s="250"/>
      <c r="HC356" s="250"/>
      <c r="HD356" s="250"/>
      <c r="HE356" s="250"/>
      <c r="HF356" s="250"/>
      <c r="HG356" s="250"/>
      <c r="HH356" s="251"/>
      <c r="HI356" s="424"/>
      <c r="HJ356" s="255"/>
      <c r="HK356" s="255"/>
      <c r="HL356" s="250"/>
      <c r="HM356" s="255"/>
      <c r="HN356" s="255"/>
      <c r="HO356" s="255"/>
      <c r="HP356" s="250"/>
      <c r="HQ356" s="250"/>
      <c r="HR356" s="250"/>
      <c r="HS356" s="250"/>
      <c r="HT356" s="250"/>
      <c r="HU356" s="251"/>
      <c r="HX356" s="252"/>
      <c r="HY356" s="252"/>
      <c r="HZ356" s="252"/>
      <c r="ID356" s="252"/>
      <c r="IE356" s="252"/>
      <c r="IF356" s="252"/>
      <c r="IJ356" s="252"/>
      <c r="IK356" s="252"/>
      <c r="IL356" s="252"/>
      <c r="IP356" s="252"/>
      <c r="IQ356" s="252"/>
      <c r="IR356" s="252"/>
      <c r="IY356" s="66"/>
      <c r="IZ356" s="66"/>
      <c r="JA356" s="66"/>
      <c r="JB356" s="250"/>
      <c r="JC356" s="66"/>
      <c r="JD356" s="66"/>
      <c r="JE356" s="66"/>
      <c r="JF356" s="66"/>
      <c r="JG356" s="66"/>
      <c r="JH356" s="66"/>
      <c r="JI356" s="66"/>
      <c r="JJ356" s="66"/>
      <c r="JK356" s="8"/>
      <c r="JN356" s="252"/>
      <c r="JO356" s="252"/>
      <c r="JP356" s="252"/>
      <c r="JT356" s="252"/>
      <c r="JU356" s="252"/>
      <c r="JV356" s="252"/>
      <c r="JZ356" s="252"/>
      <c r="KA356" s="252"/>
      <c r="KB356" s="252"/>
      <c r="KF356" s="252"/>
      <c r="KG356" s="252"/>
      <c r="KH356" s="252"/>
      <c r="KO356" s="66"/>
      <c r="KP356" s="66"/>
      <c r="KQ356" s="66"/>
      <c r="KR356" s="66"/>
      <c r="KS356" s="66"/>
      <c r="KT356" s="66"/>
      <c r="KU356" s="66"/>
      <c r="KV356" s="66"/>
      <c r="KW356" s="66"/>
      <c r="KX356" s="66"/>
      <c r="KY356" s="66"/>
      <c r="KZ356" s="66"/>
      <c r="LA356" s="8"/>
      <c r="LD356" s="252"/>
      <c r="LE356" s="252"/>
      <c r="LF356" s="252"/>
      <c r="LJ356" s="252"/>
      <c r="LK356" s="252"/>
      <c r="LN356" s="252"/>
      <c r="LO356" s="252"/>
      <c r="LP356" s="252"/>
      <c r="LT356" s="271"/>
      <c r="LU356" s="250"/>
      <c r="LV356" s="250"/>
      <c r="LW356" s="250"/>
      <c r="LX356" s="250"/>
      <c r="LY356" s="250"/>
      <c r="LZ356" s="250"/>
      <c r="MA356" s="250"/>
      <c r="MB356" s="250"/>
      <c r="MC356" s="250"/>
      <c r="MD356" s="250"/>
      <c r="ME356" s="250"/>
      <c r="MF356" s="250"/>
      <c r="MG356" s="250"/>
      <c r="MH356" s="250"/>
      <c r="MI356" s="250"/>
      <c r="MJ356" s="250"/>
      <c r="MK356" s="424"/>
      <c r="ML356" s="640"/>
      <c r="MM356" s="251"/>
      <c r="MN356" s="252"/>
      <c r="MO356" s="252"/>
      <c r="MP356" s="252"/>
      <c r="MQ356" s="252"/>
      <c r="MR356" s="252"/>
      <c r="MS356" s="252"/>
      <c r="MT356" s="252"/>
      <c r="MU356" s="252"/>
      <c r="MV356" s="252"/>
      <c r="MW356" s="252"/>
      <c r="MX356" s="252"/>
      <c r="MY356" s="252"/>
      <c r="MZ356" s="252"/>
      <c r="NA356" s="252"/>
      <c r="NB356" s="252"/>
      <c r="NC356" s="251"/>
      <c r="ND356" s="250"/>
      <c r="NE356" s="250"/>
      <c r="NF356" s="250"/>
      <c r="NG356" s="250"/>
      <c r="NH356" s="250"/>
      <c r="NI356" s="250"/>
      <c r="NJ356" s="250"/>
      <c r="NK356" s="250"/>
      <c r="NL356" s="250"/>
      <c r="NM356" s="250"/>
      <c r="NN356" s="250"/>
      <c r="NO356" s="250"/>
      <c r="NP356" s="250"/>
      <c r="NQ356" s="250"/>
      <c r="NR356" s="250"/>
      <c r="NS356" s="250"/>
      <c r="NT356" s="250"/>
      <c r="NU356" s="250"/>
      <c r="NV356" s="250"/>
      <c r="NW356" s="251"/>
      <c r="OT356" s="8"/>
      <c r="QG356" s="8"/>
      <c r="RT356" s="8"/>
    </row>
    <row r="357" spans="1:488" s="282" customFormat="1" x14ac:dyDescent="0.25">
      <c r="A357" s="66"/>
      <c r="B357" s="8"/>
      <c r="C357" s="66"/>
      <c r="D357" s="66"/>
      <c r="E357" s="66"/>
      <c r="F357" s="66"/>
      <c r="G357" s="66"/>
      <c r="H357" s="66"/>
      <c r="I357" s="66"/>
      <c r="J357" s="66"/>
      <c r="K357" s="66"/>
      <c r="L357" s="66"/>
      <c r="M357" s="66"/>
      <c r="N357" s="66"/>
      <c r="O357" s="66"/>
      <c r="P357" s="66"/>
      <c r="Q357" s="66"/>
      <c r="R357" s="66"/>
      <c r="S357" s="66"/>
      <c r="T357" s="68"/>
      <c r="AC357" s="66"/>
      <c r="AD357" s="66"/>
      <c r="AE357" s="68"/>
      <c r="AN357" s="66"/>
      <c r="AO357" s="66"/>
      <c r="AP357" s="68"/>
      <c r="AW357" s="66"/>
      <c r="AX357" s="68"/>
      <c r="BD357" s="66"/>
      <c r="BE357" s="68"/>
      <c r="BF357" s="66"/>
      <c r="BG357" s="66"/>
      <c r="BH357" s="66"/>
      <c r="BI357" s="66"/>
      <c r="BJ357" s="66"/>
      <c r="BK357" s="66"/>
      <c r="BL357" s="68"/>
      <c r="BO357" s="66"/>
      <c r="BP357" s="68"/>
      <c r="BV357" s="66"/>
      <c r="BW357" s="68"/>
      <c r="CB357" s="8"/>
      <c r="CH357" s="8"/>
      <c r="CK357" s="299"/>
      <c r="CL357" s="299"/>
      <c r="CM357" s="66"/>
      <c r="CN357" s="66"/>
      <c r="CO357" s="68"/>
      <c r="CR357" s="8"/>
      <c r="CX357" s="66"/>
      <c r="CY357" s="532"/>
      <c r="DE357" s="66"/>
      <c r="DF357" s="66"/>
      <c r="DG357" s="68"/>
      <c r="DH357" s="68"/>
      <c r="DK357" s="66"/>
      <c r="DL357" s="66"/>
      <c r="DM357" s="66"/>
      <c r="DN357" s="66"/>
      <c r="DO357" s="66"/>
      <c r="DP357" s="66"/>
      <c r="DQ357" s="66"/>
      <c r="DR357" s="66"/>
      <c r="DS357" s="66"/>
      <c r="DT357" s="68"/>
      <c r="DU357" s="66"/>
      <c r="DV357" s="296"/>
      <c r="DW357" s="330"/>
      <c r="DX357" s="631"/>
      <c r="DY357" s="631"/>
      <c r="DZ357" s="631"/>
      <c r="EA357" s="330"/>
      <c r="EC357" s="66"/>
      <c r="ED357" s="68"/>
      <c r="EH357" s="66"/>
      <c r="EI357" s="66"/>
      <c r="EJ357" s="68"/>
      <c r="EK357" s="252"/>
      <c r="EL357" s="252"/>
      <c r="EM357" s="252"/>
      <c r="EO357" s="252"/>
      <c r="EP357" s="252"/>
      <c r="EQ357" s="252"/>
      <c r="ES357" s="252"/>
      <c r="ET357" s="252"/>
      <c r="EU357" s="252"/>
      <c r="EW357" s="252"/>
      <c r="EX357" s="252"/>
      <c r="EY357" s="252"/>
      <c r="FA357" s="250"/>
      <c r="FB357" s="250"/>
      <c r="FC357" s="250"/>
      <c r="FD357" s="250"/>
      <c r="FE357" s="250"/>
      <c r="FF357" s="250"/>
      <c r="FG357" s="250"/>
      <c r="FH357" s="424"/>
      <c r="FI357" s="250"/>
      <c r="FJ357" s="250"/>
      <c r="FK357" s="250"/>
      <c r="FL357" s="256"/>
      <c r="FM357" s="250"/>
      <c r="FN357" s="256"/>
      <c r="FO357" s="250"/>
      <c r="FP357" s="256"/>
      <c r="FQ357" s="250"/>
      <c r="FR357" s="256"/>
      <c r="FS357" s="250"/>
      <c r="FT357" s="256"/>
      <c r="FU357" s="256"/>
      <c r="FV357" s="256"/>
      <c r="FW357" s="250"/>
      <c r="FX357" s="424"/>
      <c r="FY357" s="251"/>
      <c r="GC357" s="252"/>
      <c r="GF357" s="252"/>
      <c r="GG357" s="252"/>
      <c r="GH357" s="252"/>
      <c r="GI357" s="252"/>
      <c r="GJ357" s="252"/>
      <c r="GK357" s="251"/>
      <c r="GL357" s="250"/>
      <c r="GM357" s="250"/>
      <c r="GN357" s="250"/>
      <c r="GO357" s="250"/>
      <c r="GP357" s="250"/>
      <c r="GQ357" s="250"/>
      <c r="GR357" s="250"/>
      <c r="GS357" s="250"/>
      <c r="GT357" s="250"/>
      <c r="GU357" s="251"/>
      <c r="GV357" s="250"/>
      <c r="GW357" s="250"/>
      <c r="GX357" s="250"/>
      <c r="GY357" s="250"/>
      <c r="GZ357" s="250"/>
      <c r="HA357" s="250"/>
      <c r="HB357" s="250"/>
      <c r="HC357" s="250"/>
      <c r="HD357" s="250"/>
      <c r="HE357" s="250"/>
      <c r="HF357" s="250"/>
      <c r="HG357" s="250"/>
      <c r="HH357" s="251"/>
      <c r="HI357" s="424"/>
      <c r="HJ357" s="255"/>
      <c r="HK357" s="255"/>
      <c r="HL357" s="250"/>
      <c r="HM357" s="255"/>
      <c r="HN357" s="255"/>
      <c r="HO357" s="255"/>
      <c r="HP357" s="250"/>
      <c r="HQ357" s="250"/>
      <c r="HR357" s="250"/>
      <c r="HS357" s="250"/>
      <c r="HT357" s="250"/>
      <c r="HU357" s="251"/>
      <c r="HX357" s="252"/>
      <c r="HY357" s="252"/>
      <c r="HZ357" s="252"/>
      <c r="ID357" s="252"/>
      <c r="IE357" s="252"/>
      <c r="IF357" s="252"/>
      <c r="IJ357" s="252"/>
      <c r="IK357" s="252"/>
      <c r="IL357" s="252"/>
      <c r="IP357" s="252"/>
      <c r="IQ357" s="252"/>
      <c r="IR357" s="252"/>
      <c r="IY357" s="66"/>
      <c r="IZ357" s="66"/>
      <c r="JA357" s="66"/>
      <c r="JB357" s="250"/>
      <c r="JC357" s="66"/>
      <c r="JD357" s="66"/>
      <c r="JE357" s="66"/>
      <c r="JF357" s="66"/>
      <c r="JG357" s="66"/>
      <c r="JH357" s="66"/>
      <c r="JI357" s="66"/>
      <c r="JJ357" s="66"/>
      <c r="JK357" s="8"/>
      <c r="JN357" s="252"/>
      <c r="JO357" s="252"/>
      <c r="JP357" s="252"/>
      <c r="JT357" s="252"/>
      <c r="JU357" s="252"/>
      <c r="JV357" s="252"/>
      <c r="JZ357" s="252"/>
      <c r="KA357" s="252"/>
      <c r="KB357" s="252"/>
      <c r="KF357" s="252"/>
      <c r="KG357" s="252"/>
      <c r="KH357" s="252"/>
      <c r="KO357" s="66"/>
      <c r="KP357" s="66"/>
      <c r="KQ357" s="66"/>
      <c r="KR357" s="66"/>
      <c r="KS357" s="66"/>
      <c r="KT357" s="66"/>
      <c r="KU357" s="66"/>
      <c r="KV357" s="66"/>
      <c r="KW357" s="66"/>
      <c r="KX357" s="66"/>
      <c r="KY357" s="66"/>
      <c r="KZ357" s="66"/>
      <c r="LA357" s="8"/>
      <c r="LD357" s="252"/>
      <c r="LE357" s="252"/>
      <c r="LF357" s="252"/>
      <c r="LJ357" s="252"/>
      <c r="LK357" s="252"/>
      <c r="LN357" s="252"/>
      <c r="LO357" s="252"/>
      <c r="LP357" s="252"/>
      <c r="LT357" s="271"/>
      <c r="LU357" s="250"/>
      <c r="LV357" s="250"/>
      <c r="LW357" s="250"/>
      <c r="LX357" s="250"/>
      <c r="LY357" s="250"/>
      <c r="LZ357" s="250"/>
      <c r="MA357" s="250"/>
      <c r="MB357" s="250"/>
      <c r="MC357" s="250"/>
      <c r="MD357" s="250"/>
      <c r="ME357" s="250"/>
      <c r="MF357" s="250"/>
      <c r="MG357" s="250"/>
      <c r="MH357" s="250"/>
      <c r="MI357" s="250"/>
      <c r="MJ357" s="250"/>
      <c r="MK357" s="424"/>
      <c r="ML357" s="640"/>
      <c r="MM357" s="251"/>
      <c r="MN357" s="252"/>
      <c r="MO357" s="252"/>
      <c r="MP357" s="252"/>
      <c r="MQ357" s="252"/>
      <c r="MR357" s="252"/>
      <c r="MS357" s="252"/>
      <c r="MT357" s="252"/>
      <c r="MU357" s="252"/>
      <c r="MV357" s="252"/>
      <c r="MW357" s="252"/>
      <c r="MX357" s="252"/>
      <c r="MY357" s="252"/>
      <c r="MZ357" s="252"/>
      <c r="NA357" s="252"/>
      <c r="NB357" s="252"/>
      <c r="NC357" s="251"/>
      <c r="ND357" s="250"/>
      <c r="NE357" s="250"/>
      <c r="NF357" s="250"/>
      <c r="NG357" s="250"/>
      <c r="NH357" s="250"/>
      <c r="NI357" s="250"/>
      <c r="NJ357" s="250"/>
      <c r="NK357" s="250"/>
      <c r="NL357" s="250"/>
      <c r="NM357" s="250"/>
      <c r="NN357" s="250"/>
      <c r="NO357" s="250"/>
      <c r="NP357" s="250"/>
      <c r="NQ357" s="250"/>
      <c r="NR357" s="250"/>
      <c r="NS357" s="250"/>
      <c r="NT357" s="250"/>
      <c r="NU357" s="250"/>
      <c r="NV357" s="250"/>
      <c r="NW357" s="251"/>
      <c r="OT357" s="8"/>
      <c r="QG357" s="8"/>
      <c r="RT357" s="8"/>
    </row>
    <row r="358" spans="1:488" s="282" customFormat="1" x14ac:dyDescent="0.25">
      <c r="A358" s="66"/>
      <c r="B358" s="8"/>
      <c r="C358" s="66"/>
      <c r="D358" s="66"/>
      <c r="E358" s="66"/>
      <c r="F358" s="66"/>
      <c r="G358" s="66"/>
      <c r="H358" s="66"/>
      <c r="I358" s="66"/>
      <c r="J358" s="66"/>
      <c r="K358" s="66"/>
      <c r="L358" s="66"/>
      <c r="M358" s="66"/>
      <c r="N358" s="66"/>
      <c r="O358" s="66"/>
      <c r="P358" s="66"/>
      <c r="Q358" s="66"/>
      <c r="R358" s="66"/>
      <c r="S358" s="66"/>
      <c r="T358" s="68"/>
      <c r="AC358" s="66"/>
      <c r="AD358" s="66"/>
      <c r="AE358" s="68"/>
      <c r="AN358" s="66"/>
      <c r="AO358" s="66"/>
      <c r="AP358" s="68"/>
      <c r="AW358" s="66"/>
      <c r="AX358" s="68"/>
      <c r="BD358" s="66"/>
      <c r="BE358" s="68"/>
      <c r="BF358" s="66"/>
      <c r="BG358" s="66"/>
      <c r="BH358" s="66"/>
      <c r="BI358" s="66"/>
      <c r="BJ358" s="66"/>
      <c r="BK358" s="66"/>
      <c r="BL358" s="68"/>
      <c r="BO358" s="66"/>
      <c r="BP358" s="68"/>
      <c r="BV358" s="66"/>
      <c r="BW358" s="68"/>
      <c r="CB358" s="8"/>
      <c r="CH358" s="8"/>
      <c r="CK358" s="299"/>
      <c r="CL358" s="299"/>
      <c r="CM358" s="66"/>
      <c r="CN358" s="66"/>
      <c r="CO358" s="68"/>
      <c r="CR358" s="8"/>
      <c r="CX358" s="66"/>
      <c r="CY358" s="532"/>
      <c r="DE358" s="66"/>
      <c r="DF358" s="66"/>
      <c r="DG358" s="68"/>
      <c r="DH358" s="68"/>
      <c r="DK358" s="66"/>
      <c r="DL358" s="66"/>
      <c r="DM358" s="66"/>
      <c r="DN358" s="66"/>
      <c r="DO358" s="66"/>
      <c r="DP358" s="66"/>
      <c r="DQ358" s="66"/>
      <c r="DR358" s="66"/>
      <c r="DS358" s="66"/>
      <c r="DT358" s="68"/>
      <c r="DU358" s="66"/>
      <c r="DV358" s="296"/>
      <c r="DW358" s="330"/>
      <c r="DX358" s="631"/>
      <c r="DY358" s="631"/>
      <c r="DZ358" s="631"/>
      <c r="EA358" s="330"/>
      <c r="EC358" s="66"/>
      <c r="ED358" s="68"/>
      <c r="EH358" s="66"/>
      <c r="EI358" s="66"/>
      <c r="EJ358" s="68"/>
      <c r="EK358" s="252"/>
      <c r="EL358" s="252"/>
      <c r="EM358" s="252"/>
      <c r="EO358" s="252"/>
      <c r="EP358" s="252"/>
      <c r="EQ358" s="252"/>
      <c r="ES358" s="252"/>
      <c r="ET358" s="252"/>
      <c r="EU358" s="252"/>
      <c r="EW358" s="252"/>
      <c r="EX358" s="252"/>
      <c r="EY358" s="252"/>
      <c r="FA358" s="250"/>
      <c r="FB358" s="250"/>
      <c r="FC358" s="250"/>
      <c r="FD358" s="250"/>
      <c r="FE358" s="250"/>
      <c r="FF358" s="250"/>
      <c r="FG358" s="250"/>
      <c r="FH358" s="424"/>
      <c r="FI358" s="250"/>
      <c r="FJ358" s="250"/>
      <c r="FK358" s="250"/>
      <c r="FL358" s="256"/>
      <c r="FM358" s="250"/>
      <c r="FN358" s="256"/>
      <c r="FO358" s="250"/>
      <c r="FP358" s="256"/>
      <c r="FQ358" s="250"/>
      <c r="FR358" s="256"/>
      <c r="FS358" s="250"/>
      <c r="FT358" s="256"/>
      <c r="FU358" s="256"/>
      <c r="FV358" s="256"/>
      <c r="FW358" s="250"/>
      <c r="FX358" s="424"/>
      <c r="FY358" s="251"/>
      <c r="GC358" s="252"/>
      <c r="GF358" s="252"/>
      <c r="GG358" s="252"/>
      <c r="GH358" s="252"/>
      <c r="GI358" s="252"/>
      <c r="GJ358" s="252"/>
      <c r="GK358" s="251"/>
      <c r="GL358" s="250"/>
      <c r="GM358" s="250"/>
      <c r="GN358" s="250"/>
      <c r="GO358" s="250"/>
      <c r="GP358" s="250"/>
      <c r="GQ358" s="250"/>
      <c r="GR358" s="250"/>
      <c r="GS358" s="250"/>
      <c r="GT358" s="250"/>
      <c r="GU358" s="251"/>
      <c r="GV358" s="250"/>
      <c r="GW358" s="250"/>
      <c r="GX358" s="250"/>
      <c r="GY358" s="250"/>
      <c r="GZ358" s="250"/>
      <c r="HA358" s="250"/>
      <c r="HB358" s="250"/>
      <c r="HC358" s="250"/>
      <c r="HD358" s="250"/>
      <c r="HE358" s="250"/>
      <c r="HF358" s="250"/>
      <c r="HG358" s="250"/>
      <c r="HH358" s="251"/>
      <c r="HI358" s="424"/>
      <c r="HJ358" s="255"/>
      <c r="HK358" s="255"/>
      <c r="HL358" s="250"/>
      <c r="HM358" s="255"/>
      <c r="HN358" s="255"/>
      <c r="HO358" s="255"/>
      <c r="HP358" s="250"/>
      <c r="HQ358" s="250"/>
      <c r="HR358" s="250"/>
      <c r="HS358" s="250"/>
      <c r="HT358" s="250"/>
      <c r="HU358" s="251"/>
      <c r="HX358" s="252"/>
      <c r="HY358" s="252"/>
      <c r="HZ358" s="252"/>
      <c r="ID358" s="252"/>
      <c r="IE358" s="252"/>
      <c r="IF358" s="252"/>
      <c r="IJ358" s="252"/>
      <c r="IK358" s="252"/>
      <c r="IL358" s="252"/>
      <c r="IP358" s="252"/>
      <c r="IQ358" s="252"/>
      <c r="IR358" s="252"/>
      <c r="IY358" s="66"/>
      <c r="IZ358" s="66"/>
      <c r="JA358" s="66"/>
      <c r="JB358" s="250"/>
      <c r="JC358" s="66"/>
      <c r="JD358" s="66"/>
      <c r="JE358" s="66"/>
      <c r="JF358" s="66"/>
      <c r="JG358" s="66"/>
      <c r="JH358" s="66"/>
      <c r="JI358" s="66"/>
      <c r="JJ358" s="66"/>
      <c r="JK358" s="8"/>
      <c r="JN358" s="252"/>
      <c r="JO358" s="252"/>
      <c r="JP358" s="252"/>
      <c r="JT358" s="252"/>
      <c r="JU358" s="252"/>
      <c r="JV358" s="252"/>
      <c r="JZ358" s="252"/>
      <c r="KA358" s="252"/>
      <c r="KB358" s="252"/>
      <c r="KF358" s="252"/>
      <c r="KG358" s="252"/>
      <c r="KH358" s="252"/>
      <c r="KO358" s="66"/>
      <c r="KP358" s="66"/>
      <c r="KQ358" s="66"/>
      <c r="KR358" s="66"/>
      <c r="KS358" s="66"/>
      <c r="KT358" s="66"/>
      <c r="KU358" s="66"/>
      <c r="KV358" s="66"/>
      <c r="KW358" s="66"/>
      <c r="KX358" s="66"/>
      <c r="KY358" s="66"/>
      <c r="KZ358" s="66"/>
      <c r="LA358" s="8"/>
      <c r="LD358" s="252"/>
      <c r="LE358" s="252"/>
      <c r="LF358" s="252"/>
      <c r="LJ358" s="252"/>
      <c r="LK358" s="252"/>
      <c r="LN358" s="252"/>
      <c r="LO358" s="252"/>
      <c r="LP358" s="252"/>
      <c r="LT358" s="271"/>
      <c r="LU358" s="250"/>
      <c r="LV358" s="250"/>
      <c r="LW358" s="250"/>
      <c r="LX358" s="250"/>
      <c r="LY358" s="250"/>
      <c r="LZ358" s="250"/>
      <c r="MA358" s="250"/>
      <c r="MB358" s="250"/>
      <c r="MC358" s="250"/>
      <c r="MD358" s="250"/>
      <c r="ME358" s="250"/>
      <c r="MF358" s="250"/>
      <c r="MG358" s="250"/>
      <c r="MH358" s="250"/>
      <c r="MI358" s="250"/>
      <c r="MJ358" s="250"/>
      <c r="MK358" s="424"/>
      <c r="ML358" s="640"/>
      <c r="MM358" s="251"/>
      <c r="MN358" s="252"/>
      <c r="MO358" s="252"/>
      <c r="MP358" s="252"/>
      <c r="MQ358" s="252"/>
      <c r="MR358" s="252"/>
      <c r="MS358" s="252"/>
      <c r="MT358" s="252"/>
      <c r="MU358" s="252"/>
      <c r="MV358" s="252"/>
      <c r="MW358" s="252"/>
      <c r="MX358" s="252"/>
      <c r="MY358" s="252"/>
      <c r="MZ358" s="252"/>
      <c r="NA358" s="252"/>
      <c r="NB358" s="252"/>
      <c r="NC358" s="251"/>
      <c r="ND358" s="250"/>
      <c r="NE358" s="250"/>
      <c r="NF358" s="250"/>
      <c r="NG358" s="250"/>
      <c r="NH358" s="250"/>
      <c r="NI358" s="250"/>
      <c r="NJ358" s="250"/>
      <c r="NK358" s="250"/>
      <c r="NL358" s="250"/>
      <c r="NM358" s="250"/>
      <c r="NN358" s="250"/>
      <c r="NO358" s="250"/>
      <c r="NP358" s="250"/>
      <c r="NQ358" s="250"/>
      <c r="NR358" s="250"/>
      <c r="NS358" s="250"/>
      <c r="NT358" s="250"/>
      <c r="NU358" s="250"/>
      <c r="NV358" s="250"/>
      <c r="NW358" s="251"/>
      <c r="OT358" s="8"/>
      <c r="QG358" s="8"/>
      <c r="RT358" s="8"/>
    </row>
    <row r="359" spans="1:488" s="282" customFormat="1" x14ac:dyDescent="0.25">
      <c r="A359" s="66"/>
      <c r="B359" s="8"/>
      <c r="C359" s="66"/>
      <c r="D359" s="66"/>
      <c r="E359" s="66"/>
      <c r="F359" s="66"/>
      <c r="G359" s="66"/>
      <c r="H359" s="66"/>
      <c r="I359" s="66"/>
      <c r="J359" s="66"/>
      <c r="K359" s="66"/>
      <c r="L359" s="66"/>
      <c r="M359" s="66"/>
      <c r="N359" s="66"/>
      <c r="O359" s="66"/>
      <c r="P359" s="66"/>
      <c r="Q359" s="66"/>
      <c r="R359" s="66"/>
      <c r="S359" s="66"/>
      <c r="T359" s="68"/>
      <c r="AC359" s="66"/>
      <c r="AD359" s="66"/>
      <c r="AE359" s="68"/>
      <c r="AN359" s="66"/>
      <c r="AO359" s="66"/>
      <c r="AP359" s="68"/>
      <c r="AW359" s="66"/>
      <c r="AX359" s="68"/>
      <c r="BD359" s="66"/>
      <c r="BE359" s="68"/>
      <c r="BF359" s="66"/>
      <c r="BG359" s="66"/>
      <c r="BH359" s="66"/>
      <c r="BI359" s="66"/>
      <c r="BJ359" s="66"/>
      <c r="BK359" s="66"/>
      <c r="BL359" s="68"/>
      <c r="BO359" s="66"/>
      <c r="BP359" s="68"/>
      <c r="BV359" s="66"/>
      <c r="BW359" s="68"/>
      <c r="CB359" s="8"/>
      <c r="CH359" s="8"/>
      <c r="CK359" s="299"/>
      <c r="CL359" s="299"/>
      <c r="CM359" s="66"/>
      <c r="CN359" s="66"/>
      <c r="CO359" s="68"/>
      <c r="CR359" s="8"/>
      <c r="CX359" s="66"/>
      <c r="CY359" s="532"/>
      <c r="DE359" s="66"/>
      <c r="DF359" s="66"/>
      <c r="DG359" s="68"/>
      <c r="DH359" s="68"/>
      <c r="DK359" s="66"/>
      <c r="DL359" s="66"/>
      <c r="DM359" s="66"/>
      <c r="DN359" s="66"/>
      <c r="DO359" s="66"/>
      <c r="DP359" s="66"/>
      <c r="DQ359" s="66"/>
      <c r="DR359" s="66"/>
      <c r="DS359" s="66"/>
      <c r="DT359" s="68"/>
      <c r="DU359" s="66"/>
      <c r="DV359" s="296"/>
      <c r="DW359" s="330"/>
      <c r="DX359" s="631"/>
      <c r="DY359" s="631"/>
      <c r="DZ359" s="631"/>
      <c r="EA359" s="330"/>
      <c r="EC359" s="66"/>
      <c r="ED359" s="68"/>
      <c r="EH359" s="66"/>
      <c r="EI359" s="66"/>
      <c r="EJ359" s="68"/>
      <c r="EK359" s="252"/>
      <c r="EL359" s="252"/>
      <c r="EM359" s="252"/>
      <c r="EO359" s="252"/>
      <c r="EP359" s="252"/>
      <c r="EQ359" s="252"/>
      <c r="ES359" s="252"/>
      <c r="ET359" s="252"/>
      <c r="EU359" s="252"/>
      <c r="EW359" s="252"/>
      <c r="EX359" s="252"/>
      <c r="EY359" s="252"/>
      <c r="FA359" s="250"/>
      <c r="FB359" s="250"/>
      <c r="FC359" s="250"/>
      <c r="FD359" s="250"/>
      <c r="FE359" s="250"/>
      <c r="FF359" s="250"/>
      <c r="FG359" s="250"/>
      <c r="FH359" s="424"/>
      <c r="FI359" s="250"/>
      <c r="FJ359" s="250"/>
      <c r="FK359" s="250"/>
      <c r="FL359" s="256"/>
      <c r="FM359" s="250"/>
      <c r="FN359" s="256"/>
      <c r="FO359" s="250"/>
      <c r="FP359" s="256"/>
      <c r="FQ359" s="250"/>
      <c r="FR359" s="256"/>
      <c r="FS359" s="250"/>
      <c r="FT359" s="256"/>
      <c r="FU359" s="256"/>
      <c r="FV359" s="256"/>
      <c r="FW359" s="250"/>
      <c r="FX359" s="424"/>
      <c r="FY359" s="251"/>
      <c r="GC359" s="252"/>
      <c r="GF359" s="252"/>
      <c r="GG359" s="252"/>
      <c r="GH359" s="252"/>
      <c r="GI359" s="252"/>
      <c r="GJ359" s="252"/>
      <c r="GK359" s="251"/>
      <c r="GL359" s="250"/>
      <c r="GM359" s="250"/>
      <c r="GN359" s="250"/>
      <c r="GO359" s="250"/>
      <c r="GP359" s="250"/>
      <c r="GQ359" s="250"/>
      <c r="GR359" s="250"/>
      <c r="GS359" s="250"/>
      <c r="GT359" s="250"/>
      <c r="GU359" s="251"/>
      <c r="GV359" s="250"/>
      <c r="GW359" s="250"/>
      <c r="GX359" s="250"/>
      <c r="GY359" s="250"/>
      <c r="GZ359" s="250"/>
      <c r="HA359" s="250"/>
      <c r="HB359" s="250"/>
      <c r="HC359" s="250"/>
      <c r="HD359" s="250"/>
      <c r="HE359" s="250"/>
      <c r="HF359" s="250"/>
      <c r="HG359" s="250"/>
      <c r="HH359" s="251"/>
      <c r="HI359" s="424"/>
      <c r="HJ359" s="255"/>
      <c r="HK359" s="255"/>
      <c r="HL359" s="250"/>
      <c r="HM359" s="255"/>
      <c r="HN359" s="255"/>
      <c r="HO359" s="255"/>
      <c r="HP359" s="250"/>
      <c r="HQ359" s="250"/>
      <c r="HR359" s="250"/>
      <c r="HS359" s="250"/>
      <c r="HT359" s="250"/>
      <c r="HU359" s="251"/>
      <c r="HX359" s="252"/>
      <c r="HY359" s="252"/>
      <c r="HZ359" s="252"/>
      <c r="ID359" s="252"/>
      <c r="IE359" s="252"/>
      <c r="IF359" s="252"/>
      <c r="IJ359" s="252"/>
      <c r="IK359" s="252"/>
      <c r="IL359" s="252"/>
      <c r="IP359" s="252"/>
      <c r="IQ359" s="252"/>
      <c r="IR359" s="252"/>
      <c r="IY359" s="66"/>
      <c r="IZ359" s="66"/>
      <c r="JA359" s="66"/>
      <c r="JB359" s="250"/>
      <c r="JC359" s="66"/>
      <c r="JD359" s="66"/>
      <c r="JE359" s="66"/>
      <c r="JF359" s="66"/>
      <c r="JG359" s="66"/>
      <c r="JH359" s="66"/>
      <c r="JI359" s="66"/>
      <c r="JJ359" s="66"/>
      <c r="JK359" s="8"/>
      <c r="JN359" s="252"/>
      <c r="JO359" s="252"/>
      <c r="JP359" s="252"/>
      <c r="JT359" s="252"/>
      <c r="JU359" s="252"/>
      <c r="JV359" s="252"/>
      <c r="JZ359" s="252"/>
      <c r="KA359" s="252"/>
      <c r="KB359" s="252"/>
      <c r="KF359" s="252"/>
      <c r="KG359" s="252"/>
      <c r="KH359" s="252"/>
      <c r="KO359" s="66"/>
      <c r="KP359" s="66"/>
      <c r="KQ359" s="66"/>
      <c r="KR359" s="66"/>
      <c r="KS359" s="66"/>
      <c r="KT359" s="66"/>
      <c r="KU359" s="66"/>
      <c r="KV359" s="66"/>
      <c r="KW359" s="66"/>
      <c r="KX359" s="66"/>
      <c r="KY359" s="66"/>
      <c r="KZ359" s="66"/>
      <c r="LA359" s="8"/>
      <c r="LD359" s="252"/>
      <c r="LE359" s="252"/>
      <c r="LF359" s="252"/>
      <c r="LJ359" s="252"/>
      <c r="LK359" s="252"/>
      <c r="LN359" s="252"/>
      <c r="LO359" s="252"/>
      <c r="LP359" s="252"/>
      <c r="LT359" s="271"/>
      <c r="LU359" s="250"/>
      <c r="LV359" s="250"/>
      <c r="LW359" s="250"/>
      <c r="LX359" s="250"/>
      <c r="LY359" s="250"/>
      <c r="LZ359" s="250"/>
      <c r="MA359" s="250"/>
      <c r="MB359" s="250"/>
      <c r="MC359" s="250"/>
      <c r="MD359" s="250"/>
      <c r="ME359" s="250"/>
      <c r="MF359" s="250"/>
      <c r="MG359" s="250"/>
      <c r="MH359" s="250"/>
      <c r="MI359" s="250"/>
      <c r="MJ359" s="250"/>
      <c r="MK359" s="424"/>
      <c r="ML359" s="640"/>
      <c r="MM359" s="251"/>
      <c r="MN359" s="252"/>
      <c r="MO359" s="252"/>
      <c r="MP359" s="252"/>
      <c r="MQ359" s="252"/>
      <c r="MR359" s="252"/>
      <c r="MS359" s="252"/>
      <c r="MT359" s="252"/>
      <c r="MU359" s="252"/>
      <c r="MV359" s="252"/>
      <c r="MW359" s="252"/>
      <c r="MX359" s="252"/>
      <c r="MY359" s="252"/>
      <c r="MZ359" s="252"/>
      <c r="NA359" s="252"/>
      <c r="NB359" s="252"/>
      <c r="NC359" s="251"/>
      <c r="ND359" s="250"/>
      <c r="NE359" s="250"/>
      <c r="NF359" s="250"/>
      <c r="NG359" s="250"/>
      <c r="NH359" s="250"/>
      <c r="NI359" s="250"/>
      <c r="NJ359" s="250"/>
      <c r="NK359" s="250"/>
      <c r="NL359" s="250"/>
      <c r="NM359" s="250"/>
      <c r="NN359" s="250"/>
      <c r="NO359" s="250"/>
      <c r="NP359" s="250"/>
      <c r="NQ359" s="250"/>
      <c r="NR359" s="250"/>
      <c r="NS359" s="250"/>
      <c r="NT359" s="250"/>
      <c r="NU359" s="250"/>
      <c r="NV359" s="250"/>
      <c r="NW359" s="251"/>
      <c r="OT359" s="8"/>
      <c r="QG359" s="8"/>
      <c r="RT359" s="8"/>
    </row>
    <row r="360" spans="1:488" s="282" customFormat="1" x14ac:dyDescent="0.25">
      <c r="A360" s="66"/>
      <c r="B360" s="8"/>
      <c r="C360" s="66"/>
      <c r="D360" s="66"/>
      <c r="E360" s="66"/>
      <c r="F360" s="66"/>
      <c r="G360" s="66"/>
      <c r="H360" s="66"/>
      <c r="I360" s="66"/>
      <c r="J360" s="66"/>
      <c r="K360" s="66"/>
      <c r="L360" s="66"/>
      <c r="M360" s="66"/>
      <c r="N360" s="66"/>
      <c r="O360" s="66"/>
      <c r="P360" s="66"/>
      <c r="Q360" s="66"/>
      <c r="R360" s="66"/>
      <c r="S360" s="66"/>
      <c r="T360" s="68"/>
      <c r="AC360" s="66"/>
      <c r="AD360" s="66"/>
      <c r="AE360" s="68"/>
      <c r="AN360" s="66"/>
      <c r="AO360" s="66"/>
      <c r="AP360" s="68"/>
      <c r="AW360" s="66"/>
      <c r="AX360" s="68"/>
      <c r="BD360" s="66"/>
      <c r="BE360" s="68"/>
      <c r="BF360" s="66"/>
      <c r="BG360" s="66"/>
      <c r="BH360" s="66"/>
      <c r="BI360" s="66"/>
      <c r="BJ360" s="66"/>
      <c r="BK360" s="66"/>
      <c r="BL360" s="68"/>
      <c r="BO360" s="66"/>
      <c r="BP360" s="68"/>
      <c r="BV360" s="66"/>
      <c r="BW360" s="68"/>
      <c r="CB360" s="8"/>
      <c r="CH360" s="8"/>
      <c r="CK360" s="299"/>
      <c r="CL360" s="299"/>
      <c r="CM360" s="66"/>
      <c r="CN360" s="66"/>
      <c r="CO360" s="68"/>
      <c r="CR360" s="8"/>
      <c r="CX360" s="66"/>
      <c r="CY360" s="532"/>
      <c r="DE360" s="66"/>
      <c r="DF360" s="66"/>
      <c r="DG360" s="68"/>
      <c r="DH360" s="68"/>
      <c r="DK360" s="66"/>
      <c r="DL360" s="66"/>
      <c r="DM360" s="66"/>
      <c r="DN360" s="66"/>
      <c r="DO360" s="66"/>
      <c r="DP360" s="66"/>
      <c r="DQ360" s="66"/>
      <c r="DR360" s="66"/>
      <c r="DS360" s="66"/>
      <c r="DT360" s="68"/>
      <c r="DU360" s="66"/>
      <c r="DV360" s="296"/>
      <c r="DW360" s="330"/>
      <c r="DX360" s="631"/>
      <c r="DY360" s="631"/>
      <c r="DZ360" s="631"/>
      <c r="EA360" s="330"/>
      <c r="EC360" s="66"/>
      <c r="ED360" s="68"/>
      <c r="EH360" s="66"/>
      <c r="EI360" s="66"/>
      <c r="EJ360" s="68"/>
      <c r="EK360" s="252"/>
      <c r="EL360" s="252"/>
      <c r="EM360" s="252"/>
      <c r="EO360" s="252"/>
      <c r="EP360" s="252"/>
      <c r="EQ360" s="252"/>
      <c r="ES360" s="252"/>
      <c r="ET360" s="252"/>
      <c r="EU360" s="252"/>
      <c r="EW360" s="252"/>
      <c r="EX360" s="252"/>
      <c r="EY360" s="252"/>
      <c r="FA360" s="250"/>
      <c r="FB360" s="250"/>
      <c r="FC360" s="250"/>
      <c r="FD360" s="250"/>
      <c r="FE360" s="250"/>
      <c r="FF360" s="250"/>
      <c r="FG360" s="250"/>
      <c r="FH360" s="424"/>
      <c r="FI360" s="250"/>
      <c r="FJ360" s="250"/>
      <c r="FK360" s="250"/>
      <c r="FL360" s="256"/>
      <c r="FM360" s="250"/>
      <c r="FN360" s="256"/>
      <c r="FO360" s="250"/>
      <c r="FP360" s="256"/>
      <c r="FQ360" s="250"/>
      <c r="FR360" s="256"/>
      <c r="FS360" s="250"/>
      <c r="FT360" s="256"/>
      <c r="FU360" s="256"/>
      <c r="FV360" s="256"/>
      <c r="FW360" s="250"/>
      <c r="FX360" s="424"/>
      <c r="FY360" s="251"/>
      <c r="GC360" s="252"/>
      <c r="GF360" s="252"/>
      <c r="GG360" s="252"/>
      <c r="GH360" s="252"/>
      <c r="GI360" s="252"/>
      <c r="GJ360" s="252"/>
      <c r="GK360" s="251"/>
      <c r="GL360" s="250"/>
      <c r="GM360" s="250"/>
      <c r="GN360" s="250"/>
      <c r="GO360" s="250"/>
      <c r="GP360" s="250"/>
      <c r="GQ360" s="250"/>
      <c r="GR360" s="250"/>
      <c r="GS360" s="250"/>
      <c r="GT360" s="250"/>
      <c r="GU360" s="251"/>
      <c r="GV360" s="250"/>
      <c r="GW360" s="250"/>
      <c r="GX360" s="250"/>
      <c r="GY360" s="250"/>
      <c r="GZ360" s="250"/>
      <c r="HA360" s="250"/>
      <c r="HB360" s="250"/>
      <c r="HC360" s="250"/>
      <c r="HD360" s="250"/>
      <c r="HE360" s="250"/>
      <c r="HF360" s="250"/>
      <c r="HG360" s="250"/>
      <c r="HH360" s="251"/>
      <c r="HI360" s="424"/>
      <c r="HJ360" s="255"/>
      <c r="HK360" s="255"/>
      <c r="HL360" s="250"/>
      <c r="HM360" s="255"/>
      <c r="HN360" s="255"/>
      <c r="HO360" s="255"/>
      <c r="HP360" s="250"/>
      <c r="HQ360" s="250"/>
      <c r="HR360" s="250"/>
      <c r="HS360" s="250"/>
      <c r="HT360" s="250"/>
      <c r="HU360" s="251"/>
      <c r="HX360" s="252"/>
      <c r="HY360" s="252"/>
      <c r="HZ360" s="252"/>
      <c r="ID360" s="252"/>
      <c r="IE360" s="252"/>
      <c r="IF360" s="252"/>
      <c r="IJ360" s="252"/>
      <c r="IK360" s="252"/>
      <c r="IL360" s="252"/>
      <c r="IP360" s="252"/>
      <c r="IQ360" s="252"/>
      <c r="IR360" s="252"/>
      <c r="IY360" s="66"/>
      <c r="IZ360" s="66"/>
      <c r="JA360" s="66"/>
      <c r="JB360" s="250"/>
      <c r="JC360" s="66"/>
      <c r="JD360" s="66"/>
      <c r="JE360" s="66"/>
      <c r="JF360" s="66"/>
      <c r="JG360" s="66"/>
      <c r="JH360" s="66"/>
      <c r="JI360" s="66"/>
      <c r="JJ360" s="66"/>
      <c r="JK360" s="8"/>
      <c r="JN360" s="252"/>
      <c r="JO360" s="252"/>
      <c r="JP360" s="252"/>
      <c r="JT360" s="252"/>
      <c r="JU360" s="252"/>
      <c r="JV360" s="252"/>
      <c r="JZ360" s="252"/>
      <c r="KA360" s="252"/>
      <c r="KB360" s="252"/>
      <c r="KF360" s="252"/>
      <c r="KG360" s="252"/>
      <c r="KH360" s="252"/>
      <c r="KO360" s="66"/>
      <c r="KP360" s="66"/>
      <c r="KQ360" s="66"/>
      <c r="KR360" s="66"/>
      <c r="KS360" s="66"/>
      <c r="KT360" s="66"/>
      <c r="KU360" s="66"/>
      <c r="KV360" s="66"/>
      <c r="KW360" s="66"/>
      <c r="KX360" s="66"/>
      <c r="KY360" s="66"/>
      <c r="KZ360" s="66"/>
      <c r="LA360" s="8"/>
      <c r="LD360" s="252"/>
      <c r="LE360" s="252"/>
      <c r="LF360" s="252"/>
      <c r="LJ360" s="252"/>
      <c r="LK360" s="252"/>
      <c r="LN360" s="252"/>
      <c r="LO360" s="252"/>
      <c r="LP360" s="252"/>
      <c r="LT360" s="271"/>
      <c r="LU360" s="250"/>
      <c r="LV360" s="250"/>
      <c r="LW360" s="250"/>
      <c r="LX360" s="250"/>
      <c r="LY360" s="250"/>
      <c r="LZ360" s="250"/>
      <c r="MA360" s="250"/>
      <c r="MB360" s="250"/>
      <c r="MC360" s="250"/>
      <c r="MD360" s="250"/>
      <c r="ME360" s="250"/>
      <c r="MF360" s="250"/>
      <c r="MG360" s="250"/>
      <c r="MH360" s="250"/>
      <c r="MI360" s="250"/>
      <c r="MJ360" s="250"/>
      <c r="MK360" s="424"/>
      <c r="ML360" s="640"/>
      <c r="MM360" s="251"/>
      <c r="MN360" s="252"/>
      <c r="MO360" s="252"/>
      <c r="MP360" s="252"/>
      <c r="MQ360" s="252"/>
      <c r="MR360" s="252"/>
      <c r="MS360" s="252"/>
      <c r="MT360" s="252"/>
      <c r="MU360" s="252"/>
      <c r="MV360" s="252"/>
      <c r="MW360" s="252"/>
      <c r="MX360" s="252"/>
      <c r="MY360" s="252"/>
      <c r="MZ360" s="252"/>
      <c r="NA360" s="252"/>
      <c r="NB360" s="252"/>
      <c r="NC360" s="251"/>
      <c r="ND360" s="250"/>
      <c r="NE360" s="250"/>
      <c r="NF360" s="250"/>
      <c r="NG360" s="250"/>
      <c r="NH360" s="250"/>
      <c r="NI360" s="250"/>
      <c r="NJ360" s="250"/>
      <c r="NK360" s="250"/>
      <c r="NL360" s="250"/>
      <c r="NM360" s="250"/>
      <c r="NN360" s="250"/>
      <c r="NO360" s="250"/>
      <c r="NP360" s="250"/>
      <c r="NQ360" s="250"/>
      <c r="NR360" s="250"/>
      <c r="NS360" s="250"/>
      <c r="NT360" s="250"/>
      <c r="NU360" s="250"/>
      <c r="NV360" s="250"/>
      <c r="NW360" s="251"/>
      <c r="OT360" s="8"/>
      <c r="QG360" s="8"/>
      <c r="RT360" s="8"/>
    </row>
    <row r="361" spans="1:488" s="282" customFormat="1" x14ac:dyDescent="0.25">
      <c r="A361" s="66"/>
      <c r="B361" s="8"/>
      <c r="C361" s="66"/>
      <c r="D361" s="66"/>
      <c r="E361" s="66"/>
      <c r="F361" s="66"/>
      <c r="G361" s="66"/>
      <c r="H361" s="66"/>
      <c r="I361" s="66"/>
      <c r="J361" s="66"/>
      <c r="K361" s="66"/>
      <c r="L361" s="66"/>
      <c r="M361" s="66"/>
      <c r="N361" s="66"/>
      <c r="O361" s="66"/>
      <c r="P361" s="66"/>
      <c r="Q361" s="66"/>
      <c r="R361" s="66"/>
      <c r="S361" s="66"/>
      <c r="T361" s="68"/>
      <c r="AC361" s="66"/>
      <c r="AD361" s="66"/>
      <c r="AE361" s="68"/>
      <c r="AN361" s="66"/>
      <c r="AO361" s="66"/>
      <c r="AP361" s="68"/>
      <c r="AW361" s="66"/>
      <c r="AX361" s="68"/>
      <c r="BD361" s="66"/>
      <c r="BE361" s="68"/>
      <c r="BF361" s="66"/>
      <c r="BG361" s="66"/>
      <c r="BH361" s="66"/>
      <c r="BI361" s="66"/>
      <c r="BJ361" s="66"/>
      <c r="BK361" s="66"/>
      <c r="BL361" s="68"/>
      <c r="BO361" s="66"/>
      <c r="BP361" s="68"/>
      <c r="BV361" s="66"/>
      <c r="BW361" s="68"/>
      <c r="CB361" s="8"/>
      <c r="CH361" s="8"/>
      <c r="CK361" s="299"/>
      <c r="CL361" s="299"/>
      <c r="CM361" s="66"/>
      <c r="CN361" s="66"/>
      <c r="CO361" s="68"/>
      <c r="CR361" s="8"/>
      <c r="CX361" s="66"/>
      <c r="CY361" s="532"/>
      <c r="DE361" s="66"/>
      <c r="DF361" s="66"/>
      <c r="DG361" s="68"/>
      <c r="DH361" s="68"/>
      <c r="DK361" s="66"/>
      <c r="DL361" s="66"/>
      <c r="DM361" s="66"/>
      <c r="DN361" s="66"/>
      <c r="DO361" s="66"/>
      <c r="DP361" s="66"/>
      <c r="DQ361" s="66"/>
      <c r="DR361" s="66"/>
      <c r="DS361" s="66"/>
      <c r="DT361" s="68"/>
      <c r="DU361" s="66"/>
      <c r="DV361" s="296"/>
      <c r="DW361" s="330"/>
      <c r="DX361" s="631"/>
      <c r="DY361" s="631"/>
      <c r="DZ361" s="631"/>
      <c r="EA361" s="330"/>
      <c r="EC361" s="66"/>
      <c r="ED361" s="68"/>
      <c r="EH361" s="66"/>
      <c r="EI361" s="66"/>
      <c r="EJ361" s="68"/>
      <c r="EK361" s="252"/>
      <c r="EL361" s="252"/>
      <c r="EM361" s="252"/>
      <c r="EO361" s="252"/>
      <c r="EP361" s="252"/>
      <c r="EQ361" s="252"/>
      <c r="ES361" s="252"/>
      <c r="ET361" s="252"/>
      <c r="EU361" s="252"/>
      <c r="EW361" s="252"/>
      <c r="EX361" s="252"/>
      <c r="EY361" s="252"/>
      <c r="FA361" s="250"/>
      <c r="FB361" s="250"/>
      <c r="FC361" s="250"/>
      <c r="FD361" s="250"/>
      <c r="FE361" s="250"/>
      <c r="FF361" s="250"/>
      <c r="FG361" s="250"/>
      <c r="FH361" s="424"/>
      <c r="FI361" s="250"/>
      <c r="FJ361" s="250"/>
      <c r="FK361" s="250"/>
      <c r="FL361" s="256"/>
      <c r="FM361" s="250"/>
      <c r="FN361" s="256"/>
      <c r="FO361" s="250"/>
      <c r="FP361" s="256"/>
      <c r="FQ361" s="250"/>
      <c r="FR361" s="256"/>
      <c r="FS361" s="250"/>
      <c r="FT361" s="256"/>
      <c r="FU361" s="256"/>
      <c r="FV361" s="256"/>
      <c r="FW361" s="250"/>
      <c r="FX361" s="424"/>
      <c r="FY361" s="251"/>
      <c r="GC361" s="252"/>
      <c r="GF361" s="252"/>
      <c r="GG361" s="252"/>
      <c r="GH361" s="252"/>
      <c r="GI361" s="252"/>
      <c r="GJ361" s="252"/>
      <c r="GK361" s="251"/>
      <c r="GL361" s="250"/>
      <c r="GM361" s="250"/>
      <c r="GN361" s="250"/>
      <c r="GO361" s="250"/>
      <c r="GP361" s="250"/>
      <c r="GQ361" s="250"/>
      <c r="GR361" s="250"/>
      <c r="GS361" s="250"/>
      <c r="GT361" s="250"/>
      <c r="GU361" s="251"/>
      <c r="GV361" s="250"/>
      <c r="GW361" s="250"/>
      <c r="GX361" s="250"/>
      <c r="GY361" s="250"/>
      <c r="GZ361" s="250"/>
      <c r="HA361" s="250"/>
      <c r="HB361" s="250"/>
      <c r="HC361" s="250"/>
      <c r="HD361" s="250"/>
      <c r="HE361" s="250"/>
      <c r="HF361" s="250"/>
      <c r="HG361" s="250"/>
      <c r="HH361" s="251"/>
      <c r="HI361" s="424"/>
      <c r="HJ361" s="255"/>
      <c r="HK361" s="255"/>
      <c r="HL361" s="250"/>
      <c r="HM361" s="255"/>
      <c r="HN361" s="255"/>
      <c r="HO361" s="255"/>
      <c r="HP361" s="250"/>
      <c r="HQ361" s="250"/>
      <c r="HR361" s="250"/>
      <c r="HS361" s="250"/>
      <c r="HT361" s="250"/>
      <c r="HU361" s="251"/>
      <c r="HX361" s="252"/>
      <c r="HY361" s="252"/>
      <c r="HZ361" s="252"/>
      <c r="ID361" s="252"/>
      <c r="IE361" s="252"/>
      <c r="IF361" s="252"/>
      <c r="IJ361" s="252"/>
      <c r="IK361" s="252"/>
      <c r="IL361" s="252"/>
      <c r="IP361" s="252"/>
      <c r="IQ361" s="252"/>
      <c r="IR361" s="252"/>
      <c r="IY361" s="66"/>
      <c r="IZ361" s="66"/>
      <c r="JA361" s="66"/>
      <c r="JB361" s="250"/>
      <c r="JC361" s="66"/>
      <c r="JD361" s="66"/>
      <c r="JE361" s="66"/>
      <c r="JF361" s="66"/>
      <c r="JG361" s="66"/>
      <c r="JH361" s="66"/>
      <c r="JI361" s="66"/>
      <c r="JJ361" s="66"/>
      <c r="JK361" s="8"/>
      <c r="JN361" s="252"/>
      <c r="JO361" s="252"/>
      <c r="JP361" s="252"/>
      <c r="JT361" s="252"/>
      <c r="JU361" s="252"/>
      <c r="JV361" s="252"/>
      <c r="JZ361" s="252"/>
      <c r="KA361" s="252"/>
      <c r="KB361" s="252"/>
      <c r="KF361" s="252"/>
      <c r="KG361" s="252"/>
      <c r="KH361" s="252"/>
      <c r="KO361" s="66"/>
      <c r="KP361" s="66"/>
      <c r="KQ361" s="66"/>
      <c r="KR361" s="66"/>
      <c r="KS361" s="66"/>
      <c r="KT361" s="66"/>
      <c r="KU361" s="66"/>
      <c r="KV361" s="66"/>
      <c r="KW361" s="66"/>
      <c r="KX361" s="66"/>
      <c r="KY361" s="66"/>
      <c r="KZ361" s="66"/>
      <c r="LA361" s="8"/>
      <c r="LD361" s="252"/>
      <c r="LE361" s="252"/>
      <c r="LF361" s="252"/>
      <c r="LJ361" s="252"/>
      <c r="LK361" s="252"/>
      <c r="LN361" s="252"/>
      <c r="LO361" s="252"/>
      <c r="LP361" s="252"/>
      <c r="LT361" s="271"/>
      <c r="LU361" s="250"/>
      <c r="LV361" s="250"/>
      <c r="LW361" s="250"/>
      <c r="LX361" s="250"/>
      <c r="LY361" s="250"/>
      <c r="LZ361" s="250"/>
      <c r="MA361" s="250"/>
      <c r="MB361" s="250"/>
      <c r="MC361" s="250"/>
      <c r="MD361" s="250"/>
      <c r="ME361" s="250"/>
      <c r="MF361" s="250"/>
      <c r="MG361" s="250"/>
      <c r="MH361" s="250"/>
      <c r="MI361" s="250"/>
      <c r="MJ361" s="250"/>
      <c r="MK361" s="424"/>
      <c r="ML361" s="640"/>
      <c r="MM361" s="251"/>
      <c r="MN361" s="252"/>
      <c r="MO361" s="252"/>
      <c r="MP361" s="252"/>
      <c r="MQ361" s="252"/>
      <c r="MR361" s="252"/>
      <c r="MS361" s="252"/>
      <c r="MT361" s="252"/>
      <c r="MU361" s="252"/>
      <c r="MV361" s="252"/>
      <c r="MW361" s="252"/>
      <c r="MX361" s="252"/>
      <c r="MY361" s="252"/>
      <c r="MZ361" s="252"/>
      <c r="NA361" s="252"/>
      <c r="NB361" s="252"/>
      <c r="NC361" s="251"/>
      <c r="ND361" s="250"/>
      <c r="NE361" s="250"/>
      <c r="NF361" s="250"/>
      <c r="NG361" s="250"/>
      <c r="NH361" s="250"/>
      <c r="NI361" s="250"/>
      <c r="NJ361" s="250"/>
      <c r="NK361" s="250"/>
      <c r="NL361" s="250"/>
      <c r="NM361" s="250"/>
      <c r="NN361" s="250"/>
      <c r="NO361" s="250"/>
      <c r="NP361" s="250"/>
      <c r="NQ361" s="250"/>
      <c r="NR361" s="250"/>
      <c r="NS361" s="250"/>
      <c r="NT361" s="250"/>
      <c r="NU361" s="250"/>
      <c r="NV361" s="250"/>
      <c r="NW361" s="251"/>
      <c r="OT361" s="8"/>
      <c r="QG361" s="8"/>
      <c r="RT361" s="8"/>
    </row>
    <row r="362" spans="1:488" s="282" customFormat="1" x14ac:dyDescent="0.25">
      <c r="A362" s="66"/>
      <c r="B362" s="8"/>
      <c r="C362" s="66"/>
      <c r="D362" s="66"/>
      <c r="E362" s="66"/>
      <c r="F362" s="66"/>
      <c r="G362" s="66"/>
      <c r="H362" s="66"/>
      <c r="I362" s="66"/>
      <c r="J362" s="66"/>
      <c r="K362" s="66"/>
      <c r="L362" s="66"/>
      <c r="M362" s="66"/>
      <c r="N362" s="66"/>
      <c r="O362" s="66"/>
      <c r="P362" s="66"/>
      <c r="Q362" s="66"/>
      <c r="R362" s="66"/>
      <c r="S362" s="66"/>
      <c r="T362" s="68"/>
      <c r="AC362" s="66"/>
      <c r="AD362" s="66"/>
      <c r="AE362" s="68"/>
      <c r="AN362" s="66"/>
      <c r="AO362" s="66"/>
      <c r="AP362" s="68"/>
      <c r="AW362" s="66"/>
      <c r="AX362" s="68"/>
      <c r="BD362" s="66"/>
      <c r="BE362" s="68"/>
      <c r="BF362" s="66"/>
      <c r="BG362" s="66"/>
      <c r="BH362" s="66"/>
      <c r="BI362" s="66"/>
      <c r="BJ362" s="66"/>
      <c r="BK362" s="66"/>
      <c r="BL362" s="68"/>
      <c r="BO362" s="66"/>
      <c r="BP362" s="68"/>
      <c r="BV362" s="66"/>
      <c r="BW362" s="68"/>
      <c r="CB362" s="8"/>
      <c r="CH362" s="8"/>
      <c r="CK362" s="299"/>
      <c r="CL362" s="299"/>
      <c r="CM362" s="66"/>
      <c r="CN362" s="66"/>
      <c r="CO362" s="68"/>
      <c r="CR362" s="8"/>
      <c r="CX362" s="66"/>
      <c r="CY362" s="532"/>
      <c r="DE362" s="66"/>
      <c r="DF362" s="66"/>
      <c r="DG362" s="68"/>
      <c r="DH362" s="68"/>
      <c r="DK362" s="66"/>
      <c r="DL362" s="66"/>
      <c r="DM362" s="66"/>
      <c r="DN362" s="66"/>
      <c r="DO362" s="66"/>
      <c r="DP362" s="66"/>
      <c r="DQ362" s="66"/>
      <c r="DR362" s="66"/>
      <c r="DS362" s="66"/>
      <c r="DT362" s="68"/>
      <c r="DU362" s="66"/>
      <c r="DV362" s="296"/>
      <c r="DW362" s="330"/>
      <c r="DX362" s="631"/>
      <c r="DY362" s="631"/>
      <c r="DZ362" s="631"/>
      <c r="EA362" s="330"/>
      <c r="EC362" s="66"/>
      <c r="ED362" s="68"/>
      <c r="EH362" s="66"/>
      <c r="EI362" s="66"/>
      <c r="EJ362" s="68"/>
      <c r="EK362" s="252"/>
      <c r="EL362" s="252"/>
      <c r="EM362" s="252"/>
      <c r="EO362" s="252"/>
      <c r="EP362" s="252"/>
      <c r="EQ362" s="252"/>
      <c r="ES362" s="252"/>
      <c r="ET362" s="252"/>
      <c r="EU362" s="252"/>
      <c r="EW362" s="252"/>
      <c r="EX362" s="252"/>
      <c r="EY362" s="252"/>
      <c r="FA362" s="250"/>
      <c r="FB362" s="250"/>
      <c r="FC362" s="250"/>
      <c r="FD362" s="250"/>
      <c r="FE362" s="250"/>
      <c r="FF362" s="250"/>
      <c r="FG362" s="250"/>
      <c r="FH362" s="424"/>
      <c r="FI362" s="250"/>
      <c r="FJ362" s="250"/>
      <c r="FK362" s="250"/>
      <c r="FL362" s="256"/>
      <c r="FM362" s="250"/>
      <c r="FN362" s="256"/>
      <c r="FO362" s="250"/>
      <c r="FP362" s="256"/>
      <c r="FQ362" s="250"/>
      <c r="FR362" s="256"/>
      <c r="FS362" s="250"/>
      <c r="FT362" s="256"/>
      <c r="FU362" s="256"/>
      <c r="FV362" s="256"/>
      <c r="FW362" s="250"/>
      <c r="FX362" s="424"/>
      <c r="FY362" s="251"/>
      <c r="GC362" s="252"/>
      <c r="GF362" s="252"/>
      <c r="GG362" s="252"/>
      <c r="GH362" s="252"/>
      <c r="GI362" s="252"/>
      <c r="GJ362" s="252"/>
      <c r="GK362" s="251"/>
      <c r="GL362" s="250"/>
      <c r="GM362" s="250"/>
      <c r="GN362" s="250"/>
      <c r="GO362" s="250"/>
      <c r="GP362" s="250"/>
      <c r="GQ362" s="250"/>
      <c r="GR362" s="250"/>
      <c r="GS362" s="250"/>
      <c r="GT362" s="250"/>
      <c r="GU362" s="251"/>
      <c r="GV362" s="250"/>
      <c r="GW362" s="250"/>
      <c r="GX362" s="250"/>
      <c r="GY362" s="250"/>
      <c r="GZ362" s="250"/>
      <c r="HA362" s="250"/>
      <c r="HB362" s="250"/>
      <c r="HC362" s="250"/>
      <c r="HD362" s="250"/>
      <c r="HE362" s="250"/>
      <c r="HF362" s="250"/>
      <c r="HG362" s="250"/>
      <c r="HH362" s="251"/>
      <c r="HI362" s="424"/>
      <c r="HJ362" s="255"/>
      <c r="HK362" s="255"/>
      <c r="HL362" s="250"/>
      <c r="HM362" s="255"/>
      <c r="HN362" s="255"/>
      <c r="HO362" s="255"/>
      <c r="HP362" s="250"/>
      <c r="HQ362" s="250"/>
      <c r="HR362" s="250"/>
      <c r="HS362" s="250"/>
      <c r="HT362" s="250"/>
      <c r="HU362" s="251"/>
      <c r="HX362" s="252"/>
      <c r="HY362" s="252"/>
      <c r="HZ362" s="252"/>
      <c r="ID362" s="252"/>
      <c r="IE362" s="252"/>
      <c r="IF362" s="252"/>
      <c r="IJ362" s="252"/>
      <c r="IK362" s="252"/>
      <c r="IL362" s="252"/>
      <c r="IP362" s="252"/>
      <c r="IQ362" s="252"/>
      <c r="IR362" s="252"/>
      <c r="IY362" s="66"/>
      <c r="IZ362" s="66"/>
      <c r="JA362" s="66"/>
      <c r="JB362" s="250"/>
      <c r="JC362" s="66"/>
      <c r="JD362" s="66"/>
      <c r="JE362" s="66"/>
      <c r="JF362" s="66"/>
      <c r="JG362" s="66"/>
      <c r="JH362" s="66"/>
      <c r="JI362" s="66"/>
      <c r="JJ362" s="66"/>
      <c r="JK362" s="8"/>
      <c r="JN362" s="252"/>
      <c r="JO362" s="252"/>
      <c r="JP362" s="252"/>
      <c r="JT362" s="252"/>
      <c r="JU362" s="252"/>
      <c r="JV362" s="252"/>
      <c r="JZ362" s="252"/>
      <c r="KA362" s="252"/>
      <c r="KB362" s="252"/>
      <c r="KF362" s="252"/>
      <c r="KG362" s="252"/>
      <c r="KH362" s="252"/>
      <c r="KO362" s="66"/>
      <c r="KP362" s="66"/>
      <c r="KQ362" s="66"/>
      <c r="KR362" s="66"/>
      <c r="KS362" s="66"/>
      <c r="KT362" s="66"/>
      <c r="KU362" s="66"/>
      <c r="KV362" s="66"/>
      <c r="KW362" s="66"/>
      <c r="KX362" s="66"/>
      <c r="KY362" s="66"/>
      <c r="KZ362" s="66"/>
      <c r="LA362" s="8"/>
      <c r="LD362" s="252"/>
      <c r="LE362" s="252"/>
      <c r="LF362" s="252"/>
      <c r="LJ362" s="252"/>
      <c r="LK362" s="252"/>
      <c r="LN362" s="252"/>
      <c r="LO362" s="252"/>
      <c r="LP362" s="252"/>
      <c r="LT362" s="271"/>
      <c r="LU362" s="250"/>
      <c r="LV362" s="250"/>
      <c r="LW362" s="250"/>
      <c r="LX362" s="250"/>
      <c r="LY362" s="250"/>
      <c r="LZ362" s="250"/>
      <c r="MA362" s="250"/>
      <c r="MB362" s="250"/>
      <c r="MC362" s="250"/>
      <c r="MD362" s="250"/>
      <c r="ME362" s="250"/>
      <c r="MF362" s="250"/>
      <c r="MG362" s="250"/>
      <c r="MH362" s="250"/>
      <c r="MI362" s="250"/>
      <c r="MJ362" s="250"/>
      <c r="MK362" s="424"/>
      <c r="ML362" s="640"/>
      <c r="MM362" s="251"/>
      <c r="MN362" s="252"/>
      <c r="MO362" s="252"/>
      <c r="MP362" s="252"/>
      <c r="MQ362" s="252"/>
      <c r="MR362" s="252"/>
      <c r="MS362" s="252"/>
      <c r="MT362" s="252"/>
      <c r="MU362" s="252"/>
      <c r="MV362" s="252"/>
      <c r="MW362" s="252"/>
      <c r="MX362" s="252"/>
      <c r="MY362" s="252"/>
      <c r="MZ362" s="252"/>
      <c r="NA362" s="252"/>
      <c r="NB362" s="252"/>
      <c r="NC362" s="251"/>
      <c r="ND362" s="250"/>
      <c r="NE362" s="250"/>
      <c r="NF362" s="250"/>
      <c r="NG362" s="250"/>
      <c r="NH362" s="250"/>
      <c r="NI362" s="250"/>
      <c r="NJ362" s="250"/>
      <c r="NK362" s="250"/>
      <c r="NL362" s="250"/>
      <c r="NM362" s="250"/>
      <c r="NN362" s="250"/>
      <c r="NO362" s="250"/>
      <c r="NP362" s="250"/>
      <c r="NQ362" s="250"/>
      <c r="NR362" s="250"/>
      <c r="NS362" s="250"/>
      <c r="NT362" s="250"/>
      <c r="NU362" s="250"/>
      <c r="NV362" s="250"/>
      <c r="NW362" s="251"/>
      <c r="OT362" s="8"/>
      <c r="QG362" s="8"/>
      <c r="RT362" s="8"/>
    </row>
    <row r="363" spans="1:488" s="282" customFormat="1" x14ac:dyDescent="0.25">
      <c r="A363" s="66"/>
      <c r="B363" s="8"/>
      <c r="C363" s="66"/>
      <c r="D363" s="66"/>
      <c r="E363" s="66"/>
      <c r="F363" s="66"/>
      <c r="G363" s="66"/>
      <c r="H363" s="66"/>
      <c r="I363" s="66"/>
      <c r="J363" s="66"/>
      <c r="K363" s="66"/>
      <c r="L363" s="66"/>
      <c r="M363" s="66"/>
      <c r="N363" s="66"/>
      <c r="O363" s="66"/>
      <c r="P363" s="66"/>
      <c r="Q363" s="66"/>
      <c r="R363" s="66"/>
      <c r="S363" s="66"/>
      <c r="T363" s="68"/>
      <c r="AC363" s="66"/>
      <c r="AD363" s="66"/>
      <c r="AE363" s="68"/>
      <c r="AN363" s="66"/>
      <c r="AO363" s="66"/>
      <c r="AP363" s="68"/>
      <c r="AW363" s="66"/>
      <c r="AX363" s="68"/>
      <c r="BD363" s="66"/>
      <c r="BE363" s="68"/>
      <c r="BF363" s="66"/>
      <c r="BG363" s="66"/>
      <c r="BH363" s="66"/>
      <c r="BI363" s="66"/>
      <c r="BJ363" s="66"/>
      <c r="BK363" s="66"/>
      <c r="BL363" s="68"/>
      <c r="BO363" s="66"/>
      <c r="BP363" s="68"/>
      <c r="BV363" s="66"/>
      <c r="BW363" s="68"/>
      <c r="CB363" s="8"/>
      <c r="CH363" s="8"/>
      <c r="CK363" s="299"/>
      <c r="CL363" s="299"/>
      <c r="CM363" s="66"/>
      <c r="CN363" s="66"/>
      <c r="CO363" s="68"/>
      <c r="CR363" s="8"/>
      <c r="CX363" s="66"/>
      <c r="CY363" s="532"/>
      <c r="DE363" s="66"/>
      <c r="DF363" s="66"/>
      <c r="DG363" s="68"/>
      <c r="DH363" s="68"/>
      <c r="DK363" s="66"/>
      <c r="DL363" s="66"/>
      <c r="DM363" s="66"/>
      <c r="DN363" s="66"/>
      <c r="DO363" s="66"/>
      <c r="DP363" s="66"/>
      <c r="DQ363" s="66"/>
      <c r="DR363" s="66"/>
      <c r="DS363" s="66"/>
      <c r="DT363" s="68"/>
      <c r="DU363" s="66"/>
      <c r="DV363" s="296"/>
      <c r="DW363" s="330"/>
      <c r="DX363" s="631"/>
      <c r="DY363" s="631"/>
      <c r="DZ363" s="631"/>
      <c r="EA363" s="330"/>
      <c r="EC363" s="66"/>
      <c r="ED363" s="68"/>
      <c r="EH363" s="66"/>
      <c r="EI363" s="66"/>
      <c r="EJ363" s="68"/>
      <c r="EK363" s="252"/>
      <c r="EL363" s="252"/>
      <c r="EM363" s="252"/>
      <c r="EO363" s="252"/>
      <c r="EP363" s="252"/>
      <c r="EQ363" s="252"/>
      <c r="ES363" s="252"/>
      <c r="ET363" s="252"/>
      <c r="EU363" s="252"/>
      <c r="EW363" s="252"/>
      <c r="EX363" s="252"/>
      <c r="EY363" s="252"/>
      <c r="FA363" s="250"/>
      <c r="FB363" s="250"/>
      <c r="FC363" s="250"/>
      <c r="FD363" s="250"/>
      <c r="FE363" s="250"/>
      <c r="FF363" s="250"/>
      <c r="FG363" s="250"/>
      <c r="FH363" s="424"/>
      <c r="FI363" s="250"/>
      <c r="FJ363" s="250"/>
      <c r="FK363" s="250"/>
      <c r="FL363" s="256"/>
      <c r="FM363" s="250"/>
      <c r="FN363" s="256"/>
      <c r="FO363" s="250"/>
      <c r="FP363" s="256"/>
      <c r="FQ363" s="250"/>
      <c r="FR363" s="256"/>
      <c r="FS363" s="250"/>
      <c r="FT363" s="256"/>
      <c r="FU363" s="256"/>
      <c r="FV363" s="256"/>
      <c r="FW363" s="250"/>
      <c r="FX363" s="424"/>
      <c r="FY363" s="251"/>
      <c r="GC363" s="252"/>
      <c r="GF363" s="252"/>
      <c r="GG363" s="252"/>
      <c r="GH363" s="252"/>
      <c r="GI363" s="252"/>
      <c r="GJ363" s="252"/>
      <c r="GK363" s="251"/>
      <c r="GL363" s="250"/>
      <c r="GM363" s="250"/>
      <c r="GN363" s="250"/>
      <c r="GO363" s="250"/>
      <c r="GP363" s="250"/>
      <c r="GQ363" s="250"/>
      <c r="GR363" s="250"/>
      <c r="GS363" s="250"/>
      <c r="GT363" s="250"/>
      <c r="GU363" s="251"/>
      <c r="GV363" s="250"/>
      <c r="GW363" s="250"/>
      <c r="GX363" s="250"/>
      <c r="GY363" s="250"/>
      <c r="GZ363" s="250"/>
      <c r="HA363" s="250"/>
      <c r="HB363" s="250"/>
      <c r="HC363" s="250"/>
      <c r="HD363" s="250"/>
      <c r="HE363" s="250"/>
      <c r="HF363" s="250"/>
      <c r="HG363" s="250"/>
      <c r="HH363" s="251"/>
      <c r="HI363" s="424"/>
      <c r="HJ363" s="255"/>
      <c r="HK363" s="255"/>
      <c r="HL363" s="250"/>
      <c r="HM363" s="255"/>
      <c r="HN363" s="255"/>
      <c r="HO363" s="255"/>
      <c r="HP363" s="250"/>
      <c r="HQ363" s="250"/>
      <c r="HR363" s="250"/>
      <c r="HS363" s="250"/>
      <c r="HT363" s="250"/>
      <c r="HU363" s="251"/>
      <c r="HX363" s="252"/>
      <c r="HY363" s="252"/>
      <c r="HZ363" s="252"/>
      <c r="ID363" s="252"/>
      <c r="IE363" s="252"/>
      <c r="IF363" s="252"/>
      <c r="IJ363" s="252"/>
      <c r="IK363" s="252"/>
      <c r="IL363" s="252"/>
      <c r="IP363" s="252"/>
      <c r="IQ363" s="252"/>
      <c r="IR363" s="252"/>
      <c r="IY363" s="66"/>
      <c r="IZ363" s="66"/>
      <c r="JA363" s="66"/>
      <c r="JB363" s="250"/>
      <c r="JC363" s="66"/>
      <c r="JD363" s="66"/>
      <c r="JE363" s="66"/>
      <c r="JF363" s="66"/>
      <c r="JG363" s="66"/>
      <c r="JH363" s="66"/>
      <c r="JI363" s="66"/>
      <c r="JJ363" s="66"/>
      <c r="JK363" s="8"/>
      <c r="JN363" s="252"/>
      <c r="JO363" s="252"/>
      <c r="JP363" s="252"/>
      <c r="JT363" s="252"/>
      <c r="JU363" s="252"/>
      <c r="JV363" s="252"/>
      <c r="JZ363" s="252"/>
      <c r="KA363" s="252"/>
      <c r="KB363" s="252"/>
      <c r="KF363" s="252"/>
      <c r="KG363" s="252"/>
      <c r="KH363" s="252"/>
      <c r="KO363" s="66"/>
      <c r="KP363" s="66"/>
      <c r="KQ363" s="66"/>
      <c r="KR363" s="66"/>
      <c r="KS363" s="66"/>
      <c r="KT363" s="66"/>
      <c r="KU363" s="66"/>
      <c r="KV363" s="66"/>
      <c r="KW363" s="66"/>
      <c r="KX363" s="66"/>
      <c r="KY363" s="66"/>
      <c r="KZ363" s="66"/>
      <c r="LA363" s="8"/>
      <c r="LD363" s="252"/>
      <c r="LE363" s="252"/>
      <c r="LF363" s="252"/>
      <c r="LJ363" s="252"/>
      <c r="LK363" s="252"/>
      <c r="LN363" s="252"/>
      <c r="LO363" s="252"/>
      <c r="LP363" s="252"/>
      <c r="LT363" s="271"/>
      <c r="LU363" s="250"/>
      <c r="LV363" s="250"/>
      <c r="LW363" s="250"/>
      <c r="LX363" s="250"/>
      <c r="LY363" s="250"/>
      <c r="LZ363" s="250"/>
      <c r="MA363" s="250"/>
      <c r="MB363" s="250"/>
      <c r="MC363" s="250"/>
      <c r="MD363" s="250"/>
      <c r="ME363" s="250"/>
      <c r="MF363" s="250"/>
      <c r="MG363" s="250"/>
      <c r="MH363" s="250"/>
      <c r="MI363" s="250"/>
      <c r="MJ363" s="250"/>
      <c r="MK363" s="424"/>
      <c r="ML363" s="640"/>
      <c r="MM363" s="251"/>
      <c r="MN363" s="252"/>
      <c r="MO363" s="252"/>
      <c r="MP363" s="252"/>
      <c r="MQ363" s="252"/>
      <c r="MR363" s="252"/>
      <c r="MS363" s="252"/>
      <c r="MT363" s="252"/>
      <c r="MU363" s="252"/>
      <c r="MV363" s="252"/>
      <c r="MW363" s="252"/>
      <c r="MX363" s="252"/>
      <c r="MY363" s="252"/>
      <c r="MZ363" s="252"/>
      <c r="NA363" s="252"/>
      <c r="NB363" s="252"/>
      <c r="NC363" s="251"/>
      <c r="ND363" s="250"/>
      <c r="NE363" s="250"/>
      <c r="NF363" s="250"/>
      <c r="NG363" s="250"/>
      <c r="NH363" s="250"/>
      <c r="NI363" s="250"/>
      <c r="NJ363" s="250"/>
      <c r="NK363" s="250"/>
      <c r="NL363" s="250"/>
      <c r="NM363" s="250"/>
      <c r="NN363" s="250"/>
      <c r="NO363" s="250"/>
      <c r="NP363" s="250"/>
      <c r="NQ363" s="250"/>
      <c r="NR363" s="250"/>
      <c r="NS363" s="250"/>
      <c r="NT363" s="250"/>
      <c r="NU363" s="250"/>
      <c r="NV363" s="250"/>
      <c r="NW363" s="251"/>
      <c r="OT363" s="8"/>
      <c r="QG363" s="8"/>
      <c r="RT363" s="8"/>
    </row>
    <row r="364" spans="1:488" s="282" customFormat="1" x14ac:dyDescent="0.25">
      <c r="A364" s="66"/>
      <c r="B364" s="8"/>
      <c r="C364" s="66"/>
      <c r="D364" s="66"/>
      <c r="E364" s="66"/>
      <c r="F364" s="66"/>
      <c r="G364" s="66"/>
      <c r="H364" s="66"/>
      <c r="I364" s="66"/>
      <c r="J364" s="66"/>
      <c r="K364" s="66"/>
      <c r="L364" s="66"/>
      <c r="M364" s="66"/>
      <c r="N364" s="66"/>
      <c r="O364" s="66"/>
      <c r="P364" s="66"/>
      <c r="Q364" s="66"/>
      <c r="R364" s="66"/>
      <c r="S364" s="66"/>
      <c r="T364" s="68"/>
      <c r="AC364" s="66"/>
      <c r="AD364" s="66"/>
      <c r="AE364" s="68"/>
      <c r="AN364" s="66"/>
      <c r="AO364" s="66"/>
      <c r="AP364" s="68"/>
      <c r="AW364" s="66"/>
      <c r="AX364" s="68"/>
      <c r="BD364" s="66"/>
      <c r="BE364" s="68"/>
      <c r="BF364" s="66"/>
      <c r="BG364" s="66"/>
      <c r="BH364" s="66"/>
      <c r="BI364" s="66"/>
      <c r="BJ364" s="66"/>
      <c r="BK364" s="66"/>
      <c r="BL364" s="68"/>
      <c r="BO364" s="66"/>
      <c r="BP364" s="68"/>
      <c r="BV364" s="66"/>
      <c r="BW364" s="68"/>
      <c r="CB364" s="8"/>
      <c r="CH364" s="8"/>
      <c r="CK364" s="299"/>
      <c r="CL364" s="299"/>
      <c r="CM364" s="66"/>
      <c r="CN364" s="66"/>
      <c r="CO364" s="68"/>
      <c r="CR364" s="8"/>
      <c r="CX364" s="66"/>
      <c r="CY364" s="532"/>
      <c r="DE364" s="66"/>
      <c r="DF364" s="66"/>
      <c r="DG364" s="68"/>
      <c r="DH364" s="68"/>
      <c r="DK364" s="66"/>
      <c r="DL364" s="66"/>
      <c r="DM364" s="66"/>
      <c r="DN364" s="66"/>
      <c r="DO364" s="66"/>
      <c r="DP364" s="66"/>
      <c r="DQ364" s="66"/>
      <c r="DR364" s="66"/>
      <c r="DS364" s="66"/>
      <c r="DT364" s="68"/>
      <c r="DU364" s="66"/>
      <c r="DV364" s="296"/>
      <c r="DW364" s="330"/>
      <c r="DX364" s="631"/>
      <c r="DY364" s="631"/>
      <c r="DZ364" s="631"/>
      <c r="EA364" s="330"/>
      <c r="EC364" s="66"/>
      <c r="ED364" s="68"/>
      <c r="EH364" s="66"/>
      <c r="EI364" s="66"/>
      <c r="EJ364" s="68"/>
      <c r="EK364" s="252"/>
      <c r="EL364" s="252"/>
      <c r="EM364" s="252"/>
      <c r="EO364" s="252"/>
      <c r="EP364" s="252"/>
      <c r="EQ364" s="252"/>
      <c r="ES364" s="252"/>
      <c r="ET364" s="252"/>
      <c r="EU364" s="252"/>
      <c r="EW364" s="252"/>
      <c r="EX364" s="252"/>
      <c r="EY364" s="252"/>
      <c r="FA364" s="250"/>
      <c r="FB364" s="250"/>
      <c r="FC364" s="250"/>
      <c r="FD364" s="250"/>
      <c r="FE364" s="250"/>
      <c r="FF364" s="250"/>
      <c r="FG364" s="250"/>
      <c r="FH364" s="424"/>
      <c r="FI364" s="250"/>
      <c r="FJ364" s="250"/>
      <c r="FK364" s="250"/>
      <c r="FL364" s="256"/>
      <c r="FM364" s="250"/>
      <c r="FN364" s="256"/>
      <c r="FO364" s="250"/>
      <c r="FP364" s="256"/>
      <c r="FQ364" s="250"/>
      <c r="FR364" s="256"/>
      <c r="FS364" s="250"/>
      <c r="FT364" s="256"/>
      <c r="FU364" s="256"/>
      <c r="FV364" s="256"/>
      <c r="FW364" s="250"/>
      <c r="FX364" s="424"/>
      <c r="FY364" s="251"/>
      <c r="GC364" s="252"/>
      <c r="GF364" s="252"/>
      <c r="GG364" s="252"/>
      <c r="GH364" s="252"/>
      <c r="GI364" s="252"/>
      <c r="GJ364" s="252"/>
      <c r="GK364" s="251"/>
      <c r="GL364" s="250"/>
      <c r="GM364" s="250"/>
      <c r="GN364" s="250"/>
      <c r="GO364" s="250"/>
      <c r="GP364" s="250"/>
      <c r="GQ364" s="250"/>
      <c r="GR364" s="250"/>
      <c r="GS364" s="250"/>
      <c r="GT364" s="250"/>
      <c r="GU364" s="251"/>
      <c r="GV364" s="250"/>
      <c r="GW364" s="250"/>
      <c r="GX364" s="250"/>
      <c r="GY364" s="250"/>
      <c r="GZ364" s="250"/>
      <c r="HA364" s="250"/>
      <c r="HB364" s="250"/>
      <c r="HC364" s="250"/>
      <c r="HD364" s="250"/>
      <c r="HE364" s="250"/>
      <c r="HF364" s="250"/>
      <c r="HG364" s="250"/>
      <c r="HH364" s="251"/>
      <c r="HI364" s="424"/>
      <c r="HJ364" s="255"/>
      <c r="HK364" s="255"/>
      <c r="HL364" s="250"/>
      <c r="HM364" s="255"/>
      <c r="HN364" s="255"/>
      <c r="HO364" s="255"/>
      <c r="HP364" s="250"/>
      <c r="HQ364" s="250"/>
      <c r="HR364" s="250"/>
      <c r="HS364" s="250"/>
      <c r="HT364" s="250"/>
      <c r="HU364" s="251"/>
      <c r="HX364" s="252"/>
      <c r="HY364" s="252"/>
      <c r="HZ364" s="252"/>
      <c r="ID364" s="252"/>
      <c r="IE364" s="252"/>
      <c r="IF364" s="252"/>
      <c r="IJ364" s="252"/>
      <c r="IK364" s="252"/>
      <c r="IL364" s="252"/>
      <c r="IP364" s="252"/>
      <c r="IQ364" s="252"/>
      <c r="IR364" s="252"/>
      <c r="IY364" s="66"/>
      <c r="IZ364" s="66"/>
      <c r="JA364" s="66"/>
      <c r="JB364" s="250"/>
      <c r="JC364" s="66"/>
      <c r="JD364" s="66"/>
      <c r="JE364" s="66"/>
      <c r="JF364" s="66"/>
      <c r="JG364" s="66"/>
      <c r="JH364" s="66"/>
      <c r="JI364" s="66"/>
      <c r="JJ364" s="66"/>
      <c r="JK364" s="8"/>
      <c r="JN364" s="252"/>
      <c r="JO364" s="252"/>
      <c r="JP364" s="252"/>
      <c r="JT364" s="252"/>
      <c r="JU364" s="252"/>
      <c r="JV364" s="252"/>
      <c r="JZ364" s="252"/>
      <c r="KA364" s="252"/>
      <c r="KB364" s="252"/>
      <c r="KF364" s="252"/>
      <c r="KG364" s="252"/>
      <c r="KH364" s="252"/>
      <c r="KO364" s="66"/>
      <c r="KP364" s="66"/>
      <c r="KQ364" s="66"/>
      <c r="KR364" s="66"/>
      <c r="KS364" s="66"/>
      <c r="KT364" s="66"/>
      <c r="KU364" s="66"/>
      <c r="KV364" s="66"/>
      <c r="KW364" s="66"/>
      <c r="KX364" s="66"/>
      <c r="KY364" s="66"/>
      <c r="KZ364" s="66"/>
      <c r="LA364" s="8"/>
      <c r="LD364" s="252"/>
      <c r="LE364" s="252"/>
      <c r="LF364" s="252"/>
      <c r="LJ364" s="252"/>
      <c r="LK364" s="252"/>
      <c r="LN364" s="252"/>
      <c r="LO364" s="252"/>
      <c r="LP364" s="252"/>
      <c r="LT364" s="271"/>
      <c r="LU364" s="250"/>
      <c r="LV364" s="250"/>
      <c r="LW364" s="250"/>
      <c r="LX364" s="250"/>
      <c r="LY364" s="250"/>
      <c r="LZ364" s="250"/>
      <c r="MA364" s="250"/>
      <c r="MB364" s="250"/>
      <c r="MC364" s="250"/>
      <c r="MD364" s="250"/>
      <c r="ME364" s="250"/>
      <c r="MF364" s="250"/>
      <c r="MG364" s="250"/>
      <c r="MH364" s="250"/>
      <c r="MI364" s="250"/>
      <c r="MJ364" s="250"/>
      <c r="MK364" s="424"/>
      <c r="ML364" s="640"/>
      <c r="MM364" s="251"/>
      <c r="MN364" s="252"/>
      <c r="MO364" s="252"/>
      <c r="MP364" s="252"/>
      <c r="MQ364" s="252"/>
      <c r="MR364" s="252"/>
      <c r="MS364" s="252"/>
      <c r="MT364" s="252"/>
      <c r="MU364" s="252"/>
      <c r="MV364" s="252"/>
      <c r="MW364" s="252"/>
      <c r="MX364" s="252"/>
      <c r="MY364" s="252"/>
      <c r="MZ364" s="252"/>
      <c r="NA364" s="252"/>
      <c r="NB364" s="252"/>
      <c r="NC364" s="251"/>
      <c r="ND364" s="250"/>
      <c r="NE364" s="250"/>
      <c r="NF364" s="250"/>
      <c r="NG364" s="250"/>
      <c r="NH364" s="250"/>
      <c r="NI364" s="250"/>
      <c r="NJ364" s="250"/>
      <c r="NK364" s="250"/>
      <c r="NL364" s="250"/>
      <c r="NM364" s="250"/>
      <c r="NN364" s="250"/>
      <c r="NO364" s="250"/>
      <c r="NP364" s="250"/>
      <c r="NQ364" s="250"/>
      <c r="NR364" s="250"/>
      <c r="NS364" s="250"/>
      <c r="NT364" s="250"/>
      <c r="NU364" s="250"/>
      <c r="NV364" s="250"/>
      <c r="NW364" s="251"/>
      <c r="OT364" s="8"/>
      <c r="QG364" s="8"/>
      <c r="RT364" s="8"/>
    </row>
    <row r="365" spans="1:488" s="282" customFormat="1" x14ac:dyDescent="0.25">
      <c r="A365" s="66"/>
      <c r="B365" s="8"/>
      <c r="C365" s="66"/>
      <c r="D365" s="66"/>
      <c r="E365" s="66"/>
      <c r="F365" s="66"/>
      <c r="G365" s="66"/>
      <c r="H365" s="66"/>
      <c r="I365" s="66"/>
      <c r="J365" s="66"/>
      <c r="K365" s="66"/>
      <c r="L365" s="66"/>
      <c r="M365" s="66"/>
      <c r="N365" s="66"/>
      <c r="O365" s="66"/>
      <c r="P365" s="66"/>
      <c r="Q365" s="66"/>
      <c r="R365" s="66"/>
      <c r="S365" s="66"/>
      <c r="T365" s="68"/>
      <c r="AC365" s="66"/>
      <c r="AD365" s="66"/>
      <c r="AE365" s="68"/>
      <c r="AN365" s="66"/>
      <c r="AO365" s="66"/>
      <c r="AP365" s="68"/>
      <c r="AW365" s="66"/>
      <c r="AX365" s="68"/>
      <c r="BD365" s="66"/>
      <c r="BE365" s="68"/>
      <c r="BF365" s="66"/>
      <c r="BG365" s="66"/>
      <c r="BH365" s="66"/>
      <c r="BI365" s="66"/>
      <c r="BJ365" s="66"/>
      <c r="BK365" s="66"/>
      <c r="BL365" s="68"/>
      <c r="BO365" s="66"/>
      <c r="BP365" s="68"/>
      <c r="BV365" s="66"/>
      <c r="BW365" s="68"/>
      <c r="CB365" s="8"/>
      <c r="CH365" s="8"/>
      <c r="CK365" s="299"/>
      <c r="CL365" s="299"/>
      <c r="CM365" s="66"/>
      <c r="CN365" s="66"/>
      <c r="CO365" s="68"/>
      <c r="CR365" s="8"/>
      <c r="CX365" s="66"/>
      <c r="CY365" s="532"/>
      <c r="DE365" s="66"/>
      <c r="DF365" s="66"/>
      <c r="DG365" s="68"/>
      <c r="DH365" s="68"/>
      <c r="DK365" s="66"/>
      <c r="DL365" s="66"/>
      <c r="DM365" s="66"/>
      <c r="DN365" s="66"/>
      <c r="DO365" s="66"/>
      <c r="DP365" s="66"/>
      <c r="DQ365" s="66"/>
      <c r="DR365" s="66"/>
      <c r="DS365" s="66"/>
      <c r="DT365" s="68"/>
      <c r="DU365" s="66"/>
      <c r="DV365" s="296"/>
      <c r="DW365" s="330"/>
      <c r="DX365" s="631"/>
      <c r="DY365" s="631"/>
      <c r="DZ365" s="631"/>
      <c r="EA365" s="330"/>
      <c r="EC365" s="66"/>
      <c r="ED365" s="68"/>
      <c r="EH365" s="66"/>
      <c r="EI365" s="66"/>
      <c r="EJ365" s="68"/>
      <c r="EK365" s="252"/>
      <c r="EL365" s="252"/>
      <c r="EM365" s="252"/>
      <c r="EO365" s="252"/>
      <c r="EP365" s="252"/>
      <c r="EQ365" s="252"/>
      <c r="ES365" s="252"/>
      <c r="ET365" s="252"/>
      <c r="EU365" s="252"/>
      <c r="EW365" s="252"/>
      <c r="EX365" s="252"/>
      <c r="EY365" s="252"/>
      <c r="FA365" s="250"/>
      <c r="FB365" s="250"/>
      <c r="FC365" s="250"/>
      <c r="FD365" s="250"/>
      <c r="FE365" s="250"/>
      <c r="FF365" s="250"/>
      <c r="FG365" s="250"/>
      <c r="FH365" s="424"/>
      <c r="FI365" s="250"/>
      <c r="FJ365" s="250"/>
      <c r="FK365" s="250"/>
      <c r="FL365" s="256"/>
      <c r="FM365" s="250"/>
      <c r="FN365" s="256"/>
      <c r="FO365" s="250"/>
      <c r="FP365" s="256"/>
      <c r="FQ365" s="250"/>
      <c r="FR365" s="256"/>
      <c r="FS365" s="250"/>
      <c r="FT365" s="256"/>
      <c r="FU365" s="256"/>
      <c r="FV365" s="256"/>
      <c r="FW365" s="250"/>
      <c r="FX365" s="424"/>
      <c r="FY365" s="251"/>
      <c r="GC365" s="252"/>
      <c r="GF365" s="252"/>
      <c r="GG365" s="252"/>
      <c r="GH365" s="252"/>
      <c r="GI365" s="252"/>
      <c r="GJ365" s="252"/>
      <c r="GK365" s="251"/>
      <c r="GL365" s="250"/>
      <c r="GM365" s="250"/>
      <c r="GN365" s="250"/>
      <c r="GO365" s="250"/>
      <c r="GP365" s="250"/>
      <c r="GQ365" s="250"/>
      <c r="GR365" s="250"/>
      <c r="GS365" s="250"/>
      <c r="GT365" s="250"/>
      <c r="GU365" s="251"/>
      <c r="GV365" s="250"/>
      <c r="GW365" s="250"/>
      <c r="GX365" s="250"/>
      <c r="GY365" s="250"/>
      <c r="GZ365" s="250"/>
      <c r="HA365" s="250"/>
      <c r="HB365" s="250"/>
      <c r="HC365" s="250"/>
      <c r="HD365" s="250"/>
      <c r="HE365" s="250"/>
      <c r="HF365" s="250"/>
      <c r="HG365" s="250"/>
      <c r="HH365" s="251"/>
      <c r="HI365" s="424"/>
      <c r="HJ365" s="255"/>
      <c r="HK365" s="255"/>
      <c r="HL365" s="250"/>
      <c r="HM365" s="255"/>
      <c r="HN365" s="255"/>
      <c r="HO365" s="255"/>
      <c r="HP365" s="250"/>
      <c r="HQ365" s="250"/>
      <c r="HR365" s="250"/>
      <c r="HS365" s="250"/>
      <c r="HT365" s="250"/>
      <c r="HU365" s="251"/>
      <c r="HX365" s="252"/>
      <c r="HY365" s="252"/>
      <c r="HZ365" s="252"/>
      <c r="ID365" s="252"/>
      <c r="IE365" s="252"/>
      <c r="IF365" s="252"/>
      <c r="IJ365" s="252"/>
      <c r="IK365" s="252"/>
      <c r="IL365" s="252"/>
      <c r="IP365" s="252"/>
      <c r="IQ365" s="252"/>
      <c r="IR365" s="252"/>
      <c r="IY365" s="66"/>
      <c r="IZ365" s="66"/>
      <c r="JA365" s="66"/>
      <c r="JB365" s="250"/>
      <c r="JC365" s="66"/>
      <c r="JD365" s="66"/>
      <c r="JE365" s="66"/>
      <c r="JF365" s="66"/>
      <c r="JG365" s="66"/>
      <c r="JH365" s="66"/>
      <c r="JI365" s="66"/>
      <c r="JJ365" s="66"/>
      <c r="JK365" s="8"/>
      <c r="JN365" s="252"/>
      <c r="JO365" s="252"/>
      <c r="JP365" s="252"/>
      <c r="JT365" s="252"/>
      <c r="JU365" s="252"/>
      <c r="JV365" s="252"/>
      <c r="JZ365" s="252"/>
      <c r="KA365" s="252"/>
      <c r="KB365" s="252"/>
      <c r="KF365" s="252"/>
      <c r="KG365" s="252"/>
      <c r="KH365" s="252"/>
      <c r="KO365" s="66"/>
      <c r="KP365" s="66"/>
      <c r="KQ365" s="66"/>
      <c r="KR365" s="66"/>
      <c r="KS365" s="66"/>
      <c r="KT365" s="66"/>
      <c r="KU365" s="66"/>
      <c r="KV365" s="66"/>
      <c r="KW365" s="66"/>
      <c r="KX365" s="66"/>
      <c r="KY365" s="66"/>
      <c r="KZ365" s="66"/>
      <c r="LA365" s="8"/>
      <c r="LD365" s="252"/>
      <c r="LE365" s="252"/>
      <c r="LF365" s="252"/>
      <c r="LJ365" s="252"/>
      <c r="LK365" s="252"/>
      <c r="LN365" s="252"/>
      <c r="LO365" s="252"/>
      <c r="LP365" s="252"/>
      <c r="LT365" s="271"/>
      <c r="LU365" s="250"/>
      <c r="LV365" s="250"/>
      <c r="LW365" s="250"/>
      <c r="LX365" s="250"/>
      <c r="LY365" s="250"/>
      <c r="LZ365" s="250"/>
      <c r="MA365" s="250"/>
      <c r="MB365" s="250"/>
      <c r="MC365" s="250"/>
      <c r="MD365" s="250"/>
      <c r="ME365" s="250"/>
      <c r="MF365" s="250"/>
      <c r="MG365" s="250"/>
      <c r="MH365" s="250"/>
      <c r="MI365" s="250"/>
      <c r="MJ365" s="250"/>
      <c r="MK365" s="424"/>
      <c r="ML365" s="640"/>
      <c r="MM365" s="251"/>
      <c r="MN365" s="252"/>
      <c r="MO365" s="252"/>
      <c r="MP365" s="252"/>
      <c r="MQ365" s="252"/>
      <c r="MR365" s="252"/>
      <c r="MS365" s="252"/>
      <c r="MT365" s="252"/>
      <c r="MU365" s="252"/>
      <c r="MV365" s="252"/>
      <c r="MW365" s="252"/>
      <c r="MX365" s="252"/>
      <c r="MY365" s="252"/>
      <c r="MZ365" s="252"/>
      <c r="NA365" s="252"/>
      <c r="NB365" s="252"/>
      <c r="NC365" s="251"/>
      <c r="ND365" s="250"/>
      <c r="NE365" s="250"/>
      <c r="NF365" s="250"/>
      <c r="NG365" s="250"/>
      <c r="NH365" s="250"/>
      <c r="NI365" s="250"/>
      <c r="NJ365" s="250"/>
      <c r="NK365" s="250"/>
      <c r="NL365" s="250"/>
      <c r="NM365" s="250"/>
      <c r="NN365" s="250"/>
      <c r="NO365" s="250"/>
      <c r="NP365" s="250"/>
      <c r="NQ365" s="250"/>
      <c r="NR365" s="250"/>
      <c r="NS365" s="250"/>
      <c r="NT365" s="250"/>
      <c r="NU365" s="250"/>
      <c r="NV365" s="250"/>
      <c r="NW365" s="251"/>
      <c r="OT365" s="8"/>
      <c r="QG365" s="8"/>
      <c r="RT365" s="8"/>
    </row>
    <row r="366" spans="1:488" s="282" customFormat="1" x14ac:dyDescent="0.25">
      <c r="A366" s="66"/>
      <c r="B366" s="8"/>
      <c r="C366" s="66"/>
      <c r="D366" s="66"/>
      <c r="E366" s="66"/>
      <c r="F366" s="66"/>
      <c r="G366" s="66"/>
      <c r="H366" s="66"/>
      <c r="I366" s="66"/>
      <c r="J366" s="66"/>
      <c r="K366" s="66"/>
      <c r="L366" s="66"/>
      <c r="M366" s="66"/>
      <c r="N366" s="66"/>
      <c r="O366" s="66"/>
      <c r="P366" s="66"/>
      <c r="Q366" s="66"/>
      <c r="R366" s="66"/>
      <c r="S366" s="66"/>
      <c r="T366" s="68"/>
      <c r="AC366" s="66"/>
      <c r="AD366" s="66"/>
      <c r="AE366" s="68"/>
      <c r="AN366" s="66"/>
      <c r="AO366" s="66"/>
      <c r="AP366" s="68"/>
      <c r="AW366" s="66"/>
      <c r="AX366" s="68"/>
      <c r="BD366" s="66"/>
      <c r="BE366" s="68"/>
      <c r="BF366" s="66"/>
      <c r="BG366" s="66"/>
      <c r="BH366" s="66"/>
      <c r="BI366" s="66"/>
      <c r="BJ366" s="66"/>
      <c r="BK366" s="66"/>
      <c r="BL366" s="68"/>
      <c r="BO366" s="66"/>
      <c r="BP366" s="68"/>
      <c r="BV366" s="66"/>
      <c r="BW366" s="68"/>
      <c r="CB366" s="8"/>
      <c r="CH366" s="8"/>
      <c r="CK366" s="299"/>
      <c r="CL366" s="299"/>
      <c r="CM366" s="66"/>
      <c r="CN366" s="66"/>
      <c r="CO366" s="68"/>
      <c r="CR366" s="8"/>
      <c r="CX366" s="66"/>
      <c r="CY366" s="532"/>
      <c r="DE366" s="66"/>
      <c r="DF366" s="66"/>
      <c r="DG366" s="68"/>
      <c r="DH366" s="68"/>
      <c r="DK366" s="66"/>
      <c r="DL366" s="66"/>
      <c r="DM366" s="66"/>
      <c r="DN366" s="66"/>
      <c r="DO366" s="66"/>
      <c r="DP366" s="66"/>
      <c r="DQ366" s="66"/>
      <c r="DR366" s="66"/>
      <c r="DS366" s="66"/>
      <c r="DT366" s="68"/>
      <c r="DU366" s="66"/>
      <c r="DV366" s="296"/>
      <c r="DW366" s="330"/>
      <c r="DX366" s="631"/>
      <c r="DY366" s="631"/>
      <c r="DZ366" s="631"/>
      <c r="EA366" s="330"/>
      <c r="EC366" s="66"/>
      <c r="ED366" s="68"/>
      <c r="EH366" s="66"/>
      <c r="EI366" s="66"/>
      <c r="EJ366" s="68"/>
      <c r="EK366" s="252"/>
      <c r="EL366" s="252"/>
      <c r="EM366" s="252"/>
      <c r="EO366" s="252"/>
      <c r="EP366" s="252"/>
      <c r="EQ366" s="252"/>
      <c r="ES366" s="252"/>
      <c r="ET366" s="252"/>
      <c r="EU366" s="252"/>
      <c r="EW366" s="252"/>
      <c r="EX366" s="252"/>
      <c r="EY366" s="252"/>
      <c r="FA366" s="250"/>
      <c r="FB366" s="250"/>
      <c r="FC366" s="250"/>
      <c r="FD366" s="250"/>
      <c r="FE366" s="250"/>
      <c r="FF366" s="250"/>
      <c r="FG366" s="250"/>
      <c r="FH366" s="424"/>
      <c r="FI366" s="250"/>
      <c r="FJ366" s="250"/>
      <c r="FK366" s="250"/>
      <c r="FL366" s="256"/>
      <c r="FM366" s="250"/>
      <c r="FN366" s="256"/>
      <c r="FO366" s="250"/>
      <c r="FP366" s="256"/>
      <c r="FQ366" s="250"/>
      <c r="FR366" s="256"/>
      <c r="FS366" s="250"/>
      <c r="FT366" s="256"/>
      <c r="FU366" s="256"/>
      <c r="FV366" s="256"/>
      <c r="FW366" s="250"/>
      <c r="FX366" s="424"/>
      <c r="FY366" s="251"/>
      <c r="GC366" s="252"/>
      <c r="GF366" s="252"/>
      <c r="GG366" s="252"/>
      <c r="GH366" s="252"/>
      <c r="GI366" s="252"/>
      <c r="GJ366" s="252"/>
      <c r="GK366" s="251"/>
      <c r="GL366" s="250"/>
      <c r="GM366" s="250"/>
      <c r="GN366" s="250"/>
      <c r="GO366" s="250"/>
      <c r="GP366" s="250"/>
      <c r="GQ366" s="250"/>
      <c r="GR366" s="250"/>
      <c r="GS366" s="250"/>
      <c r="GT366" s="250"/>
      <c r="GU366" s="251"/>
      <c r="GV366" s="250"/>
      <c r="GW366" s="250"/>
      <c r="GX366" s="250"/>
      <c r="GY366" s="250"/>
      <c r="GZ366" s="250"/>
      <c r="HA366" s="250"/>
      <c r="HB366" s="250"/>
      <c r="HC366" s="250"/>
      <c r="HD366" s="250"/>
      <c r="HE366" s="250"/>
      <c r="HF366" s="250"/>
      <c r="HG366" s="250"/>
      <c r="HH366" s="251"/>
      <c r="HI366" s="424"/>
      <c r="HJ366" s="255"/>
      <c r="HK366" s="255"/>
      <c r="HL366" s="250"/>
      <c r="HM366" s="255"/>
      <c r="HN366" s="255"/>
      <c r="HO366" s="255"/>
      <c r="HP366" s="250"/>
      <c r="HQ366" s="250"/>
      <c r="HR366" s="250"/>
      <c r="HS366" s="250"/>
      <c r="HT366" s="250"/>
      <c r="HU366" s="251"/>
      <c r="HX366" s="252"/>
      <c r="HY366" s="252"/>
      <c r="HZ366" s="252"/>
      <c r="ID366" s="252"/>
      <c r="IE366" s="252"/>
      <c r="IF366" s="252"/>
      <c r="IJ366" s="252"/>
      <c r="IK366" s="252"/>
      <c r="IL366" s="252"/>
      <c r="IP366" s="252"/>
      <c r="IQ366" s="252"/>
      <c r="IR366" s="252"/>
      <c r="IY366" s="66"/>
      <c r="IZ366" s="66"/>
      <c r="JA366" s="66"/>
      <c r="JB366" s="250"/>
      <c r="JC366" s="66"/>
      <c r="JD366" s="66"/>
      <c r="JE366" s="66"/>
      <c r="JF366" s="66"/>
      <c r="JG366" s="66"/>
      <c r="JH366" s="66"/>
      <c r="JI366" s="66"/>
      <c r="JJ366" s="66"/>
      <c r="JK366" s="8"/>
      <c r="JN366" s="252"/>
      <c r="JO366" s="252"/>
      <c r="JP366" s="252"/>
      <c r="JT366" s="252"/>
      <c r="JU366" s="252"/>
      <c r="JV366" s="252"/>
      <c r="JZ366" s="252"/>
      <c r="KA366" s="252"/>
      <c r="KB366" s="252"/>
      <c r="KF366" s="252"/>
      <c r="KG366" s="252"/>
      <c r="KH366" s="252"/>
      <c r="KO366" s="66"/>
      <c r="KP366" s="66"/>
      <c r="KQ366" s="66"/>
      <c r="KR366" s="66"/>
      <c r="KS366" s="66"/>
      <c r="KT366" s="66"/>
      <c r="KU366" s="66"/>
      <c r="KV366" s="66"/>
      <c r="KW366" s="66"/>
      <c r="KX366" s="66"/>
      <c r="KY366" s="66"/>
      <c r="KZ366" s="66"/>
      <c r="LA366" s="8"/>
      <c r="LD366" s="252"/>
      <c r="LE366" s="252"/>
      <c r="LF366" s="252"/>
      <c r="LJ366" s="252"/>
      <c r="LK366" s="252"/>
      <c r="LN366" s="252"/>
      <c r="LO366" s="252"/>
      <c r="LP366" s="252"/>
      <c r="LT366" s="271"/>
      <c r="LU366" s="250"/>
      <c r="LV366" s="250"/>
      <c r="LW366" s="250"/>
      <c r="LX366" s="250"/>
      <c r="LY366" s="250"/>
      <c r="LZ366" s="250"/>
      <c r="MA366" s="250"/>
      <c r="MB366" s="250"/>
      <c r="MC366" s="250"/>
      <c r="MD366" s="250"/>
      <c r="ME366" s="250"/>
      <c r="MF366" s="250"/>
      <c r="MG366" s="250"/>
      <c r="MH366" s="250"/>
      <c r="MI366" s="250"/>
      <c r="MJ366" s="250"/>
      <c r="MK366" s="424"/>
      <c r="ML366" s="640"/>
      <c r="MM366" s="251"/>
      <c r="MN366" s="252"/>
      <c r="MO366" s="252"/>
      <c r="MP366" s="252"/>
      <c r="MQ366" s="252"/>
      <c r="MR366" s="252"/>
      <c r="MS366" s="252"/>
      <c r="MT366" s="252"/>
      <c r="MU366" s="252"/>
      <c r="MV366" s="252"/>
      <c r="MW366" s="252"/>
      <c r="MX366" s="252"/>
      <c r="MY366" s="252"/>
      <c r="MZ366" s="252"/>
      <c r="NA366" s="252"/>
      <c r="NB366" s="252"/>
      <c r="NC366" s="251"/>
      <c r="ND366" s="250"/>
      <c r="NE366" s="250"/>
      <c r="NF366" s="250"/>
      <c r="NG366" s="250"/>
      <c r="NH366" s="250"/>
      <c r="NI366" s="250"/>
      <c r="NJ366" s="250"/>
      <c r="NK366" s="250"/>
      <c r="NL366" s="250"/>
      <c r="NM366" s="250"/>
      <c r="NN366" s="250"/>
      <c r="NO366" s="250"/>
      <c r="NP366" s="250"/>
      <c r="NQ366" s="250"/>
      <c r="NR366" s="250"/>
      <c r="NS366" s="250"/>
      <c r="NT366" s="250"/>
      <c r="NU366" s="250"/>
      <c r="NV366" s="250"/>
      <c r="NW366" s="251"/>
      <c r="OT366" s="8"/>
      <c r="QG366" s="8"/>
      <c r="RT366" s="8"/>
    </row>
    <row r="367" spans="1:488" s="282" customFormat="1" x14ac:dyDescent="0.25">
      <c r="A367" s="66"/>
      <c r="B367" s="8"/>
      <c r="C367" s="66"/>
      <c r="D367" s="66"/>
      <c r="E367" s="66"/>
      <c r="F367" s="66"/>
      <c r="G367" s="66"/>
      <c r="H367" s="66"/>
      <c r="I367" s="66"/>
      <c r="J367" s="66"/>
      <c r="K367" s="66"/>
      <c r="L367" s="66"/>
      <c r="M367" s="66"/>
      <c r="N367" s="66"/>
      <c r="O367" s="66"/>
      <c r="P367" s="66"/>
      <c r="Q367" s="66"/>
      <c r="R367" s="66"/>
      <c r="S367" s="66"/>
      <c r="T367" s="68"/>
      <c r="AC367" s="66"/>
      <c r="AD367" s="66"/>
      <c r="AE367" s="68"/>
      <c r="AN367" s="66"/>
      <c r="AO367" s="66"/>
      <c r="AP367" s="68"/>
      <c r="AW367" s="66"/>
      <c r="AX367" s="68"/>
      <c r="BD367" s="66"/>
      <c r="BE367" s="68"/>
      <c r="BF367" s="66"/>
      <c r="BG367" s="66"/>
      <c r="BH367" s="66"/>
      <c r="BI367" s="66"/>
      <c r="BJ367" s="66"/>
      <c r="BK367" s="66"/>
      <c r="BL367" s="68"/>
      <c r="BO367" s="66"/>
      <c r="BP367" s="68"/>
      <c r="BV367" s="66"/>
      <c r="BW367" s="68"/>
      <c r="CB367" s="8"/>
      <c r="CH367" s="8"/>
      <c r="CK367" s="299"/>
      <c r="CL367" s="299"/>
      <c r="CM367" s="66"/>
      <c r="CN367" s="66"/>
      <c r="CO367" s="68"/>
      <c r="CR367" s="8"/>
      <c r="CX367" s="66"/>
      <c r="CY367" s="532"/>
      <c r="DE367" s="66"/>
      <c r="DF367" s="66"/>
      <c r="DG367" s="68"/>
      <c r="DH367" s="68"/>
      <c r="DK367" s="66"/>
      <c r="DL367" s="66"/>
      <c r="DM367" s="66"/>
      <c r="DN367" s="66"/>
      <c r="DO367" s="66"/>
      <c r="DP367" s="66"/>
      <c r="DQ367" s="66"/>
      <c r="DR367" s="66"/>
      <c r="DS367" s="66"/>
      <c r="DT367" s="68"/>
      <c r="DU367" s="66"/>
      <c r="DV367" s="296"/>
      <c r="DW367" s="330"/>
      <c r="DX367" s="631"/>
      <c r="DY367" s="631"/>
      <c r="DZ367" s="631"/>
      <c r="EA367" s="330"/>
      <c r="EC367" s="66"/>
      <c r="ED367" s="68"/>
      <c r="EH367" s="66"/>
      <c r="EI367" s="66"/>
      <c r="EJ367" s="68"/>
      <c r="EK367" s="252"/>
      <c r="EL367" s="252"/>
      <c r="EM367" s="252"/>
      <c r="EO367" s="252"/>
      <c r="EP367" s="252"/>
      <c r="EQ367" s="252"/>
      <c r="ES367" s="252"/>
      <c r="ET367" s="252"/>
      <c r="EU367" s="252"/>
      <c r="EW367" s="252"/>
      <c r="EX367" s="252"/>
      <c r="EY367" s="252"/>
      <c r="FA367" s="250"/>
      <c r="FB367" s="250"/>
      <c r="FC367" s="250"/>
      <c r="FD367" s="250"/>
      <c r="FE367" s="250"/>
      <c r="FF367" s="250"/>
      <c r="FG367" s="250"/>
      <c r="FH367" s="424"/>
      <c r="FI367" s="250"/>
      <c r="FJ367" s="250"/>
      <c r="FK367" s="250"/>
      <c r="FL367" s="256"/>
      <c r="FM367" s="250"/>
      <c r="FN367" s="256"/>
      <c r="FO367" s="250"/>
      <c r="FP367" s="256"/>
      <c r="FQ367" s="250"/>
      <c r="FR367" s="256"/>
      <c r="FS367" s="250"/>
      <c r="FT367" s="256"/>
      <c r="FU367" s="256"/>
      <c r="FV367" s="256"/>
      <c r="FW367" s="250"/>
      <c r="FX367" s="424"/>
      <c r="FY367" s="251"/>
      <c r="GC367" s="252"/>
      <c r="GF367" s="252"/>
      <c r="GG367" s="252"/>
      <c r="GH367" s="252"/>
      <c r="GI367" s="252"/>
      <c r="GJ367" s="252"/>
      <c r="GK367" s="251"/>
      <c r="GL367" s="250"/>
      <c r="GM367" s="250"/>
      <c r="GN367" s="250"/>
      <c r="GO367" s="250"/>
      <c r="GP367" s="250"/>
      <c r="GQ367" s="250"/>
      <c r="GR367" s="250"/>
      <c r="GS367" s="250"/>
      <c r="GT367" s="250"/>
      <c r="GU367" s="251"/>
      <c r="GV367" s="250"/>
      <c r="GW367" s="250"/>
      <c r="GX367" s="250"/>
      <c r="GY367" s="250"/>
      <c r="GZ367" s="250"/>
      <c r="HA367" s="250"/>
      <c r="HB367" s="250"/>
      <c r="HC367" s="250"/>
      <c r="HD367" s="250"/>
      <c r="HE367" s="250"/>
      <c r="HF367" s="250"/>
      <c r="HG367" s="250"/>
      <c r="HH367" s="251"/>
      <c r="HI367" s="424"/>
      <c r="HJ367" s="255"/>
      <c r="HK367" s="255"/>
      <c r="HL367" s="250"/>
      <c r="HM367" s="255"/>
      <c r="HN367" s="255"/>
      <c r="HO367" s="255"/>
      <c r="HP367" s="250"/>
      <c r="HQ367" s="250"/>
      <c r="HR367" s="250"/>
      <c r="HS367" s="250"/>
      <c r="HT367" s="250"/>
      <c r="HU367" s="251"/>
      <c r="HX367" s="252"/>
      <c r="HY367" s="252"/>
      <c r="HZ367" s="252"/>
      <c r="ID367" s="252"/>
      <c r="IE367" s="252"/>
      <c r="IF367" s="252"/>
      <c r="IJ367" s="252"/>
      <c r="IK367" s="252"/>
      <c r="IL367" s="252"/>
      <c r="IP367" s="252"/>
      <c r="IQ367" s="252"/>
      <c r="IR367" s="252"/>
      <c r="IY367" s="66"/>
      <c r="IZ367" s="66"/>
      <c r="JA367" s="66"/>
      <c r="JB367" s="250"/>
      <c r="JC367" s="66"/>
      <c r="JD367" s="66"/>
      <c r="JE367" s="66"/>
      <c r="JF367" s="66"/>
      <c r="JG367" s="66"/>
      <c r="JH367" s="66"/>
      <c r="JI367" s="66"/>
      <c r="JJ367" s="66"/>
      <c r="JK367" s="8"/>
      <c r="JN367" s="252"/>
      <c r="JO367" s="252"/>
      <c r="JP367" s="252"/>
      <c r="JT367" s="252"/>
      <c r="JU367" s="252"/>
      <c r="JV367" s="252"/>
      <c r="JZ367" s="252"/>
      <c r="KA367" s="252"/>
      <c r="KB367" s="252"/>
      <c r="KF367" s="252"/>
      <c r="KG367" s="252"/>
      <c r="KH367" s="252"/>
      <c r="KO367" s="66"/>
      <c r="KP367" s="66"/>
      <c r="KQ367" s="66"/>
      <c r="KR367" s="66"/>
      <c r="KS367" s="66"/>
      <c r="KT367" s="66"/>
      <c r="KU367" s="66"/>
      <c r="KV367" s="66"/>
      <c r="KW367" s="66"/>
      <c r="KX367" s="66"/>
      <c r="KY367" s="66"/>
      <c r="KZ367" s="66"/>
      <c r="LA367" s="8"/>
      <c r="LD367" s="252"/>
      <c r="LE367" s="252"/>
      <c r="LF367" s="252"/>
      <c r="LJ367" s="252"/>
      <c r="LK367" s="252"/>
      <c r="LN367" s="252"/>
      <c r="LO367" s="252"/>
      <c r="LP367" s="252"/>
      <c r="LT367" s="271"/>
      <c r="LU367" s="250"/>
      <c r="LV367" s="250"/>
      <c r="LW367" s="250"/>
      <c r="LX367" s="250"/>
      <c r="LY367" s="250"/>
      <c r="LZ367" s="250"/>
      <c r="MA367" s="250"/>
      <c r="MB367" s="250"/>
      <c r="MC367" s="250"/>
      <c r="MD367" s="250"/>
      <c r="ME367" s="250"/>
      <c r="MF367" s="250"/>
      <c r="MG367" s="250"/>
      <c r="MH367" s="250"/>
      <c r="MI367" s="250"/>
      <c r="MJ367" s="250"/>
      <c r="MK367" s="424"/>
      <c r="ML367" s="640"/>
      <c r="MM367" s="251"/>
      <c r="MN367" s="252"/>
      <c r="MO367" s="252"/>
      <c r="MP367" s="252"/>
      <c r="MQ367" s="252"/>
      <c r="MR367" s="252"/>
      <c r="MS367" s="252"/>
      <c r="MT367" s="252"/>
      <c r="MU367" s="252"/>
      <c r="MV367" s="252"/>
      <c r="MW367" s="252"/>
      <c r="MX367" s="252"/>
      <c r="MY367" s="252"/>
      <c r="MZ367" s="252"/>
      <c r="NA367" s="252"/>
      <c r="NB367" s="252"/>
      <c r="NC367" s="251"/>
      <c r="ND367" s="250"/>
      <c r="NE367" s="250"/>
      <c r="NF367" s="250"/>
      <c r="NG367" s="250"/>
      <c r="NH367" s="250"/>
      <c r="NI367" s="250"/>
      <c r="NJ367" s="250"/>
      <c r="NK367" s="250"/>
      <c r="NL367" s="250"/>
      <c r="NM367" s="250"/>
      <c r="NN367" s="250"/>
      <c r="NO367" s="250"/>
      <c r="NP367" s="250"/>
      <c r="NQ367" s="250"/>
      <c r="NR367" s="250"/>
      <c r="NS367" s="250"/>
      <c r="NT367" s="250"/>
      <c r="NU367" s="250"/>
      <c r="NV367" s="250"/>
      <c r="NW367" s="251"/>
      <c r="OT367" s="8"/>
      <c r="QG367" s="8"/>
      <c r="RT367" s="8"/>
    </row>
    <row r="368" spans="1:488" s="282" customFormat="1" x14ac:dyDescent="0.25">
      <c r="A368" s="66"/>
      <c r="B368" s="8"/>
      <c r="C368" s="66"/>
      <c r="D368" s="66"/>
      <c r="E368" s="66"/>
      <c r="F368" s="66"/>
      <c r="G368" s="66"/>
      <c r="H368" s="66"/>
      <c r="I368" s="66"/>
      <c r="J368" s="66"/>
      <c r="K368" s="66"/>
      <c r="L368" s="66"/>
      <c r="M368" s="66"/>
      <c r="N368" s="66"/>
      <c r="O368" s="66"/>
      <c r="P368" s="66"/>
      <c r="Q368" s="66"/>
      <c r="R368" s="66"/>
      <c r="S368" s="66"/>
      <c r="T368" s="68"/>
      <c r="AC368" s="66"/>
      <c r="AD368" s="66"/>
      <c r="AE368" s="68"/>
      <c r="AN368" s="66"/>
      <c r="AO368" s="66"/>
      <c r="AP368" s="68"/>
      <c r="AW368" s="66"/>
      <c r="AX368" s="68"/>
      <c r="BD368" s="66"/>
      <c r="BE368" s="68"/>
      <c r="BF368" s="66"/>
      <c r="BG368" s="66"/>
      <c r="BH368" s="66"/>
      <c r="BI368" s="66"/>
      <c r="BJ368" s="66"/>
      <c r="BK368" s="66"/>
      <c r="BL368" s="68"/>
      <c r="BO368" s="66"/>
      <c r="BP368" s="68"/>
      <c r="BV368" s="66"/>
      <c r="BW368" s="68"/>
      <c r="CB368" s="8"/>
      <c r="CH368" s="8"/>
      <c r="CK368" s="299"/>
      <c r="CL368" s="299"/>
      <c r="CM368" s="66"/>
      <c r="CN368" s="66"/>
      <c r="CO368" s="68"/>
      <c r="CR368" s="8"/>
      <c r="CX368" s="66"/>
      <c r="CY368" s="532"/>
      <c r="DE368" s="66"/>
      <c r="DF368" s="66"/>
      <c r="DG368" s="68"/>
      <c r="DH368" s="68"/>
      <c r="DK368" s="66"/>
      <c r="DL368" s="66"/>
      <c r="DM368" s="66"/>
      <c r="DN368" s="66"/>
      <c r="DO368" s="66"/>
      <c r="DP368" s="66"/>
      <c r="DQ368" s="66"/>
      <c r="DR368" s="66"/>
      <c r="DS368" s="66"/>
      <c r="DT368" s="68"/>
      <c r="DU368" s="66"/>
      <c r="DV368" s="296"/>
      <c r="DW368" s="330"/>
      <c r="DX368" s="631"/>
      <c r="DY368" s="631"/>
      <c r="DZ368" s="631"/>
      <c r="EA368" s="330"/>
      <c r="EC368" s="66"/>
      <c r="ED368" s="68"/>
      <c r="EH368" s="66"/>
      <c r="EI368" s="66"/>
      <c r="EJ368" s="68"/>
      <c r="EK368" s="252"/>
      <c r="EL368" s="252"/>
      <c r="EM368" s="252"/>
      <c r="EO368" s="252"/>
      <c r="EP368" s="252"/>
      <c r="EQ368" s="252"/>
      <c r="ES368" s="252"/>
      <c r="ET368" s="252"/>
      <c r="EU368" s="252"/>
      <c r="EW368" s="252"/>
      <c r="EX368" s="252"/>
      <c r="EY368" s="252"/>
      <c r="FA368" s="250"/>
      <c r="FB368" s="250"/>
      <c r="FC368" s="250"/>
      <c r="FD368" s="250"/>
      <c r="FE368" s="250"/>
      <c r="FF368" s="250"/>
      <c r="FG368" s="250"/>
      <c r="FH368" s="424"/>
      <c r="FI368" s="250"/>
      <c r="FJ368" s="250"/>
      <c r="FK368" s="250"/>
      <c r="FL368" s="256"/>
      <c r="FM368" s="250"/>
      <c r="FN368" s="256"/>
      <c r="FO368" s="250"/>
      <c r="FP368" s="256"/>
      <c r="FQ368" s="250"/>
      <c r="FR368" s="256"/>
      <c r="FS368" s="250"/>
      <c r="FT368" s="256"/>
      <c r="FU368" s="256"/>
      <c r="FV368" s="256"/>
      <c r="FW368" s="250"/>
      <c r="FX368" s="424"/>
      <c r="FY368" s="251"/>
      <c r="GC368" s="252"/>
      <c r="GF368" s="252"/>
      <c r="GG368" s="252"/>
      <c r="GH368" s="252"/>
      <c r="GI368" s="252"/>
      <c r="GJ368" s="252"/>
      <c r="GK368" s="251"/>
      <c r="GL368" s="250"/>
      <c r="GM368" s="250"/>
      <c r="GN368" s="250"/>
      <c r="GO368" s="250"/>
      <c r="GP368" s="250"/>
      <c r="GQ368" s="250"/>
      <c r="GR368" s="250"/>
      <c r="GS368" s="250"/>
      <c r="GT368" s="250"/>
      <c r="GU368" s="251"/>
      <c r="GV368" s="250"/>
      <c r="GW368" s="250"/>
      <c r="GX368" s="250"/>
      <c r="GY368" s="250"/>
      <c r="GZ368" s="250"/>
      <c r="HA368" s="250"/>
      <c r="HB368" s="250"/>
      <c r="HC368" s="250"/>
      <c r="HD368" s="250"/>
      <c r="HE368" s="250"/>
      <c r="HF368" s="250"/>
      <c r="HG368" s="250"/>
      <c r="HH368" s="251"/>
      <c r="HI368" s="424"/>
      <c r="HJ368" s="255"/>
      <c r="HK368" s="255"/>
      <c r="HL368" s="250"/>
      <c r="HM368" s="255"/>
      <c r="HN368" s="255"/>
      <c r="HO368" s="255"/>
      <c r="HP368" s="250"/>
      <c r="HQ368" s="250"/>
      <c r="HR368" s="250"/>
      <c r="HS368" s="250"/>
      <c r="HT368" s="250"/>
      <c r="HU368" s="251"/>
      <c r="HX368" s="252"/>
      <c r="HY368" s="252"/>
      <c r="HZ368" s="252"/>
      <c r="ID368" s="252"/>
      <c r="IE368" s="252"/>
      <c r="IF368" s="252"/>
      <c r="IJ368" s="252"/>
      <c r="IK368" s="252"/>
      <c r="IL368" s="252"/>
      <c r="IP368" s="252"/>
      <c r="IQ368" s="252"/>
      <c r="IR368" s="252"/>
      <c r="IY368" s="66"/>
      <c r="IZ368" s="66"/>
      <c r="JA368" s="66"/>
      <c r="JB368" s="250"/>
      <c r="JC368" s="66"/>
      <c r="JD368" s="66"/>
      <c r="JE368" s="66"/>
      <c r="JF368" s="66"/>
      <c r="JG368" s="66"/>
      <c r="JH368" s="66"/>
      <c r="JI368" s="66"/>
      <c r="JJ368" s="66"/>
      <c r="JK368" s="8"/>
      <c r="JN368" s="252"/>
      <c r="JO368" s="252"/>
      <c r="JP368" s="252"/>
      <c r="JT368" s="252"/>
      <c r="JU368" s="252"/>
      <c r="JV368" s="252"/>
      <c r="JZ368" s="252"/>
      <c r="KA368" s="252"/>
      <c r="KB368" s="252"/>
      <c r="KF368" s="252"/>
      <c r="KG368" s="252"/>
      <c r="KH368" s="252"/>
      <c r="KO368" s="66"/>
      <c r="KP368" s="66"/>
      <c r="KQ368" s="66"/>
      <c r="KR368" s="66"/>
      <c r="KS368" s="66"/>
      <c r="KT368" s="66"/>
      <c r="KU368" s="66"/>
      <c r="KV368" s="66"/>
      <c r="KW368" s="66"/>
      <c r="KX368" s="66"/>
      <c r="KY368" s="66"/>
      <c r="KZ368" s="66"/>
      <c r="LA368" s="8"/>
      <c r="LD368" s="252"/>
      <c r="LE368" s="252"/>
      <c r="LF368" s="252"/>
      <c r="LJ368" s="252"/>
      <c r="LK368" s="252"/>
      <c r="LN368" s="252"/>
      <c r="LO368" s="252"/>
      <c r="LP368" s="252"/>
      <c r="LT368" s="271"/>
      <c r="LU368" s="250"/>
      <c r="LV368" s="250"/>
      <c r="LW368" s="250"/>
      <c r="LX368" s="250"/>
      <c r="LY368" s="250"/>
      <c r="LZ368" s="250"/>
      <c r="MA368" s="250"/>
      <c r="MB368" s="250"/>
      <c r="MC368" s="250"/>
      <c r="MD368" s="250"/>
      <c r="ME368" s="250"/>
      <c r="MF368" s="250"/>
      <c r="MG368" s="250"/>
      <c r="MH368" s="250"/>
      <c r="MI368" s="250"/>
      <c r="MJ368" s="250"/>
      <c r="MK368" s="424"/>
      <c r="ML368" s="640"/>
      <c r="MM368" s="251"/>
      <c r="MN368" s="252"/>
      <c r="MO368" s="252"/>
      <c r="MP368" s="252"/>
      <c r="MQ368" s="252"/>
      <c r="MR368" s="252"/>
      <c r="MS368" s="252"/>
      <c r="MT368" s="252"/>
      <c r="MU368" s="252"/>
      <c r="MV368" s="252"/>
      <c r="MW368" s="252"/>
      <c r="MX368" s="252"/>
      <c r="MY368" s="252"/>
      <c r="MZ368" s="252"/>
      <c r="NA368" s="252"/>
      <c r="NB368" s="252"/>
      <c r="NC368" s="251"/>
      <c r="ND368" s="250"/>
      <c r="NE368" s="250"/>
      <c r="NF368" s="250"/>
      <c r="NG368" s="250"/>
      <c r="NH368" s="250"/>
      <c r="NI368" s="250"/>
      <c r="NJ368" s="250"/>
      <c r="NK368" s="250"/>
      <c r="NL368" s="250"/>
      <c r="NM368" s="250"/>
      <c r="NN368" s="250"/>
      <c r="NO368" s="250"/>
      <c r="NP368" s="250"/>
      <c r="NQ368" s="250"/>
      <c r="NR368" s="250"/>
      <c r="NS368" s="250"/>
      <c r="NT368" s="250"/>
      <c r="NU368" s="250"/>
      <c r="NV368" s="250"/>
      <c r="NW368" s="251"/>
      <c r="OT368" s="8"/>
      <c r="QG368" s="8"/>
      <c r="RT368" s="8"/>
    </row>
    <row r="369" spans="1:488" s="282" customFormat="1" x14ac:dyDescent="0.25">
      <c r="A369" s="66"/>
      <c r="B369" s="8"/>
      <c r="C369" s="66"/>
      <c r="D369" s="66"/>
      <c r="E369" s="66"/>
      <c r="F369" s="66"/>
      <c r="G369" s="66"/>
      <c r="H369" s="66"/>
      <c r="I369" s="66"/>
      <c r="J369" s="66"/>
      <c r="K369" s="66"/>
      <c r="L369" s="66"/>
      <c r="M369" s="66"/>
      <c r="N369" s="66"/>
      <c r="O369" s="66"/>
      <c r="P369" s="66"/>
      <c r="Q369" s="66"/>
      <c r="R369" s="66"/>
      <c r="S369" s="66"/>
      <c r="T369" s="68"/>
      <c r="AC369" s="66"/>
      <c r="AD369" s="66"/>
      <c r="AE369" s="68"/>
      <c r="AN369" s="66"/>
      <c r="AO369" s="66"/>
      <c r="AP369" s="68"/>
      <c r="AW369" s="66"/>
      <c r="AX369" s="68"/>
      <c r="BD369" s="66"/>
      <c r="BE369" s="68"/>
      <c r="BF369" s="66"/>
      <c r="BG369" s="66"/>
      <c r="BH369" s="66"/>
      <c r="BI369" s="66"/>
      <c r="BJ369" s="66"/>
      <c r="BK369" s="66"/>
      <c r="BL369" s="68"/>
      <c r="BO369" s="66"/>
      <c r="BP369" s="68"/>
      <c r="BV369" s="66"/>
      <c r="BW369" s="68"/>
      <c r="CB369" s="8"/>
      <c r="CH369" s="8"/>
      <c r="CK369" s="299"/>
      <c r="CL369" s="299"/>
      <c r="CM369" s="66"/>
      <c r="CN369" s="66"/>
      <c r="CO369" s="68"/>
      <c r="CR369" s="8"/>
      <c r="CX369" s="66"/>
      <c r="CY369" s="532"/>
      <c r="DE369" s="66"/>
      <c r="DF369" s="66"/>
      <c r="DG369" s="68"/>
      <c r="DH369" s="68"/>
      <c r="DK369" s="66"/>
      <c r="DL369" s="66"/>
      <c r="DM369" s="66"/>
      <c r="DN369" s="66"/>
      <c r="DO369" s="66"/>
      <c r="DP369" s="66"/>
      <c r="DQ369" s="66"/>
      <c r="DR369" s="66"/>
      <c r="DS369" s="66"/>
      <c r="DT369" s="68"/>
      <c r="DU369" s="66"/>
      <c r="DV369" s="296"/>
      <c r="DW369" s="330"/>
      <c r="DX369" s="631"/>
      <c r="DY369" s="631"/>
      <c r="DZ369" s="631"/>
      <c r="EA369" s="330"/>
      <c r="EC369" s="66"/>
      <c r="ED369" s="68"/>
      <c r="EH369" s="66"/>
      <c r="EI369" s="66"/>
      <c r="EJ369" s="68"/>
      <c r="EK369" s="252"/>
      <c r="EL369" s="252"/>
      <c r="EM369" s="252"/>
      <c r="EO369" s="252"/>
      <c r="EP369" s="252"/>
      <c r="EQ369" s="252"/>
      <c r="ES369" s="252"/>
      <c r="ET369" s="252"/>
      <c r="EU369" s="252"/>
      <c r="EW369" s="252"/>
      <c r="EX369" s="252"/>
      <c r="EY369" s="252"/>
      <c r="FA369" s="250"/>
      <c r="FB369" s="250"/>
      <c r="FC369" s="250"/>
      <c r="FD369" s="250"/>
      <c r="FE369" s="250"/>
      <c r="FF369" s="250"/>
      <c r="FG369" s="250"/>
      <c r="FH369" s="424"/>
      <c r="FI369" s="250"/>
      <c r="FJ369" s="250"/>
      <c r="FK369" s="250"/>
      <c r="FL369" s="256"/>
      <c r="FM369" s="250"/>
      <c r="FN369" s="256"/>
      <c r="FO369" s="250"/>
      <c r="FP369" s="256"/>
      <c r="FQ369" s="250"/>
      <c r="FR369" s="256"/>
      <c r="FS369" s="250"/>
      <c r="FT369" s="256"/>
      <c r="FU369" s="256"/>
      <c r="FV369" s="256"/>
      <c r="FW369" s="250"/>
      <c r="FX369" s="424"/>
      <c r="FY369" s="251"/>
      <c r="GC369" s="252"/>
      <c r="GF369" s="252"/>
      <c r="GG369" s="252"/>
      <c r="GH369" s="252"/>
      <c r="GI369" s="252"/>
      <c r="GJ369" s="252"/>
      <c r="GK369" s="251"/>
      <c r="GL369" s="250"/>
      <c r="GM369" s="250"/>
      <c r="GN369" s="250"/>
      <c r="GO369" s="250"/>
      <c r="GP369" s="250"/>
      <c r="GQ369" s="250"/>
      <c r="GR369" s="250"/>
      <c r="GS369" s="250"/>
      <c r="GT369" s="250"/>
      <c r="GU369" s="251"/>
      <c r="GV369" s="250"/>
      <c r="GW369" s="250"/>
      <c r="GX369" s="250"/>
      <c r="GY369" s="250"/>
      <c r="GZ369" s="250"/>
      <c r="HA369" s="250"/>
      <c r="HB369" s="250"/>
      <c r="HC369" s="250"/>
      <c r="HD369" s="250"/>
      <c r="HE369" s="250"/>
      <c r="HF369" s="250"/>
      <c r="HG369" s="250"/>
      <c r="HH369" s="251"/>
      <c r="HI369" s="424"/>
      <c r="HJ369" s="255"/>
      <c r="HK369" s="255"/>
      <c r="HL369" s="250"/>
      <c r="HM369" s="255"/>
      <c r="HN369" s="255"/>
      <c r="HO369" s="255"/>
      <c r="HP369" s="250"/>
      <c r="HQ369" s="250"/>
      <c r="HR369" s="250"/>
      <c r="HS369" s="250"/>
      <c r="HT369" s="250"/>
      <c r="HU369" s="251"/>
      <c r="HX369" s="252"/>
      <c r="HY369" s="252"/>
      <c r="HZ369" s="252"/>
      <c r="ID369" s="252"/>
      <c r="IE369" s="252"/>
      <c r="IF369" s="252"/>
      <c r="IJ369" s="252"/>
      <c r="IK369" s="252"/>
      <c r="IL369" s="252"/>
      <c r="IP369" s="252"/>
      <c r="IQ369" s="252"/>
      <c r="IR369" s="252"/>
      <c r="IY369" s="66"/>
      <c r="IZ369" s="66"/>
      <c r="JA369" s="66"/>
      <c r="JB369" s="250"/>
      <c r="JC369" s="66"/>
      <c r="JD369" s="66"/>
      <c r="JE369" s="66"/>
      <c r="JF369" s="66"/>
      <c r="JG369" s="66"/>
      <c r="JH369" s="66"/>
      <c r="JI369" s="66"/>
      <c r="JJ369" s="66"/>
      <c r="JK369" s="8"/>
      <c r="JN369" s="252"/>
      <c r="JO369" s="252"/>
      <c r="JP369" s="252"/>
      <c r="JT369" s="252"/>
      <c r="JU369" s="252"/>
      <c r="JV369" s="252"/>
      <c r="JZ369" s="252"/>
      <c r="KA369" s="252"/>
      <c r="KB369" s="252"/>
      <c r="KF369" s="252"/>
      <c r="KG369" s="252"/>
      <c r="KH369" s="252"/>
      <c r="KO369" s="66"/>
      <c r="KP369" s="66"/>
      <c r="KQ369" s="66"/>
      <c r="KR369" s="66"/>
      <c r="KS369" s="66"/>
      <c r="KT369" s="66"/>
      <c r="KU369" s="66"/>
      <c r="KV369" s="66"/>
      <c r="KW369" s="66"/>
      <c r="KX369" s="66"/>
      <c r="KY369" s="66"/>
      <c r="KZ369" s="66"/>
      <c r="LA369" s="8"/>
      <c r="LD369" s="252"/>
      <c r="LE369" s="252"/>
      <c r="LF369" s="252"/>
      <c r="LJ369" s="252"/>
      <c r="LK369" s="252"/>
      <c r="LN369" s="252"/>
      <c r="LO369" s="252"/>
      <c r="LP369" s="252"/>
      <c r="LT369" s="271"/>
      <c r="LU369" s="250"/>
      <c r="LV369" s="250"/>
      <c r="LW369" s="250"/>
      <c r="LX369" s="250"/>
      <c r="LY369" s="250"/>
      <c r="LZ369" s="250"/>
      <c r="MA369" s="250"/>
      <c r="MB369" s="250"/>
      <c r="MC369" s="250"/>
      <c r="MD369" s="250"/>
      <c r="ME369" s="250"/>
      <c r="MF369" s="250"/>
      <c r="MG369" s="250"/>
      <c r="MH369" s="250"/>
      <c r="MI369" s="250"/>
      <c r="MJ369" s="250"/>
      <c r="MK369" s="424"/>
      <c r="ML369" s="640"/>
      <c r="MM369" s="251"/>
      <c r="MN369" s="252"/>
      <c r="MO369" s="252"/>
      <c r="MP369" s="252"/>
      <c r="MQ369" s="252"/>
      <c r="MR369" s="252"/>
      <c r="MS369" s="252"/>
      <c r="MT369" s="252"/>
      <c r="MU369" s="252"/>
      <c r="MV369" s="252"/>
      <c r="MW369" s="252"/>
      <c r="MX369" s="252"/>
      <c r="MY369" s="252"/>
      <c r="MZ369" s="252"/>
      <c r="NA369" s="252"/>
      <c r="NB369" s="252"/>
      <c r="NC369" s="251"/>
      <c r="ND369" s="250"/>
      <c r="NE369" s="250"/>
      <c r="NF369" s="250"/>
      <c r="NG369" s="250"/>
      <c r="NH369" s="250"/>
      <c r="NI369" s="250"/>
      <c r="NJ369" s="250"/>
      <c r="NK369" s="250"/>
      <c r="NL369" s="250"/>
      <c r="NM369" s="250"/>
      <c r="NN369" s="250"/>
      <c r="NO369" s="250"/>
      <c r="NP369" s="250"/>
      <c r="NQ369" s="250"/>
      <c r="NR369" s="250"/>
      <c r="NS369" s="250"/>
      <c r="NT369" s="250"/>
      <c r="NU369" s="250"/>
      <c r="NV369" s="250"/>
      <c r="NW369" s="251"/>
      <c r="OT369" s="8"/>
      <c r="QG369" s="8"/>
      <c r="RT369" s="8"/>
    </row>
    <row r="370" spans="1:488" s="282" customFormat="1" x14ac:dyDescent="0.25">
      <c r="A370" s="66"/>
      <c r="B370" s="8"/>
      <c r="C370" s="66"/>
      <c r="D370" s="66"/>
      <c r="E370" s="66"/>
      <c r="F370" s="66"/>
      <c r="G370" s="66"/>
      <c r="H370" s="66"/>
      <c r="I370" s="66"/>
      <c r="J370" s="66"/>
      <c r="K370" s="66"/>
      <c r="L370" s="66"/>
      <c r="M370" s="66"/>
      <c r="N370" s="66"/>
      <c r="O370" s="66"/>
      <c r="P370" s="66"/>
      <c r="Q370" s="66"/>
      <c r="R370" s="66"/>
      <c r="S370" s="66"/>
      <c r="T370" s="68"/>
      <c r="AC370" s="66"/>
      <c r="AD370" s="66"/>
      <c r="AE370" s="68"/>
      <c r="AN370" s="66"/>
      <c r="AO370" s="66"/>
      <c r="AP370" s="68"/>
      <c r="AW370" s="66"/>
      <c r="AX370" s="68"/>
      <c r="BD370" s="66"/>
      <c r="BE370" s="68"/>
      <c r="BF370" s="66"/>
      <c r="BG370" s="66"/>
      <c r="BH370" s="66"/>
      <c r="BI370" s="66"/>
      <c r="BJ370" s="66"/>
      <c r="BK370" s="66"/>
      <c r="BL370" s="68"/>
      <c r="BO370" s="66"/>
      <c r="BP370" s="68"/>
      <c r="BV370" s="66"/>
      <c r="BW370" s="68"/>
      <c r="CB370" s="8"/>
      <c r="CH370" s="8"/>
      <c r="CK370" s="299"/>
      <c r="CL370" s="299"/>
      <c r="CM370" s="66"/>
      <c r="CN370" s="66"/>
      <c r="CO370" s="68"/>
      <c r="CR370" s="8"/>
      <c r="CX370" s="66"/>
      <c r="CY370" s="532"/>
      <c r="DE370" s="66"/>
      <c r="DF370" s="66"/>
      <c r="DG370" s="68"/>
      <c r="DH370" s="68"/>
      <c r="DK370" s="66"/>
      <c r="DL370" s="66"/>
      <c r="DM370" s="66"/>
      <c r="DN370" s="66"/>
      <c r="DO370" s="66"/>
      <c r="DP370" s="66"/>
      <c r="DQ370" s="66"/>
      <c r="DR370" s="66"/>
      <c r="DS370" s="66"/>
      <c r="DT370" s="68"/>
      <c r="DU370" s="66"/>
      <c r="DV370" s="296"/>
      <c r="DW370" s="330"/>
      <c r="DX370" s="631"/>
      <c r="DY370" s="631"/>
      <c r="DZ370" s="631"/>
      <c r="EA370" s="330"/>
      <c r="EC370" s="66"/>
      <c r="ED370" s="68"/>
      <c r="EH370" s="66"/>
      <c r="EI370" s="66"/>
      <c r="EJ370" s="68"/>
      <c r="EK370" s="252"/>
      <c r="EL370" s="252"/>
      <c r="EM370" s="252"/>
      <c r="EO370" s="252"/>
      <c r="EP370" s="252"/>
      <c r="EQ370" s="252"/>
      <c r="ES370" s="252"/>
      <c r="ET370" s="252"/>
      <c r="EU370" s="252"/>
      <c r="EW370" s="252"/>
      <c r="EX370" s="252"/>
      <c r="EY370" s="252"/>
      <c r="FA370" s="250"/>
      <c r="FB370" s="250"/>
      <c r="FC370" s="250"/>
      <c r="FD370" s="250"/>
      <c r="FE370" s="250"/>
      <c r="FF370" s="250"/>
      <c r="FG370" s="250"/>
      <c r="FH370" s="424"/>
      <c r="FI370" s="250"/>
      <c r="FJ370" s="250"/>
      <c r="FK370" s="250"/>
      <c r="FL370" s="256"/>
      <c r="FM370" s="250"/>
      <c r="FN370" s="256"/>
      <c r="FO370" s="250"/>
      <c r="FP370" s="256"/>
      <c r="FQ370" s="250"/>
      <c r="FR370" s="256"/>
      <c r="FS370" s="250"/>
      <c r="FT370" s="256"/>
      <c r="FU370" s="256"/>
      <c r="FV370" s="256"/>
      <c r="FW370" s="250"/>
      <c r="FX370" s="424"/>
      <c r="FY370" s="251"/>
      <c r="GC370" s="252"/>
      <c r="GF370" s="252"/>
      <c r="GG370" s="252"/>
      <c r="GH370" s="252"/>
      <c r="GI370" s="252"/>
      <c r="GJ370" s="252"/>
      <c r="GK370" s="251"/>
      <c r="GL370" s="250"/>
      <c r="GM370" s="250"/>
      <c r="GN370" s="250"/>
      <c r="GO370" s="250"/>
      <c r="GP370" s="250"/>
      <c r="GQ370" s="250"/>
      <c r="GR370" s="250"/>
      <c r="GS370" s="250"/>
      <c r="GT370" s="250"/>
      <c r="GU370" s="251"/>
      <c r="GV370" s="250"/>
      <c r="GW370" s="250"/>
      <c r="GX370" s="250"/>
      <c r="GY370" s="250"/>
      <c r="GZ370" s="250"/>
      <c r="HA370" s="250"/>
      <c r="HB370" s="250"/>
      <c r="HC370" s="250"/>
      <c r="HD370" s="250"/>
      <c r="HE370" s="250"/>
      <c r="HF370" s="250"/>
      <c r="HG370" s="250"/>
      <c r="HH370" s="251"/>
      <c r="HI370" s="424"/>
      <c r="HJ370" s="255"/>
      <c r="HK370" s="255"/>
      <c r="HL370" s="250"/>
      <c r="HM370" s="255"/>
      <c r="HN370" s="255"/>
      <c r="HO370" s="255"/>
      <c r="HP370" s="250"/>
      <c r="HQ370" s="250"/>
      <c r="HR370" s="250"/>
      <c r="HS370" s="250"/>
      <c r="HT370" s="250"/>
      <c r="HU370" s="251"/>
      <c r="HX370" s="252"/>
      <c r="HY370" s="252"/>
      <c r="HZ370" s="252"/>
      <c r="ID370" s="252"/>
      <c r="IE370" s="252"/>
      <c r="IF370" s="252"/>
      <c r="IJ370" s="252"/>
      <c r="IK370" s="252"/>
      <c r="IL370" s="252"/>
      <c r="IP370" s="252"/>
      <c r="IQ370" s="252"/>
      <c r="IR370" s="252"/>
      <c r="IY370" s="66"/>
      <c r="IZ370" s="66"/>
      <c r="JA370" s="66"/>
      <c r="JB370" s="250"/>
      <c r="JC370" s="66"/>
      <c r="JD370" s="66"/>
      <c r="JE370" s="66"/>
      <c r="JF370" s="66"/>
      <c r="JG370" s="66"/>
      <c r="JH370" s="66"/>
      <c r="JI370" s="66"/>
      <c r="JJ370" s="66"/>
      <c r="JK370" s="8"/>
      <c r="JN370" s="252"/>
      <c r="JO370" s="252"/>
      <c r="JP370" s="252"/>
      <c r="JT370" s="252"/>
      <c r="JU370" s="252"/>
      <c r="JV370" s="252"/>
      <c r="JZ370" s="252"/>
      <c r="KA370" s="252"/>
      <c r="KB370" s="252"/>
      <c r="KF370" s="252"/>
      <c r="KG370" s="252"/>
      <c r="KH370" s="252"/>
      <c r="KO370" s="66"/>
      <c r="KP370" s="66"/>
      <c r="KQ370" s="66"/>
      <c r="KR370" s="66"/>
      <c r="KS370" s="66"/>
      <c r="KT370" s="66"/>
      <c r="KU370" s="66"/>
      <c r="KV370" s="66"/>
      <c r="KW370" s="66"/>
      <c r="KX370" s="66"/>
      <c r="KY370" s="66"/>
      <c r="KZ370" s="66"/>
      <c r="LA370" s="8"/>
      <c r="LD370" s="252"/>
      <c r="LE370" s="252"/>
      <c r="LF370" s="252"/>
      <c r="LJ370" s="252"/>
      <c r="LK370" s="252"/>
      <c r="LN370" s="252"/>
      <c r="LO370" s="252"/>
      <c r="LP370" s="252"/>
      <c r="LT370" s="271"/>
      <c r="LU370" s="250"/>
      <c r="LV370" s="250"/>
      <c r="LW370" s="250"/>
      <c r="LX370" s="250"/>
      <c r="LY370" s="250"/>
      <c r="LZ370" s="250"/>
      <c r="MA370" s="250"/>
      <c r="MB370" s="250"/>
      <c r="MC370" s="250"/>
      <c r="MD370" s="250"/>
      <c r="ME370" s="250"/>
      <c r="MF370" s="250"/>
      <c r="MG370" s="250"/>
      <c r="MH370" s="250"/>
      <c r="MI370" s="250"/>
      <c r="MJ370" s="250"/>
      <c r="MK370" s="424"/>
      <c r="ML370" s="640"/>
      <c r="MM370" s="251"/>
      <c r="MN370" s="252"/>
      <c r="MO370" s="252"/>
      <c r="MP370" s="252"/>
      <c r="MQ370" s="252"/>
      <c r="MR370" s="252"/>
      <c r="MS370" s="252"/>
      <c r="MT370" s="252"/>
      <c r="MU370" s="252"/>
      <c r="MV370" s="252"/>
      <c r="MW370" s="252"/>
      <c r="MX370" s="252"/>
      <c r="MY370" s="252"/>
      <c r="MZ370" s="252"/>
      <c r="NA370" s="252"/>
      <c r="NB370" s="252"/>
      <c r="NC370" s="251"/>
      <c r="ND370" s="250"/>
      <c r="NE370" s="250"/>
      <c r="NF370" s="250"/>
      <c r="NG370" s="250"/>
      <c r="NH370" s="250"/>
      <c r="NI370" s="250"/>
      <c r="NJ370" s="250"/>
      <c r="NK370" s="250"/>
      <c r="NL370" s="250"/>
      <c r="NM370" s="250"/>
      <c r="NN370" s="250"/>
      <c r="NO370" s="250"/>
      <c r="NP370" s="250"/>
      <c r="NQ370" s="250"/>
      <c r="NR370" s="250"/>
      <c r="NS370" s="250"/>
      <c r="NT370" s="250"/>
      <c r="NU370" s="250"/>
      <c r="NV370" s="250"/>
      <c r="NW370" s="251"/>
      <c r="OT370" s="8"/>
      <c r="QG370" s="8"/>
      <c r="RT370" s="8"/>
    </row>
    <row r="371" spans="1:488" s="282" customFormat="1" x14ac:dyDescent="0.25">
      <c r="A371" s="66"/>
      <c r="B371" s="8"/>
      <c r="C371" s="66"/>
      <c r="D371" s="66"/>
      <c r="E371" s="66"/>
      <c r="F371" s="66"/>
      <c r="G371" s="66"/>
      <c r="H371" s="66"/>
      <c r="I371" s="66"/>
      <c r="J371" s="66"/>
      <c r="K371" s="66"/>
      <c r="L371" s="66"/>
      <c r="M371" s="66"/>
      <c r="N371" s="66"/>
      <c r="O371" s="66"/>
      <c r="P371" s="66"/>
      <c r="Q371" s="66"/>
      <c r="R371" s="66"/>
      <c r="S371" s="66"/>
      <c r="T371" s="68"/>
      <c r="AC371" s="66"/>
      <c r="AD371" s="66"/>
      <c r="AE371" s="68"/>
      <c r="AN371" s="66"/>
      <c r="AO371" s="66"/>
      <c r="AP371" s="68"/>
      <c r="AW371" s="66"/>
      <c r="AX371" s="68"/>
      <c r="BD371" s="66"/>
      <c r="BE371" s="68"/>
      <c r="BF371" s="66"/>
      <c r="BG371" s="66"/>
      <c r="BH371" s="66"/>
      <c r="BI371" s="66"/>
      <c r="BJ371" s="66"/>
      <c r="BK371" s="66"/>
      <c r="BL371" s="68"/>
      <c r="BO371" s="66"/>
      <c r="BP371" s="68"/>
      <c r="BV371" s="66"/>
      <c r="BW371" s="68"/>
      <c r="CB371" s="8"/>
      <c r="CH371" s="8"/>
      <c r="CK371" s="299"/>
      <c r="CL371" s="299"/>
      <c r="CM371" s="66"/>
      <c r="CN371" s="66"/>
      <c r="CO371" s="68"/>
      <c r="CR371" s="8"/>
      <c r="CX371" s="66"/>
      <c r="CY371" s="532"/>
      <c r="DE371" s="66"/>
      <c r="DF371" s="66"/>
      <c r="DG371" s="68"/>
      <c r="DH371" s="68"/>
      <c r="DK371" s="66"/>
      <c r="DL371" s="66"/>
      <c r="DM371" s="66"/>
      <c r="DN371" s="66"/>
      <c r="DO371" s="66"/>
      <c r="DP371" s="66"/>
      <c r="DQ371" s="66"/>
      <c r="DR371" s="66"/>
      <c r="DS371" s="66"/>
      <c r="DT371" s="68"/>
      <c r="DU371" s="66"/>
      <c r="DV371" s="296"/>
      <c r="DW371" s="330"/>
      <c r="DX371" s="631"/>
      <c r="DY371" s="631"/>
      <c r="DZ371" s="631"/>
      <c r="EA371" s="330"/>
      <c r="EC371" s="66"/>
      <c r="ED371" s="68"/>
      <c r="EH371" s="66"/>
      <c r="EI371" s="66"/>
      <c r="EJ371" s="68"/>
      <c r="EK371" s="252"/>
      <c r="EL371" s="252"/>
      <c r="EM371" s="252"/>
      <c r="EO371" s="252"/>
      <c r="EP371" s="252"/>
      <c r="EQ371" s="252"/>
      <c r="ES371" s="252"/>
      <c r="ET371" s="252"/>
      <c r="EU371" s="252"/>
      <c r="EW371" s="252"/>
      <c r="EX371" s="252"/>
      <c r="EY371" s="252"/>
      <c r="FA371" s="250"/>
      <c r="FB371" s="250"/>
      <c r="FC371" s="250"/>
      <c r="FD371" s="250"/>
      <c r="FE371" s="250"/>
      <c r="FF371" s="250"/>
      <c r="FG371" s="250"/>
      <c r="FH371" s="424"/>
      <c r="FI371" s="250"/>
      <c r="FJ371" s="250"/>
      <c r="FK371" s="250"/>
      <c r="FL371" s="256"/>
      <c r="FM371" s="250"/>
      <c r="FN371" s="256"/>
      <c r="FO371" s="250"/>
      <c r="FP371" s="256"/>
      <c r="FQ371" s="250"/>
      <c r="FR371" s="256"/>
      <c r="FS371" s="250"/>
      <c r="FT371" s="256"/>
      <c r="FU371" s="256"/>
      <c r="FV371" s="256"/>
      <c r="FW371" s="250"/>
      <c r="FX371" s="424"/>
      <c r="FY371" s="251"/>
      <c r="GC371" s="252"/>
      <c r="GF371" s="252"/>
      <c r="GG371" s="252"/>
      <c r="GH371" s="252"/>
      <c r="GI371" s="252"/>
      <c r="GJ371" s="252"/>
      <c r="GK371" s="251"/>
      <c r="GL371" s="250"/>
      <c r="GM371" s="250"/>
      <c r="GN371" s="250"/>
      <c r="GO371" s="250"/>
      <c r="GP371" s="250"/>
      <c r="GQ371" s="250"/>
      <c r="GR371" s="250"/>
      <c r="GS371" s="250"/>
      <c r="GT371" s="250"/>
      <c r="GU371" s="251"/>
      <c r="GV371" s="250"/>
      <c r="GW371" s="250"/>
      <c r="GX371" s="250"/>
      <c r="GY371" s="250"/>
      <c r="GZ371" s="250"/>
      <c r="HA371" s="250"/>
      <c r="HB371" s="250"/>
      <c r="HC371" s="250"/>
      <c r="HD371" s="250"/>
      <c r="HE371" s="250"/>
      <c r="HF371" s="250"/>
      <c r="HG371" s="250"/>
      <c r="HH371" s="251"/>
      <c r="HI371" s="424"/>
      <c r="HJ371" s="255"/>
      <c r="HK371" s="255"/>
      <c r="HL371" s="250"/>
      <c r="HM371" s="255"/>
      <c r="HN371" s="255"/>
      <c r="HO371" s="255"/>
      <c r="HP371" s="250"/>
      <c r="HQ371" s="250"/>
      <c r="HR371" s="250"/>
      <c r="HS371" s="250"/>
      <c r="HT371" s="250"/>
      <c r="HU371" s="251"/>
      <c r="HX371" s="252"/>
      <c r="HY371" s="252"/>
      <c r="HZ371" s="252"/>
      <c r="ID371" s="252"/>
      <c r="IE371" s="252"/>
      <c r="IF371" s="252"/>
      <c r="IJ371" s="252"/>
      <c r="IK371" s="252"/>
      <c r="IL371" s="252"/>
      <c r="IP371" s="252"/>
      <c r="IQ371" s="252"/>
      <c r="IR371" s="252"/>
      <c r="IY371" s="66"/>
      <c r="IZ371" s="66"/>
      <c r="JA371" s="66"/>
      <c r="JB371" s="250"/>
      <c r="JC371" s="66"/>
      <c r="JD371" s="66"/>
      <c r="JE371" s="66"/>
      <c r="JF371" s="66"/>
      <c r="JG371" s="66"/>
      <c r="JH371" s="66"/>
      <c r="JI371" s="66"/>
      <c r="JJ371" s="66"/>
      <c r="JK371" s="8"/>
      <c r="JN371" s="252"/>
      <c r="JO371" s="252"/>
      <c r="JP371" s="252"/>
      <c r="JT371" s="252"/>
      <c r="JU371" s="252"/>
      <c r="JV371" s="252"/>
      <c r="JZ371" s="252"/>
      <c r="KA371" s="252"/>
      <c r="KB371" s="252"/>
      <c r="KF371" s="252"/>
      <c r="KG371" s="252"/>
      <c r="KH371" s="252"/>
      <c r="KO371" s="66"/>
      <c r="KP371" s="66"/>
      <c r="KQ371" s="66"/>
      <c r="KR371" s="66"/>
      <c r="KS371" s="66"/>
      <c r="KT371" s="66"/>
      <c r="KU371" s="66"/>
      <c r="KV371" s="66"/>
      <c r="KW371" s="66"/>
      <c r="KX371" s="66"/>
      <c r="KY371" s="66"/>
      <c r="KZ371" s="66"/>
      <c r="LA371" s="8"/>
      <c r="LD371" s="252"/>
      <c r="LE371" s="252"/>
      <c r="LF371" s="252"/>
      <c r="LJ371" s="252"/>
      <c r="LK371" s="252"/>
      <c r="LN371" s="252"/>
      <c r="LO371" s="252"/>
      <c r="LP371" s="252"/>
      <c r="LT371" s="271"/>
      <c r="LU371" s="250"/>
      <c r="LV371" s="250"/>
      <c r="LW371" s="250"/>
      <c r="LX371" s="250"/>
      <c r="LY371" s="250"/>
      <c r="LZ371" s="250"/>
      <c r="MA371" s="250"/>
      <c r="MB371" s="250"/>
      <c r="MC371" s="250"/>
      <c r="MD371" s="250"/>
      <c r="ME371" s="250"/>
      <c r="MF371" s="250"/>
      <c r="MG371" s="250"/>
      <c r="MH371" s="250"/>
      <c r="MI371" s="250"/>
      <c r="MJ371" s="250"/>
      <c r="MK371" s="424"/>
      <c r="ML371" s="640"/>
      <c r="MM371" s="251"/>
      <c r="MN371" s="252"/>
      <c r="MO371" s="252"/>
      <c r="MP371" s="252"/>
      <c r="MQ371" s="252"/>
      <c r="MR371" s="252"/>
      <c r="MS371" s="252"/>
      <c r="MT371" s="252"/>
      <c r="MU371" s="252"/>
      <c r="MV371" s="252"/>
      <c r="MW371" s="252"/>
      <c r="MX371" s="252"/>
      <c r="MY371" s="252"/>
      <c r="MZ371" s="252"/>
      <c r="NA371" s="252"/>
      <c r="NB371" s="252"/>
      <c r="NC371" s="251"/>
      <c r="ND371" s="250"/>
      <c r="NE371" s="250"/>
      <c r="NF371" s="250"/>
      <c r="NG371" s="250"/>
      <c r="NH371" s="250"/>
      <c r="NI371" s="250"/>
      <c r="NJ371" s="250"/>
      <c r="NK371" s="250"/>
      <c r="NL371" s="250"/>
      <c r="NM371" s="250"/>
      <c r="NN371" s="250"/>
      <c r="NO371" s="250"/>
      <c r="NP371" s="250"/>
      <c r="NQ371" s="250"/>
      <c r="NR371" s="250"/>
      <c r="NS371" s="250"/>
      <c r="NT371" s="250"/>
      <c r="NU371" s="250"/>
      <c r="NV371" s="250"/>
      <c r="NW371" s="251"/>
      <c r="OT371" s="8"/>
      <c r="QG371" s="8"/>
      <c r="RT371" s="8"/>
    </row>
    <row r="372" spans="1:488" s="282" customFormat="1" x14ac:dyDescent="0.25">
      <c r="A372" s="66"/>
      <c r="B372" s="8"/>
      <c r="C372" s="66"/>
      <c r="D372" s="66"/>
      <c r="E372" s="66"/>
      <c r="F372" s="66"/>
      <c r="G372" s="66"/>
      <c r="H372" s="66"/>
      <c r="I372" s="66"/>
      <c r="J372" s="66"/>
      <c r="K372" s="66"/>
      <c r="L372" s="66"/>
      <c r="M372" s="66"/>
      <c r="N372" s="66"/>
      <c r="O372" s="66"/>
      <c r="P372" s="66"/>
      <c r="Q372" s="66"/>
      <c r="R372" s="66"/>
      <c r="S372" s="66"/>
      <c r="T372" s="68"/>
      <c r="AC372" s="66"/>
      <c r="AD372" s="66"/>
      <c r="AE372" s="68"/>
      <c r="AN372" s="66"/>
      <c r="AO372" s="66"/>
      <c r="AP372" s="68"/>
      <c r="AW372" s="66"/>
      <c r="AX372" s="68"/>
      <c r="BD372" s="66"/>
      <c r="BE372" s="68"/>
      <c r="BF372" s="66"/>
      <c r="BG372" s="66"/>
      <c r="BH372" s="66"/>
      <c r="BI372" s="66"/>
      <c r="BJ372" s="66"/>
      <c r="BK372" s="66"/>
      <c r="BL372" s="68"/>
      <c r="BO372" s="66"/>
      <c r="BP372" s="68"/>
      <c r="BV372" s="66"/>
      <c r="BW372" s="68"/>
      <c r="CB372" s="8"/>
      <c r="CH372" s="8"/>
      <c r="CK372" s="299"/>
      <c r="CL372" s="299"/>
      <c r="CM372" s="66"/>
      <c r="CN372" s="66"/>
      <c r="CO372" s="68"/>
      <c r="CR372" s="8"/>
      <c r="CX372" s="66"/>
      <c r="CY372" s="532"/>
      <c r="DE372" s="66"/>
      <c r="DF372" s="66"/>
      <c r="DG372" s="68"/>
      <c r="DH372" s="68"/>
      <c r="DK372" s="66"/>
      <c r="DL372" s="66"/>
      <c r="DM372" s="66"/>
      <c r="DN372" s="66"/>
      <c r="DO372" s="66"/>
      <c r="DP372" s="66"/>
      <c r="DQ372" s="66"/>
      <c r="DR372" s="66"/>
      <c r="DS372" s="66"/>
      <c r="DT372" s="68"/>
      <c r="DU372" s="66"/>
      <c r="DV372" s="296"/>
      <c r="DW372" s="330"/>
      <c r="DX372" s="631"/>
      <c r="DY372" s="631"/>
      <c r="DZ372" s="631"/>
      <c r="EA372" s="330"/>
      <c r="EC372" s="66"/>
      <c r="ED372" s="68"/>
      <c r="EH372" s="66"/>
      <c r="EI372" s="66"/>
      <c r="EJ372" s="68"/>
      <c r="EK372" s="252"/>
      <c r="EL372" s="252"/>
      <c r="EM372" s="252"/>
      <c r="EO372" s="252"/>
      <c r="EP372" s="252"/>
      <c r="EQ372" s="252"/>
      <c r="ES372" s="252"/>
      <c r="ET372" s="252"/>
      <c r="EU372" s="252"/>
      <c r="EW372" s="252"/>
      <c r="EX372" s="252"/>
      <c r="EY372" s="252"/>
      <c r="FA372" s="250"/>
      <c r="FB372" s="250"/>
      <c r="FC372" s="250"/>
      <c r="FD372" s="250"/>
      <c r="FE372" s="250"/>
      <c r="FF372" s="250"/>
      <c r="FG372" s="250"/>
      <c r="FH372" s="424"/>
      <c r="FI372" s="250"/>
      <c r="FJ372" s="250"/>
      <c r="FK372" s="250"/>
      <c r="FL372" s="256"/>
      <c r="FM372" s="250"/>
      <c r="FN372" s="256"/>
      <c r="FO372" s="250"/>
      <c r="FP372" s="256"/>
      <c r="FQ372" s="250"/>
      <c r="FR372" s="256"/>
      <c r="FS372" s="250"/>
      <c r="FT372" s="256"/>
      <c r="FU372" s="256"/>
      <c r="FV372" s="256"/>
      <c r="FW372" s="250"/>
      <c r="FX372" s="424"/>
      <c r="FY372" s="251"/>
      <c r="GC372" s="252"/>
      <c r="GF372" s="252"/>
      <c r="GG372" s="252"/>
      <c r="GH372" s="252"/>
      <c r="GI372" s="252"/>
      <c r="GJ372" s="252"/>
      <c r="GK372" s="251"/>
      <c r="GL372" s="250"/>
      <c r="GM372" s="250"/>
      <c r="GN372" s="250"/>
      <c r="GO372" s="250"/>
      <c r="GP372" s="250"/>
      <c r="GQ372" s="250"/>
      <c r="GR372" s="250"/>
      <c r="GS372" s="250"/>
      <c r="GT372" s="250"/>
      <c r="GU372" s="251"/>
      <c r="GV372" s="250"/>
      <c r="GW372" s="250"/>
      <c r="GX372" s="250"/>
      <c r="GY372" s="250"/>
      <c r="GZ372" s="250"/>
      <c r="HA372" s="250"/>
      <c r="HB372" s="250"/>
      <c r="HC372" s="250"/>
      <c r="HD372" s="250"/>
      <c r="HE372" s="250"/>
      <c r="HF372" s="250"/>
      <c r="HG372" s="250"/>
      <c r="HH372" s="251"/>
      <c r="HI372" s="424"/>
      <c r="HJ372" s="255"/>
      <c r="HK372" s="255"/>
      <c r="HL372" s="250"/>
      <c r="HM372" s="255"/>
      <c r="HN372" s="255"/>
      <c r="HO372" s="255"/>
      <c r="HP372" s="250"/>
      <c r="HQ372" s="250"/>
      <c r="HR372" s="250"/>
      <c r="HS372" s="250"/>
      <c r="HT372" s="250"/>
      <c r="HU372" s="251"/>
      <c r="HX372" s="252"/>
      <c r="HY372" s="252"/>
      <c r="HZ372" s="252"/>
      <c r="ID372" s="252"/>
      <c r="IE372" s="252"/>
      <c r="IF372" s="252"/>
      <c r="IJ372" s="252"/>
      <c r="IK372" s="252"/>
      <c r="IL372" s="252"/>
      <c r="IP372" s="252"/>
      <c r="IQ372" s="252"/>
      <c r="IR372" s="252"/>
      <c r="IY372" s="66"/>
      <c r="IZ372" s="66"/>
      <c r="JA372" s="66"/>
      <c r="JB372" s="250"/>
      <c r="JC372" s="66"/>
      <c r="JD372" s="66"/>
      <c r="JE372" s="66"/>
      <c r="JF372" s="66"/>
      <c r="JG372" s="66"/>
      <c r="JH372" s="66"/>
      <c r="JI372" s="66"/>
      <c r="JJ372" s="66"/>
      <c r="JK372" s="8"/>
      <c r="JN372" s="252"/>
      <c r="JO372" s="252"/>
      <c r="JP372" s="252"/>
      <c r="JT372" s="252"/>
      <c r="JU372" s="252"/>
      <c r="JV372" s="252"/>
      <c r="JZ372" s="252"/>
      <c r="KA372" s="252"/>
      <c r="KB372" s="252"/>
      <c r="KF372" s="252"/>
      <c r="KG372" s="252"/>
      <c r="KH372" s="252"/>
      <c r="KO372" s="66"/>
      <c r="KP372" s="66"/>
      <c r="KQ372" s="66"/>
      <c r="KR372" s="66"/>
      <c r="KS372" s="66"/>
      <c r="KT372" s="66"/>
      <c r="KU372" s="66"/>
      <c r="KV372" s="66"/>
      <c r="KW372" s="66"/>
      <c r="KX372" s="66"/>
      <c r="KY372" s="66"/>
      <c r="KZ372" s="66"/>
      <c r="LA372" s="8"/>
      <c r="LD372" s="252"/>
      <c r="LE372" s="252"/>
      <c r="LF372" s="252"/>
      <c r="LJ372" s="252"/>
      <c r="LK372" s="252"/>
      <c r="LN372" s="252"/>
      <c r="LO372" s="252"/>
      <c r="LP372" s="252"/>
      <c r="LT372" s="271"/>
      <c r="LU372" s="250"/>
      <c r="LV372" s="250"/>
      <c r="LW372" s="250"/>
      <c r="LX372" s="250"/>
      <c r="LY372" s="250"/>
      <c r="LZ372" s="250"/>
      <c r="MA372" s="250"/>
      <c r="MB372" s="250"/>
      <c r="MC372" s="250"/>
      <c r="MD372" s="250"/>
      <c r="ME372" s="250"/>
      <c r="MF372" s="250"/>
      <c r="MG372" s="250"/>
      <c r="MH372" s="250"/>
      <c r="MI372" s="250"/>
      <c r="MJ372" s="250"/>
      <c r="MK372" s="424"/>
      <c r="ML372" s="640"/>
      <c r="MM372" s="251"/>
      <c r="MN372" s="252"/>
      <c r="MO372" s="252"/>
      <c r="MP372" s="252"/>
      <c r="MQ372" s="252"/>
      <c r="MR372" s="252"/>
      <c r="MS372" s="252"/>
      <c r="MT372" s="252"/>
      <c r="MU372" s="252"/>
      <c r="MV372" s="252"/>
      <c r="MW372" s="252"/>
      <c r="MX372" s="252"/>
      <c r="MY372" s="252"/>
      <c r="MZ372" s="252"/>
      <c r="NA372" s="252"/>
      <c r="NB372" s="252"/>
      <c r="NC372" s="251"/>
      <c r="ND372" s="250"/>
      <c r="NE372" s="250"/>
      <c r="NF372" s="250"/>
      <c r="NG372" s="250"/>
      <c r="NH372" s="250"/>
      <c r="NI372" s="250"/>
      <c r="NJ372" s="250"/>
      <c r="NK372" s="250"/>
      <c r="NL372" s="250"/>
      <c r="NM372" s="250"/>
      <c r="NN372" s="250"/>
      <c r="NO372" s="250"/>
      <c r="NP372" s="250"/>
      <c r="NQ372" s="250"/>
      <c r="NR372" s="250"/>
      <c r="NS372" s="250"/>
      <c r="NT372" s="250"/>
      <c r="NU372" s="250"/>
      <c r="NV372" s="250"/>
      <c r="NW372" s="251"/>
      <c r="OT372" s="8"/>
      <c r="QG372" s="8"/>
      <c r="RT372" s="8"/>
    </row>
    <row r="373" spans="1:488" s="282" customFormat="1" x14ac:dyDescent="0.25">
      <c r="A373" s="66"/>
      <c r="B373" s="8"/>
      <c r="C373" s="66"/>
      <c r="D373" s="66"/>
      <c r="E373" s="66"/>
      <c r="F373" s="66"/>
      <c r="G373" s="66"/>
      <c r="H373" s="66"/>
      <c r="I373" s="66"/>
      <c r="J373" s="66"/>
      <c r="K373" s="66"/>
      <c r="L373" s="66"/>
      <c r="M373" s="66"/>
      <c r="N373" s="66"/>
      <c r="O373" s="66"/>
      <c r="P373" s="66"/>
      <c r="Q373" s="66"/>
      <c r="R373" s="66"/>
      <c r="S373" s="66"/>
      <c r="T373" s="68"/>
      <c r="AC373" s="66"/>
      <c r="AD373" s="66"/>
      <c r="AE373" s="68"/>
      <c r="AN373" s="66"/>
      <c r="AO373" s="66"/>
      <c r="AP373" s="68"/>
      <c r="AW373" s="66"/>
      <c r="AX373" s="68"/>
      <c r="BD373" s="66"/>
      <c r="BE373" s="68"/>
      <c r="BF373" s="66"/>
      <c r="BG373" s="66"/>
      <c r="BH373" s="66"/>
      <c r="BI373" s="66"/>
      <c r="BJ373" s="66"/>
      <c r="BK373" s="66"/>
      <c r="BL373" s="68"/>
      <c r="BO373" s="66"/>
      <c r="BP373" s="68"/>
      <c r="BV373" s="66"/>
      <c r="BW373" s="68"/>
      <c r="CB373" s="8"/>
      <c r="CH373" s="8"/>
      <c r="CK373" s="299"/>
      <c r="CL373" s="299"/>
      <c r="CM373" s="66"/>
      <c r="CN373" s="66"/>
      <c r="CO373" s="68"/>
      <c r="CR373" s="8"/>
      <c r="CX373" s="66"/>
      <c r="CY373" s="532"/>
      <c r="DE373" s="66"/>
      <c r="DF373" s="66"/>
      <c r="DG373" s="68"/>
      <c r="DH373" s="68"/>
      <c r="DK373" s="66"/>
      <c r="DL373" s="66"/>
      <c r="DM373" s="66"/>
      <c r="DN373" s="66"/>
      <c r="DO373" s="66"/>
      <c r="DP373" s="66"/>
      <c r="DQ373" s="66"/>
      <c r="DR373" s="66"/>
      <c r="DS373" s="66"/>
      <c r="DT373" s="68"/>
      <c r="DU373" s="66"/>
      <c r="DV373" s="296"/>
      <c r="DW373" s="330"/>
      <c r="DX373" s="631"/>
      <c r="DY373" s="631"/>
      <c r="DZ373" s="631"/>
      <c r="EA373" s="330"/>
      <c r="EC373" s="66"/>
      <c r="ED373" s="68"/>
      <c r="EH373" s="66"/>
      <c r="EI373" s="66"/>
      <c r="EJ373" s="68"/>
      <c r="EK373" s="252"/>
      <c r="EL373" s="252"/>
      <c r="EM373" s="252"/>
      <c r="EO373" s="252"/>
      <c r="EP373" s="252"/>
      <c r="EQ373" s="252"/>
      <c r="ES373" s="252"/>
      <c r="ET373" s="252"/>
      <c r="EU373" s="252"/>
      <c r="EW373" s="252"/>
      <c r="EX373" s="252"/>
      <c r="EY373" s="252"/>
      <c r="FA373" s="250"/>
      <c r="FB373" s="250"/>
      <c r="FC373" s="250"/>
      <c r="FD373" s="250"/>
      <c r="FE373" s="250"/>
      <c r="FF373" s="250"/>
      <c r="FG373" s="250"/>
      <c r="FH373" s="424"/>
      <c r="FI373" s="250"/>
      <c r="FJ373" s="250"/>
      <c r="FK373" s="250"/>
      <c r="FL373" s="256"/>
      <c r="FM373" s="250"/>
      <c r="FN373" s="256"/>
      <c r="FO373" s="250"/>
      <c r="FP373" s="256"/>
      <c r="FQ373" s="250"/>
      <c r="FR373" s="256"/>
      <c r="FS373" s="250"/>
      <c r="FT373" s="256"/>
      <c r="FU373" s="256"/>
      <c r="FV373" s="256"/>
      <c r="FW373" s="250"/>
      <c r="FX373" s="424"/>
      <c r="FY373" s="251"/>
      <c r="GC373" s="252"/>
      <c r="GF373" s="252"/>
      <c r="GG373" s="252"/>
      <c r="GH373" s="252"/>
      <c r="GI373" s="252"/>
      <c r="GJ373" s="252"/>
      <c r="GK373" s="251"/>
      <c r="GL373" s="250"/>
      <c r="GM373" s="250"/>
      <c r="GN373" s="250"/>
      <c r="GO373" s="250"/>
      <c r="GP373" s="250"/>
      <c r="GQ373" s="250"/>
      <c r="GR373" s="250"/>
      <c r="GS373" s="250"/>
      <c r="GT373" s="250"/>
      <c r="GU373" s="251"/>
      <c r="GV373" s="250"/>
      <c r="GW373" s="250"/>
      <c r="GX373" s="250"/>
      <c r="GY373" s="250"/>
      <c r="GZ373" s="250"/>
      <c r="HA373" s="250"/>
      <c r="HB373" s="250"/>
      <c r="HC373" s="250"/>
      <c r="HD373" s="250"/>
      <c r="HE373" s="250"/>
      <c r="HF373" s="250"/>
      <c r="HG373" s="250"/>
      <c r="HH373" s="251"/>
      <c r="HI373" s="424"/>
      <c r="HJ373" s="255"/>
      <c r="HK373" s="255"/>
      <c r="HL373" s="250"/>
      <c r="HM373" s="255"/>
      <c r="HN373" s="255"/>
      <c r="HO373" s="255"/>
      <c r="HP373" s="250"/>
      <c r="HQ373" s="250"/>
      <c r="HR373" s="250"/>
      <c r="HS373" s="250"/>
      <c r="HT373" s="250"/>
      <c r="HU373" s="251"/>
      <c r="HX373" s="252"/>
      <c r="HY373" s="252"/>
      <c r="HZ373" s="252"/>
      <c r="ID373" s="252"/>
      <c r="IE373" s="252"/>
      <c r="IF373" s="252"/>
      <c r="IJ373" s="252"/>
      <c r="IK373" s="252"/>
      <c r="IL373" s="252"/>
      <c r="IP373" s="252"/>
      <c r="IQ373" s="252"/>
      <c r="IR373" s="252"/>
      <c r="IY373" s="66"/>
      <c r="IZ373" s="66"/>
      <c r="JA373" s="66"/>
      <c r="JB373" s="250"/>
      <c r="JC373" s="66"/>
      <c r="JD373" s="66"/>
      <c r="JE373" s="66"/>
      <c r="JF373" s="66"/>
      <c r="JG373" s="66"/>
      <c r="JH373" s="66"/>
      <c r="JI373" s="66"/>
      <c r="JJ373" s="66"/>
      <c r="JK373" s="8"/>
      <c r="JN373" s="252"/>
      <c r="JO373" s="252"/>
      <c r="JP373" s="252"/>
      <c r="JT373" s="252"/>
      <c r="JU373" s="252"/>
      <c r="JV373" s="252"/>
      <c r="JZ373" s="252"/>
      <c r="KA373" s="252"/>
      <c r="KB373" s="252"/>
      <c r="KF373" s="252"/>
      <c r="KG373" s="252"/>
      <c r="KH373" s="252"/>
      <c r="KO373" s="66"/>
      <c r="KP373" s="66"/>
      <c r="KQ373" s="66"/>
      <c r="KR373" s="66"/>
      <c r="KS373" s="66"/>
      <c r="KT373" s="66"/>
      <c r="KU373" s="66"/>
      <c r="KV373" s="66"/>
      <c r="KW373" s="66"/>
      <c r="KX373" s="66"/>
      <c r="KY373" s="66"/>
      <c r="KZ373" s="66"/>
      <c r="LA373" s="8"/>
      <c r="LD373" s="252"/>
      <c r="LE373" s="252"/>
      <c r="LF373" s="252"/>
      <c r="LJ373" s="252"/>
      <c r="LK373" s="252"/>
      <c r="LN373" s="252"/>
      <c r="LO373" s="252"/>
      <c r="LP373" s="252"/>
      <c r="LT373" s="271"/>
      <c r="LU373" s="250"/>
      <c r="LV373" s="250"/>
      <c r="LW373" s="250"/>
      <c r="LX373" s="250"/>
      <c r="LY373" s="250"/>
      <c r="LZ373" s="250"/>
      <c r="MA373" s="250"/>
      <c r="MB373" s="250"/>
      <c r="MC373" s="250"/>
      <c r="MD373" s="250"/>
      <c r="ME373" s="250"/>
      <c r="MF373" s="250"/>
      <c r="MG373" s="250"/>
      <c r="MH373" s="250"/>
      <c r="MI373" s="250"/>
      <c r="MJ373" s="250"/>
      <c r="MK373" s="424"/>
      <c r="ML373" s="640"/>
      <c r="MM373" s="251"/>
      <c r="MN373" s="252"/>
      <c r="MO373" s="252"/>
      <c r="MP373" s="252"/>
      <c r="MQ373" s="252"/>
      <c r="MR373" s="252"/>
      <c r="MS373" s="252"/>
      <c r="MT373" s="252"/>
      <c r="MU373" s="252"/>
      <c r="MV373" s="252"/>
      <c r="MW373" s="252"/>
      <c r="MX373" s="252"/>
      <c r="MY373" s="252"/>
      <c r="MZ373" s="252"/>
      <c r="NA373" s="252"/>
      <c r="NB373" s="252"/>
      <c r="NC373" s="251"/>
      <c r="ND373" s="250"/>
      <c r="NE373" s="250"/>
      <c r="NF373" s="250"/>
      <c r="NG373" s="250"/>
      <c r="NH373" s="250"/>
      <c r="NI373" s="250"/>
      <c r="NJ373" s="250"/>
      <c r="NK373" s="250"/>
      <c r="NL373" s="250"/>
      <c r="NM373" s="250"/>
      <c r="NN373" s="250"/>
      <c r="NO373" s="250"/>
      <c r="NP373" s="250"/>
      <c r="NQ373" s="250"/>
      <c r="NR373" s="250"/>
      <c r="NS373" s="250"/>
      <c r="NT373" s="250"/>
      <c r="NU373" s="250"/>
      <c r="NV373" s="250"/>
      <c r="NW373" s="251"/>
      <c r="OT373" s="8"/>
      <c r="QG373" s="8"/>
      <c r="RT373" s="8"/>
    </row>
    <row r="374" spans="1:488" s="282" customFormat="1" x14ac:dyDescent="0.25">
      <c r="A374" s="66"/>
      <c r="B374" s="8"/>
      <c r="C374" s="66"/>
      <c r="D374" s="66"/>
      <c r="E374" s="66"/>
      <c r="F374" s="66"/>
      <c r="G374" s="66"/>
      <c r="H374" s="66"/>
      <c r="I374" s="66"/>
      <c r="J374" s="66"/>
      <c r="K374" s="66"/>
      <c r="L374" s="66"/>
      <c r="M374" s="66"/>
      <c r="N374" s="66"/>
      <c r="O374" s="66"/>
      <c r="P374" s="66"/>
      <c r="Q374" s="66"/>
      <c r="R374" s="66"/>
      <c r="S374" s="66"/>
      <c r="T374" s="68"/>
      <c r="AC374" s="66"/>
      <c r="AD374" s="66"/>
      <c r="AE374" s="68"/>
      <c r="AN374" s="66"/>
      <c r="AO374" s="66"/>
      <c r="AP374" s="68"/>
      <c r="AW374" s="66"/>
      <c r="AX374" s="68"/>
      <c r="BD374" s="66"/>
      <c r="BE374" s="68"/>
      <c r="BF374" s="66"/>
      <c r="BG374" s="66"/>
      <c r="BH374" s="66"/>
      <c r="BI374" s="66"/>
      <c r="BJ374" s="66"/>
      <c r="BK374" s="66"/>
      <c r="BL374" s="68"/>
      <c r="BO374" s="66"/>
      <c r="BP374" s="68"/>
      <c r="BV374" s="66"/>
      <c r="BW374" s="68"/>
      <c r="CB374" s="8"/>
      <c r="CH374" s="8"/>
      <c r="CK374" s="299"/>
      <c r="CL374" s="299"/>
      <c r="CM374" s="66"/>
      <c r="CN374" s="66"/>
      <c r="CO374" s="68"/>
      <c r="CR374" s="8"/>
      <c r="CX374" s="66"/>
      <c r="CY374" s="532"/>
      <c r="DE374" s="66"/>
      <c r="DF374" s="66"/>
      <c r="DG374" s="68"/>
      <c r="DH374" s="68"/>
      <c r="DK374" s="66"/>
      <c r="DL374" s="66"/>
      <c r="DM374" s="66"/>
      <c r="DN374" s="66"/>
      <c r="DO374" s="66"/>
      <c r="DP374" s="66"/>
      <c r="DQ374" s="66"/>
      <c r="DR374" s="66"/>
      <c r="DS374" s="66"/>
      <c r="DT374" s="68"/>
      <c r="DU374" s="66"/>
      <c r="DV374" s="296"/>
      <c r="DW374" s="330"/>
      <c r="DX374" s="631"/>
      <c r="DY374" s="631"/>
      <c r="DZ374" s="631"/>
      <c r="EA374" s="330"/>
      <c r="EC374" s="66"/>
      <c r="ED374" s="68"/>
      <c r="EH374" s="66"/>
      <c r="EI374" s="66"/>
      <c r="EJ374" s="68"/>
      <c r="EK374" s="252"/>
      <c r="EL374" s="252"/>
      <c r="EM374" s="252"/>
      <c r="EO374" s="252"/>
      <c r="EP374" s="252"/>
      <c r="EQ374" s="252"/>
      <c r="ES374" s="252"/>
      <c r="ET374" s="252"/>
      <c r="EU374" s="252"/>
      <c r="EW374" s="252"/>
      <c r="EX374" s="252"/>
      <c r="EY374" s="252"/>
      <c r="FA374" s="250"/>
      <c r="FB374" s="250"/>
      <c r="FC374" s="250"/>
      <c r="FD374" s="250"/>
      <c r="FE374" s="250"/>
      <c r="FF374" s="250"/>
      <c r="FG374" s="250"/>
      <c r="FH374" s="424"/>
      <c r="FI374" s="250"/>
      <c r="FJ374" s="250"/>
      <c r="FK374" s="250"/>
      <c r="FL374" s="256"/>
      <c r="FM374" s="250"/>
      <c r="FN374" s="256"/>
      <c r="FO374" s="250"/>
      <c r="FP374" s="256"/>
      <c r="FQ374" s="250"/>
      <c r="FR374" s="256"/>
      <c r="FS374" s="250"/>
      <c r="FT374" s="256"/>
      <c r="FU374" s="256"/>
      <c r="FV374" s="256"/>
      <c r="FW374" s="250"/>
      <c r="FX374" s="424"/>
      <c r="FY374" s="251"/>
      <c r="GC374" s="252"/>
      <c r="GF374" s="252"/>
      <c r="GG374" s="252"/>
      <c r="GH374" s="252"/>
      <c r="GI374" s="252"/>
      <c r="GJ374" s="252"/>
      <c r="GK374" s="251"/>
      <c r="GL374" s="250"/>
      <c r="GM374" s="250"/>
      <c r="GN374" s="250"/>
      <c r="GO374" s="250"/>
      <c r="GP374" s="250"/>
      <c r="GQ374" s="250"/>
      <c r="GR374" s="250"/>
      <c r="GS374" s="250"/>
      <c r="GT374" s="250"/>
      <c r="GU374" s="251"/>
      <c r="GV374" s="250"/>
      <c r="GW374" s="250"/>
      <c r="GX374" s="250"/>
      <c r="GY374" s="250"/>
      <c r="GZ374" s="250"/>
      <c r="HA374" s="250"/>
      <c r="HB374" s="250"/>
      <c r="HC374" s="250"/>
      <c r="HD374" s="250"/>
      <c r="HE374" s="250"/>
      <c r="HF374" s="250"/>
      <c r="HG374" s="250"/>
      <c r="HH374" s="251"/>
      <c r="HI374" s="424"/>
      <c r="HJ374" s="255"/>
      <c r="HK374" s="255"/>
      <c r="HL374" s="250"/>
      <c r="HM374" s="255"/>
      <c r="HN374" s="255"/>
      <c r="HO374" s="255"/>
      <c r="HP374" s="250"/>
      <c r="HQ374" s="250"/>
      <c r="HR374" s="250"/>
      <c r="HS374" s="250"/>
      <c r="HT374" s="250"/>
      <c r="HU374" s="251"/>
      <c r="HX374" s="252"/>
      <c r="HY374" s="252"/>
      <c r="HZ374" s="252"/>
      <c r="ID374" s="252"/>
      <c r="IE374" s="252"/>
      <c r="IF374" s="252"/>
      <c r="IJ374" s="252"/>
      <c r="IK374" s="252"/>
      <c r="IL374" s="252"/>
      <c r="IP374" s="252"/>
      <c r="IQ374" s="252"/>
      <c r="IR374" s="252"/>
      <c r="IY374" s="66"/>
      <c r="IZ374" s="66"/>
      <c r="JA374" s="66"/>
      <c r="JB374" s="250"/>
      <c r="JC374" s="66"/>
      <c r="JD374" s="66"/>
      <c r="JE374" s="66"/>
      <c r="JF374" s="66"/>
      <c r="JG374" s="66"/>
      <c r="JH374" s="66"/>
      <c r="JI374" s="66"/>
      <c r="JJ374" s="66"/>
      <c r="JK374" s="8"/>
      <c r="JN374" s="252"/>
      <c r="JO374" s="252"/>
      <c r="JP374" s="252"/>
      <c r="JT374" s="252"/>
      <c r="JU374" s="252"/>
      <c r="JV374" s="252"/>
      <c r="JZ374" s="252"/>
      <c r="KA374" s="252"/>
      <c r="KB374" s="252"/>
      <c r="KF374" s="252"/>
      <c r="KG374" s="252"/>
      <c r="KH374" s="252"/>
      <c r="KO374" s="66"/>
      <c r="KP374" s="66"/>
      <c r="KQ374" s="66"/>
      <c r="KR374" s="66"/>
      <c r="KS374" s="66"/>
      <c r="KT374" s="66"/>
      <c r="KU374" s="66"/>
      <c r="KV374" s="66"/>
      <c r="KW374" s="66"/>
      <c r="KX374" s="66"/>
      <c r="KY374" s="66"/>
      <c r="KZ374" s="66"/>
      <c r="LA374" s="8"/>
      <c r="LD374" s="252"/>
      <c r="LE374" s="252"/>
      <c r="LF374" s="252"/>
      <c r="LJ374" s="252"/>
      <c r="LK374" s="252"/>
      <c r="LN374" s="252"/>
      <c r="LO374" s="252"/>
      <c r="LP374" s="252"/>
      <c r="LT374" s="271"/>
      <c r="LU374" s="250"/>
      <c r="LV374" s="250"/>
      <c r="LW374" s="250"/>
      <c r="LX374" s="250"/>
      <c r="LY374" s="250"/>
      <c r="LZ374" s="250"/>
      <c r="MA374" s="250"/>
      <c r="MB374" s="250"/>
      <c r="MC374" s="250"/>
      <c r="MD374" s="250"/>
      <c r="ME374" s="250"/>
      <c r="MF374" s="250"/>
      <c r="MG374" s="250"/>
      <c r="MH374" s="250"/>
      <c r="MI374" s="250"/>
      <c r="MJ374" s="250"/>
      <c r="MK374" s="424"/>
      <c r="ML374" s="640"/>
      <c r="MM374" s="251"/>
      <c r="MN374" s="252"/>
      <c r="MO374" s="252"/>
      <c r="MP374" s="252"/>
      <c r="MQ374" s="252"/>
      <c r="MR374" s="252"/>
      <c r="MS374" s="252"/>
      <c r="MT374" s="252"/>
      <c r="MU374" s="252"/>
      <c r="MV374" s="252"/>
      <c r="MW374" s="252"/>
      <c r="MX374" s="252"/>
      <c r="MY374" s="252"/>
      <c r="MZ374" s="252"/>
      <c r="NA374" s="252"/>
      <c r="NB374" s="252"/>
      <c r="NC374" s="251"/>
      <c r="ND374" s="250"/>
      <c r="NE374" s="250"/>
      <c r="NF374" s="250"/>
      <c r="NG374" s="250"/>
      <c r="NH374" s="250"/>
      <c r="NI374" s="250"/>
      <c r="NJ374" s="250"/>
      <c r="NK374" s="250"/>
      <c r="NL374" s="250"/>
      <c r="NM374" s="250"/>
      <c r="NN374" s="250"/>
      <c r="NO374" s="250"/>
      <c r="NP374" s="250"/>
      <c r="NQ374" s="250"/>
      <c r="NR374" s="250"/>
      <c r="NS374" s="250"/>
      <c r="NT374" s="250"/>
      <c r="NU374" s="250"/>
      <c r="NV374" s="250"/>
      <c r="NW374" s="251"/>
      <c r="OT374" s="8"/>
      <c r="QG374" s="8"/>
      <c r="RT374" s="8"/>
    </row>
    <row r="375" spans="1:488" s="282" customFormat="1" x14ac:dyDescent="0.25">
      <c r="A375" s="66"/>
      <c r="B375" s="8"/>
      <c r="C375" s="66"/>
      <c r="D375" s="66"/>
      <c r="E375" s="66"/>
      <c r="F375" s="66"/>
      <c r="G375" s="66"/>
      <c r="H375" s="66"/>
      <c r="I375" s="66"/>
      <c r="J375" s="66"/>
      <c r="K375" s="66"/>
      <c r="L375" s="66"/>
      <c r="M375" s="66"/>
      <c r="N375" s="66"/>
      <c r="O375" s="66"/>
      <c r="P375" s="66"/>
      <c r="Q375" s="66"/>
      <c r="R375" s="66"/>
      <c r="S375" s="66"/>
      <c r="T375" s="68"/>
      <c r="AC375" s="66"/>
      <c r="AD375" s="66"/>
      <c r="AE375" s="68"/>
      <c r="AN375" s="66"/>
      <c r="AO375" s="66"/>
      <c r="AP375" s="68"/>
      <c r="AW375" s="66"/>
      <c r="AX375" s="68"/>
      <c r="BD375" s="66"/>
      <c r="BE375" s="68"/>
      <c r="BF375" s="66"/>
      <c r="BG375" s="66"/>
      <c r="BH375" s="66"/>
      <c r="BI375" s="66"/>
      <c r="BJ375" s="66"/>
      <c r="BK375" s="66"/>
      <c r="BL375" s="68"/>
      <c r="BO375" s="66"/>
      <c r="BP375" s="68"/>
      <c r="BV375" s="66"/>
      <c r="BW375" s="68"/>
      <c r="CB375" s="8"/>
      <c r="CH375" s="8"/>
      <c r="CK375" s="299"/>
      <c r="CL375" s="299"/>
      <c r="CM375" s="66"/>
      <c r="CN375" s="66"/>
      <c r="CO375" s="68"/>
      <c r="CR375" s="8"/>
      <c r="CX375" s="66"/>
      <c r="CY375" s="532"/>
      <c r="DE375" s="66"/>
      <c r="DF375" s="66"/>
      <c r="DG375" s="68"/>
      <c r="DH375" s="68"/>
      <c r="DK375" s="66"/>
      <c r="DL375" s="66"/>
      <c r="DM375" s="66"/>
      <c r="DN375" s="66"/>
      <c r="DO375" s="66"/>
      <c r="DP375" s="66"/>
      <c r="DQ375" s="66"/>
      <c r="DR375" s="66"/>
      <c r="DS375" s="66"/>
      <c r="DT375" s="68"/>
      <c r="DU375" s="66"/>
      <c r="DV375" s="296"/>
      <c r="DW375" s="330"/>
      <c r="DX375" s="631"/>
      <c r="DY375" s="631"/>
      <c r="DZ375" s="631"/>
      <c r="EA375" s="330"/>
      <c r="EC375" s="66"/>
      <c r="ED375" s="68"/>
      <c r="EH375" s="66"/>
      <c r="EI375" s="66"/>
      <c r="EJ375" s="68"/>
      <c r="EK375" s="252"/>
      <c r="EL375" s="252"/>
      <c r="EM375" s="252"/>
      <c r="EO375" s="252"/>
      <c r="EP375" s="252"/>
      <c r="EQ375" s="252"/>
      <c r="ES375" s="252"/>
      <c r="ET375" s="252"/>
      <c r="EU375" s="252"/>
      <c r="EW375" s="252"/>
      <c r="EX375" s="252"/>
      <c r="EY375" s="252"/>
      <c r="FA375" s="250"/>
      <c r="FB375" s="250"/>
      <c r="FC375" s="250"/>
      <c r="FD375" s="250"/>
      <c r="FE375" s="250"/>
      <c r="FF375" s="250"/>
      <c r="FG375" s="250"/>
      <c r="FH375" s="424"/>
      <c r="FI375" s="250"/>
      <c r="FJ375" s="250"/>
      <c r="FK375" s="250"/>
      <c r="FL375" s="256"/>
      <c r="FM375" s="250"/>
      <c r="FN375" s="256"/>
      <c r="FO375" s="250"/>
      <c r="FP375" s="256"/>
      <c r="FQ375" s="250"/>
      <c r="FR375" s="256"/>
      <c r="FS375" s="250"/>
      <c r="FT375" s="256"/>
      <c r="FU375" s="256"/>
      <c r="FV375" s="256"/>
      <c r="FW375" s="250"/>
      <c r="FX375" s="424"/>
      <c r="FY375" s="251"/>
      <c r="GC375" s="252"/>
      <c r="GF375" s="252"/>
      <c r="GG375" s="252"/>
      <c r="GH375" s="252"/>
      <c r="GI375" s="252"/>
      <c r="GJ375" s="252"/>
      <c r="GK375" s="251"/>
      <c r="GL375" s="250"/>
      <c r="GM375" s="250"/>
      <c r="GN375" s="250"/>
      <c r="GO375" s="250"/>
      <c r="GP375" s="250"/>
      <c r="GQ375" s="250"/>
      <c r="GR375" s="250"/>
      <c r="GS375" s="250"/>
      <c r="GT375" s="250"/>
      <c r="GU375" s="251"/>
      <c r="GV375" s="250"/>
      <c r="GW375" s="250"/>
      <c r="GX375" s="250"/>
      <c r="GY375" s="250"/>
      <c r="GZ375" s="250"/>
      <c r="HA375" s="250"/>
      <c r="HB375" s="250"/>
      <c r="HC375" s="250"/>
      <c r="HD375" s="250"/>
      <c r="HE375" s="250"/>
      <c r="HF375" s="250"/>
      <c r="HG375" s="250"/>
      <c r="HH375" s="251"/>
      <c r="HI375" s="424"/>
      <c r="HJ375" s="255"/>
      <c r="HK375" s="255"/>
      <c r="HL375" s="250"/>
      <c r="HM375" s="255"/>
      <c r="HN375" s="255"/>
      <c r="HO375" s="255"/>
      <c r="HP375" s="250"/>
      <c r="HQ375" s="250"/>
      <c r="HR375" s="250"/>
      <c r="HS375" s="250"/>
      <c r="HT375" s="250"/>
      <c r="HU375" s="251"/>
      <c r="HX375" s="252"/>
      <c r="HY375" s="252"/>
      <c r="HZ375" s="252"/>
      <c r="ID375" s="252"/>
      <c r="IE375" s="252"/>
      <c r="IF375" s="252"/>
      <c r="IJ375" s="252"/>
      <c r="IK375" s="252"/>
      <c r="IL375" s="252"/>
      <c r="IP375" s="252"/>
      <c r="IQ375" s="252"/>
      <c r="IR375" s="252"/>
      <c r="IY375" s="66"/>
      <c r="IZ375" s="66"/>
      <c r="JA375" s="66"/>
      <c r="JB375" s="250"/>
      <c r="JC375" s="66"/>
      <c r="JD375" s="66"/>
      <c r="JE375" s="66"/>
      <c r="JF375" s="66"/>
      <c r="JG375" s="66"/>
      <c r="JH375" s="66"/>
      <c r="JI375" s="66"/>
      <c r="JJ375" s="66"/>
      <c r="JK375" s="8"/>
      <c r="JN375" s="252"/>
      <c r="JO375" s="252"/>
      <c r="JP375" s="252"/>
      <c r="JT375" s="252"/>
      <c r="JU375" s="252"/>
      <c r="JV375" s="252"/>
      <c r="JZ375" s="252"/>
      <c r="KA375" s="252"/>
      <c r="KB375" s="252"/>
      <c r="KF375" s="252"/>
      <c r="KG375" s="252"/>
      <c r="KH375" s="252"/>
      <c r="KO375" s="66"/>
      <c r="KP375" s="66"/>
      <c r="KQ375" s="66"/>
      <c r="KR375" s="66"/>
      <c r="KS375" s="66"/>
      <c r="KT375" s="66"/>
      <c r="KU375" s="66"/>
      <c r="KV375" s="66"/>
      <c r="KW375" s="66"/>
      <c r="KX375" s="66"/>
      <c r="KY375" s="66"/>
      <c r="KZ375" s="66"/>
      <c r="LA375" s="8"/>
      <c r="LD375" s="252"/>
      <c r="LE375" s="252"/>
      <c r="LF375" s="252"/>
      <c r="LJ375" s="252"/>
      <c r="LK375" s="252"/>
      <c r="LN375" s="252"/>
      <c r="LO375" s="252"/>
      <c r="LP375" s="252"/>
      <c r="LT375" s="271"/>
      <c r="LU375" s="250"/>
      <c r="LV375" s="250"/>
      <c r="LW375" s="250"/>
      <c r="LX375" s="250"/>
      <c r="LY375" s="250"/>
      <c r="LZ375" s="250"/>
      <c r="MA375" s="250"/>
      <c r="MB375" s="250"/>
      <c r="MC375" s="250"/>
      <c r="MD375" s="250"/>
      <c r="ME375" s="250"/>
      <c r="MF375" s="250"/>
      <c r="MG375" s="250"/>
      <c r="MH375" s="250"/>
      <c r="MI375" s="250"/>
      <c r="MJ375" s="250"/>
      <c r="MK375" s="424"/>
      <c r="ML375" s="640"/>
      <c r="MM375" s="251"/>
      <c r="MN375" s="252"/>
      <c r="MO375" s="252"/>
      <c r="MP375" s="252"/>
      <c r="MQ375" s="252"/>
      <c r="MR375" s="252"/>
      <c r="MS375" s="252"/>
      <c r="MT375" s="252"/>
      <c r="MU375" s="252"/>
      <c r="MV375" s="252"/>
      <c r="MW375" s="252"/>
      <c r="MX375" s="252"/>
      <c r="MY375" s="252"/>
      <c r="MZ375" s="252"/>
      <c r="NA375" s="252"/>
      <c r="NB375" s="252"/>
      <c r="NC375" s="251"/>
      <c r="ND375" s="250"/>
      <c r="NE375" s="250"/>
      <c r="NF375" s="250"/>
      <c r="NG375" s="250"/>
      <c r="NH375" s="250"/>
      <c r="NI375" s="250"/>
      <c r="NJ375" s="250"/>
      <c r="NK375" s="250"/>
      <c r="NL375" s="250"/>
      <c r="NM375" s="250"/>
      <c r="NN375" s="250"/>
      <c r="NO375" s="250"/>
      <c r="NP375" s="250"/>
      <c r="NQ375" s="250"/>
      <c r="NR375" s="250"/>
      <c r="NS375" s="250"/>
      <c r="NT375" s="250"/>
      <c r="NU375" s="250"/>
      <c r="NV375" s="250"/>
      <c r="NW375" s="251"/>
      <c r="OT375" s="8"/>
      <c r="QG375" s="8"/>
      <c r="RT375" s="8"/>
    </row>
    <row r="376" spans="1:488" s="282" customFormat="1" x14ac:dyDescent="0.25">
      <c r="A376" s="66"/>
      <c r="B376" s="8"/>
      <c r="C376" s="66"/>
      <c r="D376" s="66"/>
      <c r="E376" s="66"/>
      <c r="F376" s="66"/>
      <c r="G376" s="66"/>
      <c r="H376" s="66"/>
      <c r="I376" s="66"/>
      <c r="J376" s="66"/>
      <c r="K376" s="66"/>
      <c r="L376" s="66"/>
      <c r="M376" s="66"/>
      <c r="N376" s="66"/>
      <c r="O376" s="66"/>
      <c r="P376" s="66"/>
      <c r="Q376" s="66"/>
      <c r="R376" s="66"/>
      <c r="S376" s="66"/>
      <c r="T376" s="68"/>
      <c r="AC376" s="66"/>
      <c r="AD376" s="66"/>
      <c r="AE376" s="68"/>
      <c r="AN376" s="66"/>
      <c r="AO376" s="66"/>
      <c r="AP376" s="68"/>
      <c r="AW376" s="66"/>
      <c r="AX376" s="68"/>
      <c r="BD376" s="66"/>
      <c r="BE376" s="68"/>
      <c r="BF376" s="66"/>
      <c r="BG376" s="66"/>
      <c r="BH376" s="66"/>
      <c r="BI376" s="66"/>
      <c r="BJ376" s="66"/>
      <c r="BK376" s="66"/>
      <c r="BL376" s="68"/>
      <c r="BO376" s="66"/>
      <c r="BP376" s="68"/>
      <c r="BV376" s="66"/>
      <c r="BW376" s="68"/>
      <c r="CB376" s="8"/>
      <c r="CH376" s="8"/>
      <c r="CK376" s="299"/>
      <c r="CL376" s="299"/>
      <c r="CM376" s="66"/>
      <c r="CN376" s="66"/>
      <c r="CO376" s="68"/>
      <c r="CR376" s="8"/>
      <c r="CX376" s="66"/>
      <c r="CY376" s="532"/>
      <c r="DE376" s="66"/>
      <c r="DF376" s="66"/>
      <c r="DG376" s="68"/>
      <c r="DH376" s="68"/>
      <c r="DK376" s="66"/>
      <c r="DL376" s="66"/>
      <c r="DM376" s="66"/>
      <c r="DN376" s="66"/>
      <c r="DO376" s="66"/>
      <c r="DP376" s="66"/>
      <c r="DQ376" s="66"/>
      <c r="DR376" s="66"/>
      <c r="DS376" s="66"/>
      <c r="DT376" s="68"/>
      <c r="DU376" s="66"/>
      <c r="DV376" s="296"/>
      <c r="DW376" s="330"/>
      <c r="DX376" s="631"/>
      <c r="DY376" s="631"/>
      <c r="DZ376" s="631"/>
      <c r="EA376" s="330"/>
      <c r="EC376" s="66"/>
      <c r="ED376" s="68"/>
      <c r="EH376" s="66"/>
      <c r="EI376" s="66"/>
      <c r="EJ376" s="68"/>
      <c r="EK376" s="252"/>
      <c r="EL376" s="252"/>
      <c r="EM376" s="252"/>
      <c r="EO376" s="252"/>
      <c r="EP376" s="252"/>
      <c r="EQ376" s="252"/>
      <c r="ES376" s="252"/>
      <c r="ET376" s="252"/>
      <c r="EU376" s="252"/>
      <c r="EW376" s="252"/>
      <c r="EX376" s="252"/>
      <c r="EY376" s="252"/>
      <c r="FA376" s="250"/>
      <c r="FB376" s="250"/>
      <c r="FC376" s="250"/>
      <c r="FD376" s="250"/>
      <c r="FE376" s="250"/>
      <c r="FF376" s="250"/>
      <c r="FG376" s="250"/>
      <c r="FH376" s="424"/>
      <c r="FI376" s="250"/>
      <c r="FJ376" s="250"/>
      <c r="FK376" s="250"/>
      <c r="FL376" s="256"/>
      <c r="FM376" s="250"/>
      <c r="FN376" s="256"/>
      <c r="FO376" s="250"/>
      <c r="FP376" s="256"/>
      <c r="FQ376" s="250"/>
      <c r="FR376" s="256"/>
      <c r="FS376" s="250"/>
      <c r="FT376" s="256"/>
      <c r="FU376" s="256"/>
      <c r="FV376" s="256"/>
      <c r="FW376" s="250"/>
      <c r="FX376" s="424"/>
      <c r="FY376" s="251"/>
      <c r="GC376" s="252"/>
      <c r="GF376" s="252"/>
      <c r="GG376" s="252"/>
      <c r="GH376" s="252"/>
      <c r="GI376" s="252"/>
      <c r="GJ376" s="252"/>
      <c r="GK376" s="251"/>
      <c r="GL376" s="250"/>
      <c r="GM376" s="250"/>
      <c r="GN376" s="250"/>
      <c r="GO376" s="250"/>
      <c r="GP376" s="250"/>
      <c r="GQ376" s="250"/>
      <c r="GR376" s="250"/>
      <c r="GS376" s="250"/>
      <c r="GT376" s="250"/>
      <c r="GU376" s="251"/>
      <c r="GV376" s="250"/>
      <c r="GW376" s="250"/>
      <c r="GX376" s="250"/>
      <c r="GY376" s="250"/>
      <c r="GZ376" s="250"/>
      <c r="HA376" s="250"/>
      <c r="HB376" s="250"/>
      <c r="HC376" s="250"/>
      <c r="HD376" s="250"/>
      <c r="HE376" s="250"/>
      <c r="HF376" s="250"/>
      <c r="HG376" s="250"/>
      <c r="HH376" s="251"/>
      <c r="HI376" s="424"/>
      <c r="HJ376" s="255"/>
      <c r="HK376" s="255"/>
      <c r="HL376" s="250"/>
      <c r="HM376" s="255"/>
      <c r="HN376" s="255"/>
      <c r="HO376" s="255"/>
      <c r="HP376" s="250"/>
      <c r="HQ376" s="250"/>
      <c r="HR376" s="250"/>
      <c r="HS376" s="250"/>
      <c r="HT376" s="250"/>
      <c r="HU376" s="251"/>
      <c r="HX376" s="252"/>
      <c r="HY376" s="252"/>
      <c r="HZ376" s="252"/>
      <c r="ID376" s="252"/>
      <c r="IE376" s="252"/>
      <c r="IF376" s="252"/>
      <c r="IJ376" s="252"/>
      <c r="IK376" s="252"/>
      <c r="IL376" s="252"/>
      <c r="IP376" s="252"/>
      <c r="IQ376" s="252"/>
      <c r="IR376" s="252"/>
      <c r="IY376" s="66"/>
      <c r="IZ376" s="66"/>
      <c r="JA376" s="66"/>
      <c r="JB376" s="250"/>
      <c r="JC376" s="66"/>
      <c r="JD376" s="66"/>
      <c r="JE376" s="66"/>
      <c r="JF376" s="66"/>
      <c r="JG376" s="66"/>
      <c r="JH376" s="66"/>
      <c r="JI376" s="66"/>
      <c r="JJ376" s="66"/>
      <c r="JK376" s="8"/>
      <c r="JN376" s="252"/>
      <c r="JO376" s="252"/>
      <c r="JP376" s="252"/>
      <c r="JT376" s="252"/>
      <c r="JU376" s="252"/>
      <c r="JV376" s="252"/>
      <c r="JZ376" s="252"/>
      <c r="KA376" s="252"/>
      <c r="KB376" s="252"/>
      <c r="KF376" s="252"/>
      <c r="KG376" s="252"/>
      <c r="KH376" s="252"/>
      <c r="KO376" s="66"/>
      <c r="KP376" s="66"/>
      <c r="KQ376" s="66"/>
      <c r="KR376" s="66"/>
      <c r="KS376" s="66"/>
      <c r="KT376" s="66"/>
      <c r="KU376" s="66"/>
      <c r="KV376" s="66"/>
      <c r="KW376" s="66"/>
      <c r="KX376" s="66"/>
      <c r="KY376" s="66"/>
      <c r="KZ376" s="66"/>
      <c r="LA376" s="8"/>
      <c r="LD376" s="252"/>
      <c r="LE376" s="252"/>
      <c r="LF376" s="252"/>
      <c r="LJ376" s="252"/>
      <c r="LK376" s="252"/>
      <c r="LN376" s="252"/>
      <c r="LO376" s="252"/>
      <c r="LP376" s="252"/>
      <c r="LT376" s="271"/>
      <c r="LU376" s="250"/>
      <c r="LV376" s="250"/>
      <c r="LW376" s="250"/>
      <c r="LX376" s="250"/>
      <c r="LY376" s="250"/>
      <c r="LZ376" s="250"/>
      <c r="MA376" s="250"/>
      <c r="MB376" s="250"/>
      <c r="MC376" s="250"/>
      <c r="MD376" s="250"/>
      <c r="ME376" s="250"/>
      <c r="MF376" s="250"/>
      <c r="MG376" s="250"/>
      <c r="MH376" s="250"/>
      <c r="MI376" s="250"/>
      <c r="MJ376" s="250"/>
      <c r="MK376" s="424"/>
      <c r="ML376" s="640"/>
      <c r="MM376" s="251"/>
      <c r="MN376" s="252"/>
      <c r="MO376" s="252"/>
      <c r="MP376" s="252"/>
      <c r="MQ376" s="252"/>
      <c r="MR376" s="252"/>
      <c r="MS376" s="252"/>
      <c r="MT376" s="252"/>
      <c r="MU376" s="252"/>
      <c r="MV376" s="252"/>
      <c r="MW376" s="252"/>
      <c r="MX376" s="252"/>
      <c r="MY376" s="252"/>
      <c r="MZ376" s="252"/>
      <c r="NA376" s="252"/>
      <c r="NB376" s="252"/>
      <c r="NC376" s="251"/>
      <c r="ND376" s="250"/>
      <c r="NE376" s="250"/>
      <c r="NF376" s="250"/>
      <c r="NG376" s="250"/>
      <c r="NH376" s="250"/>
      <c r="NI376" s="250"/>
      <c r="NJ376" s="250"/>
      <c r="NK376" s="250"/>
      <c r="NL376" s="250"/>
      <c r="NM376" s="250"/>
      <c r="NN376" s="250"/>
      <c r="NO376" s="250"/>
      <c r="NP376" s="250"/>
      <c r="NQ376" s="250"/>
      <c r="NR376" s="250"/>
      <c r="NS376" s="250"/>
      <c r="NT376" s="250"/>
      <c r="NU376" s="250"/>
      <c r="NV376" s="250"/>
      <c r="NW376" s="251"/>
      <c r="OT376" s="8"/>
      <c r="QG376" s="8"/>
      <c r="RT376" s="8"/>
    </row>
    <row r="377" spans="1:488" s="282" customFormat="1" x14ac:dyDescent="0.25">
      <c r="A377" s="66"/>
      <c r="B377" s="8"/>
      <c r="C377" s="66"/>
      <c r="D377" s="66"/>
      <c r="E377" s="66"/>
      <c r="F377" s="66"/>
      <c r="G377" s="66"/>
      <c r="H377" s="66"/>
      <c r="I377" s="66"/>
      <c r="J377" s="66"/>
      <c r="K377" s="66"/>
      <c r="L377" s="66"/>
      <c r="M377" s="66"/>
      <c r="N377" s="66"/>
      <c r="O377" s="66"/>
      <c r="P377" s="66"/>
      <c r="Q377" s="66"/>
      <c r="R377" s="66"/>
      <c r="S377" s="66"/>
      <c r="T377" s="68"/>
      <c r="AC377" s="66"/>
      <c r="AD377" s="66"/>
      <c r="AE377" s="68"/>
      <c r="AN377" s="66"/>
      <c r="AO377" s="66"/>
      <c r="AP377" s="68"/>
      <c r="AW377" s="66"/>
      <c r="AX377" s="68"/>
      <c r="BD377" s="66"/>
      <c r="BE377" s="68"/>
      <c r="BF377" s="66"/>
      <c r="BG377" s="66"/>
      <c r="BH377" s="66"/>
      <c r="BI377" s="66"/>
      <c r="BJ377" s="66"/>
      <c r="BK377" s="66"/>
      <c r="BL377" s="68"/>
      <c r="BO377" s="66"/>
      <c r="BP377" s="68"/>
      <c r="BV377" s="66"/>
      <c r="BW377" s="68"/>
      <c r="CB377" s="8"/>
      <c r="CH377" s="8"/>
      <c r="CK377" s="299"/>
      <c r="CL377" s="299"/>
      <c r="CM377" s="66"/>
      <c r="CN377" s="66"/>
      <c r="CO377" s="68"/>
      <c r="CR377" s="8"/>
      <c r="CX377" s="66"/>
      <c r="CY377" s="532"/>
      <c r="DE377" s="66"/>
      <c r="DF377" s="66"/>
      <c r="DG377" s="68"/>
      <c r="DH377" s="68"/>
      <c r="DK377" s="66"/>
      <c r="DL377" s="66"/>
      <c r="DM377" s="66"/>
      <c r="DN377" s="66"/>
      <c r="DO377" s="66"/>
      <c r="DP377" s="66"/>
      <c r="DQ377" s="66"/>
      <c r="DR377" s="66"/>
      <c r="DS377" s="66"/>
      <c r="DT377" s="68"/>
      <c r="DU377" s="66"/>
      <c r="DV377" s="296"/>
      <c r="DW377" s="330"/>
      <c r="DX377" s="631"/>
      <c r="DY377" s="631"/>
      <c r="DZ377" s="631"/>
      <c r="EA377" s="330"/>
      <c r="EC377" s="66"/>
      <c r="ED377" s="68"/>
      <c r="EH377" s="66"/>
      <c r="EI377" s="66"/>
      <c r="EJ377" s="68"/>
      <c r="EK377" s="252"/>
      <c r="EL377" s="252"/>
      <c r="EM377" s="252"/>
      <c r="EO377" s="252"/>
      <c r="EP377" s="252"/>
      <c r="EQ377" s="252"/>
      <c r="ES377" s="252"/>
      <c r="ET377" s="252"/>
      <c r="EU377" s="252"/>
      <c r="EW377" s="252"/>
      <c r="EX377" s="252"/>
      <c r="EY377" s="252"/>
      <c r="FA377" s="250"/>
      <c r="FB377" s="250"/>
      <c r="FC377" s="250"/>
      <c r="FD377" s="250"/>
      <c r="FE377" s="250"/>
      <c r="FF377" s="250"/>
      <c r="FG377" s="250"/>
      <c r="FH377" s="424"/>
      <c r="FI377" s="250"/>
      <c r="FJ377" s="250"/>
      <c r="FK377" s="250"/>
      <c r="FL377" s="256"/>
      <c r="FM377" s="250"/>
      <c r="FN377" s="256"/>
      <c r="FO377" s="250"/>
      <c r="FP377" s="256"/>
      <c r="FQ377" s="250"/>
      <c r="FR377" s="256"/>
      <c r="FS377" s="250"/>
      <c r="FT377" s="256"/>
      <c r="FU377" s="256"/>
      <c r="FV377" s="256"/>
      <c r="FW377" s="250"/>
      <c r="FX377" s="424"/>
      <c r="FY377" s="251"/>
      <c r="GC377" s="252"/>
      <c r="GF377" s="252"/>
      <c r="GG377" s="252"/>
      <c r="GH377" s="252"/>
      <c r="GI377" s="252"/>
      <c r="GJ377" s="252"/>
      <c r="GK377" s="251"/>
      <c r="GL377" s="250"/>
      <c r="GM377" s="250"/>
      <c r="GN377" s="250"/>
      <c r="GO377" s="250"/>
      <c r="GP377" s="250"/>
      <c r="GQ377" s="250"/>
      <c r="GR377" s="250"/>
      <c r="GS377" s="250"/>
      <c r="GT377" s="250"/>
      <c r="GU377" s="251"/>
      <c r="GV377" s="250"/>
      <c r="GW377" s="250"/>
      <c r="GX377" s="250"/>
      <c r="GY377" s="250"/>
      <c r="GZ377" s="250"/>
      <c r="HA377" s="250"/>
      <c r="HB377" s="250"/>
      <c r="HC377" s="250"/>
      <c r="HD377" s="250"/>
      <c r="HE377" s="250"/>
      <c r="HF377" s="250"/>
      <c r="HG377" s="250"/>
      <c r="HH377" s="251"/>
      <c r="HI377" s="424"/>
      <c r="HJ377" s="255"/>
      <c r="HK377" s="255"/>
      <c r="HL377" s="250"/>
      <c r="HM377" s="255"/>
      <c r="HN377" s="255"/>
      <c r="HO377" s="255"/>
      <c r="HP377" s="250"/>
      <c r="HQ377" s="250"/>
      <c r="HR377" s="250"/>
      <c r="HS377" s="250"/>
      <c r="HT377" s="250"/>
      <c r="HU377" s="251"/>
      <c r="HX377" s="252"/>
      <c r="HY377" s="252"/>
      <c r="HZ377" s="252"/>
      <c r="ID377" s="252"/>
      <c r="IE377" s="252"/>
      <c r="IF377" s="252"/>
      <c r="IJ377" s="252"/>
      <c r="IK377" s="252"/>
      <c r="IL377" s="252"/>
      <c r="IP377" s="252"/>
      <c r="IQ377" s="252"/>
      <c r="IR377" s="252"/>
      <c r="IY377" s="66"/>
      <c r="IZ377" s="66"/>
      <c r="JA377" s="66"/>
      <c r="JB377" s="250"/>
      <c r="JC377" s="66"/>
      <c r="JD377" s="66"/>
      <c r="JE377" s="66"/>
      <c r="JF377" s="66"/>
      <c r="JG377" s="66"/>
      <c r="JH377" s="66"/>
      <c r="JI377" s="66"/>
      <c r="JJ377" s="66"/>
      <c r="JK377" s="8"/>
      <c r="JN377" s="252"/>
      <c r="JO377" s="252"/>
      <c r="JP377" s="252"/>
      <c r="JT377" s="252"/>
      <c r="JU377" s="252"/>
      <c r="JV377" s="252"/>
      <c r="JZ377" s="252"/>
      <c r="KA377" s="252"/>
      <c r="KB377" s="252"/>
      <c r="KF377" s="252"/>
      <c r="KG377" s="252"/>
      <c r="KH377" s="252"/>
      <c r="KO377" s="66"/>
      <c r="KP377" s="66"/>
      <c r="KQ377" s="66"/>
      <c r="KR377" s="66"/>
      <c r="KS377" s="66"/>
      <c r="KT377" s="66"/>
      <c r="KU377" s="66"/>
      <c r="KV377" s="66"/>
      <c r="KW377" s="66"/>
      <c r="KX377" s="66"/>
      <c r="KY377" s="66"/>
      <c r="KZ377" s="66"/>
      <c r="LA377" s="8"/>
      <c r="LD377" s="252"/>
      <c r="LE377" s="252"/>
      <c r="LF377" s="252"/>
      <c r="LJ377" s="252"/>
      <c r="LK377" s="252"/>
      <c r="LN377" s="252"/>
      <c r="LO377" s="252"/>
      <c r="LP377" s="252"/>
      <c r="LT377" s="271"/>
      <c r="LU377" s="250"/>
      <c r="LV377" s="250"/>
      <c r="LW377" s="250"/>
      <c r="LX377" s="250"/>
      <c r="LY377" s="250"/>
      <c r="LZ377" s="250"/>
      <c r="MA377" s="250"/>
      <c r="MB377" s="250"/>
      <c r="MC377" s="250"/>
      <c r="MD377" s="250"/>
      <c r="ME377" s="250"/>
      <c r="MF377" s="250"/>
      <c r="MG377" s="250"/>
      <c r="MH377" s="250"/>
      <c r="MI377" s="250"/>
      <c r="MJ377" s="250"/>
      <c r="MK377" s="424"/>
      <c r="ML377" s="640"/>
      <c r="MM377" s="251"/>
      <c r="MN377" s="252"/>
      <c r="MO377" s="252"/>
      <c r="MP377" s="252"/>
      <c r="MQ377" s="252"/>
      <c r="MR377" s="252"/>
      <c r="MS377" s="252"/>
      <c r="MT377" s="252"/>
      <c r="MU377" s="252"/>
      <c r="MV377" s="252"/>
      <c r="MW377" s="252"/>
      <c r="MX377" s="252"/>
      <c r="MY377" s="252"/>
      <c r="MZ377" s="252"/>
      <c r="NA377" s="252"/>
      <c r="NB377" s="252"/>
      <c r="NC377" s="251"/>
      <c r="ND377" s="250"/>
      <c r="NE377" s="250"/>
      <c r="NF377" s="250"/>
      <c r="NG377" s="250"/>
      <c r="NH377" s="250"/>
      <c r="NI377" s="250"/>
      <c r="NJ377" s="250"/>
      <c r="NK377" s="250"/>
      <c r="NL377" s="250"/>
      <c r="NM377" s="250"/>
      <c r="NN377" s="250"/>
      <c r="NO377" s="250"/>
      <c r="NP377" s="250"/>
      <c r="NQ377" s="250"/>
      <c r="NR377" s="250"/>
      <c r="NS377" s="250"/>
      <c r="NT377" s="250"/>
      <c r="NU377" s="250"/>
      <c r="NV377" s="250"/>
      <c r="NW377" s="251"/>
      <c r="OT377" s="8"/>
      <c r="QG377" s="8"/>
      <c r="RT377" s="8"/>
    </row>
    <row r="378" spans="1:488" s="282" customFormat="1" x14ac:dyDescent="0.25">
      <c r="A378" s="66"/>
      <c r="B378" s="8"/>
      <c r="C378" s="66"/>
      <c r="D378" s="66"/>
      <c r="E378" s="66"/>
      <c r="F378" s="66"/>
      <c r="G378" s="66"/>
      <c r="H378" s="66"/>
      <c r="I378" s="66"/>
      <c r="J378" s="66"/>
      <c r="K378" s="66"/>
      <c r="L378" s="66"/>
      <c r="M378" s="66"/>
      <c r="N378" s="66"/>
      <c r="O378" s="66"/>
      <c r="P378" s="66"/>
      <c r="Q378" s="66"/>
      <c r="R378" s="66"/>
      <c r="S378" s="66"/>
      <c r="T378" s="68"/>
      <c r="AC378" s="66"/>
      <c r="AD378" s="66"/>
      <c r="AE378" s="68"/>
      <c r="AN378" s="66"/>
      <c r="AO378" s="66"/>
      <c r="AP378" s="68"/>
      <c r="AW378" s="66"/>
      <c r="AX378" s="68"/>
      <c r="BD378" s="66"/>
      <c r="BE378" s="68"/>
      <c r="BF378" s="66"/>
      <c r="BG378" s="66"/>
      <c r="BH378" s="66"/>
      <c r="BI378" s="66"/>
      <c r="BJ378" s="66"/>
      <c r="BK378" s="66"/>
      <c r="BL378" s="68"/>
      <c r="BO378" s="66"/>
      <c r="BP378" s="68"/>
      <c r="BV378" s="66"/>
      <c r="BW378" s="68"/>
      <c r="CB378" s="8"/>
      <c r="CH378" s="8"/>
      <c r="CK378" s="299"/>
      <c r="CL378" s="299"/>
      <c r="CM378" s="66"/>
      <c r="CN378" s="66"/>
      <c r="CO378" s="68"/>
      <c r="CR378" s="8"/>
      <c r="CX378" s="66"/>
      <c r="CY378" s="532"/>
      <c r="DE378" s="66"/>
      <c r="DF378" s="66"/>
      <c r="DG378" s="68"/>
      <c r="DH378" s="68"/>
      <c r="DK378" s="66"/>
      <c r="DL378" s="66"/>
      <c r="DM378" s="66"/>
      <c r="DN378" s="66"/>
      <c r="DO378" s="66"/>
      <c r="DP378" s="66"/>
      <c r="DQ378" s="66"/>
      <c r="DR378" s="66"/>
      <c r="DS378" s="66"/>
      <c r="DT378" s="68"/>
      <c r="DU378" s="66"/>
      <c r="DV378" s="296"/>
      <c r="DW378" s="330"/>
      <c r="DX378" s="631"/>
      <c r="DY378" s="631"/>
      <c r="DZ378" s="631"/>
      <c r="EA378" s="330"/>
      <c r="EC378" s="66"/>
      <c r="ED378" s="68"/>
      <c r="EH378" s="66"/>
      <c r="EI378" s="66"/>
      <c r="EJ378" s="68"/>
      <c r="EK378" s="252"/>
      <c r="EL378" s="252"/>
      <c r="EM378" s="252"/>
      <c r="EO378" s="252"/>
      <c r="EP378" s="252"/>
      <c r="EQ378" s="252"/>
      <c r="ES378" s="252"/>
      <c r="ET378" s="252"/>
      <c r="EU378" s="252"/>
      <c r="EW378" s="252"/>
      <c r="EX378" s="252"/>
      <c r="EY378" s="252"/>
      <c r="FA378" s="250"/>
      <c r="FB378" s="250"/>
      <c r="FC378" s="250"/>
      <c r="FD378" s="250"/>
      <c r="FE378" s="250"/>
      <c r="FF378" s="250"/>
      <c r="FG378" s="250"/>
      <c r="FH378" s="424"/>
      <c r="FI378" s="250"/>
      <c r="FJ378" s="250"/>
      <c r="FK378" s="250"/>
      <c r="FL378" s="256"/>
      <c r="FM378" s="250"/>
      <c r="FN378" s="256"/>
      <c r="FO378" s="250"/>
      <c r="FP378" s="256"/>
      <c r="FQ378" s="250"/>
      <c r="FR378" s="256"/>
      <c r="FS378" s="250"/>
      <c r="FT378" s="256"/>
      <c r="FU378" s="256"/>
      <c r="FV378" s="256"/>
      <c r="FW378" s="250"/>
      <c r="FX378" s="424"/>
      <c r="FY378" s="251"/>
      <c r="GC378" s="252"/>
      <c r="GF378" s="252"/>
      <c r="GG378" s="252"/>
      <c r="GH378" s="252"/>
      <c r="GI378" s="252"/>
      <c r="GJ378" s="252"/>
      <c r="GK378" s="251"/>
      <c r="GL378" s="250"/>
      <c r="GM378" s="250"/>
      <c r="GN378" s="250"/>
      <c r="GO378" s="250"/>
      <c r="GP378" s="250"/>
      <c r="GQ378" s="250"/>
      <c r="GR378" s="250"/>
      <c r="GS378" s="250"/>
      <c r="GT378" s="250"/>
      <c r="GU378" s="251"/>
      <c r="GV378" s="250"/>
      <c r="GW378" s="250"/>
      <c r="GX378" s="250"/>
      <c r="GY378" s="250"/>
      <c r="GZ378" s="250"/>
      <c r="HA378" s="250"/>
      <c r="HB378" s="250"/>
      <c r="HC378" s="250"/>
      <c r="HD378" s="250"/>
      <c r="HE378" s="250"/>
      <c r="HF378" s="250"/>
      <c r="HG378" s="250"/>
      <c r="HH378" s="251"/>
      <c r="HI378" s="424"/>
      <c r="HJ378" s="255"/>
      <c r="HK378" s="255"/>
      <c r="HL378" s="250"/>
      <c r="HM378" s="255"/>
      <c r="HN378" s="255"/>
      <c r="HO378" s="255"/>
      <c r="HP378" s="250"/>
      <c r="HQ378" s="250"/>
      <c r="HR378" s="250"/>
      <c r="HS378" s="250"/>
      <c r="HT378" s="250"/>
      <c r="HU378" s="251"/>
      <c r="HX378" s="252"/>
      <c r="HY378" s="252"/>
      <c r="HZ378" s="252"/>
      <c r="ID378" s="252"/>
      <c r="IE378" s="252"/>
      <c r="IF378" s="252"/>
      <c r="IJ378" s="252"/>
      <c r="IK378" s="252"/>
      <c r="IL378" s="252"/>
      <c r="IP378" s="252"/>
      <c r="IQ378" s="252"/>
      <c r="IR378" s="252"/>
      <c r="IY378" s="66"/>
      <c r="IZ378" s="66"/>
      <c r="JA378" s="66"/>
      <c r="JB378" s="250"/>
      <c r="JC378" s="66"/>
      <c r="JD378" s="66"/>
      <c r="JE378" s="66"/>
      <c r="JF378" s="66"/>
      <c r="JG378" s="66"/>
      <c r="JH378" s="66"/>
      <c r="JI378" s="66"/>
      <c r="JJ378" s="66"/>
      <c r="JK378" s="8"/>
      <c r="JN378" s="252"/>
      <c r="JO378" s="252"/>
      <c r="JP378" s="252"/>
      <c r="JT378" s="252"/>
      <c r="JU378" s="252"/>
      <c r="JV378" s="252"/>
      <c r="JZ378" s="252"/>
      <c r="KA378" s="252"/>
      <c r="KB378" s="252"/>
      <c r="KF378" s="252"/>
      <c r="KG378" s="252"/>
      <c r="KH378" s="252"/>
      <c r="KO378" s="66"/>
      <c r="KP378" s="66"/>
      <c r="KQ378" s="66"/>
      <c r="KR378" s="66"/>
      <c r="KS378" s="66"/>
      <c r="KT378" s="66"/>
      <c r="KU378" s="66"/>
      <c r="KV378" s="66"/>
      <c r="KW378" s="66"/>
      <c r="KX378" s="66"/>
      <c r="KY378" s="66"/>
      <c r="KZ378" s="66"/>
      <c r="LA378" s="8"/>
      <c r="LD378" s="252"/>
      <c r="LE378" s="252"/>
      <c r="LF378" s="252"/>
      <c r="LJ378" s="252"/>
      <c r="LK378" s="252"/>
      <c r="LN378" s="252"/>
      <c r="LO378" s="252"/>
      <c r="LP378" s="252"/>
      <c r="LT378" s="271"/>
      <c r="LU378" s="250"/>
      <c r="LV378" s="250"/>
      <c r="LW378" s="250"/>
      <c r="LX378" s="250"/>
      <c r="LY378" s="250"/>
      <c r="LZ378" s="250"/>
      <c r="MA378" s="250"/>
      <c r="MB378" s="250"/>
      <c r="MC378" s="250"/>
      <c r="MD378" s="250"/>
      <c r="ME378" s="250"/>
      <c r="MF378" s="250"/>
      <c r="MG378" s="250"/>
      <c r="MH378" s="250"/>
      <c r="MI378" s="250"/>
      <c r="MJ378" s="250"/>
      <c r="MK378" s="424"/>
      <c r="ML378" s="640"/>
      <c r="MM378" s="251"/>
      <c r="MN378" s="252"/>
      <c r="MO378" s="252"/>
      <c r="MP378" s="252"/>
      <c r="MQ378" s="252"/>
      <c r="MR378" s="252"/>
      <c r="MS378" s="252"/>
      <c r="MT378" s="252"/>
      <c r="MU378" s="252"/>
      <c r="MV378" s="252"/>
      <c r="MW378" s="252"/>
      <c r="MX378" s="252"/>
      <c r="MY378" s="252"/>
      <c r="MZ378" s="252"/>
      <c r="NA378" s="252"/>
      <c r="NB378" s="252"/>
      <c r="NC378" s="251"/>
      <c r="ND378" s="250"/>
      <c r="NE378" s="250"/>
      <c r="NF378" s="250"/>
      <c r="NG378" s="250"/>
      <c r="NH378" s="250"/>
      <c r="NI378" s="250"/>
      <c r="NJ378" s="250"/>
      <c r="NK378" s="250"/>
      <c r="NL378" s="250"/>
      <c r="NM378" s="250"/>
      <c r="NN378" s="250"/>
      <c r="NO378" s="250"/>
      <c r="NP378" s="250"/>
      <c r="NQ378" s="250"/>
      <c r="NR378" s="250"/>
      <c r="NS378" s="250"/>
      <c r="NT378" s="250"/>
      <c r="NU378" s="250"/>
      <c r="NV378" s="250"/>
      <c r="NW378" s="251"/>
      <c r="OT378" s="8"/>
      <c r="QG378" s="8"/>
      <c r="RT378" s="8"/>
    </row>
    <row r="379" spans="1:488" s="282" customFormat="1" x14ac:dyDescent="0.25">
      <c r="A379" s="66"/>
      <c r="B379" s="8"/>
      <c r="C379" s="66"/>
      <c r="D379" s="66"/>
      <c r="E379" s="66"/>
      <c r="F379" s="66"/>
      <c r="G379" s="66"/>
      <c r="H379" s="66"/>
      <c r="I379" s="66"/>
      <c r="J379" s="66"/>
      <c r="K379" s="66"/>
      <c r="L379" s="66"/>
      <c r="M379" s="66"/>
      <c r="N379" s="66"/>
      <c r="O379" s="66"/>
      <c r="P379" s="66"/>
      <c r="Q379" s="66"/>
      <c r="R379" s="66"/>
      <c r="S379" s="66"/>
      <c r="T379" s="68"/>
      <c r="AC379" s="66"/>
      <c r="AD379" s="66"/>
      <c r="AE379" s="68"/>
      <c r="AN379" s="66"/>
      <c r="AO379" s="66"/>
      <c r="AP379" s="68"/>
      <c r="AW379" s="66"/>
      <c r="AX379" s="68"/>
      <c r="BD379" s="66"/>
      <c r="BE379" s="68"/>
      <c r="BF379" s="66"/>
      <c r="BG379" s="66"/>
      <c r="BH379" s="66"/>
      <c r="BI379" s="66"/>
      <c r="BJ379" s="66"/>
      <c r="BK379" s="66"/>
      <c r="BL379" s="68"/>
      <c r="BO379" s="66"/>
      <c r="BP379" s="68"/>
      <c r="BV379" s="66"/>
      <c r="BW379" s="68"/>
      <c r="CB379" s="8"/>
      <c r="CH379" s="8"/>
      <c r="CK379" s="299"/>
      <c r="CL379" s="299"/>
      <c r="CM379" s="66"/>
      <c r="CN379" s="66"/>
      <c r="CO379" s="68"/>
      <c r="CR379" s="8"/>
      <c r="CX379" s="66"/>
      <c r="CY379" s="532"/>
      <c r="DE379" s="66"/>
      <c r="DF379" s="66"/>
      <c r="DG379" s="68"/>
      <c r="DH379" s="68"/>
      <c r="DK379" s="66"/>
      <c r="DL379" s="66"/>
      <c r="DM379" s="66"/>
      <c r="DN379" s="66"/>
      <c r="DO379" s="66"/>
      <c r="DP379" s="66"/>
      <c r="DQ379" s="66"/>
      <c r="DR379" s="66"/>
      <c r="DS379" s="66"/>
      <c r="DT379" s="68"/>
      <c r="DU379" s="66"/>
      <c r="DV379" s="296"/>
      <c r="DW379" s="330"/>
      <c r="DX379" s="631"/>
      <c r="DY379" s="631"/>
      <c r="DZ379" s="631"/>
      <c r="EA379" s="330"/>
      <c r="EC379" s="66"/>
      <c r="ED379" s="68"/>
      <c r="EH379" s="66"/>
      <c r="EI379" s="66"/>
      <c r="EJ379" s="68"/>
      <c r="EK379" s="252"/>
      <c r="EL379" s="252"/>
      <c r="EM379" s="252"/>
      <c r="EO379" s="252"/>
      <c r="EP379" s="252"/>
      <c r="EQ379" s="252"/>
      <c r="ES379" s="252"/>
      <c r="ET379" s="252"/>
      <c r="EU379" s="252"/>
      <c r="EW379" s="252"/>
      <c r="EX379" s="252"/>
      <c r="EY379" s="252"/>
      <c r="FA379" s="250"/>
      <c r="FB379" s="250"/>
      <c r="FC379" s="250"/>
      <c r="FD379" s="250"/>
      <c r="FE379" s="250"/>
      <c r="FF379" s="250"/>
      <c r="FG379" s="250"/>
      <c r="FH379" s="424"/>
      <c r="FI379" s="250"/>
      <c r="FJ379" s="250"/>
      <c r="FK379" s="250"/>
      <c r="FL379" s="256"/>
      <c r="FM379" s="250"/>
      <c r="FN379" s="256"/>
      <c r="FO379" s="250"/>
      <c r="FP379" s="256"/>
      <c r="FQ379" s="250"/>
      <c r="FR379" s="256"/>
      <c r="FS379" s="250"/>
      <c r="FT379" s="256"/>
      <c r="FU379" s="256"/>
      <c r="FV379" s="256"/>
      <c r="FW379" s="250"/>
      <c r="FX379" s="424"/>
      <c r="FY379" s="251"/>
      <c r="GC379" s="252"/>
      <c r="GF379" s="252"/>
      <c r="GG379" s="252"/>
      <c r="GH379" s="252"/>
      <c r="GI379" s="252"/>
      <c r="GJ379" s="252"/>
      <c r="GK379" s="251"/>
      <c r="GL379" s="250"/>
      <c r="GM379" s="250"/>
      <c r="GN379" s="250"/>
      <c r="GO379" s="250"/>
      <c r="GP379" s="250"/>
      <c r="GQ379" s="250"/>
      <c r="GR379" s="250"/>
      <c r="GS379" s="250"/>
      <c r="GT379" s="250"/>
      <c r="GU379" s="251"/>
      <c r="GV379" s="250"/>
      <c r="GW379" s="250"/>
      <c r="GX379" s="250"/>
      <c r="GY379" s="250"/>
      <c r="GZ379" s="250"/>
      <c r="HA379" s="250"/>
      <c r="HB379" s="250"/>
      <c r="HC379" s="250"/>
      <c r="HD379" s="250"/>
      <c r="HE379" s="250"/>
      <c r="HF379" s="250"/>
      <c r="HG379" s="250"/>
      <c r="HH379" s="251"/>
      <c r="HI379" s="424"/>
      <c r="HJ379" s="255"/>
      <c r="HK379" s="255"/>
      <c r="HL379" s="250"/>
      <c r="HM379" s="255"/>
      <c r="HN379" s="255"/>
      <c r="HO379" s="255"/>
      <c r="HP379" s="250"/>
      <c r="HQ379" s="250"/>
      <c r="HR379" s="250"/>
      <c r="HS379" s="250"/>
      <c r="HT379" s="250"/>
      <c r="HU379" s="251"/>
      <c r="HX379" s="252"/>
      <c r="HY379" s="252"/>
      <c r="HZ379" s="252"/>
      <c r="ID379" s="252"/>
      <c r="IE379" s="252"/>
      <c r="IF379" s="252"/>
      <c r="IJ379" s="252"/>
      <c r="IK379" s="252"/>
      <c r="IL379" s="252"/>
      <c r="IP379" s="252"/>
      <c r="IQ379" s="252"/>
      <c r="IR379" s="252"/>
      <c r="IY379" s="66"/>
      <c r="IZ379" s="66"/>
      <c r="JA379" s="66"/>
      <c r="JB379" s="250"/>
      <c r="JC379" s="66"/>
      <c r="JD379" s="66"/>
      <c r="JE379" s="66"/>
      <c r="JF379" s="66"/>
      <c r="JG379" s="66"/>
      <c r="JH379" s="66"/>
      <c r="JI379" s="66"/>
      <c r="JJ379" s="66"/>
      <c r="JK379" s="8"/>
      <c r="JN379" s="252"/>
      <c r="JO379" s="252"/>
      <c r="JP379" s="252"/>
      <c r="JT379" s="252"/>
      <c r="JU379" s="252"/>
      <c r="JV379" s="252"/>
      <c r="JZ379" s="252"/>
      <c r="KA379" s="252"/>
      <c r="KB379" s="252"/>
      <c r="KF379" s="252"/>
      <c r="KG379" s="252"/>
      <c r="KH379" s="252"/>
      <c r="KO379" s="66"/>
      <c r="KP379" s="66"/>
      <c r="KQ379" s="66"/>
      <c r="KR379" s="66"/>
      <c r="KS379" s="66"/>
      <c r="KT379" s="66"/>
      <c r="KU379" s="66"/>
      <c r="KV379" s="66"/>
      <c r="KW379" s="66"/>
      <c r="KX379" s="66"/>
      <c r="KY379" s="66"/>
      <c r="KZ379" s="66"/>
      <c r="LA379" s="8"/>
      <c r="LD379" s="252"/>
      <c r="LE379" s="252"/>
      <c r="LF379" s="252"/>
      <c r="LJ379" s="252"/>
      <c r="LK379" s="252"/>
      <c r="LN379" s="252"/>
      <c r="LO379" s="252"/>
      <c r="LP379" s="252"/>
      <c r="LT379" s="271"/>
      <c r="LU379" s="250"/>
      <c r="LV379" s="250"/>
      <c r="LW379" s="250"/>
      <c r="LX379" s="250"/>
      <c r="LY379" s="250"/>
      <c r="LZ379" s="250"/>
      <c r="MA379" s="250"/>
      <c r="MB379" s="250"/>
      <c r="MC379" s="250"/>
      <c r="MD379" s="250"/>
      <c r="ME379" s="250"/>
      <c r="MF379" s="250"/>
      <c r="MG379" s="250"/>
      <c r="MH379" s="250"/>
      <c r="MI379" s="250"/>
      <c r="MJ379" s="250"/>
      <c r="MK379" s="424"/>
      <c r="ML379" s="640"/>
      <c r="MM379" s="251"/>
      <c r="MN379" s="252"/>
      <c r="MO379" s="252"/>
      <c r="MP379" s="252"/>
      <c r="MQ379" s="252"/>
      <c r="MR379" s="252"/>
      <c r="MS379" s="252"/>
      <c r="MT379" s="252"/>
      <c r="MU379" s="252"/>
      <c r="MV379" s="252"/>
      <c r="MW379" s="252"/>
      <c r="MX379" s="252"/>
      <c r="MY379" s="252"/>
      <c r="MZ379" s="252"/>
      <c r="NA379" s="252"/>
      <c r="NB379" s="252"/>
      <c r="NC379" s="251"/>
      <c r="ND379" s="250"/>
      <c r="NE379" s="250"/>
      <c r="NF379" s="250"/>
      <c r="NG379" s="250"/>
      <c r="NH379" s="250"/>
      <c r="NI379" s="250"/>
      <c r="NJ379" s="250"/>
      <c r="NK379" s="250"/>
      <c r="NL379" s="250"/>
      <c r="NM379" s="250"/>
      <c r="NN379" s="250"/>
      <c r="NO379" s="250"/>
      <c r="NP379" s="250"/>
      <c r="NQ379" s="250"/>
      <c r="NR379" s="250"/>
      <c r="NS379" s="250"/>
      <c r="NT379" s="250"/>
      <c r="NU379" s="250"/>
      <c r="NV379" s="250"/>
      <c r="NW379" s="251"/>
      <c r="OT379" s="8"/>
      <c r="QG379" s="8"/>
      <c r="RT379" s="8"/>
    </row>
    <row r="380" spans="1:488" s="282" customFormat="1" x14ac:dyDescent="0.25">
      <c r="A380" s="66"/>
      <c r="B380" s="8"/>
      <c r="C380" s="66"/>
      <c r="D380" s="66"/>
      <c r="E380" s="66"/>
      <c r="F380" s="66"/>
      <c r="G380" s="66"/>
      <c r="H380" s="66"/>
      <c r="I380" s="66"/>
      <c r="J380" s="66"/>
      <c r="K380" s="66"/>
      <c r="L380" s="66"/>
      <c r="M380" s="66"/>
      <c r="N380" s="66"/>
      <c r="O380" s="66"/>
      <c r="P380" s="66"/>
      <c r="Q380" s="66"/>
      <c r="R380" s="66"/>
      <c r="S380" s="66"/>
      <c r="T380" s="68"/>
      <c r="AC380" s="66"/>
      <c r="AD380" s="66"/>
      <c r="AE380" s="68"/>
      <c r="AN380" s="66"/>
      <c r="AO380" s="66"/>
      <c r="AP380" s="68"/>
      <c r="AW380" s="66"/>
      <c r="AX380" s="68"/>
      <c r="BD380" s="66"/>
      <c r="BE380" s="68"/>
      <c r="BF380" s="66"/>
      <c r="BG380" s="66"/>
      <c r="BH380" s="66"/>
      <c r="BI380" s="66"/>
      <c r="BJ380" s="66"/>
      <c r="BK380" s="66"/>
      <c r="BL380" s="68"/>
      <c r="BO380" s="66"/>
      <c r="BP380" s="68"/>
      <c r="BV380" s="66"/>
      <c r="BW380" s="68"/>
      <c r="CB380" s="8"/>
      <c r="CH380" s="8"/>
      <c r="CK380" s="299"/>
      <c r="CL380" s="299"/>
      <c r="CM380" s="66"/>
      <c r="CN380" s="66"/>
      <c r="CO380" s="68"/>
      <c r="CR380" s="8"/>
      <c r="CX380" s="66"/>
      <c r="CY380" s="532"/>
      <c r="DE380" s="66"/>
      <c r="DF380" s="66"/>
      <c r="DG380" s="68"/>
      <c r="DH380" s="68"/>
      <c r="DK380" s="66"/>
      <c r="DL380" s="66"/>
      <c r="DM380" s="66"/>
      <c r="DN380" s="66"/>
      <c r="DO380" s="66"/>
      <c r="DP380" s="66"/>
      <c r="DQ380" s="66"/>
      <c r="DR380" s="66"/>
      <c r="DS380" s="66"/>
      <c r="DT380" s="68"/>
      <c r="DU380" s="66"/>
      <c r="DV380" s="296"/>
      <c r="DW380" s="330"/>
      <c r="DX380" s="631"/>
      <c r="DY380" s="631"/>
      <c r="DZ380" s="631"/>
      <c r="EA380" s="330"/>
      <c r="EC380" s="66"/>
      <c r="ED380" s="68"/>
      <c r="EH380" s="66"/>
      <c r="EI380" s="66"/>
      <c r="EJ380" s="68"/>
      <c r="EK380" s="252"/>
      <c r="EL380" s="252"/>
      <c r="EM380" s="252"/>
      <c r="EO380" s="252"/>
      <c r="EP380" s="252"/>
      <c r="EQ380" s="252"/>
      <c r="ES380" s="252"/>
      <c r="ET380" s="252"/>
      <c r="EU380" s="252"/>
      <c r="EW380" s="252"/>
      <c r="EX380" s="252"/>
      <c r="EY380" s="252"/>
      <c r="FA380" s="250"/>
      <c r="FB380" s="250"/>
      <c r="FC380" s="250"/>
      <c r="FD380" s="250"/>
      <c r="FE380" s="250"/>
      <c r="FF380" s="250"/>
      <c r="FG380" s="250"/>
      <c r="FH380" s="424"/>
      <c r="FI380" s="250"/>
      <c r="FJ380" s="250"/>
      <c r="FK380" s="250"/>
      <c r="FL380" s="256"/>
      <c r="FM380" s="250"/>
      <c r="FN380" s="256"/>
      <c r="FO380" s="250"/>
      <c r="FP380" s="256"/>
      <c r="FQ380" s="250"/>
      <c r="FR380" s="256"/>
      <c r="FS380" s="250"/>
      <c r="FT380" s="256"/>
      <c r="FU380" s="256"/>
      <c r="FV380" s="256"/>
      <c r="FW380" s="250"/>
      <c r="FX380" s="424"/>
      <c r="FY380" s="251"/>
      <c r="GC380" s="252"/>
      <c r="GF380" s="252"/>
      <c r="GG380" s="252"/>
      <c r="GH380" s="252"/>
      <c r="GI380" s="252"/>
      <c r="GJ380" s="252"/>
      <c r="GK380" s="251"/>
      <c r="GL380" s="250"/>
      <c r="GM380" s="250"/>
      <c r="GN380" s="250"/>
      <c r="GO380" s="250"/>
      <c r="GP380" s="250"/>
      <c r="GQ380" s="250"/>
      <c r="GR380" s="250"/>
      <c r="GS380" s="250"/>
      <c r="GT380" s="250"/>
      <c r="GU380" s="251"/>
      <c r="GV380" s="250"/>
      <c r="GW380" s="250"/>
      <c r="GX380" s="250"/>
      <c r="GY380" s="250"/>
      <c r="GZ380" s="250"/>
      <c r="HA380" s="250"/>
      <c r="HB380" s="250"/>
      <c r="HC380" s="250"/>
      <c r="HD380" s="250"/>
      <c r="HE380" s="250"/>
      <c r="HF380" s="250"/>
      <c r="HG380" s="250"/>
      <c r="HH380" s="251"/>
      <c r="HI380" s="424"/>
      <c r="HJ380" s="255"/>
      <c r="HK380" s="255"/>
      <c r="HL380" s="250"/>
      <c r="HM380" s="255"/>
      <c r="HN380" s="255"/>
      <c r="HO380" s="255"/>
      <c r="HP380" s="250"/>
      <c r="HQ380" s="250"/>
      <c r="HR380" s="250"/>
      <c r="HS380" s="250"/>
      <c r="HT380" s="250"/>
      <c r="HU380" s="251"/>
      <c r="HX380" s="252"/>
      <c r="HY380" s="252"/>
      <c r="HZ380" s="252"/>
      <c r="ID380" s="252"/>
      <c r="IE380" s="252"/>
      <c r="IF380" s="252"/>
      <c r="IJ380" s="252"/>
      <c r="IK380" s="252"/>
      <c r="IL380" s="252"/>
      <c r="IP380" s="252"/>
      <c r="IQ380" s="252"/>
      <c r="IR380" s="252"/>
      <c r="IY380" s="66"/>
      <c r="IZ380" s="66"/>
      <c r="JA380" s="66"/>
      <c r="JB380" s="250"/>
      <c r="JC380" s="66"/>
      <c r="JD380" s="66"/>
      <c r="JE380" s="66"/>
      <c r="JF380" s="66"/>
      <c r="JG380" s="66"/>
      <c r="JH380" s="66"/>
      <c r="JI380" s="66"/>
      <c r="JJ380" s="66"/>
      <c r="JK380" s="8"/>
      <c r="JN380" s="252"/>
      <c r="JO380" s="252"/>
      <c r="JP380" s="252"/>
      <c r="JT380" s="252"/>
      <c r="JU380" s="252"/>
      <c r="JV380" s="252"/>
      <c r="JZ380" s="252"/>
      <c r="KA380" s="252"/>
      <c r="KB380" s="252"/>
      <c r="KF380" s="252"/>
      <c r="KG380" s="252"/>
      <c r="KH380" s="252"/>
      <c r="KO380" s="66"/>
      <c r="KP380" s="66"/>
      <c r="KQ380" s="66"/>
      <c r="KR380" s="66"/>
      <c r="KS380" s="66"/>
      <c r="KT380" s="66"/>
      <c r="KU380" s="66"/>
      <c r="KV380" s="66"/>
      <c r="KW380" s="66"/>
      <c r="KX380" s="66"/>
      <c r="KY380" s="66"/>
      <c r="KZ380" s="66"/>
      <c r="LA380" s="8"/>
      <c r="LD380" s="252"/>
      <c r="LE380" s="252"/>
      <c r="LF380" s="252"/>
      <c r="LJ380" s="252"/>
      <c r="LK380" s="252"/>
      <c r="LN380" s="252"/>
      <c r="LO380" s="252"/>
      <c r="LP380" s="252"/>
      <c r="LT380" s="271"/>
      <c r="LU380" s="250"/>
      <c r="LV380" s="250"/>
      <c r="LW380" s="250"/>
      <c r="LX380" s="250"/>
      <c r="LY380" s="250"/>
      <c r="LZ380" s="250"/>
      <c r="MA380" s="250"/>
      <c r="MB380" s="250"/>
      <c r="MC380" s="250"/>
      <c r="MD380" s="250"/>
      <c r="ME380" s="250"/>
      <c r="MF380" s="250"/>
      <c r="MG380" s="250"/>
      <c r="MH380" s="250"/>
      <c r="MI380" s="250"/>
      <c r="MJ380" s="250"/>
      <c r="MK380" s="424"/>
      <c r="ML380" s="640"/>
      <c r="MM380" s="251"/>
      <c r="MN380" s="252"/>
      <c r="MO380" s="252"/>
      <c r="MP380" s="252"/>
      <c r="MQ380" s="252"/>
      <c r="MR380" s="252"/>
      <c r="MS380" s="252"/>
      <c r="MT380" s="252"/>
      <c r="MU380" s="252"/>
      <c r="MV380" s="252"/>
      <c r="MW380" s="252"/>
      <c r="MX380" s="252"/>
      <c r="MY380" s="252"/>
      <c r="MZ380" s="252"/>
      <c r="NA380" s="252"/>
      <c r="NB380" s="252"/>
      <c r="NC380" s="251"/>
      <c r="ND380" s="250"/>
      <c r="NE380" s="250"/>
      <c r="NF380" s="250"/>
      <c r="NG380" s="250"/>
      <c r="NH380" s="250"/>
      <c r="NI380" s="250"/>
      <c r="NJ380" s="250"/>
      <c r="NK380" s="250"/>
      <c r="NL380" s="250"/>
      <c r="NM380" s="250"/>
      <c r="NN380" s="250"/>
      <c r="NO380" s="250"/>
      <c r="NP380" s="250"/>
      <c r="NQ380" s="250"/>
      <c r="NR380" s="250"/>
      <c r="NS380" s="250"/>
      <c r="NT380" s="250"/>
      <c r="NU380" s="250"/>
      <c r="NV380" s="250"/>
      <c r="NW380" s="251"/>
      <c r="OT380" s="8"/>
      <c r="QG380" s="8"/>
      <c r="RT380" s="8"/>
    </row>
    <row r="381" spans="1:488" s="282" customFormat="1" x14ac:dyDescent="0.25">
      <c r="A381" s="66"/>
      <c r="B381" s="8"/>
      <c r="C381" s="66"/>
      <c r="D381" s="66"/>
      <c r="E381" s="66"/>
      <c r="F381" s="66"/>
      <c r="G381" s="66"/>
      <c r="H381" s="66"/>
      <c r="I381" s="66"/>
      <c r="J381" s="66"/>
      <c r="K381" s="66"/>
      <c r="L381" s="66"/>
      <c r="M381" s="66"/>
      <c r="N381" s="66"/>
      <c r="O381" s="66"/>
      <c r="P381" s="66"/>
      <c r="Q381" s="66"/>
      <c r="R381" s="66"/>
      <c r="S381" s="66"/>
      <c r="T381" s="68"/>
      <c r="AC381" s="66"/>
      <c r="AD381" s="66"/>
      <c r="AE381" s="68"/>
      <c r="AN381" s="66"/>
      <c r="AO381" s="66"/>
      <c r="AP381" s="68"/>
      <c r="AW381" s="66"/>
      <c r="AX381" s="68"/>
      <c r="BD381" s="66"/>
      <c r="BE381" s="68"/>
      <c r="BF381" s="66"/>
      <c r="BG381" s="66"/>
      <c r="BH381" s="66"/>
      <c r="BI381" s="66"/>
      <c r="BJ381" s="66"/>
      <c r="BK381" s="66"/>
      <c r="BL381" s="68"/>
      <c r="BO381" s="66"/>
      <c r="BP381" s="68"/>
      <c r="BV381" s="66"/>
      <c r="BW381" s="68"/>
      <c r="CB381" s="8"/>
      <c r="CH381" s="8"/>
      <c r="CK381" s="299"/>
      <c r="CL381" s="299"/>
      <c r="CM381" s="66"/>
      <c r="CN381" s="66"/>
      <c r="CO381" s="68"/>
      <c r="CR381" s="8"/>
      <c r="CX381" s="66"/>
      <c r="CY381" s="532"/>
      <c r="DE381" s="66"/>
      <c r="DF381" s="66"/>
      <c r="DG381" s="68"/>
      <c r="DH381" s="68"/>
      <c r="DK381" s="66"/>
      <c r="DL381" s="66"/>
      <c r="DM381" s="66"/>
      <c r="DN381" s="66"/>
      <c r="DO381" s="66"/>
      <c r="DP381" s="66"/>
      <c r="DQ381" s="66"/>
      <c r="DR381" s="66"/>
      <c r="DS381" s="66"/>
      <c r="DT381" s="68"/>
      <c r="DU381" s="66"/>
      <c r="DV381" s="296"/>
      <c r="DW381" s="330"/>
      <c r="DX381" s="631"/>
      <c r="DY381" s="631"/>
      <c r="DZ381" s="631"/>
      <c r="EA381" s="330"/>
      <c r="EC381" s="66"/>
      <c r="ED381" s="68"/>
      <c r="EH381" s="66"/>
      <c r="EI381" s="66"/>
      <c r="EJ381" s="68"/>
      <c r="EK381" s="252"/>
      <c r="EL381" s="252"/>
      <c r="EM381" s="252"/>
      <c r="EO381" s="252"/>
      <c r="EP381" s="252"/>
      <c r="EQ381" s="252"/>
      <c r="ES381" s="252"/>
      <c r="ET381" s="252"/>
      <c r="EU381" s="252"/>
      <c r="EW381" s="252"/>
      <c r="EX381" s="252"/>
      <c r="EY381" s="252"/>
      <c r="FA381" s="250"/>
      <c r="FB381" s="250"/>
      <c r="FC381" s="250"/>
      <c r="FD381" s="250"/>
      <c r="FE381" s="250"/>
      <c r="FF381" s="250"/>
      <c r="FG381" s="250"/>
      <c r="FH381" s="424"/>
      <c r="FI381" s="250"/>
      <c r="FJ381" s="250"/>
      <c r="FK381" s="250"/>
      <c r="FL381" s="256"/>
      <c r="FM381" s="250"/>
      <c r="FN381" s="256"/>
      <c r="FO381" s="250"/>
      <c r="FP381" s="256"/>
      <c r="FQ381" s="250"/>
      <c r="FR381" s="256"/>
      <c r="FS381" s="250"/>
      <c r="FT381" s="256"/>
      <c r="FU381" s="256"/>
      <c r="FV381" s="256"/>
      <c r="FW381" s="250"/>
      <c r="FX381" s="424"/>
      <c r="FY381" s="251"/>
      <c r="GC381" s="252"/>
      <c r="GF381" s="252"/>
      <c r="GG381" s="252"/>
      <c r="GH381" s="252"/>
      <c r="GI381" s="252"/>
      <c r="GJ381" s="252"/>
      <c r="GK381" s="251"/>
      <c r="GL381" s="250"/>
      <c r="GM381" s="250"/>
      <c r="GN381" s="250"/>
      <c r="GO381" s="250"/>
      <c r="GP381" s="250"/>
      <c r="GQ381" s="250"/>
      <c r="GR381" s="250"/>
      <c r="GS381" s="250"/>
      <c r="GT381" s="250"/>
      <c r="GU381" s="251"/>
      <c r="GV381" s="250"/>
      <c r="GW381" s="250"/>
      <c r="GX381" s="250"/>
      <c r="GY381" s="250"/>
      <c r="GZ381" s="250"/>
      <c r="HA381" s="250"/>
      <c r="HB381" s="250"/>
      <c r="HC381" s="250"/>
      <c r="HD381" s="250"/>
      <c r="HE381" s="250"/>
      <c r="HF381" s="250"/>
      <c r="HG381" s="250"/>
      <c r="HH381" s="251"/>
      <c r="HI381" s="424"/>
      <c r="HJ381" s="255"/>
      <c r="HK381" s="255"/>
      <c r="HL381" s="250"/>
      <c r="HM381" s="255"/>
      <c r="HN381" s="255"/>
      <c r="HO381" s="255"/>
      <c r="HP381" s="250"/>
      <c r="HQ381" s="250"/>
      <c r="HR381" s="250"/>
      <c r="HS381" s="250"/>
      <c r="HT381" s="250"/>
      <c r="HU381" s="251"/>
      <c r="HX381" s="252"/>
      <c r="HY381" s="252"/>
      <c r="HZ381" s="252"/>
      <c r="ID381" s="252"/>
      <c r="IE381" s="252"/>
      <c r="IF381" s="252"/>
      <c r="IJ381" s="252"/>
      <c r="IK381" s="252"/>
      <c r="IL381" s="252"/>
      <c r="IP381" s="252"/>
      <c r="IQ381" s="252"/>
      <c r="IR381" s="252"/>
      <c r="IY381" s="66"/>
      <c r="IZ381" s="66"/>
      <c r="JA381" s="66"/>
      <c r="JB381" s="250"/>
      <c r="JC381" s="66"/>
      <c r="JD381" s="66"/>
      <c r="JE381" s="66"/>
      <c r="JF381" s="66"/>
      <c r="JG381" s="66"/>
      <c r="JH381" s="66"/>
      <c r="JI381" s="66"/>
      <c r="JJ381" s="66"/>
      <c r="JK381" s="8"/>
      <c r="JN381" s="252"/>
      <c r="JO381" s="252"/>
      <c r="JP381" s="252"/>
      <c r="JT381" s="252"/>
      <c r="JU381" s="252"/>
      <c r="JV381" s="252"/>
      <c r="JZ381" s="252"/>
      <c r="KA381" s="252"/>
      <c r="KB381" s="252"/>
      <c r="KF381" s="252"/>
      <c r="KG381" s="252"/>
      <c r="KH381" s="252"/>
      <c r="KO381" s="66"/>
      <c r="KP381" s="66"/>
      <c r="KQ381" s="66"/>
      <c r="KR381" s="66"/>
      <c r="KS381" s="66"/>
      <c r="KT381" s="66"/>
      <c r="KU381" s="66"/>
      <c r="KV381" s="66"/>
      <c r="KW381" s="66"/>
      <c r="KX381" s="66"/>
      <c r="KY381" s="66"/>
      <c r="KZ381" s="66"/>
      <c r="LA381" s="8"/>
      <c r="LD381" s="252"/>
      <c r="LE381" s="252"/>
      <c r="LF381" s="252"/>
      <c r="LJ381" s="252"/>
      <c r="LK381" s="252"/>
      <c r="LN381" s="252"/>
      <c r="LO381" s="252"/>
      <c r="LP381" s="252"/>
      <c r="LT381" s="271"/>
      <c r="LU381" s="250"/>
      <c r="LV381" s="250"/>
      <c r="LW381" s="250"/>
      <c r="LX381" s="250"/>
      <c r="LY381" s="250"/>
      <c r="LZ381" s="250"/>
      <c r="MA381" s="250"/>
      <c r="MB381" s="250"/>
      <c r="MC381" s="250"/>
      <c r="MD381" s="250"/>
      <c r="ME381" s="250"/>
      <c r="MF381" s="250"/>
      <c r="MG381" s="250"/>
      <c r="MH381" s="250"/>
      <c r="MI381" s="250"/>
      <c r="MJ381" s="250"/>
      <c r="MK381" s="424"/>
      <c r="ML381" s="640"/>
      <c r="MM381" s="251"/>
      <c r="MN381" s="252"/>
      <c r="MO381" s="252"/>
      <c r="MP381" s="252"/>
      <c r="MQ381" s="252"/>
      <c r="MR381" s="252"/>
      <c r="MS381" s="252"/>
      <c r="MT381" s="252"/>
      <c r="MU381" s="252"/>
      <c r="MV381" s="252"/>
      <c r="MW381" s="252"/>
      <c r="MX381" s="252"/>
      <c r="MY381" s="252"/>
      <c r="MZ381" s="252"/>
      <c r="NA381" s="252"/>
      <c r="NB381" s="252"/>
      <c r="NC381" s="251"/>
      <c r="ND381" s="250"/>
      <c r="NE381" s="250"/>
      <c r="NF381" s="250"/>
      <c r="NG381" s="250"/>
      <c r="NH381" s="250"/>
      <c r="NI381" s="250"/>
      <c r="NJ381" s="250"/>
      <c r="NK381" s="250"/>
      <c r="NL381" s="250"/>
      <c r="NM381" s="250"/>
      <c r="NN381" s="250"/>
      <c r="NO381" s="250"/>
      <c r="NP381" s="250"/>
      <c r="NQ381" s="250"/>
      <c r="NR381" s="250"/>
      <c r="NS381" s="250"/>
      <c r="NT381" s="250"/>
      <c r="NU381" s="250"/>
      <c r="NV381" s="250"/>
      <c r="NW381" s="251"/>
      <c r="OT381" s="8"/>
      <c r="QG381" s="8"/>
      <c r="RT381" s="8"/>
    </row>
    <row r="382" spans="1:488" s="282" customFormat="1" x14ac:dyDescent="0.25">
      <c r="A382" s="66"/>
      <c r="B382" s="8"/>
      <c r="C382" s="66"/>
      <c r="D382" s="66"/>
      <c r="E382" s="66"/>
      <c r="F382" s="66"/>
      <c r="G382" s="66"/>
      <c r="H382" s="66"/>
      <c r="I382" s="66"/>
      <c r="J382" s="66"/>
      <c r="K382" s="66"/>
      <c r="L382" s="66"/>
      <c r="M382" s="66"/>
      <c r="N382" s="66"/>
      <c r="O382" s="66"/>
      <c r="P382" s="66"/>
      <c r="Q382" s="66"/>
      <c r="R382" s="66"/>
      <c r="S382" s="66"/>
      <c r="T382" s="68"/>
      <c r="AC382" s="66"/>
      <c r="AD382" s="66"/>
      <c r="AE382" s="68"/>
      <c r="AN382" s="66"/>
      <c r="AO382" s="66"/>
      <c r="AP382" s="68"/>
      <c r="AW382" s="66"/>
      <c r="AX382" s="68"/>
      <c r="BD382" s="66"/>
      <c r="BE382" s="68"/>
      <c r="BF382" s="66"/>
      <c r="BG382" s="66"/>
      <c r="BH382" s="66"/>
      <c r="BI382" s="66"/>
      <c r="BJ382" s="66"/>
      <c r="BK382" s="66"/>
      <c r="BL382" s="68"/>
      <c r="BO382" s="66"/>
      <c r="BP382" s="68"/>
      <c r="BV382" s="66"/>
      <c r="BW382" s="68"/>
      <c r="CB382" s="8"/>
      <c r="CH382" s="8"/>
      <c r="CK382" s="299"/>
      <c r="CL382" s="299"/>
      <c r="CM382" s="66"/>
      <c r="CN382" s="66"/>
      <c r="CO382" s="68"/>
      <c r="CR382" s="8"/>
      <c r="CX382" s="66"/>
      <c r="CY382" s="532"/>
      <c r="DE382" s="66"/>
      <c r="DF382" s="66"/>
      <c r="DG382" s="68"/>
      <c r="DH382" s="68"/>
      <c r="DK382" s="66"/>
      <c r="DL382" s="66"/>
      <c r="DM382" s="66"/>
      <c r="DN382" s="66"/>
      <c r="DO382" s="66"/>
      <c r="DP382" s="66"/>
      <c r="DQ382" s="66"/>
      <c r="DR382" s="66"/>
      <c r="DS382" s="66"/>
      <c r="DT382" s="68"/>
      <c r="DU382" s="66"/>
      <c r="DV382" s="296"/>
      <c r="DW382" s="330"/>
      <c r="DX382" s="631"/>
      <c r="DY382" s="631"/>
      <c r="DZ382" s="631"/>
      <c r="EA382" s="330"/>
      <c r="EC382" s="66"/>
      <c r="ED382" s="68"/>
      <c r="EH382" s="66"/>
      <c r="EI382" s="66"/>
      <c r="EJ382" s="68"/>
      <c r="EK382" s="252"/>
      <c r="EL382" s="252"/>
      <c r="EM382" s="252"/>
      <c r="EO382" s="252"/>
      <c r="EP382" s="252"/>
      <c r="EQ382" s="252"/>
      <c r="ES382" s="252"/>
      <c r="ET382" s="252"/>
      <c r="EU382" s="252"/>
      <c r="EW382" s="252"/>
      <c r="EX382" s="252"/>
      <c r="EY382" s="252"/>
      <c r="FA382" s="250"/>
      <c r="FB382" s="250"/>
      <c r="FC382" s="250"/>
      <c r="FD382" s="250"/>
      <c r="FE382" s="250"/>
      <c r="FF382" s="250"/>
      <c r="FG382" s="250"/>
      <c r="FH382" s="424"/>
      <c r="FI382" s="250"/>
      <c r="FJ382" s="250"/>
      <c r="FK382" s="250"/>
      <c r="FL382" s="256"/>
      <c r="FM382" s="250"/>
      <c r="FN382" s="256"/>
      <c r="FO382" s="250"/>
      <c r="FP382" s="256"/>
      <c r="FQ382" s="250"/>
      <c r="FR382" s="256"/>
      <c r="FS382" s="250"/>
      <c r="FT382" s="256"/>
      <c r="FU382" s="256"/>
      <c r="FV382" s="256"/>
      <c r="FW382" s="250"/>
      <c r="FX382" s="424"/>
      <c r="FY382" s="251"/>
      <c r="GC382" s="252"/>
      <c r="GF382" s="252"/>
      <c r="GG382" s="252"/>
      <c r="GH382" s="252"/>
      <c r="GI382" s="252"/>
      <c r="GJ382" s="252"/>
      <c r="GK382" s="251"/>
      <c r="GL382" s="250"/>
      <c r="GM382" s="250"/>
      <c r="GN382" s="250"/>
      <c r="GO382" s="250"/>
      <c r="GP382" s="250"/>
      <c r="GQ382" s="250"/>
      <c r="GR382" s="250"/>
      <c r="GS382" s="250"/>
      <c r="GT382" s="250"/>
      <c r="GU382" s="251"/>
      <c r="GV382" s="250"/>
      <c r="GW382" s="250"/>
      <c r="GX382" s="250"/>
      <c r="GY382" s="250"/>
      <c r="GZ382" s="250"/>
      <c r="HA382" s="250"/>
      <c r="HB382" s="250"/>
      <c r="HC382" s="250"/>
      <c r="HD382" s="250"/>
      <c r="HE382" s="250"/>
      <c r="HF382" s="250"/>
      <c r="HG382" s="250"/>
      <c r="HH382" s="251"/>
      <c r="HI382" s="424"/>
      <c r="HJ382" s="255"/>
      <c r="HK382" s="255"/>
      <c r="HL382" s="250"/>
      <c r="HM382" s="255"/>
      <c r="HN382" s="255"/>
      <c r="HO382" s="255"/>
      <c r="HP382" s="250"/>
      <c r="HQ382" s="250"/>
      <c r="HR382" s="250"/>
      <c r="HS382" s="250"/>
      <c r="HT382" s="250"/>
      <c r="HU382" s="251"/>
      <c r="HX382" s="252"/>
      <c r="HY382" s="252"/>
      <c r="HZ382" s="252"/>
      <c r="ID382" s="252"/>
      <c r="IE382" s="252"/>
      <c r="IF382" s="252"/>
      <c r="IJ382" s="252"/>
      <c r="IK382" s="252"/>
      <c r="IL382" s="252"/>
      <c r="IP382" s="252"/>
      <c r="IQ382" s="252"/>
      <c r="IR382" s="252"/>
      <c r="IY382" s="66"/>
      <c r="IZ382" s="66"/>
      <c r="JA382" s="66"/>
      <c r="JB382" s="250"/>
      <c r="JC382" s="66"/>
      <c r="JD382" s="66"/>
      <c r="JE382" s="66"/>
      <c r="JF382" s="66"/>
      <c r="JG382" s="66"/>
      <c r="JH382" s="66"/>
      <c r="JI382" s="66"/>
      <c r="JJ382" s="66"/>
      <c r="JK382" s="8"/>
      <c r="JN382" s="252"/>
      <c r="JO382" s="252"/>
      <c r="JP382" s="252"/>
      <c r="JT382" s="252"/>
      <c r="JU382" s="252"/>
      <c r="JV382" s="252"/>
      <c r="JZ382" s="252"/>
      <c r="KA382" s="252"/>
      <c r="KB382" s="252"/>
      <c r="KF382" s="252"/>
      <c r="KG382" s="252"/>
      <c r="KH382" s="252"/>
      <c r="KO382" s="66"/>
      <c r="KP382" s="66"/>
      <c r="KQ382" s="66"/>
      <c r="KR382" s="66"/>
      <c r="KS382" s="66"/>
      <c r="KT382" s="66"/>
      <c r="KU382" s="66"/>
      <c r="KV382" s="66"/>
      <c r="KW382" s="66"/>
      <c r="KX382" s="66"/>
      <c r="KY382" s="66"/>
      <c r="KZ382" s="66"/>
      <c r="LA382" s="8"/>
      <c r="LD382" s="252"/>
      <c r="LE382" s="252"/>
      <c r="LF382" s="252"/>
      <c r="LJ382" s="252"/>
      <c r="LK382" s="252"/>
      <c r="LN382" s="252"/>
      <c r="LO382" s="252"/>
      <c r="LP382" s="252"/>
      <c r="LT382" s="271"/>
      <c r="LU382" s="250"/>
      <c r="LV382" s="250"/>
      <c r="LW382" s="250"/>
      <c r="LX382" s="250"/>
      <c r="LY382" s="250"/>
      <c r="LZ382" s="250"/>
      <c r="MA382" s="250"/>
      <c r="MB382" s="250"/>
      <c r="MC382" s="250"/>
      <c r="MD382" s="250"/>
      <c r="ME382" s="250"/>
      <c r="MF382" s="250"/>
      <c r="MG382" s="250"/>
      <c r="MH382" s="250"/>
      <c r="MI382" s="250"/>
      <c r="MJ382" s="250"/>
      <c r="MK382" s="424"/>
      <c r="ML382" s="640"/>
      <c r="MM382" s="251"/>
      <c r="MN382" s="252"/>
      <c r="MO382" s="252"/>
      <c r="MP382" s="252"/>
      <c r="MQ382" s="252"/>
      <c r="MR382" s="252"/>
      <c r="MS382" s="252"/>
      <c r="MT382" s="252"/>
      <c r="MU382" s="252"/>
      <c r="MV382" s="252"/>
      <c r="MW382" s="252"/>
      <c r="MX382" s="252"/>
      <c r="MY382" s="252"/>
      <c r="MZ382" s="252"/>
      <c r="NA382" s="252"/>
      <c r="NB382" s="252"/>
      <c r="NC382" s="251"/>
      <c r="ND382" s="250"/>
      <c r="NE382" s="250"/>
      <c r="NF382" s="250"/>
      <c r="NG382" s="250"/>
      <c r="NH382" s="250"/>
      <c r="NI382" s="250"/>
      <c r="NJ382" s="250"/>
      <c r="NK382" s="250"/>
      <c r="NL382" s="250"/>
      <c r="NM382" s="250"/>
      <c r="NN382" s="250"/>
      <c r="NO382" s="250"/>
      <c r="NP382" s="250"/>
      <c r="NQ382" s="250"/>
      <c r="NR382" s="250"/>
      <c r="NS382" s="250"/>
      <c r="NT382" s="250"/>
      <c r="NU382" s="250"/>
      <c r="NV382" s="250"/>
      <c r="NW382" s="251"/>
      <c r="OT382" s="8"/>
      <c r="QG382" s="8"/>
      <c r="RT382" s="8"/>
    </row>
    <row r="383" spans="1:488" s="282" customFormat="1" x14ac:dyDescent="0.25">
      <c r="A383" s="66"/>
      <c r="B383" s="8"/>
      <c r="C383" s="66"/>
      <c r="D383" s="66"/>
      <c r="E383" s="66"/>
      <c r="F383" s="66"/>
      <c r="G383" s="66"/>
      <c r="H383" s="66"/>
      <c r="I383" s="66"/>
      <c r="J383" s="66"/>
      <c r="K383" s="66"/>
      <c r="L383" s="66"/>
      <c r="M383" s="66"/>
      <c r="N383" s="66"/>
      <c r="O383" s="66"/>
      <c r="P383" s="66"/>
      <c r="Q383" s="66"/>
      <c r="R383" s="66"/>
      <c r="S383" s="66"/>
      <c r="T383" s="68"/>
      <c r="AC383" s="66"/>
      <c r="AD383" s="66"/>
      <c r="AE383" s="68"/>
      <c r="AN383" s="66"/>
      <c r="AO383" s="66"/>
      <c r="AP383" s="68"/>
      <c r="AW383" s="66"/>
      <c r="AX383" s="68"/>
      <c r="BD383" s="66"/>
      <c r="BE383" s="68"/>
      <c r="BF383" s="66"/>
      <c r="BG383" s="66"/>
      <c r="BH383" s="66"/>
      <c r="BI383" s="66"/>
      <c r="BJ383" s="66"/>
      <c r="BK383" s="66"/>
      <c r="BL383" s="68"/>
      <c r="BO383" s="66"/>
      <c r="BP383" s="68"/>
      <c r="BV383" s="66"/>
      <c r="BW383" s="68"/>
      <c r="CB383" s="8"/>
      <c r="CH383" s="8"/>
      <c r="CK383" s="299"/>
      <c r="CL383" s="299"/>
      <c r="CM383" s="66"/>
      <c r="CN383" s="66"/>
      <c r="CO383" s="68"/>
      <c r="CR383" s="8"/>
      <c r="CX383" s="66"/>
      <c r="CY383" s="532"/>
      <c r="DE383" s="66"/>
      <c r="DF383" s="66"/>
      <c r="DG383" s="68"/>
      <c r="DH383" s="68"/>
      <c r="DK383" s="66"/>
      <c r="DL383" s="66"/>
      <c r="DM383" s="66"/>
      <c r="DN383" s="66"/>
      <c r="DO383" s="66"/>
      <c r="DP383" s="66"/>
      <c r="DQ383" s="66"/>
      <c r="DR383" s="66"/>
      <c r="DS383" s="66"/>
      <c r="DT383" s="68"/>
      <c r="DU383" s="66"/>
      <c r="DV383" s="296"/>
      <c r="DW383" s="330"/>
      <c r="DX383" s="631"/>
      <c r="DY383" s="631"/>
      <c r="DZ383" s="631"/>
      <c r="EA383" s="330"/>
      <c r="EC383" s="66"/>
      <c r="ED383" s="68"/>
      <c r="EH383" s="66"/>
      <c r="EI383" s="66"/>
      <c r="EJ383" s="68"/>
      <c r="EK383" s="252"/>
      <c r="EL383" s="252"/>
      <c r="EM383" s="252"/>
      <c r="EO383" s="252"/>
      <c r="EP383" s="252"/>
      <c r="EQ383" s="252"/>
      <c r="ES383" s="252"/>
      <c r="ET383" s="252"/>
      <c r="EU383" s="252"/>
      <c r="EW383" s="252"/>
      <c r="EX383" s="252"/>
      <c r="EY383" s="252"/>
      <c r="FA383" s="250"/>
      <c r="FB383" s="250"/>
      <c r="FC383" s="250"/>
      <c r="FD383" s="250"/>
      <c r="FE383" s="250"/>
      <c r="FF383" s="250"/>
      <c r="FG383" s="250"/>
      <c r="FH383" s="424"/>
      <c r="FI383" s="250"/>
      <c r="FJ383" s="250"/>
      <c r="FK383" s="250"/>
      <c r="FL383" s="256"/>
      <c r="FM383" s="250"/>
      <c r="FN383" s="256"/>
      <c r="FO383" s="250"/>
      <c r="FP383" s="256"/>
      <c r="FQ383" s="250"/>
      <c r="FR383" s="256"/>
      <c r="FS383" s="250"/>
      <c r="FT383" s="256"/>
      <c r="FU383" s="256"/>
      <c r="FV383" s="256"/>
      <c r="FW383" s="250"/>
      <c r="FX383" s="424"/>
      <c r="FY383" s="251"/>
      <c r="GC383" s="252"/>
      <c r="GF383" s="252"/>
      <c r="GG383" s="252"/>
      <c r="GH383" s="252"/>
      <c r="GI383" s="252"/>
      <c r="GJ383" s="252"/>
      <c r="GK383" s="251"/>
      <c r="GL383" s="250"/>
      <c r="GM383" s="250"/>
      <c r="GN383" s="250"/>
      <c r="GO383" s="250"/>
      <c r="GP383" s="250"/>
      <c r="GQ383" s="250"/>
      <c r="GR383" s="250"/>
      <c r="GS383" s="250"/>
      <c r="GT383" s="250"/>
      <c r="GU383" s="251"/>
      <c r="GV383" s="250"/>
      <c r="GW383" s="250"/>
      <c r="GX383" s="250"/>
      <c r="GY383" s="250"/>
      <c r="GZ383" s="250"/>
      <c r="HA383" s="250"/>
      <c r="HB383" s="250"/>
      <c r="HC383" s="250"/>
      <c r="HD383" s="250"/>
      <c r="HE383" s="250"/>
      <c r="HF383" s="250"/>
      <c r="HG383" s="250"/>
      <c r="HH383" s="251"/>
      <c r="HI383" s="424"/>
      <c r="HJ383" s="255"/>
      <c r="HK383" s="255"/>
      <c r="HL383" s="250"/>
      <c r="HM383" s="255"/>
      <c r="HN383" s="255"/>
      <c r="HO383" s="255"/>
      <c r="HP383" s="250"/>
      <c r="HQ383" s="250"/>
      <c r="HR383" s="250"/>
      <c r="HS383" s="250"/>
      <c r="HT383" s="250"/>
      <c r="HU383" s="251"/>
      <c r="HX383" s="252"/>
      <c r="HY383" s="252"/>
      <c r="HZ383" s="252"/>
      <c r="ID383" s="252"/>
      <c r="IE383" s="252"/>
      <c r="IF383" s="252"/>
      <c r="IJ383" s="252"/>
      <c r="IK383" s="252"/>
      <c r="IL383" s="252"/>
      <c r="IP383" s="252"/>
      <c r="IQ383" s="252"/>
      <c r="IR383" s="252"/>
      <c r="IY383" s="66"/>
      <c r="IZ383" s="66"/>
      <c r="JA383" s="66"/>
      <c r="JB383" s="250"/>
      <c r="JC383" s="66"/>
      <c r="JD383" s="66"/>
      <c r="JE383" s="66"/>
      <c r="JF383" s="66"/>
      <c r="JG383" s="66"/>
      <c r="JH383" s="66"/>
      <c r="JI383" s="66"/>
      <c r="JJ383" s="66"/>
      <c r="JK383" s="8"/>
      <c r="JN383" s="252"/>
      <c r="JO383" s="252"/>
      <c r="JP383" s="252"/>
      <c r="JT383" s="252"/>
      <c r="JU383" s="252"/>
      <c r="JV383" s="252"/>
      <c r="JZ383" s="252"/>
      <c r="KA383" s="252"/>
      <c r="KB383" s="252"/>
      <c r="KF383" s="252"/>
      <c r="KG383" s="252"/>
      <c r="KH383" s="252"/>
      <c r="KO383" s="66"/>
      <c r="KP383" s="66"/>
      <c r="KQ383" s="66"/>
      <c r="KR383" s="66"/>
      <c r="KS383" s="66"/>
      <c r="KT383" s="66"/>
      <c r="KU383" s="66"/>
      <c r="KV383" s="66"/>
      <c r="KW383" s="66"/>
      <c r="KX383" s="66"/>
      <c r="KY383" s="66"/>
      <c r="KZ383" s="66"/>
      <c r="LA383" s="8"/>
      <c r="LD383" s="252"/>
      <c r="LE383" s="252"/>
      <c r="LF383" s="252"/>
      <c r="LJ383" s="252"/>
      <c r="LK383" s="252"/>
      <c r="LN383" s="252"/>
      <c r="LO383" s="252"/>
      <c r="LP383" s="252"/>
      <c r="LT383" s="271"/>
      <c r="LU383" s="250"/>
      <c r="LV383" s="250"/>
      <c r="LW383" s="250"/>
      <c r="LX383" s="250"/>
      <c r="LY383" s="250"/>
      <c r="LZ383" s="250"/>
      <c r="MA383" s="250"/>
      <c r="MB383" s="250"/>
      <c r="MC383" s="250"/>
      <c r="MD383" s="250"/>
      <c r="ME383" s="250"/>
      <c r="MF383" s="250"/>
      <c r="MG383" s="250"/>
      <c r="MH383" s="250"/>
      <c r="MI383" s="250"/>
      <c r="MJ383" s="250"/>
      <c r="MK383" s="424"/>
      <c r="ML383" s="640"/>
      <c r="MM383" s="251"/>
      <c r="MN383" s="252"/>
      <c r="MO383" s="252"/>
      <c r="MP383" s="252"/>
      <c r="MQ383" s="252"/>
      <c r="MR383" s="252"/>
      <c r="MS383" s="252"/>
      <c r="MT383" s="252"/>
      <c r="MU383" s="252"/>
      <c r="MV383" s="252"/>
      <c r="MW383" s="252"/>
      <c r="MX383" s="252"/>
      <c r="MY383" s="252"/>
      <c r="MZ383" s="252"/>
      <c r="NA383" s="252"/>
      <c r="NB383" s="252"/>
      <c r="NC383" s="251"/>
      <c r="ND383" s="250"/>
      <c r="NE383" s="250"/>
      <c r="NF383" s="250"/>
      <c r="NG383" s="250"/>
      <c r="NH383" s="250"/>
      <c r="NI383" s="250"/>
      <c r="NJ383" s="250"/>
      <c r="NK383" s="250"/>
      <c r="NL383" s="250"/>
      <c r="NM383" s="250"/>
      <c r="NN383" s="250"/>
      <c r="NO383" s="250"/>
      <c r="NP383" s="250"/>
      <c r="NQ383" s="250"/>
      <c r="NR383" s="250"/>
      <c r="NS383" s="250"/>
      <c r="NT383" s="250"/>
      <c r="NU383" s="250"/>
      <c r="NV383" s="250"/>
      <c r="NW383" s="251"/>
      <c r="OT383" s="8"/>
      <c r="QG383" s="8"/>
      <c r="RT383" s="8"/>
    </row>
    <row r="384" spans="1:488" s="282" customFormat="1" x14ac:dyDescent="0.25">
      <c r="A384" s="66"/>
      <c r="B384" s="8"/>
      <c r="C384" s="66"/>
      <c r="D384" s="66"/>
      <c r="E384" s="66"/>
      <c r="F384" s="66"/>
      <c r="G384" s="66"/>
      <c r="H384" s="66"/>
      <c r="I384" s="66"/>
      <c r="J384" s="66"/>
      <c r="K384" s="66"/>
      <c r="L384" s="66"/>
      <c r="M384" s="66"/>
      <c r="N384" s="66"/>
      <c r="O384" s="66"/>
      <c r="P384" s="66"/>
      <c r="Q384" s="66"/>
      <c r="R384" s="66"/>
      <c r="S384" s="66"/>
      <c r="T384" s="68"/>
      <c r="AC384" s="66"/>
      <c r="AD384" s="66"/>
      <c r="AE384" s="68"/>
      <c r="AN384" s="66"/>
      <c r="AO384" s="66"/>
      <c r="AP384" s="68"/>
      <c r="AW384" s="66"/>
      <c r="AX384" s="68"/>
      <c r="BD384" s="66"/>
      <c r="BE384" s="68"/>
      <c r="BF384" s="66"/>
      <c r="BG384" s="66"/>
      <c r="BH384" s="66"/>
      <c r="BI384" s="66"/>
      <c r="BJ384" s="66"/>
      <c r="BK384" s="66"/>
      <c r="BL384" s="68"/>
      <c r="BO384" s="66"/>
      <c r="BP384" s="68"/>
      <c r="BV384" s="66"/>
      <c r="BW384" s="68"/>
      <c r="CB384" s="8"/>
      <c r="CH384" s="8"/>
      <c r="CK384" s="299"/>
      <c r="CL384" s="299"/>
      <c r="CM384" s="66"/>
      <c r="CN384" s="66"/>
      <c r="CO384" s="68"/>
      <c r="CR384" s="8"/>
      <c r="CX384" s="66"/>
      <c r="CY384" s="532"/>
      <c r="DE384" s="66"/>
      <c r="DF384" s="66"/>
      <c r="DG384" s="68"/>
      <c r="DH384" s="68"/>
      <c r="DK384" s="66"/>
      <c r="DL384" s="66"/>
      <c r="DM384" s="66"/>
      <c r="DN384" s="66"/>
      <c r="DO384" s="66"/>
      <c r="DP384" s="66"/>
      <c r="DQ384" s="66"/>
      <c r="DR384" s="66"/>
      <c r="DS384" s="66"/>
      <c r="DT384" s="68"/>
      <c r="DU384" s="66"/>
      <c r="DV384" s="296"/>
      <c r="DW384" s="330"/>
      <c r="DX384" s="631"/>
      <c r="DY384" s="631"/>
      <c r="DZ384" s="631"/>
      <c r="EA384" s="330"/>
      <c r="EC384" s="66"/>
      <c r="ED384" s="68"/>
      <c r="EH384" s="66"/>
      <c r="EI384" s="66"/>
      <c r="EJ384" s="68"/>
      <c r="EK384" s="252"/>
      <c r="EL384" s="252"/>
      <c r="EM384" s="252"/>
      <c r="EO384" s="252"/>
      <c r="EP384" s="252"/>
      <c r="EQ384" s="252"/>
      <c r="ES384" s="252"/>
      <c r="ET384" s="252"/>
      <c r="EU384" s="252"/>
      <c r="EW384" s="252"/>
      <c r="EX384" s="252"/>
      <c r="EY384" s="252"/>
      <c r="FA384" s="250"/>
      <c r="FB384" s="250"/>
      <c r="FC384" s="250"/>
      <c r="FD384" s="250"/>
      <c r="FE384" s="250"/>
      <c r="FF384" s="250"/>
      <c r="FG384" s="250"/>
      <c r="FH384" s="424"/>
      <c r="FI384" s="250"/>
      <c r="FJ384" s="250"/>
      <c r="FK384" s="250"/>
      <c r="FL384" s="256"/>
      <c r="FM384" s="250"/>
      <c r="FN384" s="256"/>
      <c r="FO384" s="250"/>
      <c r="FP384" s="256"/>
      <c r="FQ384" s="250"/>
      <c r="FR384" s="256"/>
      <c r="FS384" s="250"/>
      <c r="FT384" s="256"/>
      <c r="FU384" s="256"/>
      <c r="FV384" s="256"/>
      <c r="FW384" s="250"/>
      <c r="FX384" s="424"/>
      <c r="FY384" s="251"/>
      <c r="GC384" s="252"/>
      <c r="GF384" s="252"/>
      <c r="GG384" s="252"/>
      <c r="GH384" s="252"/>
      <c r="GI384" s="252"/>
      <c r="GJ384" s="252"/>
      <c r="GK384" s="251"/>
      <c r="GL384" s="250"/>
      <c r="GM384" s="250"/>
      <c r="GN384" s="250"/>
      <c r="GO384" s="250"/>
      <c r="GP384" s="250"/>
      <c r="GQ384" s="250"/>
      <c r="GR384" s="250"/>
      <c r="GS384" s="250"/>
      <c r="GT384" s="250"/>
      <c r="GU384" s="251"/>
      <c r="GV384" s="250"/>
      <c r="GW384" s="250"/>
      <c r="GX384" s="250"/>
      <c r="GY384" s="250"/>
      <c r="GZ384" s="250"/>
      <c r="HA384" s="250"/>
      <c r="HB384" s="250"/>
      <c r="HC384" s="250"/>
      <c r="HD384" s="250"/>
      <c r="HE384" s="250"/>
      <c r="HF384" s="250"/>
      <c r="HG384" s="250"/>
      <c r="HH384" s="251"/>
      <c r="HI384" s="424"/>
      <c r="HJ384" s="255"/>
      <c r="HK384" s="255"/>
      <c r="HL384" s="250"/>
      <c r="HM384" s="255"/>
      <c r="HN384" s="255"/>
      <c r="HO384" s="255"/>
      <c r="HP384" s="250"/>
      <c r="HQ384" s="250"/>
      <c r="HR384" s="250"/>
      <c r="HS384" s="250"/>
      <c r="HT384" s="250"/>
      <c r="HU384" s="251"/>
      <c r="HX384" s="252"/>
      <c r="HY384" s="252"/>
      <c r="HZ384" s="252"/>
      <c r="ID384" s="252"/>
      <c r="IE384" s="252"/>
      <c r="IF384" s="252"/>
      <c r="IJ384" s="252"/>
      <c r="IK384" s="252"/>
      <c r="IL384" s="252"/>
      <c r="IP384" s="252"/>
      <c r="IQ384" s="252"/>
      <c r="IR384" s="252"/>
      <c r="IY384" s="66"/>
      <c r="IZ384" s="66"/>
      <c r="JA384" s="66"/>
      <c r="JB384" s="250"/>
      <c r="JC384" s="66"/>
      <c r="JD384" s="66"/>
      <c r="JE384" s="66"/>
      <c r="JF384" s="66"/>
      <c r="JG384" s="66"/>
      <c r="JH384" s="66"/>
      <c r="JI384" s="66"/>
      <c r="JJ384" s="66"/>
      <c r="JK384" s="8"/>
      <c r="JN384" s="252"/>
      <c r="JO384" s="252"/>
      <c r="JP384" s="252"/>
      <c r="JT384" s="252"/>
      <c r="JU384" s="252"/>
      <c r="JV384" s="252"/>
      <c r="JZ384" s="252"/>
      <c r="KA384" s="252"/>
      <c r="KB384" s="252"/>
      <c r="KF384" s="252"/>
      <c r="KG384" s="252"/>
      <c r="KH384" s="252"/>
      <c r="KO384" s="66"/>
      <c r="KP384" s="66"/>
      <c r="KQ384" s="66"/>
      <c r="KR384" s="66"/>
      <c r="KS384" s="66"/>
      <c r="KT384" s="66"/>
      <c r="KU384" s="66"/>
      <c r="KV384" s="66"/>
      <c r="KW384" s="66"/>
      <c r="KX384" s="66"/>
      <c r="KY384" s="66"/>
      <c r="KZ384" s="66"/>
      <c r="LA384" s="8"/>
      <c r="LD384" s="252"/>
      <c r="LE384" s="252"/>
      <c r="LF384" s="252"/>
      <c r="LJ384" s="252"/>
      <c r="LK384" s="252"/>
      <c r="LN384" s="252"/>
      <c r="LO384" s="252"/>
      <c r="LP384" s="252"/>
      <c r="LT384" s="271"/>
      <c r="LU384" s="250"/>
      <c r="LV384" s="250"/>
      <c r="LW384" s="250"/>
      <c r="LX384" s="250"/>
      <c r="LY384" s="250"/>
      <c r="LZ384" s="250"/>
      <c r="MA384" s="250"/>
      <c r="MB384" s="250"/>
      <c r="MC384" s="250"/>
      <c r="MD384" s="250"/>
      <c r="ME384" s="250"/>
      <c r="MF384" s="250"/>
      <c r="MG384" s="250"/>
      <c r="MH384" s="250"/>
      <c r="MI384" s="250"/>
      <c r="MJ384" s="250"/>
      <c r="MK384" s="424"/>
      <c r="ML384" s="640"/>
      <c r="MM384" s="251"/>
      <c r="MN384" s="252"/>
      <c r="MO384" s="252"/>
      <c r="MP384" s="252"/>
      <c r="MQ384" s="252"/>
      <c r="MR384" s="252"/>
      <c r="MS384" s="252"/>
      <c r="MT384" s="252"/>
      <c r="MU384" s="252"/>
      <c r="MV384" s="252"/>
      <c r="MW384" s="252"/>
      <c r="MX384" s="252"/>
      <c r="MY384" s="252"/>
      <c r="MZ384" s="252"/>
      <c r="NA384" s="252"/>
      <c r="NB384" s="252"/>
      <c r="NC384" s="251"/>
      <c r="ND384" s="250"/>
      <c r="NE384" s="250"/>
      <c r="NF384" s="250"/>
      <c r="NG384" s="250"/>
      <c r="NH384" s="250"/>
      <c r="NI384" s="250"/>
      <c r="NJ384" s="250"/>
      <c r="NK384" s="250"/>
      <c r="NL384" s="250"/>
      <c r="NM384" s="250"/>
      <c r="NN384" s="250"/>
      <c r="NO384" s="250"/>
      <c r="NP384" s="250"/>
      <c r="NQ384" s="250"/>
      <c r="NR384" s="250"/>
      <c r="NS384" s="250"/>
      <c r="NT384" s="250"/>
      <c r="NU384" s="250"/>
      <c r="NV384" s="250"/>
      <c r="NW384" s="251"/>
      <c r="OT384" s="8"/>
      <c r="QG384" s="8"/>
      <c r="RT384" s="8"/>
    </row>
    <row r="385" spans="1:488" s="282" customFormat="1" x14ac:dyDescent="0.25">
      <c r="A385" s="66"/>
      <c r="B385" s="8"/>
      <c r="C385" s="66"/>
      <c r="D385" s="66"/>
      <c r="E385" s="66"/>
      <c r="F385" s="66"/>
      <c r="G385" s="66"/>
      <c r="H385" s="66"/>
      <c r="I385" s="66"/>
      <c r="J385" s="66"/>
      <c r="K385" s="66"/>
      <c r="L385" s="66"/>
      <c r="M385" s="66"/>
      <c r="N385" s="66"/>
      <c r="O385" s="66"/>
      <c r="P385" s="66"/>
      <c r="Q385" s="66"/>
      <c r="R385" s="66"/>
      <c r="S385" s="66"/>
      <c r="T385" s="68"/>
      <c r="AC385" s="66"/>
      <c r="AD385" s="66"/>
      <c r="AE385" s="68"/>
      <c r="AN385" s="66"/>
      <c r="AO385" s="66"/>
      <c r="AP385" s="68"/>
      <c r="AW385" s="66"/>
      <c r="AX385" s="68"/>
      <c r="BD385" s="66"/>
      <c r="BE385" s="68"/>
      <c r="BF385" s="66"/>
      <c r="BG385" s="66"/>
      <c r="BH385" s="66"/>
      <c r="BI385" s="66"/>
      <c r="BJ385" s="66"/>
      <c r="BK385" s="66"/>
      <c r="BL385" s="68"/>
      <c r="BO385" s="66"/>
      <c r="BP385" s="68"/>
      <c r="BV385" s="66"/>
      <c r="BW385" s="68"/>
      <c r="CB385" s="8"/>
      <c r="CH385" s="8"/>
      <c r="CK385" s="299"/>
      <c r="CL385" s="299"/>
      <c r="CM385" s="66"/>
      <c r="CN385" s="66"/>
      <c r="CO385" s="68"/>
      <c r="CR385" s="8"/>
      <c r="CX385" s="66"/>
      <c r="CY385" s="532"/>
      <c r="DE385" s="66"/>
      <c r="DF385" s="66"/>
      <c r="DG385" s="68"/>
      <c r="DH385" s="68"/>
      <c r="DK385" s="66"/>
      <c r="DL385" s="66"/>
      <c r="DM385" s="66"/>
      <c r="DN385" s="66"/>
      <c r="DO385" s="66"/>
      <c r="DP385" s="66"/>
      <c r="DQ385" s="66"/>
      <c r="DR385" s="66"/>
      <c r="DS385" s="66"/>
      <c r="DT385" s="68"/>
      <c r="DU385" s="66"/>
      <c r="DV385" s="296"/>
      <c r="DW385" s="330"/>
      <c r="DX385" s="631"/>
      <c r="DY385" s="631"/>
      <c r="DZ385" s="631"/>
      <c r="EA385" s="330"/>
      <c r="EC385" s="66"/>
      <c r="ED385" s="68"/>
      <c r="EH385" s="66"/>
      <c r="EI385" s="66"/>
      <c r="EJ385" s="68"/>
      <c r="EK385" s="252"/>
      <c r="EL385" s="252"/>
      <c r="EM385" s="252"/>
      <c r="EO385" s="252"/>
      <c r="EP385" s="252"/>
      <c r="EQ385" s="252"/>
      <c r="ES385" s="252"/>
      <c r="ET385" s="252"/>
      <c r="EU385" s="252"/>
      <c r="EW385" s="252"/>
      <c r="EX385" s="252"/>
      <c r="EY385" s="252"/>
      <c r="FA385" s="250"/>
      <c r="FB385" s="250"/>
      <c r="FC385" s="250"/>
      <c r="FD385" s="250"/>
      <c r="FE385" s="250"/>
      <c r="FF385" s="250"/>
      <c r="FG385" s="250"/>
      <c r="FH385" s="424"/>
      <c r="FI385" s="250"/>
      <c r="FJ385" s="250"/>
      <c r="FK385" s="250"/>
      <c r="FL385" s="256"/>
      <c r="FM385" s="250"/>
      <c r="FN385" s="256"/>
      <c r="FO385" s="250"/>
      <c r="FP385" s="256"/>
      <c r="FQ385" s="250"/>
      <c r="FR385" s="256"/>
      <c r="FS385" s="250"/>
      <c r="FT385" s="256"/>
      <c r="FU385" s="256"/>
      <c r="FV385" s="256"/>
      <c r="FW385" s="250"/>
      <c r="FX385" s="424"/>
      <c r="FY385" s="251"/>
      <c r="GC385" s="252"/>
      <c r="GF385" s="252"/>
      <c r="GG385" s="252"/>
      <c r="GH385" s="252"/>
      <c r="GI385" s="252"/>
      <c r="GJ385" s="252"/>
      <c r="GK385" s="251"/>
      <c r="GL385" s="250"/>
      <c r="GM385" s="250"/>
      <c r="GN385" s="250"/>
      <c r="GO385" s="250"/>
      <c r="GP385" s="250"/>
      <c r="GQ385" s="250"/>
      <c r="GR385" s="250"/>
      <c r="GS385" s="250"/>
      <c r="GT385" s="250"/>
      <c r="GU385" s="251"/>
      <c r="GV385" s="250"/>
      <c r="GW385" s="250"/>
      <c r="GX385" s="250"/>
      <c r="GY385" s="250"/>
      <c r="GZ385" s="250"/>
      <c r="HA385" s="250"/>
      <c r="HB385" s="250"/>
      <c r="HC385" s="250"/>
      <c r="HD385" s="250"/>
      <c r="HE385" s="250"/>
      <c r="HF385" s="250"/>
      <c r="HG385" s="250"/>
      <c r="HH385" s="251"/>
      <c r="HI385" s="424"/>
      <c r="HJ385" s="255"/>
      <c r="HK385" s="255"/>
      <c r="HL385" s="250"/>
      <c r="HM385" s="255"/>
      <c r="HN385" s="255"/>
      <c r="HO385" s="255"/>
      <c r="HP385" s="250"/>
      <c r="HQ385" s="250"/>
      <c r="HR385" s="250"/>
      <c r="HS385" s="250"/>
      <c r="HT385" s="250"/>
      <c r="HU385" s="251"/>
      <c r="HX385" s="252"/>
      <c r="HY385" s="252"/>
      <c r="HZ385" s="252"/>
      <c r="ID385" s="252"/>
      <c r="IE385" s="252"/>
      <c r="IF385" s="252"/>
      <c r="IJ385" s="252"/>
      <c r="IK385" s="252"/>
      <c r="IL385" s="252"/>
      <c r="IP385" s="252"/>
      <c r="IQ385" s="252"/>
      <c r="IR385" s="252"/>
      <c r="IY385" s="66"/>
      <c r="IZ385" s="66"/>
      <c r="JA385" s="66"/>
      <c r="JB385" s="250"/>
      <c r="JC385" s="66"/>
      <c r="JD385" s="66"/>
      <c r="JE385" s="66"/>
      <c r="JF385" s="66"/>
      <c r="JG385" s="66"/>
      <c r="JH385" s="66"/>
      <c r="JI385" s="66"/>
      <c r="JJ385" s="66"/>
      <c r="JK385" s="8"/>
      <c r="JN385" s="252"/>
      <c r="JO385" s="252"/>
      <c r="JP385" s="252"/>
      <c r="JT385" s="252"/>
      <c r="JU385" s="252"/>
      <c r="JV385" s="252"/>
      <c r="JZ385" s="252"/>
      <c r="KA385" s="252"/>
      <c r="KB385" s="252"/>
      <c r="KF385" s="252"/>
      <c r="KG385" s="252"/>
      <c r="KH385" s="252"/>
      <c r="KO385" s="66"/>
      <c r="KP385" s="66"/>
      <c r="KQ385" s="66"/>
      <c r="KR385" s="66"/>
      <c r="KS385" s="66"/>
      <c r="KT385" s="66"/>
      <c r="KU385" s="66"/>
      <c r="KV385" s="66"/>
      <c r="KW385" s="66"/>
      <c r="KX385" s="66"/>
      <c r="KY385" s="66"/>
      <c r="KZ385" s="66"/>
      <c r="LA385" s="8"/>
      <c r="LD385" s="252"/>
      <c r="LE385" s="252"/>
      <c r="LF385" s="252"/>
      <c r="LJ385" s="252"/>
      <c r="LK385" s="252"/>
      <c r="LN385" s="252"/>
      <c r="LO385" s="252"/>
      <c r="LP385" s="252"/>
      <c r="LT385" s="271"/>
      <c r="LU385" s="250"/>
      <c r="LV385" s="250"/>
      <c r="LW385" s="250"/>
      <c r="LX385" s="250"/>
      <c r="LY385" s="250"/>
      <c r="LZ385" s="250"/>
      <c r="MA385" s="250"/>
      <c r="MB385" s="250"/>
      <c r="MC385" s="250"/>
      <c r="MD385" s="250"/>
      <c r="ME385" s="250"/>
      <c r="MF385" s="250"/>
      <c r="MG385" s="250"/>
      <c r="MH385" s="250"/>
      <c r="MI385" s="250"/>
      <c r="MJ385" s="250"/>
      <c r="MK385" s="424"/>
      <c r="ML385" s="640"/>
      <c r="MM385" s="251"/>
      <c r="MN385" s="252"/>
      <c r="MO385" s="252"/>
      <c r="MP385" s="252"/>
      <c r="MQ385" s="252"/>
      <c r="MR385" s="252"/>
      <c r="MS385" s="252"/>
      <c r="MT385" s="252"/>
      <c r="MU385" s="252"/>
      <c r="MV385" s="252"/>
      <c r="MW385" s="252"/>
      <c r="MX385" s="252"/>
      <c r="MY385" s="252"/>
      <c r="MZ385" s="252"/>
      <c r="NA385" s="252"/>
      <c r="NB385" s="252"/>
      <c r="NC385" s="251"/>
      <c r="ND385" s="250"/>
      <c r="NE385" s="250"/>
      <c r="NF385" s="250"/>
      <c r="NG385" s="250"/>
      <c r="NH385" s="250"/>
      <c r="NI385" s="250"/>
      <c r="NJ385" s="250"/>
      <c r="NK385" s="250"/>
      <c r="NL385" s="250"/>
      <c r="NM385" s="250"/>
      <c r="NN385" s="250"/>
      <c r="NO385" s="250"/>
      <c r="NP385" s="250"/>
      <c r="NQ385" s="250"/>
      <c r="NR385" s="250"/>
      <c r="NS385" s="250"/>
      <c r="NT385" s="250"/>
      <c r="NU385" s="250"/>
      <c r="NV385" s="250"/>
      <c r="NW385" s="251"/>
      <c r="OT385" s="8"/>
      <c r="QG385" s="8"/>
      <c r="RT385" s="8"/>
    </row>
    <row r="386" spans="1:488" s="282" customFormat="1" x14ac:dyDescent="0.25">
      <c r="A386" s="66"/>
      <c r="B386" s="8"/>
      <c r="C386" s="66"/>
      <c r="D386" s="66"/>
      <c r="E386" s="66"/>
      <c r="F386" s="66"/>
      <c r="G386" s="66"/>
      <c r="H386" s="66"/>
      <c r="I386" s="66"/>
      <c r="J386" s="66"/>
      <c r="K386" s="66"/>
      <c r="L386" s="66"/>
      <c r="M386" s="66"/>
      <c r="N386" s="66"/>
      <c r="O386" s="66"/>
      <c r="P386" s="66"/>
      <c r="Q386" s="66"/>
      <c r="R386" s="66"/>
      <c r="S386" s="66"/>
      <c r="T386" s="68"/>
      <c r="AC386" s="66"/>
      <c r="AD386" s="66"/>
      <c r="AE386" s="68"/>
      <c r="AN386" s="66"/>
      <c r="AO386" s="66"/>
      <c r="AP386" s="68"/>
      <c r="AW386" s="66"/>
      <c r="AX386" s="68"/>
      <c r="BD386" s="66"/>
      <c r="BE386" s="68"/>
      <c r="BF386" s="66"/>
      <c r="BG386" s="66"/>
      <c r="BH386" s="66"/>
      <c r="BI386" s="66"/>
      <c r="BJ386" s="66"/>
      <c r="BK386" s="66"/>
      <c r="BL386" s="68"/>
      <c r="BO386" s="66"/>
      <c r="BP386" s="68"/>
      <c r="BV386" s="66"/>
      <c r="BW386" s="68"/>
      <c r="CB386" s="8"/>
      <c r="CH386" s="8"/>
      <c r="CK386" s="299"/>
      <c r="CL386" s="299"/>
      <c r="CM386" s="66"/>
      <c r="CN386" s="66"/>
      <c r="CO386" s="68"/>
      <c r="CR386" s="8"/>
      <c r="CX386" s="66"/>
      <c r="CY386" s="532"/>
      <c r="DE386" s="66"/>
      <c r="DF386" s="66"/>
      <c r="DG386" s="68"/>
      <c r="DH386" s="68"/>
      <c r="DK386" s="66"/>
      <c r="DL386" s="66"/>
      <c r="DM386" s="66"/>
      <c r="DN386" s="66"/>
      <c r="DO386" s="66"/>
      <c r="DP386" s="66"/>
      <c r="DQ386" s="66"/>
      <c r="DR386" s="66"/>
      <c r="DS386" s="66"/>
      <c r="DT386" s="68"/>
      <c r="DU386" s="66"/>
      <c r="DV386" s="296"/>
      <c r="DW386" s="330"/>
      <c r="DX386" s="631"/>
      <c r="DY386" s="631"/>
      <c r="DZ386" s="631"/>
      <c r="EA386" s="330"/>
      <c r="EC386" s="66"/>
      <c r="ED386" s="68"/>
      <c r="EH386" s="66"/>
      <c r="EI386" s="66"/>
      <c r="EJ386" s="68"/>
      <c r="EK386" s="252"/>
      <c r="EL386" s="252"/>
      <c r="EM386" s="252"/>
      <c r="EO386" s="252"/>
      <c r="EP386" s="252"/>
      <c r="EQ386" s="252"/>
      <c r="ES386" s="252"/>
      <c r="ET386" s="252"/>
      <c r="EU386" s="252"/>
      <c r="EW386" s="252"/>
      <c r="EX386" s="252"/>
      <c r="EY386" s="252"/>
      <c r="FA386" s="250"/>
      <c r="FB386" s="250"/>
      <c r="FC386" s="250"/>
      <c r="FD386" s="250"/>
      <c r="FE386" s="250"/>
      <c r="FF386" s="250"/>
      <c r="FG386" s="250"/>
      <c r="FH386" s="424"/>
      <c r="FI386" s="250"/>
      <c r="FJ386" s="250"/>
      <c r="FK386" s="250"/>
      <c r="FL386" s="256"/>
      <c r="FM386" s="250"/>
      <c r="FN386" s="256"/>
      <c r="FO386" s="250"/>
      <c r="FP386" s="256"/>
      <c r="FQ386" s="250"/>
      <c r="FR386" s="256"/>
      <c r="FS386" s="250"/>
      <c r="FT386" s="256"/>
      <c r="FU386" s="256"/>
      <c r="FV386" s="256"/>
      <c r="FW386" s="250"/>
      <c r="FX386" s="424"/>
      <c r="FY386" s="251"/>
      <c r="GC386" s="252"/>
      <c r="GF386" s="252"/>
      <c r="GG386" s="252"/>
      <c r="GH386" s="252"/>
      <c r="GI386" s="252"/>
      <c r="GJ386" s="252"/>
      <c r="GK386" s="251"/>
      <c r="GL386" s="250"/>
      <c r="GM386" s="250"/>
      <c r="GN386" s="250"/>
      <c r="GO386" s="250"/>
      <c r="GP386" s="250"/>
      <c r="GQ386" s="250"/>
      <c r="GR386" s="250"/>
      <c r="GS386" s="250"/>
      <c r="GT386" s="250"/>
      <c r="GU386" s="251"/>
      <c r="GV386" s="250"/>
      <c r="GW386" s="250"/>
      <c r="GX386" s="250"/>
      <c r="GY386" s="250"/>
      <c r="GZ386" s="250"/>
      <c r="HA386" s="250"/>
      <c r="HB386" s="250"/>
      <c r="HC386" s="250"/>
      <c r="HD386" s="250"/>
      <c r="HE386" s="250"/>
      <c r="HF386" s="250"/>
      <c r="HG386" s="250"/>
      <c r="HH386" s="251"/>
      <c r="HI386" s="424"/>
      <c r="HJ386" s="255"/>
      <c r="HK386" s="255"/>
      <c r="HL386" s="250"/>
      <c r="HM386" s="255"/>
      <c r="HN386" s="255"/>
      <c r="HO386" s="255"/>
      <c r="HP386" s="250"/>
      <c r="HQ386" s="250"/>
      <c r="HR386" s="250"/>
      <c r="HS386" s="250"/>
      <c r="HT386" s="250"/>
      <c r="HU386" s="251"/>
      <c r="HX386" s="252"/>
      <c r="HY386" s="252"/>
      <c r="HZ386" s="252"/>
      <c r="ID386" s="252"/>
      <c r="IE386" s="252"/>
      <c r="IF386" s="252"/>
      <c r="IJ386" s="252"/>
      <c r="IK386" s="252"/>
      <c r="IL386" s="252"/>
      <c r="IP386" s="252"/>
      <c r="IQ386" s="252"/>
      <c r="IR386" s="252"/>
      <c r="IY386" s="66"/>
      <c r="IZ386" s="66"/>
      <c r="JA386" s="66"/>
      <c r="JB386" s="250"/>
      <c r="JC386" s="66"/>
      <c r="JD386" s="66"/>
      <c r="JE386" s="66"/>
      <c r="JF386" s="66"/>
      <c r="JG386" s="66"/>
      <c r="JH386" s="66"/>
      <c r="JI386" s="66"/>
      <c r="JJ386" s="66"/>
      <c r="JK386" s="8"/>
      <c r="JN386" s="252"/>
      <c r="JO386" s="252"/>
      <c r="JP386" s="252"/>
      <c r="JT386" s="252"/>
      <c r="JU386" s="252"/>
      <c r="JV386" s="252"/>
      <c r="JZ386" s="252"/>
      <c r="KA386" s="252"/>
      <c r="KB386" s="252"/>
      <c r="KF386" s="252"/>
      <c r="KG386" s="252"/>
      <c r="KH386" s="252"/>
      <c r="KO386" s="66"/>
      <c r="KP386" s="66"/>
      <c r="KQ386" s="66"/>
      <c r="KR386" s="66"/>
      <c r="KS386" s="66"/>
      <c r="KT386" s="66"/>
      <c r="KU386" s="66"/>
      <c r="KV386" s="66"/>
      <c r="KW386" s="66"/>
      <c r="KX386" s="66"/>
      <c r="KY386" s="66"/>
      <c r="KZ386" s="66"/>
      <c r="LA386" s="8"/>
      <c r="LD386" s="252"/>
      <c r="LE386" s="252"/>
      <c r="LF386" s="252"/>
      <c r="LJ386" s="252"/>
      <c r="LK386" s="252"/>
      <c r="LN386" s="252"/>
      <c r="LO386" s="252"/>
      <c r="LP386" s="252"/>
      <c r="LT386" s="271"/>
      <c r="LU386" s="250"/>
      <c r="LV386" s="250"/>
      <c r="LW386" s="250"/>
      <c r="LX386" s="250"/>
      <c r="LY386" s="250"/>
      <c r="LZ386" s="250"/>
      <c r="MA386" s="250"/>
      <c r="MB386" s="250"/>
      <c r="MC386" s="250"/>
      <c r="MD386" s="250"/>
      <c r="ME386" s="250"/>
      <c r="MF386" s="250"/>
      <c r="MG386" s="250"/>
      <c r="MH386" s="250"/>
      <c r="MI386" s="250"/>
      <c r="MJ386" s="250"/>
      <c r="MK386" s="424"/>
      <c r="ML386" s="640"/>
      <c r="MM386" s="251"/>
      <c r="MN386" s="252"/>
      <c r="MO386" s="252"/>
      <c r="MP386" s="252"/>
      <c r="MQ386" s="252"/>
      <c r="MR386" s="252"/>
      <c r="MS386" s="252"/>
      <c r="MT386" s="252"/>
      <c r="MU386" s="252"/>
      <c r="MV386" s="252"/>
      <c r="MW386" s="252"/>
      <c r="MX386" s="252"/>
      <c r="MY386" s="252"/>
      <c r="MZ386" s="252"/>
      <c r="NA386" s="252"/>
      <c r="NB386" s="252"/>
      <c r="NC386" s="251"/>
      <c r="ND386" s="250"/>
      <c r="NE386" s="250"/>
      <c r="NF386" s="250"/>
      <c r="NG386" s="250"/>
      <c r="NH386" s="250"/>
      <c r="NI386" s="250"/>
      <c r="NJ386" s="250"/>
      <c r="NK386" s="250"/>
      <c r="NL386" s="250"/>
      <c r="NM386" s="250"/>
      <c r="NN386" s="250"/>
      <c r="NO386" s="250"/>
      <c r="NP386" s="250"/>
      <c r="NQ386" s="250"/>
      <c r="NR386" s="250"/>
      <c r="NS386" s="250"/>
      <c r="NT386" s="250"/>
      <c r="NU386" s="250"/>
      <c r="NV386" s="250"/>
      <c r="NW386" s="251"/>
      <c r="OT386" s="8"/>
      <c r="QG386" s="8"/>
      <c r="RT386" s="8"/>
    </row>
    <row r="387" spans="1:488" s="282" customFormat="1" x14ac:dyDescent="0.25">
      <c r="A387" s="66"/>
      <c r="B387" s="8"/>
      <c r="C387" s="66"/>
      <c r="D387" s="66"/>
      <c r="E387" s="66"/>
      <c r="F387" s="66"/>
      <c r="G387" s="66"/>
      <c r="H387" s="66"/>
      <c r="I387" s="66"/>
      <c r="J387" s="66"/>
      <c r="K387" s="66"/>
      <c r="L387" s="66"/>
      <c r="M387" s="66"/>
      <c r="N387" s="66"/>
      <c r="O387" s="66"/>
      <c r="P387" s="66"/>
      <c r="Q387" s="66"/>
      <c r="R387" s="66"/>
      <c r="S387" s="66"/>
      <c r="T387" s="68"/>
      <c r="AC387" s="66"/>
      <c r="AD387" s="66"/>
      <c r="AE387" s="68"/>
      <c r="AN387" s="66"/>
      <c r="AO387" s="66"/>
      <c r="AP387" s="68"/>
      <c r="AW387" s="66"/>
      <c r="AX387" s="68"/>
      <c r="BD387" s="66"/>
      <c r="BE387" s="68"/>
      <c r="BF387" s="66"/>
      <c r="BG387" s="66"/>
      <c r="BH387" s="66"/>
      <c r="BI387" s="66"/>
      <c r="BJ387" s="66"/>
      <c r="BK387" s="66"/>
      <c r="BL387" s="68"/>
      <c r="BO387" s="66"/>
      <c r="BP387" s="68"/>
      <c r="BV387" s="66"/>
      <c r="BW387" s="68"/>
      <c r="CB387" s="8"/>
      <c r="CH387" s="8"/>
      <c r="CK387" s="299"/>
      <c r="CL387" s="299"/>
      <c r="CM387" s="66"/>
      <c r="CN387" s="66"/>
      <c r="CO387" s="68"/>
      <c r="CR387" s="8"/>
      <c r="CX387" s="66"/>
      <c r="CY387" s="532"/>
      <c r="DE387" s="66"/>
      <c r="DF387" s="66"/>
      <c r="DG387" s="68"/>
      <c r="DH387" s="68"/>
      <c r="DK387" s="66"/>
      <c r="DL387" s="66"/>
      <c r="DM387" s="66"/>
      <c r="DN387" s="66"/>
      <c r="DO387" s="66"/>
      <c r="DP387" s="66"/>
      <c r="DQ387" s="66"/>
      <c r="DR387" s="66"/>
      <c r="DS387" s="66"/>
      <c r="DT387" s="68"/>
      <c r="DU387" s="66"/>
      <c r="DV387" s="296"/>
      <c r="DW387" s="330"/>
      <c r="DX387" s="631"/>
      <c r="DY387" s="631"/>
      <c r="DZ387" s="631"/>
      <c r="EA387" s="330"/>
      <c r="EC387" s="66"/>
      <c r="ED387" s="68"/>
      <c r="EH387" s="66"/>
      <c r="EI387" s="66"/>
      <c r="EJ387" s="68"/>
      <c r="EK387" s="252"/>
      <c r="EL387" s="252"/>
      <c r="EM387" s="252"/>
      <c r="EO387" s="252"/>
      <c r="EP387" s="252"/>
      <c r="EQ387" s="252"/>
      <c r="ES387" s="252"/>
      <c r="ET387" s="252"/>
      <c r="EU387" s="252"/>
      <c r="EW387" s="252"/>
      <c r="EX387" s="252"/>
      <c r="EY387" s="252"/>
      <c r="FA387" s="250"/>
      <c r="FB387" s="250"/>
      <c r="FC387" s="250"/>
      <c r="FD387" s="250"/>
      <c r="FE387" s="250"/>
      <c r="FF387" s="250"/>
      <c r="FG387" s="250"/>
      <c r="FH387" s="424"/>
      <c r="FI387" s="250"/>
      <c r="FJ387" s="250"/>
      <c r="FK387" s="250"/>
      <c r="FL387" s="256"/>
      <c r="FM387" s="250"/>
      <c r="FN387" s="256"/>
      <c r="FO387" s="250"/>
      <c r="FP387" s="256"/>
      <c r="FQ387" s="250"/>
      <c r="FR387" s="256"/>
      <c r="FS387" s="250"/>
      <c r="FT387" s="256"/>
      <c r="FU387" s="256"/>
      <c r="FV387" s="256"/>
      <c r="FW387" s="250"/>
      <c r="FX387" s="424"/>
      <c r="FY387" s="251"/>
      <c r="GC387" s="252"/>
      <c r="GF387" s="252"/>
      <c r="GG387" s="252"/>
      <c r="GH387" s="252"/>
      <c r="GI387" s="252"/>
      <c r="GJ387" s="252"/>
      <c r="GK387" s="251"/>
      <c r="GL387" s="250"/>
      <c r="GM387" s="250"/>
      <c r="GN387" s="250"/>
      <c r="GO387" s="250"/>
      <c r="GP387" s="250"/>
      <c r="GQ387" s="250"/>
      <c r="GR387" s="250"/>
      <c r="GS387" s="250"/>
      <c r="GT387" s="250"/>
      <c r="GU387" s="251"/>
      <c r="GV387" s="250"/>
      <c r="GW387" s="250"/>
      <c r="GX387" s="250"/>
      <c r="GY387" s="250"/>
      <c r="GZ387" s="250"/>
      <c r="HA387" s="250"/>
      <c r="HB387" s="250"/>
      <c r="HC387" s="250"/>
      <c r="HD387" s="250"/>
      <c r="HE387" s="250"/>
      <c r="HF387" s="250"/>
      <c r="HG387" s="250"/>
      <c r="HH387" s="251"/>
      <c r="HI387" s="424"/>
      <c r="HJ387" s="255"/>
      <c r="HK387" s="255"/>
      <c r="HL387" s="250"/>
      <c r="HM387" s="255"/>
      <c r="HN387" s="255"/>
      <c r="HO387" s="255"/>
      <c r="HP387" s="250"/>
      <c r="HQ387" s="250"/>
      <c r="HR387" s="250"/>
      <c r="HS387" s="250"/>
      <c r="HT387" s="250"/>
      <c r="HU387" s="251"/>
      <c r="HX387" s="252"/>
      <c r="HY387" s="252"/>
      <c r="HZ387" s="252"/>
      <c r="ID387" s="252"/>
      <c r="IE387" s="252"/>
      <c r="IF387" s="252"/>
      <c r="IJ387" s="252"/>
      <c r="IK387" s="252"/>
      <c r="IL387" s="252"/>
      <c r="IP387" s="252"/>
      <c r="IQ387" s="252"/>
      <c r="IR387" s="252"/>
      <c r="IY387" s="66"/>
      <c r="IZ387" s="66"/>
      <c r="JA387" s="66"/>
      <c r="JB387" s="250"/>
      <c r="JC387" s="66"/>
      <c r="JD387" s="66"/>
      <c r="JE387" s="66"/>
      <c r="JF387" s="66"/>
      <c r="JG387" s="66"/>
      <c r="JH387" s="66"/>
      <c r="JI387" s="66"/>
      <c r="JJ387" s="66"/>
      <c r="JK387" s="8"/>
      <c r="JN387" s="252"/>
      <c r="JO387" s="252"/>
      <c r="JP387" s="252"/>
      <c r="JT387" s="252"/>
      <c r="JU387" s="252"/>
      <c r="JV387" s="252"/>
      <c r="JZ387" s="252"/>
      <c r="KA387" s="252"/>
      <c r="KB387" s="252"/>
      <c r="KF387" s="252"/>
      <c r="KG387" s="252"/>
      <c r="KH387" s="252"/>
      <c r="KO387" s="66"/>
      <c r="KP387" s="66"/>
      <c r="KQ387" s="66"/>
      <c r="KR387" s="66"/>
      <c r="KS387" s="66"/>
      <c r="KT387" s="66"/>
      <c r="KU387" s="66"/>
      <c r="KV387" s="66"/>
      <c r="KW387" s="66"/>
      <c r="KX387" s="66"/>
      <c r="KY387" s="66"/>
      <c r="KZ387" s="66"/>
      <c r="LA387" s="8"/>
      <c r="LD387" s="252"/>
      <c r="LE387" s="252"/>
      <c r="LF387" s="252"/>
      <c r="LJ387" s="252"/>
      <c r="LK387" s="252"/>
      <c r="LN387" s="252"/>
      <c r="LO387" s="252"/>
      <c r="LP387" s="252"/>
      <c r="LT387" s="271"/>
      <c r="LU387" s="250"/>
      <c r="LV387" s="250"/>
      <c r="LW387" s="250"/>
      <c r="LX387" s="250"/>
      <c r="LY387" s="250"/>
      <c r="LZ387" s="250"/>
      <c r="MA387" s="250"/>
      <c r="MB387" s="250"/>
      <c r="MC387" s="250"/>
      <c r="MD387" s="250"/>
      <c r="ME387" s="250"/>
      <c r="MF387" s="250"/>
      <c r="MG387" s="250"/>
      <c r="MH387" s="250"/>
      <c r="MI387" s="250"/>
      <c r="MJ387" s="250"/>
      <c r="MK387" s="424"/>
      <c r="ML387" s="640"/>
      <c r="MM387" s="251"/>
      <c r="MN387" s="252"/>
      <c r="MO387" s="252"/>
      <c r="MP387" s="252"/>
      <c r="MQ387" s="252"/>
      <c r="MR387" s="252"/>
      <c r="MS387" s="252"/>
      <c r="MT387" s="252"/>
      <c r="MU387" s="252"/>
      <c r="MV387" s="252"/>
      <c r="MW387" s="252"/>
      <c r="MX387" s="252"/>
      <c r="MY387" s="252"/>
      <c r="MZ387" s="252"/>
      <c r="NA387" s="252"/>
      <c r="NB387" s="252"/>
      <c r="NC387" s="251"/>
      <c r="ND387" s="250"/>
      <c r="NE387" s="250"/>
      <c r="NF387" s="250"/>
      <c r="NG387" s="250"/>
      <c r="NH387" s="250"/>
      <c r="NI387" s="250"/>
      <c r="NJ387" s="250"/>
      <c r="NK387" s="250"/>
      <c r="NL387" s="250"/>
      <c r="NM387" s="250"/>
      <c r="NN387" s="250"/>
      <c r="NO387" s="250"/>
      <c r="NP387" s="250"/>
      <c r="NQ387" s="250"/>
      <c r="NR387" s="250"/>
      <c r="NS387" s="250"/>
      <c r="NT387" s="250"/>
      <c r="NU387" s="250"/>
      <c r="NV387" s="250"/>
      <c r="NW387" s="251"/>
      <c r="OT387" s="8"/>
      <c r="QG387" s="8"/>
      <c r="RT387" s="8"/>
    </row>
    <row r="388" spans="1:488" s="282" customFormat="1" x14ac:dyDescent="0.25">
      <c r="A388" s="66"/>
      <c r="B388" s="8"/>
      <c r="C388" s="66"/>
      <c r="D388" s="66"/>
      <c r="E388" s="66"/>
      <c r="F388" s="66"/>
      <c r="G388" s="66"/>
      <c r="H388" s="66"/>
      <c r="I388" s="66"/>
      <c r="J388" s="66"/>
      <c r="K388" s="66"/>
      <c r="L388" s="66"/>
      <c r="M388" s="66"/>
      <c r="N388" s="66"/>
      <c r="O388" s="66"/>
      <c r="P388" s="66"/>
      <c r="Q388" s="66"/>
      <c r="R388" s="66"/>
      <c r="S388" s="66"/>
      <c r="T388" s="68"/>
      <c r="AC388" s="66"/>
      <c r="AD388" s="66"/>
      <c r="AE388" s="68"/>
      <c r="AN388" s="66"/>
      <c r="AO388" s="66"/>
      <c r="AP388" s="68"/>
      <c r="AW388" s="66"/>
      <c r="AX388" s="68"/>
      <c r="BD388" s="66"/>
      <c r="BE388" s="68"/>
      <c r="BF388" s="66"/>
      <c r="BG388" s="66"/>
      <c r="BH388" s="66"/>
      <c r="BI388" s="66"/>
      <c r="BJ388" s="66"/>
      <c r="BK388" s="66"/>
      <c r="BL388" s="68"/>
      <c r="BO388" s="66"/>
      <c r="BP388" s="68"/>
      <c r="BV388" s="66"/>
      <c r="BW388" s="68"/>
      <c r="CB388" s="8"/>
      <c r="CH388" s="8"/>
      <c r="CK388" s="299"/>
      <c r="CL388" s="299"/>
      <c r="CM388" s="66"/>
      <c r="CN388" s="66"/>
      <c r="CO388" s="68"/>
      <c r="CR388" s="8"/>
      <c r="CX388" s="66"/>
      <c r="CY388" s="532"/>
      <c r="DE388" s="66"/>
      <c r="DF388" s="66"/>
      <c r="DG388" s="68"/>
      <c r="DH388" s="68"/>
      <c r="DK388" s="66"/>
      <c r="DL388" s="66"/>
      <c r="DM388" s="66"/>
      <c r="DN388" s="66"/>
      <c r="DO388" s="66"/>
      <c r="DP388" s="66"/>
      <c r="DQ388" s="66"/>
      <c r="DR388" s="66"/>
      <c r="DS388" s="66"/>
      <c r="DT388" s="68"/>
      <c r="DU388" s="66"/>
      <c r="DV388" s="296"/>
      <c r="DW388" s="330"/>
      <c r="DX388" s="631"/>
      <c r="DY388" s="631"/>
      <c r="DZ388" s="631"/>
      <c r="EA388" s="330"/>
      <c r="EC388" s="66"/>
      <c r="ED388" s="68"/>
      <c r="EH388" s="66"/>
      <c r="EI388" s="66"/>
      <c r="EJ388" s="68"/>
      <c r="EK388" s="252"/>
      <c r="EL388" s="252"/>
      <c r="EM388" s="252"/>
      <c r="EO388" s="252"/>
      <c r="EP388" s="252"/>
      <c r="EQ388" s="252"/>
      <c r="ES388" s="252"/>
      <c r="ET388" s="252"/>
      <c r="EU388" s="252"/>
      <c r="EW388" s="252"/>
      <c r="EX388" s="252"/>
      <c r="EY388" s="252"/>
      <c r="FA388" s="250"/>
      <c r="FB388" s="250"/>
      <c r="FC388" s="250"/>
      <c r="FD388" s="250"/>
      <c r="FE388" s="250"/>
      <c r="FF388" s="250"/>
      <c r="FG388" s="250"/>
      <c r="FH388" s="424"/>
      <c r="FI388" s="250"/>
      <c r="FJ388" s="250"/>
      <c r="FK388" s="250"/>
      <c r="FL388" s="256"/>
      <c r="FM388" s="250"/>
      <c r="FN388" s="256"/>
      <c r="FO388" s="250"/>
      <c r="FP388" s="256"/>
      <c r="FQ388" s="250"/>
      <c r="FR388" s="256"/>
      <c r="FS388" s="250"/>
      <c r="FT388" s="256"/>
      <c r="FU388" s="256"/>
      <c r="FV388" s="256"/>
      <c r="FW388" s="250"/>
      <c r="FX388" s="424"/>
      <c r="FY388" s="251"/>
      <c r="GC388" s="252"/>
      <c r="GF388" s="252"/>
      <c r="GG388" s="252"/>
      <c r="GH388" s="252"/>
      <c r="GI388" s="252"/>
      <c r="GJ388" s="252"/>
      <c r="GK388" s="251"/>
      <c r="GL388" s="250"/>
      <c r="GM388" s="250"/>
      <c r="GN388" s="250"/>
      <c r="GO388" s="250"/>
      <c r="GP388" s="250"/>
      <c r="GQ388" s="250"/>
      <c r="GR388" s="250"/>
      <c r="GS388" s="250"/>
      <c r="GT388" s="250"/>
      <c r="GU388" s="251"/>
      <c r="GV388" s="250"/>
      <c r="GW388" s="250"/>
      <c r="GX388" s="250"/>
      <c r="GY388" s="250"/>
      <c r="GZ388" s="250"/>
      <c r="HA388" s="250"/>
      <c r="HB388" s="250"/>
      <c r="HC388" s="250"/>
      <c r="HD388" s="250"/>
      <c r="HE388" s="250"/>
      <c r="HF388" s="250"/>
      <c r="HG388" s="250"/>
      <c r="HH388" s="251"/>
      <c r="HI388" s="424"/>
      <c r="HJ388" s="255"/>
      <c r="HK388" s="255"/>
      <c r="HL388" s="250"/>
      <c r="HM388" s="255"/>
      <c r="HN388" s="255"/>
      <c r="HO388" s="255"/>
      <c r="HP388" s="250"/>
      <c r="HQ388" s="250"/>
      <c r="HR388" s="250"/>
      <c r="HS388" s="250"/>
      <c r="HT388" s="250"/>
      <c r="HU388" s="251"/>
      <c r="HX388" s="252"/>
      <c r="HY388" s="252"/>
      <c r="HZ388" s="252"/>
      <c r="ID388" s="252"/>
      <c r="IE388" s="252"/>
      <c r="IF388" s="252"/>
      <c r="IJ388" s="252"/>
      <c r="IK388" s="252"/>
      <c r="IL388" s="252"/>
      <c r="IP388" s="252"/>
      <c r="IQ388" s="252"/>
      <c r="IR388" s="252"/>
      <c r="IY388" s="66"/>
      <c r="IZ388" s="66"/>
      <c r="JA388" s="66"/>
      <c r="JB388" s="250"/>
      <c r="JC388" s="66"/>
      <c r="JD388" s="66"/>
      <c r="JE388" s="66"/>
      <c r="JF388" s="66"/>
      <c r="JG388" s="66"/>
      <c r="JH388" s="66"/>
      <c r="JI388" s="66"/>
      <c r="JJ388" s="66"/>
      <c r="JK388" s="8"/>
      <c r="JN388" s="252"/>
      <c r="JO388" s="252"/>
      <c r="JP388" s="252"/>
      <c r="JT388" s="252"/>
      <c r="JU388" s="252"/>
      <c r="JV388" s="252"/>
      <c r="JZ388" s="252"/>
      <c r="KA388" s="252"/>
      <c r="KB388" s="252"/>
      <c r="KF388" s="252"/>
      <c r="KG388" s="252"/>
      <c r="KH388" s="252"/>
      <c r="KO388" s="66"/>
      <c r="KP388" s="66"/>
      <c r="KQ388" s="66"/>
      <c r="KR388" s="66"/>
      <c r="KS388" s="66"/>
      <c r="KT388" s="66"/>
      <c r="KU388" s="66"/>
      <c r="KV388" s="66"/>
      <c r="KW388" s="66"/>
      <c r="KX388" s="66"/>
      <c r="KY388" s="66"/>
      <c r="KZ388" s="66"/>
      <c r="LA388" s="8"/>
      <c r="LD388" s="252"/>
      <c r="LE388" s="252"/>
      <c r="LF388" s="252"/>
      <c r="LJ388" s="252"/>
      <c r="LK388" s="252"/>
      <c r="LN388" s="252"/>
      <c r="LO388" s="252"/>
      <c r="LP388" s="252"/>
      <c r="LT388" s="271"/>
      <c r="LU388" s="250"/>
      <c r="LV388" s="250"/>
      <c r="LW388" s="250"/>
      <c r="LX388" s="250"/>
      <c r="LY388" s="250"/>
      <c r="LZ388" s="250"/>
      <c r="MA388" s="250"/>
      <c r="MB388" s="250"/>
      <c r="MC388" s="250"/>
      <c r="MD388" s="250"/>
      <c r="ME388" s="250"/>
      <c r="MF388" s="250"/>
      <c r="MG388" s="250"/>
      <c r="MH388" s="250"/>
      <c r="MI388" s="250"/>
      <c r="MJ388" s="250"/>
      <c r="MK388" s="424"/>
      <c r="ML388" s="640"/>
      <c r="MM388" s="251"/>
      <c r="MN388" s="252"/>
      <c r="MO388" s="252"/>
      <c r="MP388" s="252"/>
      <c r="MQ388" s="252"/>
      <c r="MR388" s="252"/>
      <c r="MS388" s="252"/>
      <c r="MT388" s="252"/>
      <c r="MU388" s="252"/>
      <c r="MV388" s="252"/>
      <c r="MW388" s="252"/>
      <c r="MX388" s="252"/>
      <c r="MY388" s="252"/>
      <c r="MZ388" s="252"/>
      <c r="NA388" s="252"/>
      <c r="NB388" s="252"/>
      <c r="NC388" s="251"/>
      <c r="ND388" s="250"/>
      <c r="NE388" s="250"/>
      <c r="NF388" s="250"/>
      <c r="NG388" s="250"/>
      <c r="NH388" s="250"/>
      <c r="NI388" s="250"/>
      <c r="NJ388" s="250"/>
      <c r="NK388" s="250"/>
      <c r="NL388" s="250"/>
      <c r="NM388" s="250"/>
      <c r="NN388" s="250"/>
      <c r="NO388" s="250"/>
      <c r="NP388" s="250"/>
      <c r="NQ388" s="250"/>
      <c r="NR388" s="250"/>
      <c r="NS388" s="250"/>
      <c r="NT388" s="250"/>
      <c r="NU388" s="250"/>
      <c r="NV388" s="250"/>
      <c r="NW388" s="251"/>
      <c r="OT388" s="8"/>
      <c r="QG388" s="8"/>
      <c r="RT388" s="8"/>
    </row>
    <row r="389" spans="1:488" s="282" customFormat="1" x14ac:dyDescent="0.25">
      <c r="A389" s="66"/>
      <c r="B389" s="8"/>
      <c r="C389" s="66"/>
      <c r="D389" s="66"/>
      <c r="E389" s="66"/>
      <c r="F389" s="66"/>
      <c r="G389" s="66"/>
      <c r="H389" s="66"/>
      <c r="I389" s="66"/>
      <c r="J389" s="66"/>
      <c r="K389" s="66"/>
      <c r="L389" s="66"/>
      <c r="M389" s="66"/>
      <c r="N389" s="66"/>
      <c r="O389" s="66"/>
      <c r="P389" s="66"/>
      <c r="Q389" s="66"/>
      <c r="R389" s="66"/>
      <c r="S389" s="66"/>
      <c r="T389" s="68"/>
      <c r="AC389" s="66"/>
      <c r="AD389" s="66"/>
      <c r="AE389" s="68"/>
      <c r="AN389" s="66"/>
      <c r="AO389" s="66"/>
      <c r="AP389" s="68"/>
      <c r="AW389" s="66"/>
      <c r="AX389" s="68"/>
      <c r="BD389" s="66"/>
      <c r="BE389" s="68"/>
      <c r="BF389" s="66"/>
      <c r="BG389" s="66"/>
      <c r="BH389" s="66"/>
      <c r="BI389" s="66"/>
      <c r="BJ389" s="66"/>
      <c r="BK389" s="66"/>
      <c r="BL389" s="68"/>
      <c r="BO389" s="66"/>
      <c r="BP389" s="68"/>
      <c r="BV389" s="66"/>
      <c r="BW389" s="68"/>
      <c r="CB389" s="8"/>
      <c r="CH389" s="8"/>
      <c r="CK389" s="299"/>
      <c r="CL389" s="299"/>
      <c r="CM389" s="66"/>
      <c r="CN389" s="66"/>
      <c r="CO389" s="68"/>
      <c r="CR389" s="8"/>
      <c r="CX389" s="66"/>
      <c r="CY389" s="532"/>
      <c r="DE389" s="66"/>
      <c r="DF389" s="66"/>
      <c r="DG389" s="68"/>
      <c r="DH389" s="68"/>
      <c r="DK389" s="66"/>
      <c r="DL389" s="66"/>
      <c r="DM389" s="66"/>
      <c r="DN389" s="66"/>
      <c r="DO389" s="66"/>
      <c r="DP389" s="66"/>
      <c r="DQ389" s="66"/>
      <c r="DR389" s="66"/>
      <c r="DS389" s="66"/>
      <c r="DT389" s="68"/>
      <c r="DU389" s="66"/>
      <c r="DV389" s="296"/>
      <c r="DW389" s="330"/>
      <c r="DX389" s="631"/>
      <c r="DY389" s="631"/>
      <c r="DZ389" s="631"/>
      <c r="EA389" s="330"/>
      <c r="EC389" s="66"/>
      <c r="ED389" s="68"/>
      <c r="EH389" s="66"/>
      <c r="EI389" s="66"/>
      <c r="EJ389" s="68"/>
      <c r="EK389" s="252"/>
      <c r="EL389" s="252"/>
      <c r="EM389" s="252"/>
      <c r="EO389" s="252"/>
      <c r="EP389" s="252"/>
      <c r="EQ389" s="252"/>
      <c r="ES389" s="252"/>
      <c r="ET389" s="252"/>
      <c r="EU389" s="252"/>
      <c r="EW389" s="252"/>
      <c r="EX389" s="252"/>
      <c r="EY389" s="252"/>
      <c r="FA389" s="250"/>
      <c r="FB389" s="250"/>
      <c r="FC389" s="250"/>
      <c r="FD389" s="250"/>
      <c r="FE389" s="250"/>
      <c r="FF389" s="250"/>
      <c r="FG389" s="250"/>
      <c r="FH389" s="424"/>
      <c r="FI389" s="250"/>
      <c r="FJ389" s="250"/>
      <c r="FK389" s="250"/>
      <c r="FL389" s="256"/>
      <c r="FM389" s="250"/>
      <c r="FN389" s="256"/>
      <c r="FO389" s="250"/>
      <c r="FP389" s="256"/>
      <c r="FQ389" s="250"/>
      <c r="FR389" s="256"/>
      <c r="FS389" s="250"/>
      <c r="FT389" s="256"/>
      <c r="FU389" s="256"/>
      <c r="FV389" s="256"/>
      <c r="FW389" s="250"/>
      <c r="FX389" s="424"/>
      <c r="FY389" s="251"/>
      <c r="GC389" s="252"/>
      <c r="GF389" s="252"/>
      <c r="GG389" s="252"/>
      <c r="GH389" s="252"/>
      <c r="GI389" s="252"/>
      <c r="GJ389" s="252"/>
      <c r="GK389" s="251"/>
      <c r="GL389" s="250"/>
      <c r="GM389" s="250"/>
      <c r="GN389" s="250"/>
      <c r="GO389" s="250"/>
      <c r="GP389" s="250"/>
      <c r="GQ389" s="250"/>
      <c r="GR389" s="250"/>
      <c r="GS389" s="250"/>
      <c r="GT389" s="250"/>
      <c r="GU389" s="251"/>
      <c r="GV389" s="250"/>
      <c r="GW389" s="250"/>
      <c r="GX389" s="250"/>
      <c r="GY389" s="250"/>
      <c r="GZ389" s="250"/>
      <c r="HA389" s="250"/>
      <c r="HB389" s="250"/>
      <c r="HC389" s="250"/>
      <c r="HD389" s="250"/>
      <c r="HE389" s="250"/>
      <c r="HF389" s="250"/>
      <c r="HG389" s="250"/>
      <c r="HH389" s="251"/>
      <c r="HI389" s="424"/>
      <c r="HJ389" s="255"/>
      <c r="HK389" s="255"/>
      <c r="HL389" s="250"/>
      <c r="HM389" s="255"/>
      <c r="HN389" s="255"/>
      <c r="HO389" s="255"/>
      <c r="HP389" s="250"/>
      <c r="HQ389" s="250"/>
      <c r="HR389" s="250"/>
      <c r="HS389" s="250"/>
      <c r="HT389" s="250"/>
      <c r="HU389" s="251"/>
      <c r="HX389" s="252"/>
      <c r="HY389" s="252"/>
      <c r="HZ389" s="252"/>
      <c r="ID389" s="252"/>
      <c r="IE389" s="252"/>
      <c r="IF389" s="252"/>
      <c r="IJ389" s="252"/>
      <c r="IK389" s="252"/>
      <c r="IL389" s="252"/>
      <c r="IP389" s="252"/>
      <c r="IQ389" s="252"/>
      <c r="IR389" s="252"/>
      <c r="IY389" s="66"/>
      <c r="IZ389" s="66"/>
      <c r="JA389" s="66"/>
      <c r="JB389" s="250"/>
      <c r="JC389" s="66"/>
      <c r="JD389" s="66"/>
      <c r="JE389" s="66"/>
      <c r="JF389" s="66"/>
      <c r="JG389" s="66"/>
      <c r="JH389" s="66"/>
      <c r="JI389" s="66"/>
      <c r="JJ389" s="66"/>
      <c r="JK389" s="8"/>
      <c r="JN389" s="252"/>
      <c r="JO389" s="252"/>
      <c r="JP389" s="252"/>
      <c r="JT389" s="252"/>
      <c r="JU389" s="252"/>
      <c r="JV389" s="252"/>
      <c r="JZ389" s="252"/>
      <c r="KA389" s="252"/>
      <c r="KB389" s="252"/>
      <c r="KF389" s="252"/>
      <c r="KG389" s="252"/>
      <c r="KH389" s="252"/>
      <c r="KO389" s="66"/>
      <c r="KP389" s="66"/>
      <c r="KQ389" s="66"/>
      <c r="KR389" s="66"/>
      <c r="KS389" s="66"/>
      <c r="KT389" s="66"/>
      <c r="KU389" s="66"/>
      <c r="KV389" s="66"/>
      <c r="KW389" s="66"/>
      <c r="KX389" s="66"/>
      <c r="KY389" s="66"/>
      <c r="KZ389" s="66"/>
      <c r="LA389" s="8"/>
      <c r="LD389" s="252"/>
      <c r="LE389" s="252"/>
      <c r="LF389" s="252"/>
      <c r="LJ389" s="252"/>
      <c r="LK389" s="252"/>
      <c r="LN389" s="252"/>
      <c r="LO389" s="252"/>
      <c r="LP389" s="252"/>
      <c r="LT389" s="271"/>
      <c r="LU389" s="250"/>
      <c r="LV389" s="250"/>
      <c r="LW389" s="250"/>
      <c r="LX389" s="250"/>
      <c r="LY389" s="250"/>
      <c r="LZ389" s="250"/>
      <c r="MA389" s="250"/>
      <c r="MB389" s="250"/>
      <c r="MC389" s="250"/>
      <c r="MD389" s="250"/>
      <c r="ME389" s="250"/>
      <c r="MF389" s="250"/>
      <c r="MG389" s="250"/>
      <c r="MH389" s="250"/>
      <c r="MI389" s="250"/>
      <c r="MJ389" s="250"/>
      <c r="MK389" s="424"/>
      <c r="ML389" s="640"/>
      <c r="MM389" s="251"/>
      <c r="MN389" s="252"/>
      <c r="MO389" s="252"/>
      <c r="MP389" s="252"/>
      <c r="MQ389" s="252"/>
      <c r="MR389" s="252"/>
      <c r="MS389" s="252"/>
      <c r="MT389" s="252"/>
      <c r="MU389" s="252"/>
      <c r="MV389" s="252"/>
      <c r="MW389" s="252"/>
      <c r="MX389" s="252"/>
      <c r="MY389" s="252"/>
      <c r="MZ389" s="252"/>
      <c r="NA389" s="252"/>
      <c r="NB389" s="252"/>
      <c r="NC389" s="251"/>
      <c r="ND389" s="250"/>
      <c r="NE389" s="250"/>
      <c r="NF389" s="250"/>
      <c r="NG389" s="250"/>
      <c r="NH389" s="250"/>
      <c r="NI389" s="250"/>
      <c r="NJ389" s="250"/>
      <c r="NK389" s="250"/>
      <c r="NL389" s="250"/>
      <c r="NM389" s="250"/>
      <c r="NN389" s="250"/>
      <c r="NO389" s="250"/>
      <c r="NP389" s="250"/>
      <c r="NQ389" s="250"/>
      <c r="NR389" s="250"/>
      <c r="NS389" s="250"/>
      <c r="NT389" s="250"/>
      <c r="NU389" s="250"/>
      <c r="NV389" s="250"/>
      <c r="NW389" s="251"/>
      <c r="OT389" s="8"/>
      <c r="QG389" s="8"/>
      <c r="RT389" s="8"/>
    </row>
    <row r="390" spans="1:488" s="282" customFormat="1" x14ac:dyDescent="0.25">
      <c r="A390" s="66"/>
      <c r="B390" s="8"/>
      <c r="C390" s="66"/>
      <c r="D390" s="66"/>
      <c r="E390" s="66"/>
      <c r="F390" s="66"/>
      <c r="G390" s="66"/>
      <c r="H390" s="66"/>
      <c r="I390" s="66"/>
      <c r="J390" s="66"/>
      <c r="K390" s="66"/>
      <c r="L390" s="66"/>
      <c r="M390" s="66"/>
      <c r="N390" s="66"/>
      <c r="O390" s="66"/>
      <c r="P390" s="66"/>
      <c r="Q390" s="66"/>
      <c r="R390" s="66"/>
      <c r="S390" s="66"/>
      <c r="T390" s="68"/>
      <c r="AC390" s="66"/>
      <c r="AD390" s="66"/>
      <c r="AE390" s="68"/>
      <c r="AN390" s="66"/>
      <c r="AO390" s="66"/>
      <c r="AP390" s="68"/>
      <c r="AW390" s="66"/>
      <c r="AX390" s="68"/>
      <c r="BD390" s="66"/>
      <c r="BE390" s="68"/>
      <c r="BF390" s="66"/>
      <c r="BG390" s="66"/>
      <c r="BH390" s="66"/>
      <c r="BI390" s="66"/>
      <c r="BJ390" s="66"/>
      <c r="BK390" s="66"/>
      <c r="BL390" s="68"/>
      <c r="BO390" s="66"/>
      <c r="BP390" s="68"/>
      <c r="BV390" s="66"/>
      <c r="BW390" s="68"/>
      <c r="CB390" s="8"/>
      <c r="CH390" s="8"/>
      <c r="CK390" s="299"/>
      <c r="CL390" s="299"/>
      <c r="CM390" s="66"/>
      <c r="CN390" s="66"/>
      <c r="CO390" s="68"/>
      <c r="CR390" s="8"/>
      <c r="CX390" s="66"/>
      <c r="CY390" s="532"/>
      <c r="DE390" s="66"/>
      <c r="DF390" s="66"/>
      <c r="DG390" s="68"/>
      <c r="DH390" s="68"/>
      <c r="DK390" s="66"/>
      <c r="DL390" s="66"/>
      <c r="DM390" s="66"/>
      <c r="DN390" s="66"/>
      <c r="DO390" s="66"/>
      <c r="DP390" s="66"/>
      <c r="DQ390" s="66"/>
      <c r="DR390" s="66"/>
      <c r="DS390" s="66"/>
      <c r="DT390" s="68"/>
      <c r="DU390" s="66"/>
      <c r="DV390" s="296"/>
      <c r="DW390" s="330"/>
      <c r="DX390" s="631"/>
      <c r="DY390" s="631"/>
      <c r="DZ390" s="631"/>
      <c r="EA390" s="330"/>
      <c r="EC390" s="66"/>
      <c r="ED390" s="68"/>
      <c r="EH390" s="66"/>
      <c r="EI390" s="66"/>
      <c r="EJ390" s="68"/>
      <c r="EK390" s="252"/>
      <c r="EL390" s="252"/>
      <c r="EM390" s="252"/>
      <c r="EO390" s="252"/>
      <c r="EP390" s="252"/>
      <c r="EQ390" s="252"/>
      <c r="ES390" s="252"/>
      <c r="ET390" s="252"/>
      <c r="EU390" s="252"/>
      <c r="EW390" s="252"/>
      <c r="EX390" s="252"/>
      <c r="EY390" s="252"/>
      <c r="FA390" s="250"/>
      <c r="FB390" s="250"/>
      <c r="FC390" s="250"/>
      <c r="FD390" s="250"/>
      <c r="FE390" s="250"/>
      <c r="FF390" s="250"/>
      <c r="FG390" s="250"/>
      <c r="FH390" s="424"/>
      <c r="FI390" s="250"/>
      <c r="FJ390" s="250"/>
      <c r="FK390" s="250"/>
      <c r="FL390" s="256"/>
      <c r="FM390" s="250"/>
      <c r="FN390" s="256"/>
      <c r="FO390" s="250"/>
      <c r="FP390" s="256"/>
      <c r="FQ390" s="250"/>
      <c r="FR390" s="256"/>
      <c r="FS390" s="250"/>
      <c r="FT390" s="256"/>
      <c r="FU390" s="256"/>
      <c r="FV390" s="256"/>
      <c r="FW390" s="250"/>
      <c r="FX390" s="424"/>
      <c r="FY390" s="251"/>
      <c r="GC390" s="252"/>
      <c r="GF390" s="252"/>
      <c r="GG390" s="252"/>
      <c r="GH390" s="252"/>
      <c r="GI390" s="252"/>
      <c r="GJ390" s="252"/>
      <c r="GK390" s="251"/>
      <c r="GL390" s="250"/>
      <c r="GM390" s="250"/>
      <c r="GN390" s="250"/>
      <c r="GO390" s="250"/>
      <c r="GP390" s="250"/>
      <c r="GQ390" s="250"/>
      <c r="GR390" s="250"/>
      <c r="GS390" s="250"/>
      <c r="GT390" s="250"/>
      <c r="GU390" s="251"/>
      <c r="GV390" s="250"/>
      <c r="GW390" s="250"/>
      <c r="GX390" s="250"/>
      <c r="GY390" s="250"/>
      <c r="GZ390" s="250"/>
      <c r="HA390" s="250"/>
      <c r="HB390" s="250"/>
      <c r="HC390" s="250"/>
      <c r="HD390" s="250"/>
      <c r="HE390" s="250"/>
      <c r="HF390" s="250"/>
      <c r="HG390" s="250"/>
      <c r="HH390" s="251"/>
      <c r="HI390" s="424"/>
      <c r="HJ390" s="255"/>
      <c r="HK390" s="255"/>
      <c r="HL390" s="250"/>
      <c r="HM390" s="255"/>
      <c r="HN390" s="255"/>
      <c r="HO390" s="255"/>
      <c r="HP390" s="250"/>
      <c r="HQ390" s="250"/>
      <c r="HR390" s="250"/>
      <c r="HS390" s="250"/>
      <c r="HT390" s="250"/>
      <c r="HU390" s="251"/>
      <c r="HX390" s="252"/>
      <c r="HY390" s="252"/>
      <c r="HZ390" s="252"/>
      <c r="ID390" s="252"/>
      <c r="IE390" s="252"/>
      <c r="IF390" s="252"/>
      <c r="IJ390" s="252"/>
      <c r="IK390" s="252"/>
      <c r="IL390" s="252"/>
      <c r="IP390" s="252"/>
      <c r="IQ390" s="252"/>
      <c r="IR390" s="252"/>
      <c r="IY390" s="66"/>
      <c r="IZ390" s="66"/>
      <c r="JA390" s="66"/>
      <c r="JB390" s="250"/>
      <c r="JC390" s="66"/>
      <c r="JD390" s="66"/>
      <c r="JE390" s="66"/>
      <c r="JF390" s="66"/>
      <c r="JG390" s="66"/>
      <c r="JH390" s="66"/>
      <c r="JI390" s="66"/>
      <c r="JJ390" s="66"/>
      <c r="JK390" s="8"/>
      <c r="JN390" s="252"/>
      <c r="JO390" s="252"/>
      <c r="JP390" s="252"/>
      <c r="JT390" s="252"/>
      <c r="JU390" s="252"/>
      <c r="JV390" s="252"/>
      <c r="JZ390" s="252"/>
      <c r="KA390" s="252"/>
      <c r="KB390" s="252"/>
      <c r="KF390" s="252"/>
      <c r="KG390" s="252"/>
      <c r="KH390" s="252"/>
      <c r="KO390" s="66"/>
      <c r="KP390" s="66"/>
      <c r="KQ390" s="66"/>
      <c r="KR390" s="66"/>
      <c r="KS390" s="66"/>
      <c r="KT390" s="66"/>
      <c r="KU390" s="66"/>
      <c r="KV390" s="66"/>
      <c r="KW390" s="66"/>
      <c r="KX390" s="66"/>
      <c r="KY390" s="66"/>
      <c r="KZ390" s="66"/>
      <c r="LA390" s="8"/>
      <c r="LD390" s="252"/>
      <c r="LE390" s="252"/>
      <c r="LF390" s="252"/>
      <c r="LJ390" s="252"/>
      <c r="LK390" s="252"/>
      <c r="LN390" s="252"/>
      <c r="LO390" s="252"/>
      <c r="LP390" s="252"/>
      <c r="LT390" s="271"/>
      <c r="LU390" s="250"/>
      <c r="LV390" s="250"/>
      <c r="LW390" s="250"/>
      <c r="LX390" s="250"/>
      <c r="LY390" s="250"/>
      <c r="LZ390" s="250"/>
      <c r="MA390" s="250"/>
      <c r="MB390" s="250"/>
      <c r="MC390" s="250"/>
      <c r="MD390" s="250"/>
      <c r="ME390" s="250"/>
      <c r="MF390" s="250"/>
      <c r="MG390" s="250"/>
      <c r="MH390" s="250"/>
      <c r="MI390" s="250"/>
      <c r="MJ390" s="250"/>
      <c r="MK390" s="424"/>
      <c r="ML390" s="640"/>
      <c r="MM390" s="251"/>
      <c r="MN390" s="252"/>
      <c r="MO390" s="252"/>
      <c r="MP390" s="252"/>
      <c r="MQ390" s="252"/>
      <c r="MR390" s="252"/>
      <c r="MS390" s="252"/>
      <c r="MT390" s="252"/>
      <c r="MU390" s="252"/>
      <c r="MV390" s="252"/>
      <c r="MW390" s="252"/>
      <c r="MX390" s="252"/>
      <c r="MY390" s="252"/>
      <c r="MZ390" s="252"/>
      <c r="NA390" s="252"/>
      <c r="NB390" s="252"/>
      <c r="NC390" s="251"/>
      <c r="ND390" s="250"/>
      <c r="NE390" s="250"/>
      <c r="NF390" s="250"/>
      <c r="NG390" s="250"/>
      <c r="NH390" s="250"/>
      <c r="NI390" s="250"/>
      <c r="NJ390" s="250"/>
      <c r="NK390" s="250"/>
      <c r="NL390" s="250"/>
      <c r="NM390" s="250"/>
      <c r="NN390" s="250"/>
      <c r="NO390" s="250"/>
      <c r="NP390" s="250"/>
      <c r="NQ390" s="250"/>
      <c r="NR390" s="250"/>
      <c r="NS390" s="250"/>
      <c r="NT390" s="250"/>
      <c r="NU390" s="250"/>
      <c r="NV390" s="250"/>
      <c r="NW390" s="251"/>
      <c r="OT390" s="8"/>
      <c r="QG390" s="8"/>
      <c r="RT390" s="8"/>
    </row>
    <row r="391" spans="1:488" s="282" customFormat="1" x14ac:dyDescent="0.25">
      <c r="A391" s="66"/>
      <c r="B391" s="8"/>
      <c r="C391" s="66"/>
      <c r="D391" s="66"/>
      <c r="E391" s="66"/>
      <c r="F391" s="66"/>
      <c r="G391" s="66"/>
      <c r="H391" s="66"/>
      <c r="I391" s="66"/>
      <c r="J391" s="66"/>
      <c r="K391" s="66"/>
      <c r="L391" s="66"/>
      <c r="M391" s="66"/>
      <c r="N391" s="66"/>
      <c r="O391" s="66"/>
      <c r="P391" s="66"/>
      <c r="Q391" s="66"/>
      <c r="R391" s="66"/>
      <c r="S391" s="66"/>
      <c r="T391" s="68"/>
      <c r="AC391" s="66"/>
      <c r="AD391" s="66"/>
      <c r="AE391" s="68"/>
      <c r="AN391" s="66"/>
      <c r="AO391" s="66"/>
      <c r="AP391" s="68"/>
      <c r="AW391" s="66"/>
      <c r="AX391" s="68"/>
      <c r="BD391" s="66"/>
      <c r="BE391" s="68"/>
      <c r="BF391" s="66"/>
      <c r="BG391" s="66"/>
      <c r="BH391" s="66"/>
      <c r="BI391" s="66"/>
      <c r="BJ391" s="66"/>
      <c r="BK391" s="66"/>
      <c r="BL391" s="68"/>
      <c r="BO391" s="66"/>
      <c r="BP391" s="68"/>
      <c r="BV391" s="66"/>
      <c r="BW391" s="68"/>
      <c r="CB391" s="8"/>
      <c r="CH391" s="8"/>
      <c r="CK391" s="299"/>
      <c r="CL391" s="299"/>
      <c r="CM391" s="66"/>
      <c r="CN391" s="66"/>
      <c r="CO391" s="68"/>
      <c r="CR391" s="8"/>
      <c r="CX391" s="66"/>
      <c r="CY391" s="532"/>
      <c r="DE391" s="66"/>
      <c r="DF391" s="66"/>
      <c r="DG391" s="68"/>
      <c r="DH391" s="68"/>
      <c r="DK391" s="66"/>
      <c r="DL391" s="66"/>
      <c r="DM391" s="66"/>
      <c r="DN391" s="66"/>
      <c r="DO391" s="66"/>
      <c r="DP391" s="66"/>
      <c r="DQ391" s="66"/>
      <c r="DR391" s="66"/>
      <c r="DS391" s="66"/>
      <c r="DT391" s="68"/>
      <c r="DU391" s="66"/>
      <c r="DV391" s="296"/>
      <c r="DW391" s="330"/>
      <c r="DX391" s="631"/>
      <c r="DY391" s="631"/>
      <c r="DZ391" s="631"/>
      <c r="EA391" s="330"/>
      <c r="EC391" s="66"/>
      <c r="ED391" s="68"/>
      <c r="EH391" s="66"/>
      <c r="EI391" s="66"/>
      <c r="EJ391" s="68"/>
      <c r="EK391" s="252"/>
      <c r="EL391" s="252"/>
      <c r="EM391" s="252"/>
      <c r="EO391" s="252"/>
      <c r="EP391" s="252"/>
      <c r="EQ391" s="252"/>
      <c r="ES391" s="252"/>
      <c r="ET391" s="252"/>
      <c r="EU391" s="252"/>
      <c r="EW391" s="252"/>
      <c r="EX391" s="252"/>
      <c r="EY391" s="252"/>
      <c r="FA391" s="250"/>
      <c r="FB391" s="250"/>
      <c r="FC391" s="250"/>
      <c r="FD391" s="250"/>
      <c r="FE391" s="250"/>
      <c r="FF391" s="250"/>
      <c r="FG391" s="250"/>
      <c r="FH391" s="424"/>
      <c r="FI391" s="250"/>
      <c r="FJ391" s="250"/>
      <c r="FK391" s="250"/>
      <c r="FL391" s="256"/>
      <c r="FM391" s="250"/>
      <c r="FN391" s="256"/>
      <c r="FO391" s="250"/>
      <c r="FP391" s="256"/>
      <c r="FQ391" s="250"/>
      <c r="FR391" s="256"/>
      <c r="FS391" s="250"/>
      <c r="FT391" s="256"/>
      <c r="FU391" s="256"/>
      <c r="FV391" s="256"/>
      <c r="FW391" s="250"/>
      <c r="FX391" s="424"/>
      <c r="FY391" s="251"/>
      <c r="GC391" s="252"/>
      <c r="GF391" s="252"/>
      <c r="GG391" s="252"/>
      <c r="GH391" s="252"/>
      <c r="GI391" s="252"/>
      <c r="GJ391" s="252"/>
      <c r="GK391" s="251"/>
      <c r="GL391" s="250"/>
      <c r="GM391" s="250"/>
      <c r="GN391" s="250"/>
      <c r="GO391" s="250"/>
      <c r="GP391" s="250"/>
      <c r="GQ391" s="250"/>
      <c r="GR391" s="250"/>
      <c r="GS391" s="250"/>
      <c r="GT391" s="250"/>
      <c r="GU391" s="251"/>
      <c r="GV391" s="250"/>
      <c r="GW391" s="250"/>
      <c r="GX391" s="250"/>
      <c r="GY391" s="250"/>
      <c r="GZ391" s="250"/>
      <c r="HA391" s="250"/>
      <c r="HB391" s="250"/>
      <c r="HC391" s="250"/>
      <c r="HD391" s="250"/>
      <c r="HE391" s="250"/>
      <c r="HF391" s="250"/>
      <c r="HG391" s="250"/>
      <c r="HH391" s="251"/>
      <c r="HI391" s="424"/>
      <c r="HJ391" s="255"/>
      <c r="HK391" s="255"/>
      <c r="HL391" s="250"/>
      <c r="HM391" s="255"/>
      <c r="HN391" s="255"/>
      <c r="HO391" s="255"/>
      <c r="HP391" s="250"/>
      <c r="HQ391" s="250"/>
      <c r="HR391" s="250"/>
      <c r="HS391" s="250"/>
      <c r="HT391" s="250"/>
      <c r="HU391" s="251"/>
      <c r="HX391" s="252"/>
      <c r="HY391" s="252"/>
      <c r="HZ391" s="252"/>
      <c r="ID391" s="252"/>
      <c r="IE391" s="252"/>
      <c r="IF391" s="252"/>
      <c r="IJ391" s="252"/>
      <c r="IK391" s="252"/>
      <c r="IL391" s="252"/>
      <c r="IP391" s="252"/>
      <c r="IQ391" s="252"/>
      <c r="IR391" s="252"/>
      <c r="IY391" s="66"/>
      <c r="IZ391" s="66"/>
      <c r="JA391" s="66"/>
      <c r="JB391" s="250"/>
      <c r="JC391" s="66"/>
      <c r="JD391" s="66"/>
      <c r="JE391" s="66"/>
      <c r="JF391" s="66"/>
      <c r="JG391" s="66"/>
      <c r="JH391" s="66"/>
      <c r="JI391" s="66"/>
      <c r="JJ391" s="66"/>
      <c r="JK391" s="8"/>
      <c r="JN391" s="252"/>
      <c r="JO391" s="252"/>
      <c r="JP391" s="252"/>
      <c r="JT391" s="252"/>
      <c r="JU391" s="252"/>
      <c r="JV391" s="252"/>
      <c r="JZ391" s="252"/>
      <c r="KA391" s="252"/>
      <c r="KB391" s="252"/>
      <c r="KF391" s="252"/>
      <c r="KG391" s="252"/>
      <c r="KH391" s="252"/>
      <c r="KO391" s="66"/>
      <c r="KP391" s="66"/>
      <c r="KQ391" s="66"/>
      <c r="KR391" s="66"/>
      <c r="KS391" s="66"/>
      <c r="KT391" s="66"/>
      <c r="KU391" s="66"/>
      <c r="KV391" s="66"/>
      <c r="KW391" s="66"/>
      <c r="KX391" s="66"/>
      <c r="KY391" s="66"/>
      <c r="KZ391" s="66"/>
      <c r="LA391" s="8"/>
      <c r="LD391" s="252"/>
      <c r="LE391" s="252"/>
      <c r="LF391" s="252"/>
      <c r="LJ391" s="252"/>
      <c r="LK391" s="252"/>
      <c r="LN391" s="252"/>
      <c r="LO391" s="252"/>
      <c r="LP391" s="252"/>
      <c r="LT391" s="271"/>
      <c r="LU391" s="250"/>
      <c r="LV391" s="250"/>
      <c r="LW391" s="250"/>
      <c r="LX391" s="250"/>
      <c r="LY391" s="250"/>
      <c r="LZ391" s="250"/>
      <c r="MA391" s="250"/>
      <c r="MB391" s="250"/>
      <c r="MC391" s="250"/>
      <c r="MD391" s="250"/>
      <c r="ME391" s="250"/>
      <c r="MF391" s="250"/>
      <c r="MG391" s="250"/>
      <c r="MH391" s="250"/>
      <c r="MI391" s="250"/>
      <c r="MJ391" s="250"/>
      <c r="MK391" s="424"/>
      <c r="ML391" s="640"/>
      <c r="MM391" s="251"/>
      <c r="MN391" s="252"/>
      <c r="MO391" s="252"/>
      <c r="MP391" s="252"/>
      <c r="MQ391" s="252"/>
      <c r="MR391" s="252"/>
      <c r="MS391" s="252"/>
      <c r="MT391" s="252"/>
      <c r="MU391" s="252"/>
      <c r="MV391" s="252"/>
      <c r="MW391" s="252"/>
      <c r="MX391" s="252"/>
      <c r="MY391" s="252"/>
      <c r="MZ391" s="252"/>
      <c r="NA391" s="252"/>
      <c r="NB391" s="252"/>
      <c r="NC391" s="251"/>
      <c r="ND391" s="250"/>
      <c r="NE391" s="250"/>
      <c r="NF391" s="250"/>
      <c r="NG391" s="250"/>
      <c r="NH391" s="250"/>
      <c r="NI391" s="250"/>
      <c r="NJ391" s="250"/>
      <c r="NK391" s="250"/>
      <c r="NL391" s="250"/>
      <c r="NM391" s="250"/>
      <c r="NN391" s="250"/>
      <c r="NO391" s="250"/>
      <c r="NP391" s="250"/>
      <c r="NQ391" s="250"/>
      <c r="NR391" s="250"/>
      <c r="NS391" s="250"/>
      <c r="NT391" s="250"/>
      <c r="NU391" s="250"/>
      <c r="NV391" s="250"/>
      <c r="NW391" s="251"/>
      <c r="OT391" s="8"/>
      <c r="QG391" s="8"/>
      <c r="RT391" s="8"/>
    </row>
    <row r="392" spans="1:488" s="282" customFormat="1" x14ac:dyDescent="0.25">
      <c r="A392" s="66"/>
      <c r="B392" s="8"/>
      <c r="C392" s="66"/>
      <c r="D392" s="66"/>
      <c r="E392" s="66"/>
      <c r="F392" s="66"/>
      <c r="G392" s="66"/>
      <c r="H392" s="66"/>
      <c r="I392" s="66"/>
      <c r="J392" s="66"/>
      <c r="K392" s="66"/>
      <c r="L392" s="66"/>
      <c r="M392" s="66"/>
      <c r="N392" s="66"/>
      <c r="O392" s="66"/>
      <c r="P392" s="66"/>
      <c r="Q392" s="66"/>
      <c r="R392" s="66"/>
      <c r="S392" s="66"/>
      <c r="T392" s="68"/>
      <c r="AC392" s="66"/>
      <c r="AD392" s="66"/>
      <c r="AE392" s="68"/>
      <c r="AN392" s="66"/>
      <c r="AO392" s="66"/>
      <c r="AP392" s="68"/>
      <c r="AW392" s="66"/>
      <c r="AX392" s="68"/>
      <c r="BD392" s="66"/>
      <c r="BE392" s="68"/>
      <c r="BF392" s="66"/>
      <c r="BG392" s="66"/>
      <c r="BH392" s="66"/>
      <c r="BI392" s="66"/>
      <c r="BJ392" s="66"/>
      <c r="BK392" s="66"/>
      <c r="BL392" s="68"/>
      <c r="BO392" s="66"/>
      <c r="BP392" s="68"/>
      <c r="BV392" s="66"/>
      <c r="BW392" s="68"/>
      <c r="CB392" s="8"/>
      <c r="CH392" s="8"/>
      <c r="CK392" s="299"/>
      <c r="CL392" s="299"/>
      <c r="CM392" s="66"/>
      <c r="CN392" s="66"/>
      <c r="CO392" s="68"/>
      <c r="CR392" s="8"/>
      <c r="CX392" s="66"/>
      <c r="CY392" s="532"/>
      <c r="DE392" s="66"/>
      <c r="DF392" s="66"/>
      <c r="DG392" s="68"/>
      <c r="DH392" s="68"/>
      <c r="DK392" s="66"/>
      <c r="DL392" s="66"/>
      <c r="DM392" s="66"/>
      <c r="DN392" s="66"/>
      <c r="DO392" s="66"/>
      <c r="DP392" s="66"/>
      <c r="DQ392" s="66"/>
      <c r="DR392" s="66"/>
      <c r="DS392" s="66"/>
      <c r="DT392" s="68"/>
      <c r="DU392" s="66"/>
      <c r="DV392" s="296"/>
      <c r="DW392" s="330"/>
      <c r="DX392" s="631"/>
      <c r="DY392" s="631"/>
      <c r="DZ392" s="631"/>
      <c r="EA392" s="330"/>
      <c r="EC392" s="66"/>
      <c r="ED392" s="68"/>
      <c r="EH392" s="66"/>
      <c r="EI392" s="66"/>
      <c r="EJ392" s="68"/>
      <c r="EK392" s="252"/>
      <c r="EL392" s="252"/>
      <c r="EM392" s="252"/>
      <c r="EO392" s="252"/>
      <c r="EP392" s="252"/>
      <c r="EQ392" s="252"/>
      <c r="ES392" s="252"/>
      <c r="ET392" s="252"/>
      <c r="EU392" s="252"/>
      <c r="EW392" s="252"/>
      <c r="EX392" s="252"/>
      <c r="EY392" s="252"/>
      <c r="FA392" s="250"/>
      <c r="FB392" s="250"/>
      <c r="FC392" s="250"/>
      <c r="FD392" s="250"/>
      <c r="FE392" s="250"/>
      <c r="FF392" s="250"/>
      <c r="FG392" s="250"/>
      <c r="FH392" s="424"/>
      <c r="FI392" s="250"/>
      <c r="FJ392" s="250"/>
      <c r="FK392" s="250"/>
      <c r="FL392" s="256"/>
      <c r="FM392" s="250"/>
      <c r="FN392" s="256"/>
      <c r="FO392" s="250"/>
      <c r="FP392" s="256"/>
      <c r="FQ392" s="250"/>
      <c r="FR392" s="256"/>
      <c r="FS392" s="250"/>
      <c r="FT392" s="256"/>
      <c r="FU392" s="256"/>
      <c r="FV392" s="256"/>
      <c r="FW392" s="250"/>
      <c r="FX392" s="424"/>
      <c r="FY392" s="251"/>
      <c r="GC392" s="252"/>
      <c r="GF392" s="252"/>
      <c r="GG392" s="252"/>
      <c r="GH392" s="252"/>
      <c r="GI392" s="252"/>
      <c r="GJ392" s="252"/>
      <c r="GK392" s="251"/>
      <c r="GL392" s="250"/>
      <c r="GM392" s="250"/>
      <c r="GN392" s="250"/>
      <c r="GO392" s="250"/>
      <c r="GP392" s="250"/>
      <c r="GQ392" s="250"/>
      <c r="GR392" s="250"/>
      <c r="GS392" s="250"/>
      <c r="GT392" s="250"/>
      <c r="GU392" s="251"/>
      <c r="GV392" s="250"/>
      <c r="GW392" s="250"/>
      <c r="GX392" s="250"/>
      <c r="GY392" s="250"/>
      <c r="GZ392" s="250"/>
      <c r="HA392" s="250"/>
      <c r="HB392" s="250"/>
      <c r="HC392" s="250"/>
      <c r="HD392" s="250"/>
      <c r="HE392" s="250"/>
      <c r="HF392" s="250"/>
      <c r="HG392" s="250"/>
      <c r="HH392" s="251"/>
      <c r="HI392" s="424"/>
      <c r="HJ392" s="255"/>
      <c r="HK392" s="255"/>
      <c r="HL392" s="250"/>
      <c r="HM392" s="255"/>
      <c r="HN392" s="255"/>
      <c r="HO392" s="255"/>
      <c r="HP392" s="250"/>
      <c r="HQ392" s="250"/>
      <c r="HR392" s="250"/>
      <c r="HS392" s="250"/>
      <c r="HT392" s="250"/>
      <c r="HU392" s="251"/>
      <c r="HX392" s="252"/>
      <c r="HY392" s="252"/>
      <c r="HZ392" s="252"/>
      <c r="ID392" s="252"/>
      <c r="IE392" s="252"/>
      <c r="IF392" s="252"/>
      <c r="IJ392" s="252"/>
      <c r="IK392" s="252"/>
      <c r="IL392" s="252"/>
      <c r="IP392" s="252"/>
      <c r="IQ392" s="252"/>
      <c r="IR392" s="252"/>
      <c r="IY392" s="66"/>
      <c r="IZ392" s="66"/>
      <c r="JA392" s="66"/>
      <c r="JB392" s="250"/>
      <c r="JC392" s="66"/>
      <c r="JD392" s="66"/>
      <c r="JE392" s="66"/>
      <c r="JF392" s="66"/>
      <c r="JG392" s="66"/>
      <c r="JH392" s="66"/>
      <c r="JI392" s="66"/>
      <c r="JJ392" s="66"/>
      <c r="JK392" s="8"/>
      <c r="JN392" s="252"/>
      <c r="JO392" s="252"/>
      <c r="JP392" s="252"/>
      <c r="JT392" s="252"/>
      <c r="JU392" s="252"/>
      <c r="JV392" s="252"/>
      <c r="JZ392" s="252"/>
      <c r="KA392" s="252"/>
      <c r="KB392" s="252"/>
      <c r="KF392" s="252"/>
      <c r="KG392" s="252"/>
      <c r="KH392" s="252"/>
      <c r="KO392" s="66"/>
      <c r="KP392" s="66"/>
      <c r="KQ392" s="66"/>
      <c r="KR392" s="66"/>
      <c r="KS392" s="66"/>
      <c r="KT392" s="66"/>
      <c r="KU392" s="66"/>
      <c r="KV392" s="66"/>
      <c r="KW392" s="66"/>
      <c r="KX392" s="66"/>
      <c r="KY392" s="66"/>
      <c r="KZ392" s="66"/>
      <c r="LA392" s="8"/>
      <c r="LD392" s="252"/>
      <c r="LE392" s="252"/>
      <c r="LF392" s="252"/>
      <c r="LJ392" s="252"/>
      <c r="LK392" s="252"/>
      <c r="LN392" s="252"/>
      <c r="LO392" s="252"/>
      <c r="LP392" s="252"/>
      <c r="LT392" s="271"/>
      <c r="LU392" s="250"/>
      <c r="LV392" s="250"/>
      <c r="LW392" s="250"/>
      <c r="LX392" s="250"/>
      <c r="LY392" s="250"/>
      <c r="LZ392" s="250"/>
      <c r="MA392" s="250"/>
      <c r="MB392" s="250"/>
      <c r="MC392" s="250"/>
      <c r="MD392" s="250"/>
      <c r="ME392" s="250"/>
      <c r="MF392" s="250"/>
      <c r="MG392" s="250"/>
      <c r="MH392" s="250"/>
      <c r="MI392" s="250"/>
      <c r="MJ392" s="250"/>
      <c r="MK392" s="424"/>
      <c r="ML392" s="640"/>
      <c r="MM392" s="251"/>
      <c r="MN392" s="252"/>
      <c r="MO392" s="252"/>
      <c r="MP392" s="252"/>
      <c r="MQ392" s="252"/>
      <c r="MR392" s="252"/>
      <c r="MS392" s="252"/>
      <c r="MT392" s="252"/>
      <c r="MU392" s="252"/>
      <c r="MV392" s="252"/>
      <c r="MW392" s="252"/>
      <c r="MX392" s="252"/>
      <c r="MY392" s="252"/>
      <c r="MZ392" s="252"/>
      <c r="NA392" s="252"/>
      <c r="NB392" s="252"/>
      <c r="NC392" s="251"/>
      <c r="ND392" s="250"/>
      <c r="NE392" s="250"/>
      <c r="NF392" s="250"/>
      <c r="NG392" s="250"/>
      <c r="NH392" s="250"/>
      <c r="NI392" s="250"/>
      <c r="NJ392" s="250"/>
      <c r="NK392" s="250"/>
      <c r="NL392" s="250"/>
      <c r="NM392" s="250"/>
      <c r="NN392" s="250"/>
      <c r="NO392" s="250"/>
      <c r="NP392" s="250"/>
      <c r="NQ392" s="250"/>
      <c r="NR392" s="250"/>
      <c r="NS392" s="250"/>
      <c r="NT392" s="250"/>
      <c r="NU392" s="250"/>
      <c r="NV392" s="250"/>
      <c r="NW392" s="251"/>
      <c r="OT392" s="8"/>
      <c r="QG392" s="8"/>
      <c r="RT392" s="8"/>
    </row>
    <row r="393" spans="1:488" s="282" customFormat="1" x14ac:dyDescent="0.25">
      <c r="A393" s="66"/>
      <c r="B393" s="8"/>
      <c r="C393" s="66"/>
      <c r="D393" s="66"/>
      <c r="E393" s="66"/>
      <c r="F393" s="66"/>
      <c r="G393" s="66"/>
      <c r="H393" s="66"/>
      <c r="I393" s="66"/>
      <c r="J393" s="66"/>
      <c r="K393" s="66"/>
      <c r="L393" s="66"/>
      <c r="M393" s="66"/>
      <c r="N393" s="66"/>
      <c r="O393" s="66"/>
      <c r="P393" s="66"/>
      <c r="Q393" s="66"/>
      <c r="R393" s="66"/>
      <c r="S393" s="66"/>
      <c r="T393" s="68"/>
      <c r="AC393" s="66"/>
      <c r="AD393" s="66"/>
      <c r="AE393" s="68"/>
      <c r="AN393" s="66"/>
      <c r="AO393" s="66"/>
      <c r="AP393" s="68"/>
      <c r="AW393" s="66"/>
      <c r="AX393" s="68"/>
      <c r="BD393" s="66"/>
      <c r="BE393" s="68"/>
      <c r="BF393" s="66"/>
      <c r="BG393" s="66"/>
      <c r="BH393" s="66"/>
      <c r="BI393" s="66"/>
      <c r="BJ393" s="66"/>
      <c r="BK393" s="66"/>
      <c r="BL393" s="68"/>
      <c r="BO393" s="66"/>
      <c r="BP393" s="68"/>
      <c r="BV393" s="66"/>
      <c r="BW393" s="68"/>
      <c r="CB393" s="8"/>
      <c r="CH393" s="8"/>
      <c r="CK393" s="299"/>
      <c r="CL393" s="299"/>
      <c r="CM393" s="66"/>
      <c r="CN393" s="66"/>
      <c r="CO393" s="68"/>
      <c r="CR393" s="8"/>
      <c r="CX393" s="66"/>
      <c r="CY393" s="532"/>
      <c r="DE393" s="66"/>
      <c r="DF393" s="66"/>
      <c r="DG393" s="68"/>
      <c r="DH393" s="68"/>
      <c r="DK393" s="66"/>
      <c r="DL393" s="66"/>
      <c r="DM393" s="66"/>
      <c r="DN393" s="66"/>
      <c r="DO393" s="66"/>
      <c r="DP393" s="66"/>
      <c r="DQ393" s="66"/>
      <c r="DR393" s="66"/>
      <c r="DS393" s="66"/>
      <c r="DT393" s="68"/>
      <c r="DU393" s="66"/>
      <c r="DV393" s="296"/>
      <c r="DW393" s="330"/>
      <c r="DX393" s="631"/>
      <c r="DY393" s="631"/>
      <c r="DZ393" s="631"/>
      <c r="EA393" s="330"/>
      <c r="EC393" s="66"/>
      <c r="ED393" s="68"/>
      <c r="EH393" s="66"/>
      <c r="EI393" s="66"/>
      <c r="EJ393" s="68"/>
      <c r="EK393" s="252"/>
      <c r="EL393" s="252"/>
      <c r="EM393" s="252"/>
      <c r="EO393" s="252"/>
      <c r="EP393" s="252"/>
      <c r="EQ393" s="252"/>
      <c r="ES393" s="252"/>
      <c r="ET393" s="252"/>
      <c r="EU393" s="252"/>
      <c r="EW393" s="252"/>
      <c r="EX393" s="252"/>
      <c r="EY393" s="252"/>
      <c r="FA393" s="250"/>
      <c r="FB393" s="250"/>
      <c r="FC393" s="250"/>
      <c r="FD393" s="250"/>
      <c r="FE393" s="250"/>
      <c r="FF393" s="250"/>
      <c r="FG393" s="250"/>
      <c r="FH393" s="424"/>
      <c r="FI393" s="250"/>
      <c r="FJ393" s="250"/>
      <c r="FK393" s="250"/>
      <c r="FL393" s="256"/>
      <c r="FM393" s="250"/>
      <c r="FN393" s="256"/>
      <c r="FO393" s="250"/>
      <c r="FP393" s="256"/>
      <c r="FQ393" s="250"/>
      <c r="FR393" s="256"/>
      <c r="FS393" s="250"/>
      <c r="FT393" s="256"/>
      <c r="FU393" s="256"/>
      <c r="FV393" s="256"/>
      <c r="FW393" s="250"/>
      <c r="FX393" s="424"/>
      <c r="FY393" s="251"/>
      <c r="GC393" s="252"/>
      <c r="GF393" s="252"/>
      <c r="GG393" s="252"/>
      <c r="GH393" s="252"/>
      <c r="GI393" s="252"/>
      <c r="GJ393" s="252"/>
      <c r="GK393" s="251"/>
      <c r="GL393" s="250"/>
      <c r="GM393" s="250"/>
      <c r="GN393" s="250"/>
      <c r="GO393" s="250"/>
      <c r="GP393" s="250"/>
      <c r="GQ393" s="250"/>
      <c r="GR393" s="250"/>
      <c r="GS393" s="250"/>
      <c r="GT393" s="250"/>
      <c r="GU393" s="251"/>
      <c r="GV393" s="250"/>
      <c r="GW393" s="250"/>
      <c r="GX393" s="250"/>
      <c r="GY393" s="250"/>
      <c r="GZ393" s="250"/>
      <c r="HA393" s="250"/>
      <c r="HB393" s="250"/>
      <c r="HC393" s="250"/>
      <c r="HD393" s="250"/>
      <c r="HE393" s="250"/>
      <c r="HF393" s="250"/>
      <c r="HG393" s="250"/>
      <c r="HH393" s="251"/>
      <c r="HI393" s="424"/>
      <c r="HJ393" s="255"/>
      <c r="HK393" s="255"/>
      <c r="HL393" s="250"/>
      <c r="HM393" s="255"/>
      <c r="HN393" s="255"/>
      <c r="HO393" s="255"/>
      <c r="HP393" s="250"/>
      <c r="HQ393" s="250"/>
      <c r="HR393" s="250"/>
      <c r="HS393" s="250"/>
      <c r="HT393" s="250"/>
      <c r="HU393" s="251"/>
      <c r="HX393" s="252"/>
      <c r="HY393" s="252"/>
      <c r="HZ393" s="252"/>
      <c r="ID393" s="252"/>
      <c r="IE393" s="252"/>
      <c r="IF393" s="252"/>
      <c r="IJ393" s="252"/>
      <c r="IK393" s="252"/>
      <c r="IL393" s="252"/>
      <c r="IP393" s="252"/>
      <c r="IQ393" s="252"/>
      <c r="IR393" s="252"/>
      <c r="IY393" s="66"/>
      <c r="IZ393" s="66"/>
      <c r="JA393" s="66"/>
      <c r="JB393" s="250"/>
      <c r="JC393" s="66"/>
      <c r="JD393" s="66"/>
      <c r="JE393" s="66"/>
      <c r="JF393" s="66"/>
      <c r="JG393" s="66"/>
      <c r="JH393" s="66"/>
      <c r="JI393" s="66"/>
      <c r="JJ393" s="66"/>
      <c r="JK393" s="8"/>
      <c r="JN393" s="252"/>
      <c r="JO393" s="252"/>
      <c r="JP393" s="252"/>
      <c r="JT393" s="252"/>
      <c r="JU393" s="252"/>
      <c r="JV393" s="252"/>
      <c r="JZ393" s="252"/>
      <c r="KA393" s="252"/>
      <c r="KB393" s="252"/>
      <c r="KF393" s="252"/>
      <c r="KG393" s="252"/>
      <c r="KH393" s="252"/>
      <c r="KO393" s="66"/>
      <c r="KP393" s="66"/>
      <c r="KQ393" s="66"/>
      <c r="KR393" s="66"/>
      <c r="KS393" s="66"/>
      <c r="KT393" s="66"/>
      <c r="KU393" s="66"/>
      <c r="KV393" s="66"/>
      <c r="KW393" s="66"/>
      <c r="KX393" s="66"/>
      <c r="KY393" s="66"/>
      <c r="KZ393" s="66"/>
      <c r="LA393" s="8"/>
      <c r="LD393" s="252"/>
      <c r="LE393" s="252"/>
      <c r="LF393" s="252"/>
      <c r="LJ393" s="252"/>
      <c r="LK393" s="252"/>
      <c r="LN393" s="252"/>
      <c r="LO393" s="252"/>
      <c r="LP393" s="252"/>
      <c r="LT393" s="271"/>
      <c r="LU393" s="250"/>
      <c r="LV393" s="250"/>
      <c r="LW393" s="250"/>
      <c r="LX393" s="250"/>
      <c r="LY393" s="250"/>
      <c r="LZ393" s="250"/>
      <c r="MA393" s="250"/>
      <c r="MB393" s="250"/>
      <c r="MC393" s="250"/>
      <c r="MD393" s="250"/>
      <c r="ME393" s="250"/>
      <c r="MF393" s="250"/>
      <c r="MG393" s="250"/>
      <c r="MH393" s="250"/>
      <c r="MI393" s="250"/>
      <c r="MJ393" s="250"/>
      <c r="MK393" s="424"/>
      <c r="ML393" s="640"/>
      <c r="MM393" s="251"/>
      <c r="MN393" s="252"/>
      <c r="MO393" s="252"/>
      <c r="MP393" s="252"/>
      <c r="MQ393" s="252"/>
      <c r="MR393" s="252"/>
      <c r="MS393" s="252"/>
      <c r="MT393" s="252"/>
      <c r="MU393" s="252"/>
      <c r="MV393" s="252"/>
      <c r="MW393" s="252"/>
      <c r="MX393" s="252"/>
      <c r="MY393" s="252"/>
      <c r="MZ393" s="252"/>
      <c r="NA393" s="252"/>
      <c r="NB393" s="252"/>
      <c r="NC393" s="251"/>
      <c r="ND393" s="250"/>
      <c r="NE393" s="250"/>
      <c r="NF393" s="250"/>
      <c r="NG393" s="250"/>
      <c r="NH393" s="250"/>
      <c r="NI393" s="250"/>
      <c r="NJ393" s="250"/>
      <c r="NK393" s="250"/>
      <c r="NL393" s="250"/>
      <c r="NM393" s="250"/>
      <c r="NN393" s="250"/>
      <c r="NO393" s="250"/>
      <c r="NP393" s="250"/>
      <c r="NQ393" s="250"/>
      <c r="NR393" s="250"/>
      <c r="NS393" s="250"/>
      <c r="NT393" s="250"/>
      <c r="NU393" s="250"/>
      <c r="NV393" s="250"/>
      <c r="NW393" s="251"/>
      <c r="OT393" s="8"/>
      <c r="QG393" s="8"/>
      <c r="RT393" s="8"/>
    </row>
    <row r="394" spans="1:488" s="282" customFormat="1" x14ac:dyDescent="0.25">
      <c r="A394" s="66"/>
      <c r="B394" s="8"/>
      <c r="C394" s="66"/>
      <c r="D394" s="66"/>
      <c r="E394" s="66"/>
      <c r="F394" s="66"/>
      <c r="G394" s="66"/>
      <c r="H394" s="66"/>
      <c r="I394" s="66"/>
      <c r="J394" s="66"/>
      <c r="K394" s="66"/>
      <c r="L394" s="66"/>
      <c r="M394" s="66"/>
      <c r="N394" s="66"/>
      <c r="O394" s="66"/>
      <c r="P394" s="66"/>
      <c r="Q394" s="66"/>
      <c r="R394" s="66"/>
      <c r="S394" s="66"/>
      <c r="T394" s="68"/>
      <c r="AC394" s="66"/>
      <c r="AD394" s="66"/>
      <c r="AE394" s="68"/>
      <c r="AN394" s="66"/>
      <c r="AO394" s="66"/>
      <c r="AP394" s="68"/>
      <c r="AW394" s="66"/>
      <c r="AX394" s="68"/>
      <c r="BD394" s="66"/>
      <c r="BE394" s="68"/>
      <c r="BF394" s="66"/>
      <c r="BG394" s="66"/>
      <c r="BH394" s="66"/>
      <c r="BI394" s="66"/>
      <c r="BJ394" s="66"/>
      <c r="BK394" s="66"/>
      <c r="BL394" s="68"/>
      <c r="BO394" s="66"/>
      <c r="BP394" s="68"/>
      <c r="BV394" s="66"/>
      <c r="BW394" s="68"/>
      <c r="CB394" s="8"/>
      <c r="CH394" s="8"/>
      <c r="CK394" s="299"/>
      <c r="CL394" s="299"/>
      <c r="CM394" s="66"/>
      <c r="CN394" s="66"/>
      <c r="CO394" s="68"/>
      <c r="CR394" s="8"/>
      <c r="CX394" s="66"/>
      <c r="CY394" s="532"/>
      <c r="DE394" s="66"/>
      <c r="DF394" s="66"/>
      <c r="DG394" s="68"/>
      <c r="DH394" s="68"/>
      <c r="DK394" s="66"/>
      <c r="DL394" s="66"/>
      <c r="DM394" s="66"/>
      <c r="DN394" s="66"/>
      <c r="DO394" s="66"/>
      <c r="DP394" s="66"/>
      <c r="DQ394" s="66"/>
      <c r="DR394" s="66"/>
      <c r="DS394" s="66"/>
      <c r="DT394" s="68"/>
      <c r="DU394" s="66"/>
      <c r="DV394" s="296"/>
      <c r="DW394" s="330"/>
      <c r="DX394" s="631"/>
      <c r="DY394" s="631"/>
      <c r="DZ394" s="631"/>
      <c r="EA394" s="330"/>
      <c r="EC394" s="66"/>
      <c r="ED394" s="68"/>
      <c r="EH394" s="66"/>
      <c r="EI394" s="66"/>
      <c r="EJ394" s="68"/>
      <c r="EK394" s="252"/>
      <c r="EL394" s="252"/>
      <c r="EM394" s="252"/>
      <c r="EO394" s="252"/>
      <c r="EP394" s="252"/>
      <c r="EQ394" s="252"/>
      <c r="ES394" s="252"/>
      <c r="ET394" s="252"/>
      <c r="EU394" s="252"/>
      <c r="EW394" s="252"/>
      <c r="EX394" s="252"/>
      <c r="EY394" s="252"/>
      <c r="FA394" s="250"/>
      <c r="FB394" s="250"/>
      <c r="FC394" s="250"/>
      <c r="FD394" s="250"/>
      <c r="FE394" s="250"/>
      <c r="FF394" s="250"/>
      <c r="FG394" s="250"/>
      <c r="FH394" s="424"/>
      <c r="FI394" s="250"/>
      <c r="FJ394" s="250"/>
      <c r="FK394" s="250"/>
      <c r="FL394" s="256"/>
      <c r="FM394" s="250"/>
      <c r="FN394" s="256"/>
      <c r="FO394" s="250"/>
      <c r="FP394" s="256"/>
      <c r="FQ394" s="250"/>
      <c r="FR394" s="256"/>
      <c r="FS394" s="250"/>
      <c r="FT394" s="256"/>
      <c r="FU394" s="256"/>
      <c r="FV394" s="256"/>
      <c r="FW394" s="250"/>
      <c r="FX394" s="424"/>
      <c r="FY394" s="251"/>
      <c r="GC394" s="252"/>
      <c r="GF394" s="252"/>
      <c r="GG394" s="252"/>
      <c r="GH394" s="252"/>
      <c r="GI394" s="252"/>
      <c r="GJ394" s="252"/>
      <c r="GK394" s="251"/>
      <c r="GL394" s="250"/>
      <c r="GM394" s="250"/>
      <c r="GN394" s="250"/>
      <c r="GO394" s="250"/>
      <c r="GP394" s="250"/>
      <c r="GQ394" s="250"/>
      <c r="GR394" s="250"/>
      <c r="GS394" s="250"/>
      <c r="GT394" s="250"/>
      <c r="GU394" s="251"/>
      <c r="GV394" s="250"/>
      <c r="GW394" s="250"/>
      <c r="GX394" s="250"/>
      <c r="GY394" s="250"/>
      <c r="GZ394" s="250"/>
      <c r="HA394" s="250"/>
      <c r="HB394" s="250"/>
      <c r="HC394" s="250"/>
      <c r="HD394" s="250"/>
      <c r="HE394" s="250"/>
      <c r="HF394" s="250"/>
      <c r="HG394" s="250"/>
      <c r="HH394" s="251"/>
      <c r="HI394" s="424"/>
      <c r="HJ394" s="255"/>
      <c r="HK394" s="255"/>
      <c r="HL394" s="250"/>
      <c r="HM394" s="255"/>
      <c r="HN394" s="255"/>
      <c r="HO394" s="255"/>
      <c r="HP394" s="250"/>
      <c r="HQ394" s="250"/>
      <c r="HR394" s="250"/>
      <c r="HS394" s="250"/>
      <c r="HT394" s="250"/>
      <c r="HU394" s="251"/>
      <c r="HX394" s="252"/>
      <c r="HY394" s="252"/>
      <c r="HZ394" s="252"/>
      <c r="ID394" s="252"/>
      <c r="IE394" s="252"/>
      <c r="IF394" s="252"/>
      <c r="IJ394" s="252"/>
      <c r="IK394" s="252"/>
      <c r="IL394" s="252"/>
      <c r="IP394" s="252"/>
      <c r="IQ394" s="252"/>
      <c r="IR394" s="252"/>
      <c r="IY394" s="66"/>
      <c r="IZ394" s="66"/>
      <c r="JA394" s="66"/>
      <c r="JB394" s="250"/>
      <c r="JC394" s="66"/>
      <c r="JD394" s="66"/>
      <c r="JE394" s="66"/>
      <c r="JF394" s="66"/>
      <c r="JG394" s="66"/>
      <c r="JH394" s="66"/>
      <c r="JI394" s="66"/>
      <c r="JJ394" s="66"/>
      <c r="JK394" s="8"/>
      <c r="JN394" s="252"/>
      <c r="JO394" s="252"/>
      <c r="JP394" s="252"/>
      <c r="JT394" s="252"/>
      <c r="JU394" s="252"/>
      <c r="JV394" s="252"/>
      <c r="JZ394" s="252"/>
      <c r="KA394" s="252"/>
      <c r="KB394" s="252"/>
      <c r="KF394" s="252"/>
      <c r="KG394" s="252"/>
      <c r="KH394" s="252"/>
      <c r="KO394" s="66"/>
      <c r="KP394" s="66"/>
      <c r="KQ394" s="66"/>
      <c r="KR394" s="66"/>
      <c r="KS394" s="66"/>
      <c r="KT394" s="66"/>
      <c r="KU394" s="66"/>
      <c r="KV394" s="66"/>
      <c r="KW394" s="66"/>
      <c r="KX394" s="66"/>
      <c r="KY394" s="66"/>
      <c r="KZ394" s="66"/>
      <c r="LA394" s="8"/>
      <c r="LD394" s="252"/>
      <c r="LE394" s="252"/>
      <c r="LF394" s="252"/>
      <c r="LJ394" s="252"/>
      <c r="LK394" s="252"/>
      <c r="LN394" s="252"/>
      <c r="LO394" s="252"/>
      <c r="LP394" s="252"/>
      <c r="LT394" s="271"/>
      <c r="LU394" s="250"/>
      <c r="LV394" s="250"/>
      <c r="LW394" s="250"/>
      <c r="LX394" s="250"/>
      <c r="LY394" s="250"/>
      <c r="LZ394" s="250"/>
      <c r="MA394" s="250"/>
      <c r="MB394" s="250"/>
      <c r="MC394" s="250"/>
      <c r="MD394" s="250"/>
      <c r="ME394" s="250"/>
      <c r="MF394" s="250"/>
      <c r="MG394" s="250"/>
      <c r="MH394" s="250"/>
      <c r="MI394" s="250"/>
      <c r="MJ394" s="250"/>
      <c r="MK394" s="424"/>
      <c r="ML394" s="640"/>
      <c r="MM394" s="251"/>
      <c r="MN394" s="252"/>
      <c r="MO394" s="252"/>
      <c r="MP394" s="252"/>
      <c r="MQ394" s="252"/>
      <c r="MR394" s="252"/>
      <c r="MS394" s="252"/>
      <c r="MT394" s="252"/>
      <c r="MU394" s="252"/>
      <c r="MV394" s="252"/>
      <c r="MW394" s="252"/>
      <c r="MX394" s="252"/>
      <c r="MY394" s="252"/>
      <c r="MZ394" s="252"/>
      <c r="NA394" s="252"/>
      <c r="NB394" s="252"/>
      <c r="NC394" s="251"/>
      <c r="ND394" s="250"/>
      <c r="NE394" s="250"/>
      <c r="NF394" s="250"/>
      <c r="NG394" s="250"/>
      <c r="NH394" s="250"/>
      <c r="NI394" s="250"/>
      <c r="NJ394" s="250"/>
      <c r="NK394" s="250"/>
      <c r="NL394" s="250"/>
      <c r="NM394" s="250"/>
      <c r="NN394" s="250"/>
      <c r="NO394" s="250"/>
      <c r="NP394" s="250"/>
      <c r="NQ394" s="250"/>
      <c r="NR394" s="250"/>
      <c r="NS394" s="250"/>
      <c r="NT394" s="250"/>
      <c r="NU394" s="250"/>
      <c r="NV394" s="250"/>
      <c r="NW394" s="251"/>
      <c r="OT394" s="8"/>
      <c r="QG394" s="8"/>
      <c r="RT394" s="8"/>
    </row>
    <row r="395" spans="1:488" s="282" customFormat="1" x14ac:dyDescent="0.25">
      <c r="A395" s="66"/>
      <c r="B395" s="8"/>
      <c r="C395" s="66"/>
      <c r="D395" s="66"/>
      <c r="E395" s="66"/>
      <c r="F395" s="66"/>
      <c r="G395" s="66"/>
      <c r="H395" s="66"/>
      <c r="I395" s="66"/>
      <c r="J395" s="66"/>
      <c r="K395" s="66"/>
      <c r="L395" s="66"/>
      <c r="M395" s="66"/>
      <c r="N395" s="66"/>
      <c r="O395" s="66"/>
      <c r="P395" s="66"/>
      <c r="Q395" s="66"/>
      <c r="R395" s="66"/>
      <c r="S395" s="66"/>
      <c r="T395" s="68"/>
      <c r="AC395" s="66"/>
      <c r="AD395" s="66"/>
      <c r="AE395" s="68"/>
      <c r="AN395" s="66"/>
      <c r="AO395" s="66"/>
      <c r="AP395" s="68"/>
      <c r="AW395" s="66"/>
      <c r="AX395" s="68"/>
      <c r="BD395" s="66"/>
      <c r="BE395" s="68"/>
      <c r="BF395" s="66"/>
      <c r="BG395" s="66"/>
      <c r="BH395" s="66"/>
      <c r="BI395" s="66"/>
      <c r="BJ395" s="66"/>
      <c r="BK395" s="66"/>
      <c r="BL395" s="68"/>
      <c r="BO395" s="66"/>
      <c r="BP395" s="68"/>
      <c r="BV395" s="66"/>
      <c r="BW395" s="68"/>
      <c r="CB395" s="8"/>
      <c r="CH395" s="8"/>
      <c r="CK395" s="299"/>
      <c r="CL395" s="299"/>
      <c r="CM395" s="66"/>
      <c r="CN395" s="66"/>
      <c r="CO395" s="68"/>
      <c r="CR395" s="8"/>
      <c r="CX395" s="66"/>
      <c r="CY395" s="532"/>
      <c r="DE395" s="66"/>
      <c r="DF395" s="66"/>
      <c r="DG395" s="68"/>
      <c r="DH395" s="68"/>
      <c r="DK395" s="66"/>
      <c r="DL395" s="66"/>
      <c r="DM395" s="66"/>
      <c r="DN395" s="66"/>
      <c r="DO395" s="66"/>
      <c r="DP395" s="66"/>
      <c r="DQ395" s="66"/>
      <c r="DR395" s="66"/>
      <c r="DS395" s="66"/>
      <c r="DT395" s="68"/>
      <c r="DU395" s="66"/>
      <c r="DV395" s="296"/>
      <c r="DW395" s="330"/>
      <c r="DX395" s="631"/>
      <c r="DY395" s="631"/>
      <c r="DZ395" s="631"/>
      <c r="EA395" s="330"/>
      <c r="EC395" s="66"/>
      <c r="ED395" s="68"/>
      <c r="EH395" s="66"/>
      <c r="EI395" s="66"/>
      <c r="EJ395" s="68"/>
      <c r="EK395" s="252"/>
      <c r="EL395" s="252"/>
      <c r="EM395" s="252"/>
      <c r="EO395" s="252"/>
      <c r="EP395" s="252"/>
      <c r="EQ395" s="252"/>
      <c r="ES395" s="252"/>
      <c r="ET395" s="252"/>
      <c r="EU395" s="252"/>
      <c r="EW395" s="252"/>
      <c r="EX395" s="252"/>
      <c r="EY395" s="252"/>
      <c r="FA395" s="250"/>
      <c r="FB395" s="250"/>
      <c r="FC395" s="250"/>
      <c r="FD395" s="250"/>
      <c r="FE395" s="250"/>
      <c r="FF395" s="250"/>
      <c r="FG395" s="250"/>
      <c r="FH395" s="424"/>
      <c r="FI395" s="250"/>
      <c r="FJ395" s="250"/>
      <c r="FK395" s="250"/>
      <c r="FL395" s="256"/>
      <c r="FM395" s="250"/>
      <c r="FN395" s="256"/>
      <c r="FO395" s="250"/>
      <c r="FP395" s="256"/>
      <c r="FQ395" s="250"/>
      <c r="FR395" s="256"/>
      <c r="FS395" s="250"/>
      <c r="FT395" s="256"/>
      <c r="FU395" s="256"/>
      <c r="FV395" s="256"/>
      <c r="FW395" s="250"/>
      <c r="FX395" s="424"/>
      <c r="FY395" s="251"/>
      <c r="GC395" s="252"/>
      <c r="GF395" s="252"/>
      <c r="GG395" s="252"/>
      <c r="GH395" s="252"/>
      <c r="GI395" s="252"/>
      <c r="GJ395" s="252"/>
      <c r="GK395" s="251"/>
      <c r="GL395" s="250"/>
      <c r="GM395" s="250"/>
      <c r="GN395" s="250"/>
      <c r="GO395" s="250"/>
      <c r="GP395" s="250"/>
      <c r="GQ395" s="250"/>
      <c r="GR395" s="250"/>
      <c r="GS395" s="250"/>
      <c r="GT395" s="250"/>
      <c r="GU395" s="251"/>
      <c r="GV395" s="250"/>
      <c r="GW395" s="250"/>
      <c r="GX395" s="250"/>
      <c r="GY395" s="250"/>
      <c r="GZ395" s="250"/>
      <c r="HA395" s="250"/>
      <c r="HB395" s="250"/>
      <c r="HC395" s="250"/>
      <c r="HD395" s="250"/>
      <c r="HE395" s="250"/>
      <c r="HF395" s="250"/>
      <c r="HG395" s="250"/>
      <c r="HH395" s="251"/>
      <c r="HI395" s="424"/>
      <c r="HJ395" s="255"/>
      <c r="HK395" s="255"/>
      <c r="HL395" s="250"/>
      <c r="HM395" s="255"/>
      <c r="HN395" s="255"/>
      <c r="HO395" s="255"/>
      <c r="HP395" s="250"/>
      <c r="HQ395" s="250"/>
      <c r="HR395" s="250"/>
      <c r="HS395" s="250"/>
      <c r="HT395" s="250"/>
      <c r="HU395" s="251"/>
      <c r="HX395" s="252"/>
      <c r="HY395" s="252"/>
      <c r="HZ395" s="252"/>
      <c r="ID395" s="252"/>
      <c r="IE395" s="252"/>
      <c r="IF395" s="252"/>
      <c r="IJ395" s="252"/>
      <c r="IK395" s="252"/>
      <c r="IL395" s="252"/>
      <c r="IP395" s="252"/>
      <c r="IQ395" s="252"/>
      <c r="IR395" s="252"/>
      <c r="IY395" s="66"/>
      <c r="IZ395" s="66"/>
      <c r="JA395" s="66"/>
      <c r="JB395" s="250"/>
      <c r="JC395" s="66"/>
      <c r="JD395" s="66"/>
      <c r="JE395" s="66"/>
      <c r="JF395" s="66"/>
      <c r="JG395" s="66"/>
      <c r="JH395" s="66"/>
      <c r="JI395" s="66"/>
      <c r="JJ395" s="66"/>
      <c r="JK395" s="8"/>
      <c r="JN395" s="252"/>
      <c r="JO395" s="252"/>
      <c r="JP395" s="252"/>
      <c r="JT395" s="252"/>
      <c r="JU395" s="252"/>
      <c r="JV395" s="252"/>
      <c r="JZ395" s="252"/>
      <c r="KA395" s="252"/>
      <c r="KB395" s="252"/>
      <c r="KF395" s="252"/>
      <c r="KG395" s="252"/>
      <c r="KH395" s="252"/>
      <c r="KO395" s="66"/>
      <c r="KP395" s="66"/>
      <c r="KQ395" s="66"/>
      <c r="KR395" s="66"/>
      <c r="KS395" s="66"/>
      <c r="KT395" s="66"/>
      <c r="KU395" s="66"/>
      <c r="KV395" s="66"/>
      <c r="KW395" s="66"/>
      <c r="KX395" s="66"/>
      <c r="KY395" s="66"/>
      <c r="KZ395" s="66"/>
      <c r="LA395" s="8"/>
      <c r="LD395" s="252"/>
      <c r="LE395" s="252"/>
      <c r="LF395" s="252"/>
      <c r="LJ395" s="252"/>
      <c r="LK395" s="252"/>
      <c r="LN395" s="252"/>
      <c r="LO395" s="252"/>
      <c r="LP395" s="252"/>
      <c r="LT395" s="271"/>
      <c r="LU395" s="250"/>
      <c r="LV395" s="250"/>
      <c r="LW395" s="250"/>
      <c r="LX395" s="250"/>
      <c r="LY395" s="250"/>
      <c r="LZ395" s="250"/>
      <c r="MA395" s="250"/>
      <c r="MB395" s="250"/>
      <c r="MC395" s="250"/>
      <c r="MD395" s="250"/>
      <c r="ME395" s="250"/>
      <c r="MF395" s="250"/>
      <c r="MG395" s="250"/>
      <c r="MH395" s="250"/>
      <c r="MI395" s="250"/>
      <c r="MJ395" s="250"/>
      <c r="MK395" s="424"/>
      <c r="ML395" s="640"/>
      <c r="MM395" s="251"/>
      <c r="MN395" s="252"/>
      <c r="MO395" s="252"/>
      <c r="MP395" s="252"/>
      <c r="MQ395" s="252"/>
      <c r="MR395" s="252"/>
      <c r="MS395" s="252"/>
      <c r="MT395" s="252"/>
      <c r="MU395" s="252"/>
      <c r="MV395" s="252"/>
      <c r="MW395" s="252"/>
      <c r="MX395" s="252"/>
      <c r="MY395" s="252"/>
      <c r="MZ395" s="252"/>
      <c r="NA395" s="252"/>
      <c r="NB395" s="252"/>
      <c r="NC395" s="251"/>
      <c r="ND395" s="250"/>
      <c r="NE395" s="250"/>
      <c r="NF395" s="250"/>
      <c r="NG395" s="250"/>
      <c r="NH395" s="250"/>
      <c r="NI395" s="250"/>
      <c r="NJ395" s="250"/>
      <c r="NK395" s="250"/>
      <c r="NL395" s="250"/>
      <c r="NM395" s="250"/>
      <c r="NN395" s="250"/>
      <c r="NO395" s="250"/>
      <c r="NP395" s="250"/>
      <c r="NQ395" s="250"/>
      <c r="NR395" s="250"/>
      <c r="NS395" s="250"/>
      <c r="NT395" s="250"/>
      <c r="NU395" s="250"/>
      <c r="NV395" s="250"/>
      <c r="NW395" s="251"/>
      <c r="OT395" s="8"/>
      <c r="QG395" s="8"/>
      <c r="RT395" s="8"/>
    </row>
    <row r="396" spans="1:488" s="282" customFormat="1" x14ac:dyDescent="0.25">
      <c r="A396" s="66"/>
      <c r="B396" s="8"/>
      <c r="C396" s="66"/>
      <c r="D396" s="66"/>
      <c r="E396" s="66"/>
      <c r="F396" s="66"/>
      <c r="G396" s="66"/>
      <c r="H396" s="66"/>
      <c r="I396" s="66"/>
      <c r="J396" s="66"/>
      <c r="K396" s="66"/>
      <c r="L396" s="66"/>
      <c r="M396" s="66"/>
      <c r="N396" s="66"/>
      <c r="O396" s="66"/>
      <c r="P396" s="66"/>
      <c r="Q396" s="66"/>
      <c r="R396" s="66"/>
      <c r="S396" s="66"/>
      <c r="T396" s="68"/>
      <c r="AC396" s="66"/>
      <c r="AD396" s="66"/>
      <c r="AE396" s="68"/>
      <c r="AN396" s="66"/>
      <c r="AO396" s="66"/>
      <c r="AP396" s="68"/>
      <c r="AW396" s="66"/>
      <c r="AX396" s="68"/>
      <c r="BD396" s="66"/>
      <c r="BE396" s="68"/>
      <c r="BF396" s="66"/>
      <c r="BG396" s="66"/>
      <c r="BH396" s="66"/>
      <c r="BI396" s="66"/>
      <c r="BJ396" s="66"/>
      <c r="BK396" s="66"/>
      <c r="BL396" s="68"/>
      <c r="BO396" s="66"/>
      <c r="BP396" s="68"/>
      <c r="BV396" s="66"/>
      <c r="BW396" s="68"/>
      <c r="CB396" s="8"/>
      <c r="CH396" s="8"/>
      <c r="CK396" s="299"/>
      <c r="CL396" s="299"/>
      <c r="CM396" s="66"/>
      <c r="CN396" s="66"/>
      <c r="CO396" s="68"/>
      <c r="CR396" s="8"/>
      <c r="CX396" s="66"/>
      <c r="CY396" s="532"/>
      <c r="DE396" s="66"/>
      <c r="DF396" s="66"/>
      <c r="DG396" s="68"/>
      <c r="DH396" s="68"/>
      <c r="DK396" s="66"/>
      <c r="DL396" s="66"/>
      <c r="DM396" s="66"/>
      <c r="DN396" s="66"/>
      <c r="DO396" s="66"/>
      <c r="DP396" s="66"/>
      <c r="DQ396" s="66"/>
      <c r="DR396" s="66"/>
      <c r="DS396" s="66"/>
      <c r="DT396" s="68"/>
      <c r="DU396" s="66"/>
      <c r="DV396" s="296"/>
      <c r="DW396" s="330"/>
      <c r="DX396" s="631"/>
      <c r="DY396" s="631"/>
      <c r="DZ396" s="631"/>
      <c r="EA396" s="330"/>
      <c r="EC396" s="66"/>
      <c r="ED396" s="68"/>
      <c r="EH396" s="66"/>
      <c r="EI396" s="66"/>
      <c r="EJ396" s="68"/>
      <c r="EK396" s="252"/>
      <c r="EL396" s="252"/>
      <c r="EM396" s="252"/>
      <c r="EO396" s="252"/>
      <c r="EP396" s="252"/>
      <c r="EQ396" s="252"/>
      <c r="ES396" s="252"/>
      <c r="ET396" s="252"/>
      <c r="EU396" s="252"/>
      <c r="EW396" s="252"/>
      <c r="EX396" s="252"/>
      <c r="EY396" s="252"/>
      <c r="FA396" s="250"/>
      <c r="FB396" s="250"/>
      <c r="FC396" s="250"/>
      <c r="FD396" s="250"/>
      <c r="FE396" s="250"/>
      <c r="FF396" s="250"/>
      <c r="FG396" s="250"/>
      <c r="FH396" s="424"/>
      <c r="FI396" s="250"/>
      <c r="FJ396" s="250"/>
      <c r="FK396" s="250"/>
      <c r="FL396" s="256"/>
      <c r="FM396" s="250"/>
      <c r="FN396" s="256"/>
      <c r="FO396" s="250"/>
      <c r="FP396" s="256"/>
      <c r="FQ396" s="250"/>
      <c r="FR396" s="256"/>
      <c r="FS396" s="250"/>
      <c r="FT396" s="256"/>
      <c r="FU396" s="256"/>
      <c r="FV396" s="256"/>
      <c r="FW396" s="250"/>
      <c r="FX396" s="424"/>
      <c r="FY396" s="251"/>
      <c r="GC396" s="252"/>
      <c r="GF396" s="252"/>
      <c r="GG396" s="252"/>
      <c r="GH396" s="252"/>
      <c r="GI396" s="252"/>
      <c r="GJ396" s="252"/>
      <c r="GK396" s="251"/>
      <c r="GL396" s="250"/>
      <c r="GM396" s="250"/>
      <c r="GN396" s="250"/>
      <c r="GO396" s="250"/>
      <c r="GP396" s="250"/>
      <c r="GQ396" s="250"/>
      <c r="GR396" s="250"/>
      <c r="GS396" s="250"/>
      <c r="GT396" s="250"/>
      <c r="GU396" s="251"/>
      <c r="GV396" s="250"/>
      <c r="GW396" s="250"/>
      <c r="GX396" s="250"/>
      <c r="GY396" s="250"/>
      <c r="GZ396" s="250"/>
      <c r="HA396" s="250"/>
      <c r="HB396" s="250"/>
      <c r="HC396" s="250"/>
      <c r="HD396" s="250"/>
      <c r="HE396" s="250"/>
      <c r="HF396" s="250"/>
      <c r="HG396" s="250"/>
      <c r="HH396" s="251"/>
      <c r="HI396" s="424"/>
      <c r="HJ396" s="255"/>
      <c r="HK396" s="255"/>
      <c r="HL396" s="250"/>
      <c r="HM396" s="255"/>
      <c r="HN396" s="255"/>
      <c r="HO396" s="255"/>
      <c r="HP396" s="250"/>
      <c r="HQ396" s="250"/>
      <c r="HR396" s="250"/>
      <c r="HS396" s="250"/>
      <c r="HT396" s="250"/>
      <c r="HU396" s="251"/>
      <c r="HX396" s="252"/>
      <c r="HY396" s="252"/>
      <c r="HZ396" s="252"/>
      <c r="ID396" s="252"/>
      <c r="IE396" s="252"/>
      <c r="IF396" s="252"/>
      <c r="IJ396" s="252"/>
      <c r="IK396" s="252"/>
      <c r="IL396" s="252"/>
      <c r="IP396" s="252"/>
      <c r="IQ396" s="252"/>
      <c r="IR396" s="252"/>
      <c r="IY396" s="66"/>
      <c r="IZ396" s="66"/>
      <c r="JA396" s="66"/>
      <c r="JB396" s="250"/>
      <c r="JC396" s="66"/>
      <c r="JD396" s="66"/>
      <c r="JE396" s="66"/>
      <c r="JF396" s="66"/>
      <c r="JG396" s="66"/>
      <c r="JH396" s="66"/>
      <c r="JI396" s="66"/>
      <c r="JJ396" s="66"/>
      <c r="JK396" s="8"/>
      <c r="JN396" s="252"/>
      <c r="JO396" s="252"/>
      <c r="JP396" s="252"/>
      <c r="JT396" s="252"/>
      <c r="JU396" s="252"/>
      <c r="JV396" s="252"/>
      <c r="JZ396" s="252"/>
      <c r="KA396" s="252"/>
      <c r="KB396" s="252"/>
      <c r="KF396" s="252"/>
      <c r="KG396" s="252"/>
      <c r="KH396" s="252"/>
      <c r="KO396" s="66"/>
      <c r="KP396" s="66"/>
      <c r="KQ396" s="66"/>
      <c r="KR396" s="66"/>
      <c r="KS396" s="66"/>
      <c r="KT396" s="66"/>
      <c r="KU396" s="66"/>
      <c r="KV396" s="66"/>
      <c r="KW396" s="66"/>
      <c r="KX396" s="66"/>
      <c r="KY396" s="66"/>
      <c r="KZ396" s="66"/>
      <c r="LA396" s="8"/>
      <c r="LD396" s="252"/>
      <c r="LE396" s="252"/>
      <c r="LF396" s="252"/>
      <c r="LJ396" s="252"/>
      <c r="LK396" s="252"/>
      <c r="LN396" s="252"/>
      <c r="LO396" s="252"/>
      <c r="LP396" s="252"/>
      <c r="LT396" s="271"/>
      <c r="LU396" s="250"/>
      <c r="LV396" s="250"/>
      <c r="LW396" s="250"/>
      <c r="LX396" s="250"/>
      <c r="LY396" s="250"/>
      <c r="LZ396" s="250"/>
      <c r="MA396" s="250"/>
      <c r="MB396" s="250"/>
      <c r="MC396" s="250"/>
      <c r="MD396" s="250"/>
      <c r="ME396" s="250"/>
      <c r="MF396" s="250"/>
      <c r="MG396" s="250"/>
      <c r="MH396" s="250"/>
      <c r="MI396" s="250"/>
      <c r="MJ396" s="250"/>
      <c r="MK396" s="424"/>
      <c r="ML396" s="640"/>
      <c r="MM396" s="251"/>
      <c r="MN396" s="252"/>
      <c r="MO396" s="252"/>
      <c r="MP396" s="252"/>
      <c r="MQ396" s="252"/>
      <c r="MR396" s="252"/>
      <c r="MS396" s="252"/>
      <c r="MT396" s="252"/>
      <c r="MU396" s="252"/>
      <c r="MV396" s="252"/>
      <c r="MW396" s="252"/>
      <c r="MX396" s="252"/>
      <c r="MY396" s="252"/>
      <c r="MZ396" s="252"/>
      <c r="NA396" s="252"/>
      <c r="NB396" s="252"/>
      <c r="NC396" s="251"/>
      <c r="ND396" s="250"/>
      <c r="NE396" s="250"/>
      <c r="NF396" s="250"/>
      <c r="NG396" s="250"/>
      <c r="NH396" s="250"/>
      <c r="NI396" s="250"/>
      <c r="NJ396" s="250"/>
      <c r="NK396" s="250"/>
      <c r="NL396" s="250"/>
      <c r="NM396" s="250"/>
      <c r="NN396" s="250"/>
      <c r="NO396" s="250"/>
      <c r="NP396" s="250"/>
      <c r="NQ396" s="250"/>
      <c r="NR396" s="250"/>
      <c r="NS396" s="250"/>
      <c r="NT396" s="250"/>
      <c r="NU396" s="250"/>
      <c r="NV396" s="250"/>
      <c r="NW396" s="251"/>
      <c r="OT396" s="8"/>
      <c r="QG396" s="8"/>
      <c r="RT396" s="8"/>
    </row>
    <row r="397" spans="1:488" s="282" customFormat="1" x14ac:dyDescent="0.25">
      <c r="A397" s="66"/>
      <c r="B397" s="8"/>
      <c r="C397" s="66"/>
      <c r="D397" s="66"/>
      <c r="E397" s="66"/>
      <c r="F397" s="66"/>
      <c r="G397" s="66"/>
      <c r="H397" s="66"/>
      <c r="I397" s="66"/>
      <c r="J397" s="66"/>
      <c r="K397" s="66"/>
      <c r="L397" s="66"/>
      <c r="M397" s="66"/>
      <c r="N397" s="66"/>
      <c r="O397" s="66"/>
      <c r="P397" s="66"/>
      <c r="Q397" s="66"/>
      <c r="R397" s="66"/>
      <c r="S397" s="66"/>
      <c r="T397" s="68"/>
      <c r="AC397" s="66"/>
      <c r="AD397" s="66"/>
      <c r="AE397" s="68"/>
      <c r="AN397" s="66"/>
      <c r="AO397" s="66"/>
      <c r="AP397" s="68"/>
      <c r="AW397" s="66"/>
      <c r="AX397" s="68"/>
      <c r="BD397" s="66"/>
      <c r="BE397" s="68"/>
      <c r="BF397" s="66"/>
      <c r="BG397" s="66"/>
      <c r="BH397" s="66"/>
      <c r="BI397" s="66"/>
      <c r="BJ397" s="66"/>
      <c r="BK397" s="66"/>
      <c r="BL397" s="68"/>
      <c r="BO397" s="66"/>
      <c r="BP397" s="68"/>
      <c r="BV397" s="66"/>
      <c r="BW397" s="68"/>
      <c r="CB397" s="8"/>
      <c r="CH397" s="8"/>
      <c r="CK397" s="299"/>
      <c r="CL397" s="299"/>
      <c r="CM397" s="66"/>
      <c r="CN397" s="66"/>
      <c r="CO397" s="68"/>
      <c r="CR397" s="8"/>
      <c r="CX397" s="66"/>
      <c r="CY397" s="532"/>
      <c r="DE397" s="66"/>
      <c r="DF397" s="66"/>
      <c r="DG397" s="68"/>
      <c r="DH397" s="68"/>
      <c r="DK397" s="66"/>
      <c r="DL397" s="66"/>
      <c r="DM397" s="66"/>
      <c r="DN397" s="66"/>
      <c r="DO397" s="66"/>
      <c r="DP397" s="66"/>
      <c r="DQ397" s="66"/>
      <c r="DR397" s="66"/>
      <c r="DS397" s="66"/>
      <c r="DT397" s="68"/>
      <c r="DU397" s="66"/>
      <c r="DV397" s="296"/>
      <c r="DW397" s="330"/>
      <c r="DX397" s="631"/>
      <c r="DY397" s="631"/>
      <c r="DZ397" s="631"/>
      <c r="EA397" s="330"/>
      <c r="EC397" s="66"/>
      <c r="ED397" s="68"/>
      <c r="EH397" s="66"/>
      <c r="EI397" s="66"/>
      <c r="EJ397" s="68"/>
      <c r="EK397" s="252"/>
      <c r="EL397" s="252"/>
      <c r="EM397" s="252"/>
      <c r="EO397" s="252"/>
      <c r="EP397" s="252"/>
      <c r="EQ397" s="252"/>
      <c r="ES397" s="252"/>
      <c r="ET397" s="252"/>
      <c r="EU397" s="252"/>
      <c r="EW397" s="252"/>
      <c r="EX397" s="252"/>
      <c r="EY397" s="252"/>
      <c r="FA397" s="250"/>
      <c r="FB397" s="250"/>
      <c r="FC397" s="250"/>
      <c r="FD397" s="250"/>
      <c r="FE397" s="250"/>
      <c r="FF397" s="250"/>
      <c r="FG397" s="250"/>
      <c r="FH397" s="424"/>
      <c r="FI397" s="250"/>
      <c r="FJ397" s="250"/>
      <c r="FK397" s="250"/>
      <c r="FL397" s="256"/>
      <c r="FM397" s="250"/>
      <c r="FN397" s="256"/>
      <c r="FO397" s="250"/>
      <c r="FP397" s="256"/>
      <c r="FQ397" s="250"/>
      <c r="FR397" s="256"/>
      <c r="FS397" s="250"/>
      <c r="FT397" s="256"/>
      <c r="FU397" s="256"/>
      <c r="FV397" s="256"/>
      <c r="FW397" s="250"/>
      <c r="FX397" s="424"/>
      <c r="FY397" s="251"/>
      <c r="GC397" s="252"/>
      <c r="GF397" s="252"/>
      <c r="GG397" s="252"/>
      <c r="GH397" s="252"/>
      <c r="GI397" s="252"/>
      <c r="GJ397" s="252"/>
      <c r="GK397" s="251"/>
      <c r="GL397" s="250"/>
      <c r="GM397" s="250"/>
      <c r="GN397" s="250"/>
      <c r="GO397" s="250"/>
      <c r="GP397" s="250"/>
      <c r="GQ397" s="250"/>
      <c r="GR397" s="250"/>
      <c r="GS397" s="250"/>
      <c r="GT397" s="250"/>
      <c r="GU397" s="251"/>
      <c r="GV397" s="250"/>
      <c r="GW397" s="250"/>
      <c r="GX397" s="250"/>
      <c r="GY397" s="250"/>
      <c r="GZ397" s="250"/>
      <c r="HA397" s="250"/>
      <c r="HB397" s="250"/>
      <c r="HC397" s="250"/>
      <c r="HD397" s="250"/>
      <c r="HE397" s="250"/>
      <c r="HF397" s="250"/>
      <c r="HG397" s="250"/>
      <c r="HH397" s="251"/>
      <c r="HI397" s="424"/>
      <c r="HJ397" s="255"/>
      <c r="HK397" s="255"/>
      <c r="HL397" s="250"/>
      <c r="HM397" s="255"/>
      <c r="HN397" s="255"/>
      <c r="HO397" s="255"/>
      <c r="HP397" s="250"/>
      <c r="HQ397" s="250"/>
      <c r="HR397" s="250"/>
      <c r="HS397" s="250"/>
      <c r="HT397" s="250"/>
      <c r="HU397" s="251"/>
      <c r="HX397" s="252"/>
      <c r="HY397" s="252"/>
      <c r="HZ397" s="252"/>
      <c r="ID397" s="252"/>
      <c r="IE397" s="252"/>
      <c r="IF397" s="252"/>
      <c r="IJ397" s="252"/>
      <c r="IK397" s="252"/>
      <c r="IL397" s="252"/>
      <c r="IP397" s="252"/>
      <c r="IQ397" s="252"/>
      <c r="IR397" s="252"/>
      <c r="IY397" s="66"/>
      <c r="IZ397" s="66"/>
      <c r="JA397" s="66"/>
      <c r="JB397" s="250"/>
      <c r="JC397" s="66"/>
      <c r="JD397" s="66"/>
      <c r="JE397" s="66"/>
      <c r="JF397" s="66"/>
      <c r="JG397" s="66"/>
      <c r="JH397" s="66"/>
      <c r="JI397" s="66"/>
      <c r="JJ397" s="66"/>
      <c r="JK397" s="8"/>
      <c r="JN397" s="252"/>
      <c r="JO397" s="252"/>
      <c r="JP397" s="252"/>
      <c r="JT397" s="252"/>
      <c r="JU397" s="252"/>
      <c r="JV397" s="252"/>
      <c r="JZ397" s="252"/>
      <c r="KA397" s="252"/>
      <c r="KB397" s="252"/>
      <c r="KF397" s="252"/>
      <c r="KG397" s="252"/>
      <c r="KH397" s="252"/>
      <c r="KO397" s="66"/>
      <c r="KP397" s="66"/>
      <c r="KQ397" s="66"/>
      <c r="KR397" s="66"/>
      <c r="KS397" s="66"/>
      <c r="KT397" s="66"/>
      <c r="KU397" s="66"/>
      <c r="KV397" s="66"/>
      <c r="KW397" s="66"/>
      <c r="KX397" s="66"/>
      <c r="KY397" s="66"/>
      <c r="KZ397" s="66"/>
      <c r="LA397" s="8"/>
      <c r="LD397" s="252"/>
      <c r="LE397" s="252"/>
      <c r="LF397" s="252"/>
      <c r="LJ397" s="252"/>
      <c r="LK397" s="252"/>
      <c r="LN397" s="252"/>
      <c r="LO397" s="252"/>
      <c r="LP397" s="252"/>
      <c r="LT397" s="271"/>
      <c r="LU397" s="250"/>
      <c r="LV397" s="250"/>
      <c r="LW397" s="250"/>
      <c r="LX397" s="250"/>
      <c r="LY397" s="250"/>
      <c r="LZ397" s="250"/>
      <c r="MA397" s="250"/>
      <c r="MB397" s="250"/>
      <c r="MC397" s="250"/>
      <c r="MD397" s="250"/>
      <c r="ME397" s="250"/>
      <c r="MF397" s="250"/>
      <c r="MG397" s="250"/>
      <c r="MH397" s="250"/>
      <c r="MI397" s="250"/>
      <c r="MJ397" s="250"/>
      <c r="MK397" s="424"/>
      <c r="ML397" s="640"/>
      <c r="MM397" s="251"/>
      <c r="MN397" s="252"/>
      <c r="MO397" s="252"/>
      <c r="MP397" s="252"/>
      <c r="MQ397" s="252"/>
      <c r="MR397" s="252"/>
      <c r="MS397" s="252"/>
      <c r="MT397" s="252"/>
      <c r="MU397" s="252"/>
      <c r="MV397" s="252"/>
      <c r="MW397" s="252"/>
      <c r="MX397" s="252"/>
      <c r="MY397" s="252"/>
      <c r="MZ397" s="252"/>
      <c r="NA397" s="252"/>
      <c r="NB397" s="252"/>
      <c r="NC397" s="251"/>
      <c r="ND397" s="250"/>
      <c r="NE397" s="250"/>
      <c r="NF397" s="250"/>
      <c r="NG397" s="250"/>
      <c r="NH397" s="250"/>
      <c r="NI397" s="250"/>
      <c r="NJ397" s="250"/>
      <c r="NK397" s="250"/>
      <c r="NL397" s="250"/>
      <c r="NM397" s="250"/>
      <c r="NN397" s="250"/>
      <c r="NO397" s="250"/>
      <c r="NP397" s="250"/>
      <c r="NQ397" s="250"/>
      <c r="NR397" s="250"/>
      <c r="NS397" s="250"/>
      <c r="NT397" s="250"/>
      <c r="NU397" s="250"/>
      <c r="NV397" s="250"/>
      <c r="NW397" s="251"/>
      <c r="OT397" s="8"/>
      <c r="QG397" s="8"/>
      <c r="RT397" s="8"/>
    </row>
    <row r="398" spans="1:488" s="282" customFormat="1" x14ac:dyDescent="0.25">
      <c r="A398" s="66"/>
      <c r="B398" s="8"/>
      <c r="C398" s="66"/>
      <c r="D398" s="66"/>
      <c r="E398" s="66"/>
      <c r="F398" s="66"/>
      <c r="G398" s="66"/>
      <c r="H398" s="66"/>
      <c r="I398" s="66"/>
      <c r="J398" s="66"/>
      <c r="K398" s="66"/>
      <c r="L398" s="66"/>
      <c r="M398" s="66"/>
      <c r="N398" s="66"/>
      <c r="O398" s="66"/>
      <c r="P398" s="66"/>
      <c r="Q398" s="66"/>
      <c r="R398" s="66"/>
      <c r="S398" s="66"/>
      <c r="T398" s="68"/>
      <c r="AC398" s="66"/>
      <c r="AD398" s="66"/>
      <c r="AE398" s="68"/>
      <c r="AN398" s="66"/>
      <c r="AO398" s="66"/>
      <c r="AP398" s="68"/>
      <c r="AW398" s="66"/>
      <c r="AX398" s="68"/>
      <c r="BD398" s="66"/>
      <c r="BE398" s="68"/>
      <c r="BF398" s="66"/>
      <c r="BG398" s="66"/>
      <c r="BH398" s="66"/>
      <c r="BI398" s="66"/>
      <c r="BJ398" s="66"/>
      <c r="BK398" s="66"/>
      <c r="BL398" s="68"/>
      <c r="BO398" s="66"/>
      <c r="BP398" s="68"/>
      <c r="BV398" s="66"/>
      <c r="BW398" s="68"/>
      <c r="CB398" s="8"/>
      <c r="CH398" s="8"/>
      <c r="CK398" s="299"/>
      <c r="CL398" s="299"/>
      <c r="CM398" s="66"/>
      <c r="CN398" s="66"/>
      <c r="CO398" s="68"/>
      <c r="CR398" s="8"/>
      <c r="CX398" s="66"/>
      <c r="CY398" s="532"/>
      <c r="DE398" s="66"/>
      <c r="DF398" s="66"/>
      <c r="DG398" s="68"/>
      <c r="DH398" s="68"/>
      <c r="DK398" s="66"/>
      <c r="DL398" s="66"/>
      <c r="DM398" s="66"/>
      <c r="DN398" s="66"/>
      <c r="DO398" s="66"/>
      <c r="DP398" s="66"/>
      <c r="DQ398" s="66"/>
      <c r="DR398" s="66"/>
      <c r="DS398" s="66"/>
      <c r="DT398" s="68"/>
      <c r="DU398" s="66"/>
      <c r="DV398" s="296"/>
      <c r="DW398" s="330"/>
      <c r="DX398" s="631"/>
      <c r="DY398" s="631"/>
      <c r="DZ398" s="631"/>
      <c r="EA398" s="330"/>
      <c r="EC398" s="66"/>
      <c r="ED398" s="68"/>
      <c r="EH398" s="66"/>
      <c r="EI398" s="66"/>
      <c r="EJ398" s="68"/>
      <c r="EK398" s="252"/>
      <c r="EL398" s="252"/>
      <c r="EM398" s="252"/>
      <c r="EO398" s="252"/>
      <c r="EP398" s="252"/>
      <c r="EQ398" s="252"/>
      <c r="ES398" s="252"/>
      <c r="ET398" s="252"/>
      <c r="EU398" s="252"/>
      <c r="EW398" s="252"/>
      <c r="EX398" s="252"/>
      <c r="EY398" s="252"/>
      <c r="FA398" s="250"/>
      <c r="FB398" s="250"/>
      <c r="FC398" s="250"/>
      <c r="FD398" s="250"/>
      <c r="FE398" s="250"/>
      <c r="FF398" s="250"/>
      <c r="FG398" s="250"/>
      <c r="FH398" s="424"/>
      <c r="FI398" s="250"/>
      <c r="FJ398" s="250"/>
      <c r="FK398" s="250"/>
      <c r="FL398" s="256"/>
      <c r="FM398" s="250"/>
      <c r="FN398" s="256"/>
      <c r="FO398" s="250"/>
      <c r="FP398" s="256"/>
      <c r="FQ398" s="250"/>
      <c r="FR398" s="256"/>
      <c r="FS398" s="250"/>
      <c r="FT398" s="256"/>
      <c r="FU398" s="256"/>
      <c r="FV398" s="256"/>
      <c r="FW398" s="250"/>
      <c r="FX398" s="424"/>
      <c r="FY398" s="251"/>
      <c r="GC398" s="252"/>
      <c r="GF398" s="252"/>
      <c r="GG398" s="252"/>
      <c r="GH398" s="252"/>
      <c r="GI398" s="252"/>
      <c r="GJ398" s="252"/>
      <c r="GK398" s="251"/>
      <c r="GL398" s="250"/>
      <c r="GM398" s="250"/>
      <c r="GN398" s="250"/>
      <c r="GO398" s="250"/>
      <c r="GP398" s="250"/>
      <c r="GQ398" s="250"/>
      <c r="GR398" s="250"/>
      <c r="GS398" s="250"/>
      <c r="GT398" s="250"/>
      <c r="GU398" s="251"/>
      <c r="GV398" s="250"/>
      <c r="GW398" s="250"/>
      <c r="GX398" s="250"/>
      <c r="GY398" s="250"/>
      <c r="GZ398" s="250"/>
      <c r="HA398" s="250"/>
      <c r="HB398" s="250"/>
      <c r="HC398" s="250"/>
      <c r="HD398" s="250"/>
      <c r="HE398" s="250"/>
      <c r="HF398" s="250"/>
      <c r="HG398" s="250"/>
      <c r="HH398" s="251"/>
      <c r="HI398" s="424"/>
      <c r="HJ398" s="255"/>
      <c r="HK398" s="255"/>
      <c r="HL398" s="250"/>
      <c r="HM398" s="255"/>
      <c r="HN398" s="255"/>
      <c r="HO398" s="255"/>
      <c r="HP398" s="250"/>
      <c r="HQ398" s="250"/>
      <c r="HR398" s="250"/>
      <c r="HS398" s="250"/>
      <c r="HT398" s="250"/>
      <c r="HU398" s="251"/>
      <c r="HX398" s="252"/>
      <c r="HY398" s="252"/>
      <c r="HZ398" s="252"/>
      <c r="ID398" s="252"/>
      <c r="IE398" s="252"/>
      <c r="IF398" s="252"/>
      <c r="IJ398" s="252"/>
      <c r="IK398" s="252"/>
      <c r="IL398" s="252"/>
      <c r="IP398" s="252"/>
      <c r="IQ398" s="252"/>
      <c r="IR398" s="252"/>
      <c r="IY398" s="66"/>
      <c r="IZ398" s="66"/>
      <c r="JA398" s="66"/>
      <c r="JB398" s="250"/>
      <c r="JC398" s="66"/>
      <c r="JD398" s="66"/>
      <c r="JE398" s="66"/>
      <c r="JF398" s="66"/>
      <c r="JG398" s="66"/>
      <c r="JH398" s="66"/>
      <c r="JI398" s="66"/>
      <c r="JJ398" s="66"/>
      <c r="JK398" s="8"/>
      <c r="JN398" s="252"/>
      <c r="JO398" s="252"/>
      <c r="JP398" s="252"/>
      <c r="JT398" s="252"/>
      <c r="JU398" s="252"/>
      <c r="JV398" s="252"/>
      <c r="JZ398" s="252"/>
      <c r="KA398" s="252"/>
      <c r="KB398" s="252"/>
      <c r="KF398" s="252"/>
      <c r="KG398" s="252"/>
      <c r="KH398" s="252"/>
      <c r="KO398" s="66"/>
      <c r="KP398" s="66"/>
      <c r="KQ398" s="66"/>
      <c r="KR398" s="66"/>
      <c r="KS398" s="66"/>
      <c r="KT398" s="66"/>
      <c r="KU398" s="66"/>
      <c r="KV398" s="66"/>
      <c r="KW398" s="66"/>
      <c r="KX398" s="66"/>
      <c r="KY398" s="66"/>
      <c r="KZ398" s="66"/>
      <c r="LA398" s="8"/>
      <c r="LD398" s="252"/>
      <c r="LE398" s="252"/>
      <c r="LF398" s="252"/>
      <c r="LJ398" s="252"/>
      <c r="LK398" s="252"/>
      <c r="LN398" s="252"/>
      <c r="LO398" s="252"/>
      <c r="LP398" s="252"/>
      <c r="LT398" s="271"/>
      <c r="LU398" s="250"/>
      <c r="LV398" s="250"/>
      <c r="LW398" s="250"/>
      <c r="LX398" s="250"/>
      <c r="LY398" s="250"/>
      <c r="LZ398" s="250"/>
      <c r="MA398" s="250"/>
      <c r="MB398" s="250"/>
      <c r="MC398" s="250"/>
      <c r="MD398" s="250"/>
      <c r="ME398" s="250"/>
      <c r="MF398" s="250"/>
      <c r="MG398" s="250"/>
      <c r="MH398" s="250"/>
      <c r="MI398" s="250"/>
      <c r="MJ398" s="250"/>
      <c r="MK398" s="424"/>
      <c r="ML398" s="640"/>
      <c r="MM398" s="251"/>
      <c r="MN398" s="252"/>
      <c r="MO398" s="252"/>
      <c r="MP398" s="252"/>
      <c r="MQ398" s="252"/>
      <c r="MR398" s="252"/>
      <c r="MS398" s="252"/>
      <c r="MT398" s="252"/>
      <c r="MU398" s="252"/>
      <c r="MV398" s="252"/>
      <c r="MW398" s="252"/>
      <c r="MX398" s="252"/>
      <c r="MY398" s="252"/>
      <c r="MZ398" s="252"/>
      <c r="NA398" s="252"/>
      <c r="NB398" s="252"/>
      <c r="NC398" s="251"/>
      <c r="ND398" s="250"/>
      <c r="NE398" s="250"/>
      <c r="NF398" s="250"/>
      <c r="NG398" s="250"/>
      <c r="NH398" s="250"/>
      <c r="NI398" s="250"/>
      <c r="NJ398" s="250"/>
      <c r="NK398" s="250"/>
      <c r="NL398" s="250"/>
      <c r="NM398" s="250"/>
      <c r="NN398" s="250"/>
      <c r="NO398" s="250"/>
      <c r="NP398" s="250"/>
      <c r="NQ398" s="250"/>
      <c r="NR398" s="250"/>
      <c r="NS398" s="250"/>
      <c r="NT398" s="250"/>
      <c r="NU398" s="250"/>
      <c r="NV398" s="250"/>
      <c r="NW398" s="251"/>
      <c r="OT398" s="8"/>
      <c r="QG398" s="8"/>
      <c r="RT398" s="8"/>
    </row>
    <row r="399" spans="1:488" s="282" customFormat="1" x14ac:dyDescent="0.25">
      <c r="A399" s="66"/>
      <c r="B399" s="8"/>
      <c r="C399" s="66"/>
      <c r="D399" s="66"/>
      <c r="E399" s="66"/>
      <c r="F399" s="66"/>
      <c r="G399" s="66"/>
      <c r="H399" s="66"/>
      <c r="I399" s="66"/>
      <c r="J399" s="66"/>
      <c r="K399" s="66"/>
      <c r="L399" s="66"/>
      <c r="M399" s="66"/>
      <c r="N399" s="66"/>
      <c r="O399" s="66"/>
      <c r="P399" s="66"/>
      <c r="Q399" s="66"/>
      <c r="R399" s="66"/>
      <c r="S399" s="66"/>
      <c r="T399" s="68"/>
      <c r="AC399" s="66"/>
      <c r="AD399" s="66"/>
      <c r="AE399" s="68"/>
      <c r="AN399" s="66"/>
      <c r="AO399" s="66"/>
      <c r="AP399" s="68"/>
      <c r="AW399" s="66"/>
      <c r="AX399" s="68"/>
      <c r="BD399" s="66"/>
      <c r="BE399" s="68"/>
      <c r="BF399" s="66"/>
      <c r="BG399" s="66"/>
      <c r="BH399" s="66"/>
      <c r="BI399" s="66"/>
      <c r="BJ399" s="66"/>
      <c r="BK399" s="66"/>
      <c r="BL399" s="68"/>
      <c r="BO399" s="66"/>
      <c r="BP399" s="68"/>
      <c r="BV399" s="66"/>
      <c r="BW399" s="68"/>
      <c r="CB399" s="8"/>
      <c r="CH399" s="8"/>
      <c r="CK399" s="299"/>
      <c r="CL399" s="299"/>
      <c r="CM399" s="66"/>
      <c r="CN399" s="66"/>
      <c r="CO399" s="68"/>
      <c r="CR399" s="8"/>
      <c r="CX399" s="66"/>
      <c r="CY399" s="532"/>
      <c r="DE399" s="66"/>
      <c r="DF399" s="66"/>
      <c r="DG399" s="68"/>
      <c r="DH399" s="68"/>
      <c r="DK399" s="66"/>
      <c r="DL399" s="66"/>
      <c r="DM399" s="66"/>
      <c r="DN399" s="66"/>
      <c r="DO399" s="66"/>
      <c r="DP399" s="66"/>
      <c r="DQ399" s="66"/>
      <c r="DR399" s="66"/>
      <c r="DS399" s="66"/>
      <c r="DT399" s="68"/>
      <c r="DU399" s="66"/>
      <c r="DV399" s="296"/>
      <c r="DW399" s="330"/>
      <c r="DX399" s="631"/>
      <c r="DY399" s="631"/>
      <c r="DZ399" s="631"/>
      <c r="EA399" s="330"/>
      <c r="EC399" s="66"/>
      <c r="ED399" s="68"/>
      <c r="EH399" s="66"/>
      <c r="EI399" s="66"/>
      <c r="EJ399" s="68"/>
      <c r="EK399" s="252"/>
      <c r="EL399" s="252"/>
      <c r="EM399" s="252"/>
      <c r="EO399" s="252"/>
      <c r="EP399" s="252"/>
      <c r="EQ399" s="252"/>
      <c r="ES399" s="252"/>
      <c r="ET399" s="252"/>
      <c r="EU399" s="252"/>
      <c r="EW399" s="252"/>
      <c r="EX399" s="252"/>
      <c r="EY399" s="252"/>
      <c r="FA399" s="250"/>
      <c r="FB399" s="250"/>
      <c r="FC399" s="250"/>
      <c r="FD399" s="250"/>
      <c r="FE399" s="250"/>
      <c r="FF399" s="250"/>
      <c r="FG399" s="250"/>
      <c r="FH399" s="424"/>
      <c r="FI399" s="250"/>
      <c r="FJ399" s="250"/>
      <c r="FK399" s="250"/>
      <c r="FL399" s="256"/>
      <c r="FM399" s="250"/>
      <c r="FN399" s="256"/>
      <c r="FO399" s="250"/>
      <c r="FP399" s="256"/>
      <c r="FQ399" s="250"/>
      <c r="FR399" s="256"/>
      <c r="FS399" s="250"/>
      <c r="FT399" s="256"/>
      <c r="FU399" s="256"/>
      <c r="FV399" s="256"/>
      <c r="FW399" s="250"/>
      <c r="FX399" s="424"/>
      <c r="FY399" s="251"/>
      <c r="GC399" s="252"/>
      <c r="GF399" s="252"/>
      <c r="GG399" s="252"/>
      <c r="GH399" s="252"/>
      <c r="GI399" s="252"/>
      <c r="GJ399" s="252"/>
      <c r="GK399" s="251"/>
      <c r="GL399" s="250"/>
      <c r="GM399" s="250"/>
      <c r="GN399" s="250"/>
      <c r="GO399" s="250"/>
      <c r="GP399" s="250"/>
      <c r="GQ399" s="250"/>
      <c r="GR399" s="250"/>
      <c r="GS399" s="250"/>
      <c r="GT399" s="250"/>
      <c r="GU399" s="251"/>
      <c r="GV399" s="250"/>
      <c r="GW399" s="250"/>
      <c r="GX399" s="250"/>
      <c r="GY399" s="250"/>
      <c r="GZ399" s="250"/>
      <c r="HA399" s="250"/>
      <c r="HB399" s="250"/>
      <c r="HC399" s="250"/>
      <c r="HD399" s="250"/>
      <c r="HE399" s="250"/>
      <c r="HF399" s="250"/>
      <c r="HG399" s="250"/>
      <c r="HH399" s="251"/>
      <c r="HI399" s="424"/>
      <c r="HJ399" s="255"/>
      <c r="HK399" s="255"/>
      <c r="HL399" s="250"/>
      <c r="HM399" s="255"/>
      <c r="HN399" s="255"/>
      <c r="HO399" s="255"/>
      <c r="HP399" s="250"/>
      <c r="HQ399" s="250"/>
      <c r="HR399" s="250"/>
      <c r="HS399" s="250"/>
      <c r="HT399" s="250"/>
      <c r="HU399" s="251"/>
      <c r="HX399" s="252"/>
      <c r="HY399" s="252"/>
      <c r="HZ399" s="252"/>
      <c r="ID399" s="252"/>
      <c r="IE399" s="252"/>
      <c r="IF399" s="252"/>
      <c r="IJ399" s="252"/>
      <c r="IK399" s="252"/>
      <c r="IL399" s="252"/>
      <c r="IP399" s="252"/>
      <c r="IQ399" s="252"/>
      <c r="IR399" s="252"/>
      <c r="IY399" s="66"/>
      <c r="IZ399" s="66"/>
      <c r="JA399" s="66"/>
      <c r="JB399" s="250"/>
      <c r="JC399" s="66"/>
      <c r="JD399" s="66"/>
      <c r="JE399" s="66"/>
      <c r="JF399" s="66"/>
      <c r="JG399" s="66"/>
      <c r="JH399" s="66"/>
      <c r="JI399" s="66"/>
      <c r="JJ399" s="66"/>
      <c r="JK399" s="8"/>
      <c r="JN399" s="252"/>
      <c r="JO399" s="252"/>
      <c r="JP399" s="252"/>
      <c r="JT399" s="252"/>
      <c r="JU399" s="252"/>
      <c r="JV399" s="252"/>
      <c r="JZ399" s="252"/>
      <c r="KA399" s="252"/>
      <c r="KB399" s="252"/>
      <c r="KF399" s="252"/>
      <c r="KG399" s="252"/>
      <c r="KH399" s="252"/>
      <c r="KO399" s="66"/>
      <c r="KP399" s="66"/>
      <c r="KQ399" s="66"/>
      <c r="KR399" s="66"/>
      <c r="KS399" s="66"/>
      <c r="KT399" s="66"/>
      <c r="KU399" s="66"/>
      <c r="KV399" s="66"/>
      <c r="KW399" s="66"/>
      <c r="KX399" s="66"/>
      <c r="KY399" s="66"/>
      <c r="KZ399" s="66"/>
      <c r="LA399" s="8"/>
      <c r="LD399" s="252"/>
      <c r="LE399" s="252"/>
      <c r="LF399" s="252"/>
      <c r="LJ399" s="252"/>
      <c r="LK399" s="252"/>
      <c r="LN399" s="252"/>
      <c r="LO399" s="252"/>
      <c r="LP399" s="252"/>
      <c r="LT399" s="271"/>
      <c r="LU399" s="250"/>
      <c r="LV399" s="250"/>
      <c r="LW399" s="250"/>
      <c r="LX399" s="250"/>
      <c r="LY399" s="250"/>
      <c r="LZ399" s="250"/>
      <c r="MA399" s="250"/>
      <c r="MB399" s="250"/>
      <c r="MC399" s="250"/>
      <c r="MD399" s="250"/>
      <c r="ME399" s="250"/>
      <c r="MF399" s="250"/>
      <c r="MG399" s="250"/>
      <c r="MH399" s="250"/>
      <c r="MI399" s="250"/>
      <c r="MJ399" s="250"/>
      <c r="MK399" s="424"/>
      <c r="ML399" s="640"/>
      <c r="MM399" s="251"/>
      <c r="MN399" s="252"/>
      <c r="MO399" s="252"/>
      <c r="MP399" s="252"/>
      <c r="MQ399" s="252"/>
      <c r="MR399" s="252"/>
      <c r="MS399" s="252"/>
      <c r="MT399" s="252"/>
      <c r="MU399" s="252"/>
      <c r="MV399" s="252"/>
      <c r="MW399" s="252"/>
      <c r="MX399" s="252"/>
      <c r="MY399" s="252"/>
      <c r="MZ399" s="252"/>
      <c r="NA399" s="252"/>
      <c r="NB399" s="252"/>
      <c r="NC399" s="251"/>
      <c r="ND399" s="250"/>
      <c r="NE399" s="250"/>
      <c r="NF399" s="250"/>
      <c r="NG399" s="250"/>
      <c r="NH399" s="250"/>
      <c r="NI399" s="250"/>
      <c r="NJ399" s="250"/>
      <c r="NK399" s="250"/>
      <c r="NL399" s="250"/>
      <c r="NM399" s="250"/>
      <c r="NN399" s="250"/>
      <c r="NO399" s="250"/>
      <c r="NP399" s="250"/>
      <c r="NQ399" s="250"/>
      <c r="NR399" s="250"/>
      <c r="NS399" s="250"/>
      <c r="NT399" s="250"/>
      <c r="NU399" s="250"/>
      <c r="NV399" s="250"/>
      <c r="NW399" s="251"/>
      <c r="OT399" s="8"/>
      <c r="QG399" s="8"/>
      <c r="RT399" s="8"/>
    </row>
    <row r="400" spans="1:488" s="282" customFormat="1" x14ac:dyDescent="0.25">
      <c r="A400" s="66"/>
      <c r="B400" s="8"/>
      <c r="C400" s="66"/>
      <c r="D400" s="66"/>
      <c r="E400" s="66"/>
      <c r="F400" s="66"/>
      <c r="G400" s="66"/>
      <c r="H400" s="66"/>
      <c r="I400" s="66"/>
      <c r="J400" s="66"/>
      <c r="K400" s="66"/>
      <c r="L400" s="66"/>
      <c r="M400" s="66"/>
      <c r="N400" s="66"/>
      <c r="O400" s="66"/>
      <c r="P400" s="66"/>
      <c r="Q400" s="66"/>
      <c r="R400" s="66"/>
      <c r="S400" s="66"/>
      <c r="T400" s="68"/>
      <c r="AC400" s="66"/>
      <c r="AD400" s="66"/>
      <c r="AE400" s="68"/>
      <c r="AN400" s="66"/>
      <c r="AO400" s="66"/>
      <c r="AP400" s="68"/>
      <c r="AW400" s="66"/>
      <c r="AX400" s="68"/>
      <c r="BD400" s="66"/>
      <c r="BE400" s="68"/>
      <c r="BF400" s="66"/>
      <c r="BG400" s="66"/>
      <c r="BH400" s="66"/>
      <c r="BI400" s="66"/>
      <c r="BJ400" s="66"/>
      <c r="BK400" s="66"/>
      <c r="BL400" s="68"/>
      <c r="BO400" s="66"/>
      <c r="BP400" s="68"/>
      <c r="BV400" s="66"/>
      <c r="BW400" s="68"/>
      <c r="CB400" s="8"/>
      <c r="CH400" s="8"/>
      <c r="CK400" s="299"/>
      <c r="CL400" s="299"/>
      <c r="CM400" s="66"/>
      <c r="CN400" s="66"/>
      <c r="CO400" s="68"/>
      <c r="CR400" s="8"/>
      <c r="CX400" s="66"/>
      <c r="CY400" s="532"/>
      <c r="DE400" s="66"/>
      <c r="DF400" s="66"/>
      <c r="DG400" s="68"/>
      <c r="DH400" s="68"/>
      <c r="DK400" s="66"/>
      <c r="DL400" s="66"/>
      <c r="DM400" s="66"/>
      <c r="DN400" s="66"/>
      <c r="DO400" s="66"/>
      <c r="DP400" s="66"/>
      <c r="DQ400" s="66"/>
      <c r="DR400" s="66"/>
      <c r="DS400" s="66"/>
      <c r="DT400" s="68"/>
      <c r="DU400" s="66"/>
      <c r="DV400" s="296"/>
      <c r="DW400" s="330"/>
      <c r="DX400" s="631"/>
      <c r="DY400" s="631"/>
      <c r="DZ400" s="631"/>
      <c r="EA400" s="330"/>
      <c r="EC400" s="66"/>
      <c r="ED400" s="68"/>
      <c r="EH400" s="66"/>
      <c r="EI400" s="66"/>
      <c r="EJ400" s="68"/>
      <c r="EK400" s="252"/>
      <c r="EL400" s="252"/>
      <c r="EM400" s="252"/>
      <c r="EO400" s="252"/>
      <c r="EP400" s="252"/>
      <c r="EQ400" s="252"/>
      <c r="ES400" s="252"/>
      <c r="ET400" s="252"/>
      <c r="EU400" s="252"/>
      <c r="EW400" s="252"/>
      <c r="EX400" s="252"/>
      <c r="EY400" s="252"/>
      <c r="FA400" s="250"/>
      <c r="FB400" s="250"/>
      <c r="FC400" s="250"/>
      <c r="FD400" s="250"/>
      <c r="FE400" s="250"/>
      <c r="FF400" s="250"/>
      <c r="FG400" s="250"/>
      <c r="FH400" s="424"/>
      <c r="FI400" s="250"/>
      <c r="FJ400" s="250"/>
      <c r="FK400" s="250"/>
      <c r="FL400" s="256"/>
      <c r="FM400" s="250"/>
      <c r="FN400" s="256"/>
      <c r="FO400" s="250"/>
      <c r="FP400" s="256"/>
      <c r="FQ400" s="250"/>
      <c r="FR400" s="256"/>
      <c r="FS400" s="250"/>
      <c r="FT400" s="256"/>
      <c r="FU400" s="256"/>
      <c r="FV400" s="256"/>
      <c r="FW400" s="250"/>
      <c r="FX400" s="424"/>
      <c r="FY400" s="251"/>
      <c r="GC400" s="252"/>
      <c r="GF400" s="252"/>
      <c r="GG400" s="252"/>
      <c r="GH400" s="252"/>
      <c r="GI400" s="252"/>
      <c r="GJ400" s="252"/>
      <c r="GK400" s="251"/>
      <c r="GL400" s="250"/>
      <c r="GM400" s="250"/>
      <c r="GN400" s="250"/>
      <c r="GO400" s="250"/>
      <c r="GP400" s="250"/>
      <c r="GQ400" s="250"/>
      <c r="GR400" s="250"/>
      <c r="GS400" s="250"/>
      <c r="GT400" s="250"/>
      <c r="GU400" s="251"/>
      <c r="GV400" s="250"/>
      <c r="GW400" s="250"/>
      <c r="GX400" s="250"/>
      <c r="GY400" s="250"/>
      <c r="GZ400" s="250"/>
      <c r="HA400" s="250"/>
      <c r="HB400" s="250"/>
      <c r="HC400" s="250"/>
      <c r="HD400" s="250"/>
      <c r="HE400" s="250"/>
      <c r="HF400" s="250"/>
      <c r="HG400" s="250"/>
      <c r="HH400" s="251"/>
      <c r="HI400" s="424"/>
      <c r="HJ400" s="255"/>
      <c r="HK400" s="255"/>
      <c r="HL400" s="250"/>
      <c r="HM400" s="255"/>
      <c r="HN400" s="255"/>
      <c r="HO400" s="255"/>
      <c r="HP400" s="250"/>
      <c r="HQ400" s="250"/>
      <c r="HR400" s="250"/>
      <c r="HS400" s="250"/>
      <c r="HT400" s="250"/>
      <c r="HU400" s="251"/>
      <c r="HX400" s="252"/>
      <c r="HY400" s="252"/>
      <c r="HZ400" s="252"/>
      <c r="ID400" s="252"/>
      <c r="IE400" s="252"/>
      <c r="IF400" s="252"/>
      <c r="IJ400" s="252"/>
      <c r="IK400" s="252"/>
      <c r="IL400" s="252"/>
      <c r="IP400" s="252"/>
      <c r="IQ400" s="252"/>
      <c r="IR400" s="252"/>
      <c r="IY400" s="66"/>
      <c r="IZ400" s="66"/>
      <c r="JA400" s="66"/>
      <c r="JB400" s="250"/>
      <c r="JC400" s="66"/>
      <c r="JD400" s="66"/>
      <c r="JE400" s="66"/>
      <c r="JF400" s="66"/>
      <c r="JG400" s="66"/>
      <c r="JH400" s="66"/>
      <c r="JI400" s="66"/>
      <c r="JJ400" s="66"/>
      <c r="JK400" s="8"/>
      <c r="JN400" s="252"/>
      <c r="JO400" s="252"/>
      <c r="JP400" s="252"/>
      <c r="JT400" s="252"/>
      <c r="JU400" s="252"/>
      <c r="JV400" s="252"/>
      <c r="JZ400" s="252"/>
      <c r="KA400" s="252"/>
      <c r="KB400" s="252"/>
      <c r="KF400" s="252"/>
      <c r="KG400" s="252"/>
      <c r="KH400" s="252"/>
      <c r="KO400" s="66"/>
      <c r="KP400" s="66"/>
      <c r="KQ400" s="66"/>
      <c r="KR400" s="66"/>
      <c r="KS400" s="66"/>
      <c r="KT400" s="66"/>
      <c r="KU400" s="66"/>
      <c r="KV400" s="66"/>
      <c r="KW400" s="66"/>
      <c r="KX400" s="66"/>
      <c r="KY400" s="66"/>
      <c r="KZ400" s="66"/>
      <c r="LA400" s="8"/>
      <c r="LD400" s="252"/>
      <c r="LE400" s="252"/>
      <c r="LF400" s="252"/>
      <c r="LJ400" s="252"/>
      <c r="LK400" s="252"/>
      <c r="LN400" s="252"/>
      <c r="LO400" s="252"/>
      <c r="LP400" s="252"/>
      <c r="LT400" s="271"/>
      <c r="LU400" s="250"/>
      <c r="LV400" s="250"/>
      <c r="LW400" s="250"/>
      <c r="LX400" s="250"/>
      <c r="LY400" s="250"/>
      <c r="LZ400" s="250"/>
      <c r="MA400" s="250"/>
      <c r="MB400" s="250"/>
      <c r="MC400" s="250"/>
      <c r="MD400" s="250"/>
      <c r="ME400" s="250"/>
      <c r="MF400" s="250"/>
      <c r="MG400" s="250"/>
      <c r="MH400" s="250"/>
      <c r="MI400" s="250"/>
      <c r="MJ400" s="250"/>
      <c r="MK400" s="424"/>
      <c r="ML400" s="640"/>
      <c r="MM400" s="251"/>
      <c r="MN400" s="252"/>
      <c r="MO400" s="252"/>
      <c r="MP400" s="252"/>
      <c r="MQ400" s="252"/>
      <c r="MR400" s="252"/>
      <c r="MS400" s="252"/>
      <c r="MT400" s="252"/>
      <c r="MU400" s="252"/>
      <c r="MV400" s="252"/>
      <c r="MW400" s="252"/>
      <c r="MX400" s="252"/>
      <c r="MY400" s="252"/>
      <c r="MZ400" s="252"/>
      <c r="NA400" s="252"/>
      <c r="NB400" s="252"/>
      <c r="NC400" s="251"/>
      <c r="ND400" s="250"/>
      <c r="NE400" s="250"/>
      <c r="NF400" s="250"/>
      <c r="NG400" s="250"/>
      <c r="NH400" s="250"/>
      <c r="NI400" s="250"/>
      <c r="NJ400" s="250"/>
      <c r="NK400" s="250"/>
      <c r="NL400" s="250"/>
      <c r="NM400" s="250"/>
      <c r="NN400" s="250"/>
      <c r="NO400" s="250"/>
      <c r="NP400" s="250"/>
      <c r="NQ400" s="250"/>
      <c r="NR400" s="250"/>
      <c r="NS400" s="250"/>
      <c r="NT400" s="250"/>
      <c r="NU400" s="250"/>
      <c r="NV400" s="250"/>
      <c r="NW400" s="251"/>
      <c r="OT400" s="8"/>
      <c r="QG400" s="8"/>
      <c r="RT400" s="8"/>
    </row>
    <row r="401" spans="1:488" s="282" customFormat="1" x14ac:dyDescent="0.25">
      <c r="A401" s="66"/>
      <c r="B401" s="8"/>
      <c r="C401" s="66"/>
      <c r="D401" s="66"/>
      <c r="E401" s="66"/>
      <c r="F401" s="66"/>
      <c r="G401" s="66"/>
      <c r="H401" s="66"/>
      <c r="I401" s="66"/>
      <c r="J401" s="66"/>
      <c r="K401" s="66"/>
      <c r="L401" s="66"/>
      <c r="M401" s="66"/>
      <c r="N401" s="66"/>
      <c r="O401" s="66"/>
      <c r="P401" s="66"/>
      <c r="Q401" s="66"/>
      <c r="R401" s="66"/>
      <c r="S401" s="66"/>
      <c r="T401" s="68"/>
      <c r="AC401" s="66"/>
      <c r="AD401" s="66"/>
      <c r="AE401" s="68"/>
      <c r="AN401" s="66"/>
      <c r="AO401" s="66"/>
      <c r="AP401" s="68"/>
      <c r="AW401" s="66"/>
      <c r="AX401" s="68"/>
      <c r="BD401" s="66"/>
      <c r="BE401" s="68"/>
      <c r="BF401" s="66"/>
      <c r="BG401" s="66"/>
      <c r="BH401" s="66"/>
      <c r="BI401" s="66"/>
      <c r="BJ401" s="66"/>
      <c r="BK401" s="66"/>
      <c r="BL401" s="68"/>
      <c r="BO401" s="66"/>
      <c r="BP401" s="68"/>
      <c r="BV401" s="66"/>
      <c r="BW401" s="68"/>
      <c r="CB401" s="8"/>
      <c r="CH401" s="8"/>
      <c r="CK401" s="299"/>
      <c r="CL401" s="299"/>
      <c r="CM401" s="66"/>
      <c r="CN401" s="66"/>
      <c r="CO401" s="68"/>
      <c r="CR401" s="8"/>
      <c r="CX401" s="66"/>
      <c r="CY401" s="532"/>
      <c r="DE401" s="66"/>
      <c r="DF401" s="66"/>
      <c r="DG401" s="68"/>
      <c r="DH401" s="68"/>
      <c r="DK401" s="66"/>
      <c r="DL401" s="66"/>
      <c r="DM401" s="66"/>
      <c r="DN401" s="66"/>
      <c r="DO401" s="66"/>
      <c r="DP401" s="66"/>
      <c r="DQ401" s="66"/>
      <c r="DR401" s="66"/>
      <c r="DS401" s="66"/>
      <c r="DT401" s="68"/>
      <c r="DU401" s="66"/>
      <c r="DV401" s="296"/>
      <c r="DW401" s="330"/>
      <c r="DX401" s="631"/>
      <c r="DY401" s="631"/>
      <c r="DZ401" s="631"/>
      <c r="EA401" s="330"/>
      <c r="EC401" s="66"/>
      <c r="ED401" s="68"/>
      <c r="EH401" s="66"/>
      <c r="EI401" s="66"/>
      <c r="EJ401" s="68"/>
      <c r="EK401" s="252"/>
      <c r="EL401" s="252"/>
      <c r="EM401" s="252"/>
      <c r="EO401" s="252"/>
      <c r="EP401" s="252"/>
      <c r="EQ401" s="252"/>
      <c r="ES401" s="252"/>
      <c r="ET401" s="252"/>
      <c r="EU401" s="252"/>
      <c r="EW401" s="252"/>
      <c r="EX401" s="252"/>
      <c r="EY401" s="252"/>
      <c r="FA401" s="250"/>
      <c r="FB401" s="250"/>
      <c r="FC401" s="250"/>
      <c r="FD401" s="250"/>
      <c r="FE401" s="250"/>
      <c r="FF401" s="250"/>
      <c r="FG401" s="250"/>
      <c r="FH401" s="424"/>
      <c r="FI401" s="250"/>
      <c r="FJ401" s="250"/>
      <c r="FK401" s="250"/>
      <c r="FL401" s="256"/>
      <c r="FM401" s="250"/>
      <c r="FN401" s="256"/>
      <c r="FO401" s="250"/>
      <c r="FP401" s="256"/>
      <c r="FQ401" s="250"/>
      <c r="FR401" s="256"/>
      <c r="FS401" s="250"/>
      <c r="FT401" s="256"/>
      <c r="FU401" s="256"/>
      <c r="FV401" s="256"/>
      <c r="FW401" s="250"/>
      <c r="FX401" s="424"/>
      <c r="FY401" s="251"/>
      <c r="GC401" s="252"/>
      <c r="GF401" s="252"/>
      <c r="GG401" s="252"/>
      <c r="GH401" s="252"/>
      <c r="GI401" s="252"/>
      <c r="GJ401" s="252"/>
      <c r="GK401" s="251"/>
      <c r="GL401" s="250"/>
      <c r="GM401" s="250"/>
      <c r="GN401" s="250"/>
      <c r="GO401" s="250"/>
      <c r="GP401" s="250"/>
      <c r="GQ401" s="250"/>
      <c r="GR401" s="250"/>
      <c r="GS401" s="250"/>
      <c r="GT401" s="250"/>
      <c r="GU401" s="251"/>
      <c r="GV401" s="250"/>
      <c r="GW401" s="250"/>
      <c r="GX401" s="250"/>
      <c r="GY401" s="250"/>
      <c r="GZ401" s="250"/>
      <c r="HA401" s="250"/>
      <c r="HB401" s="250"/>
      <c r="HC401" s="250"/>
      <c r="HD401" s="250"/>
      <c r="HE401" s="250"/>
      <c r="HF401" s="250"/>
      <c r="HG401" s="250"/>
      <c r="HH401" s="251"/>
      <c r="HI401" s="424"/>
      <c r="HJ401" s="255"/>
      <c r="HK401" s="255"/>
      <c r="HL401" s="250"/>
      <c r="HM401" s="255"/>
      <c r="HN401" s="255"/>
      <c r="HO401" s="255"/>
      <c r="HP401" s="250"/>
      <c r="HQ401" s="250"/>
      <c r="HR401" s="250"/>
      <c r="HS401" s="250"/>
      <c r="HT401" s="250"/>
      <c r="HU401" s="251"/>
      <c r="HX401" s="252"/>
      <c r="HY401" s="252"/>
      <c r="HZ401" s="252"/>
      <c r="ID401" s="252"/>
      <c r="IE401" s="252"/>
      <c r="IF401" s="252"/>
      <c r="IJ401" s="252"/>
      <c r="IK401" s="252"/>
      <c r="IL401" s="252"/>
      <c r="IP401" s="252"/>
      <c r="IQ401" s="252"/>
      <c r="IR401" s="252"/>
      <c r="IY401" s="66"/>
      <c r="IZ401" s="66"/>
      <c r="JA401" s="66"/>
      <c r="JB401" s="250"/>
      <c r="JC401" s="66"/>
      <c r="JD401" s="66"/>
      <c r="JE401" s="66"/>
      <c r="JF401" s="66"/>
      <c r="JG401" s="66"/>
      <c r="JH401" s="66"/>
      <c r="JI401" s="66"/>
      <c r="JJ401" s="66"/>
      <c r="JK401" s="8"/>
      <c r="JN401" s="252"/>
      <c r="JO401" s="252"/>
      <c r="JP401" s="252"/>
      <c r="JT401" s="252"/>
      <c r="JU401" s="252"/>
      <c r="JV401" s="252"/>
      <c r="JZ401" s="252"/>
      <c r="KA401" s="252"/>
      <c r="KB401" s="252"/>
      <c r="KF401" s="252"/>
      <c r="KG401" s="252"/>
      <c r="KH401" s="252"/>
      <c r="KO401" s="66"/>
      <c r="KP401" s="66"/>
      <c r="KQ401" s="66"/>
      <c r="KR401" s="66"/>
      <c r="KS401" s="66"/>
      <c r="KT401" s="66"/>
      <c r="KU401" s="66"/>
      <c r="KV401" s="66"/>
      <c r="KW401" s="66"/>
      <c r="KX401" s="66"/>
      <c r="KY401" s="66"/>
      <c r="KZ401" s="66"/>
      <c r="LA401" s="8"/>
      <c r="LD401" s="252"/>
      <c r="LE401" s="252"/>
      <c r="LF401" s="252"/>
      <c r="LJ401" s="252"/>
      <c r="LK401" s="252"/>
      <c r="LN401" s="252"/>
      <c r="LO401" s="252"/>
      <c r="LP401" s="252"/>
      <c r="LT401" s="271"/>
      <c r="LU401" s="250"/>
      <c r="LV401" s="250"/>
      <c r="LW401" s="250"/>
      <c r="LX401" s="250"/>
      <c r="LY401" s="250"/>
      <c r="LZ401" s="250"/>
      <c r="MA401" s="250"/>
      <c r="MB401" s="250"/>
      <c r="MC401" s="250"/>
      <c r="MD401" s="250"/>
      <c r="ME401" s="250"/>
      <c r="MF401" s="250"/>
      <c r="MG401" s="250"/>
      <c r="MH401" s="250"/>
      <c r="MI401" s="250"/>
      <c r="MJ401" s="250"/>
      <c r="MK401" s="424"/>
      <c r="ML401" s="640"/>
      <c r="MM401" s="251"/>
      <c r="MN401" s="252"/>
      <c r="MO401" s="252"/>
      <c r="MP401" s="252"/>
      <c r="MQ401" s="252"/>
      <c r="MR401" s="252"/>
      <c r="MS401" s="252"/>
      <c r="MT401" s="252"/>
      <c r="MU401" s="252"/>
      <c r="MV401" s="252"/>
      <c r="MW401" s="252"/>
      <c r="MX401" s="252"/>
      <c r="MY401" s="252"/>
      <c r="MZ401" s="252"/>
      <c r="NA401" s="252"/>
      <c r="NB401" s="252"/>
      <c r="NC401" s="251"/>
      <c r="ND401" s="250"/>
      <c r="NE401" s="250"/>
      <c r="NF401" s="250"/>
      <c r="NG401" s="250"/>
      <c r="NH401" s="250"/>
      <c r="NI401" s="250"/>
      <c r="NJ401" s="250"/>
      <c r="NK401" s="250"/>
      <c r="NL401" s="250"/>
      <c r="NM401" s="250"/>
      <c r="NN401" s="250"/>
      <c r="NO401" s="250"/>
      <c r="NP401" s="250"/>
      <c r="NQ401" s="250"/>
      <c r="NR401" s="250"/>
      <c r="NS401" s="250"/>
      <c r="NT401" s="250"/>
      <c r="NU401" s="250"/>
      <c r="NV401" s="250"/>
      <c r="NW401" s="251"/>
      <c r="OT401" s="8"/>
      <c r="QG401" s="8"/>
      <c r="RT401" s="8"/>
    </row>
    <row r="402" spans="1:488" s="282" customFormat="1" x14ac:dyDescent="0.25">
      <c r="A402" s="66"/>
      <c r="B402" s="8"/>
      <c r="C402" s="66"/>
      <c r="D402" s="66"/>
      <c r="E402" s="66"/>
      <c r="F402" s="66"/>
      <c r="G402" s="66"/>
      <c r="H402" s="66"/>
      <c r="I402" s="66"/>
      <c r="J402" s="66"/>
      <c r="K402" s="66"/>
      <c r="L402" s="66"/>
      <c r="M402" s="66"/>
      <c r="N402" s="66"/>
      <c r="O402" s="66"/>
      <c r="P402" s="66"/>
      <c r="Q402" s="66"/>
      <c r="R402" s="66"/>
      <c r="S402" s="66"/>
      <c r="T402" s="68"/>
      <c r="AC402" s="66"/>
      <c r="AD402" s="66"/>
      <c r="AE402" s="68"/>
      <c r="AN402" s="66"/>
      <c r="AO402" s="66"/>
      <c r="AP402" s="68"/>
      <c r="AW402" s="66"/>
      <c r="AX402" s="68"/>
      <c r="BD402" s="66"/>
      <c r="BE402" s="68"/>
      <c r="BF402" s="66"/>
      <c r="BG402" s="66"/>
      <c r="BH402" s="66"/>
      <c r="BI402" s="66"/>
      <c r="BJ402" s="66"/>
      <c r="BK402" s="66"/>
      <c r="BL402" s="68"/>
      <c r="BO402" s="66"/>
      <c r="BP402" s="68"/>
      <c r="BV402" s="66"/>
      <c r="BW402" s="68"/>
      <c r="CB402" s="8"/>
      <c r="CH402" s="8"/>
      <c r="CK402" s="299"/>
      <c r="CL402" s="299"/>
      <c r="CM402" s="66"/>
      <c r="CN402" s="66"/>
      <c r="CO402" s="68"/>
      <c r="CR402" s="8"/>
      <c r="CX402" s="66"/>
      <c r="CY402" s="532"/>
      <c r="DE402" s="66"/>
      <c r="DF402" s="66"/>
      <c r="DG402" s="68"/>
      <c r="DH402" s="68"/>
      <c r="DK402" s="66"/>
      <c r="DL402" s="66"/>
      <c r="DM402" s="66"/>
      <c r="DN402" s="66"/>
      <c r="DO402" s="66"/>
      <c r="DP402" s="66"/>
      <c r="DQ402" s="66"/>
      <c r="DR402" s="66"/>
      <c r="DS402" s="66"/>
      <c r="DT402" s="68"/>
      <c r="DU402" s="66"/>
      <c r="DV402" s="296"/>
      <c r="DW402" s="330"/>
      <c r="DX402" s="631"/>
      <c r="DY402" s="631"/>
      <c r="DZ402" s="631"/>
      <c r="EA402" s="330"/>
      <c r="EC402" s="66"/>
      <c r="ED402" s="68"/>
      <c r="EH402" s="66"/>
      <c r="EI402" s="66"/>
      <c r="EJ402" s="68"/>
      <c r="EK402" s="252"/>
      <c r="EL402" s="252"/>
      <c r="EM402" s="252"/>
      <c r="EO402" s="252"/>
      <c r="EP402" s="252"/>
      <c r="EQ402" s="252"/>
      <c r="ES402" s="252"/>
      <c r="ET402" s="252"/>
      <c r="EU402" s="252"/>
      <c r="EW402" s="252"/>
      <c r="EX402" s="252"/>
      <c r="EY402" s="252"/>
      <c r="FA402" s="250"/>
      <c r="FB402" s="250"/>
      <c r="FC402" s="250"/>
      <c r="FD402" s="250"/>
      <c r="FE402" s="250"/>
      <c r="FF402" s="250"/>
      <c r="FG402" s="250"/>
      <c r="FH402" s="424"/>
      <c r="FI402" s="250"/>
      <c r="FJ402" s="250"/>
      <c r="FK402" s="250"/>
      <c r="FL402" s="256"/>
      <c r="FM402" s="250"/>
      <c r="FN402" s="256"/>
      <c r="FO402" s="250"/>
      <c r="FP402" s="256"/>
      <c r="FQ402" s="250"/>
      <c r="FR402" s="256"/>
      <c r="FS402" s="250"/>
      <c r="FT402" s="256"/>
      <c r="FU402" s="256"/>
      <c r="FV402" s="256"/>
      <c r="FW402" s="250"/>
      <c r="FX402" s="424"/>
      <c r="FY402" s="251"/>
      <c r="GC402" s="252"/>
      <c r="GF402" s="252"/>
      <c r="GG402" s="252"/>
      <c r="GH402" s="252"/>
      <c r="GI402" s="252"/>
      <c r="GJ402" s="252"/>
      <c r="GK402" s="251"/>
      <c r="GL402" s="250"/>
      <c r="GM402" s="250"/>
      <c r="GN402" s="250"/>
      <c r="GO402" s="250"/>
      <c r="GP402" s="250"/>
      <c r="GQ402" s="250"/>
      <c r="GR402" s="250"/>
      <c r="GS402" s="250"/>
      <c r="GT402" s="250"/>
      <c r="GU402" s="251"/>
      <c r="GV402" s="250"/>
      <c r="GW402" s="250"/>
      <c r="GX402" s="250"/>
      <c r="GY402" s="250"/>
      <c r="GZ402" s="250"/>
      <c r="HA402" s="250"/>
      <c r="HB402" s="250"/>
      <c r="HC402" s="250"/>
      <c r="HD402" s="250"/>
      <c r="HE402" s="250"/>
      <c r="HF402" s="250"/>
      <c r="HG402" s="250"/>
      <c r="HH402" s="251"/>
      <c r="HI402" s="424"/>
      <c r="HJ402" s="255"/>
      <c r="HK402" s="255"/>
      <c r="HL402" s="250"/>
      <c r="HM402" s="255"/>
      <c r="HN402" s="255"/>
      <c r="HO402" s="255"/>
      <c r="HP402" s="250"/>
      <c r="HQ402" s="250"/>
      <c r="HR402" s="250"/>
      <c r="HS402" s="250"/>
      <c r="HT402" s="250"/>
      <c r="HU402" s="251"/>
      <c r="HX402" s="252"/>
      <c r="HY402" s="252"/>
      <c r="HZ402" s="252"/>
      <c r="ID402" s="252"/>
      <c r="IE402" s="252"/>
      <c r="IF402" s="252"/>
      <c r="IJ402" s="252"/>
      <c r="IK402" s="252"/>
      <c r="IL402" s="252"/>
      <c r="IP402" s="252"/>
      <c r="IQ402" s="252"/>
      <c r="IR402" s="252"/>
      <c r="IY402" s="66"/>
      <c r="IZ402" s="66"/>
      <c r="JA402" s="66"/>
      <c r="JB402" s="250"/>
      <c r="JC402" s="66"/>
      <c r="JD402" s="66"/>
      <c r="JE402" s="66"/>
      <c r="JF402" s="66"/>
      <c r="JG402" s="66"/>
      <c r="JH402" s="66"/>
      <c r="JI402" s="66"/>
      <c r="JJ402" s="66"/>
      <c r="JK402" s="8"/>
      <c r="JN402" s="252"/>
      <c r="JO402" s="252"/>
      <c r="JP402" s="252"/>
      <c r="JT402" s="252"/>
      <c r="JU402" s="252"/>
      <c r="JV402" s="252"/>
      <c r="JZ402" s="252"/>
      <c r="KA402" s="252"/>
      <c r="KB402" s="252"/>
      <c r="KF402" s="252"/>
      <c r="KG402" s="252"/>
      <c r="KH402" s="252"/>
      <c r="KO402" s="66"/>
      <c r="KP402" s="66"/>
      <c r="KQ402" s="66"/>
      <c r="KR402" s="66"/>
      <c r="KS402" s="66"/>
      <c r="KT402" s="66"/>
      <c r="KU402" s="66"/>
      <c r="KV402" s="66"/>
      <c r="KW402" s="66"/>
      <c r="KX402" s="66"/>
      <c r="KY402" s="66"/>
      <c r="KZ402" s="66"/>
      <c r="LA402" s="8"/>
      <c r="LD402" s="252"/>
      <c r="LE402" s="252"/>
      <c r="LF402" s="252"/>
      <c r="LJ402" s="252"/>
      <c r="LK402" s="252"/>
      <c r="LN402" s="252"/>
      <c r="LO402" s="252"/>
      <c r="LP402" s="252"/>
      <c r="LT402" s="271"/>
      <c r="LU402" s="250"/>
      <c r="LV402" s="250"/>
      <c r="LW402" s="250"/>
      <c r="LX402" s="250"/>
      <c r="LY402" s="250"/>
      <c r="LZ402" s="250"/>
      <c r="MA402" s="250"/>
      <c r="MB402" s="250"/>
      <c r="MC402" s="250"/>
      <c r="MD402" s="250"/>
      <c r="ME402" s="250"/>
      <c r="MF402" s="250"/>
      <c r="MG402" s="250"/>
      <c r="MH402" s="250"/>
      <c r="MI402" s="250"/>
      <c r="MJ402" s="250"/>
      <c r="MK402" s="424"/>
      <c r="ML402" s="640"/>
      <c r="MM402" s="251"/>
      <c r="MN402" s="252"/>
      <c r="MO402" s="252"/>
      <c r="MP402" s="252"/>
      <c r="MQ402" s="252"/>
      <c r="MR402" s="252"/>
      <c r="MS402" s="252"/>
      <c r="MT402" s="252"/>
      <c r="MU402" s="252"/>
      <c r="MV402" s="252"/>
      <c r="MW402" s="252"/>
      <c r="MX402" s="252"/>
      <c r="MY402" s="252"/>
      <c r="MZ402" s="252"/>
      <c r="NA402" s="252"/>
      <c r="NB402" s="252"/>
      <c r="NC402" s="251"/>
      <c r="ND402" s="250"/>
      <c r="NE402" s="250"/>
      <c r="NF402" s="250"/>
      <c r="NG402" s="250"/>
      <c r="NH402" s="250"/>
      <c r="NI402" s="250"/>
      <c r="NJ402" s="250"/>
      <c r="NK402" s="250"/>
      <c r="NL402" s="250"/>
      <c r="NM402" s="250"/>
      <c r="NN402" s="250"/>
      <c r="NO402" s="250"/>
      <c r="NP402" s="250"/>
      <c r="NQ402" s="250"/>
      <c r="NR402" s="250"/>
      <c r="NS402" s="250"/>
      <c r="NT402" s="250"/>
      <c r="NU402" s="250"/>
      <c r="NV402" s="250"/>
      <c r="NW402" s="251"/>
      <c r="OT402" s="8"/>
      <c r="QG402" s="8"/>
      <c r="RT402" s="8"/>
    </row>
    <row r="403" spans="1:488" s="282" customFormat="1" x14ac:dyDescent="0.25">
      <c r="A403" s="66"/>
      <c r="B403" s="8"/>
      <c r="C403" s="66"/>
      <c r="D403" s="66"/>
      <c r="E403" s="66"/>
      <c r="F403" s="66"/>
      <c r="G403" s="66"/>
      <c r="H403" s="66"/>
      <c r="I403" s="66"/>
      <c r="J403" s="66"/>
      <c r="K403" s="66"/>
      <c r="L403" s="66"/>
      <c r="M403" s="66"/>
      <c r="N403" s="66"/>
      <c r="O403" s="66"/>
      <c r="P403" s="66"/>
      <c r="Q403" s="66"/>
      <c r="R403" s="66"/>
      <c r="S403" s="66"/>
      <c r="T403" s="68"/>
      <c r="AC403" s="66"/>
      <c r="AD403" s="66"/>
      <c r="AE403" s="68"/>
      <c r="AN403" s="66"/>
      <c r="AO403" s="66"/>
      <c r="AP403" s="68"/>
      <c r="AW403" s="66"/>
      <c r="AX403" s="68"/>
      <c r="BD403" s="66"/>
      <c r="BE403" s="68"/>
      <c r="BF403" s="66"/>
      <c r="BG403" s="66"/>
      <c r="BH403" s="66"/>
      <c r="BI403" s="66"/>
      <c r="BJ403" s="66"/>
      <c r="BK403" s="66"/>
      <c r="BL403" s="68"/>
      <c r="BO403" s="66"/>
      <c r="BP403" s="68"/>
      <c r="BV403" s="66"/>
      <c r="BW403" s="68"/>
      <c r="CB403" s="8"/>
      <c r="CH403" s="8"/>
      <c r="CK403" s="299"/>
      <c r="CL403" s="299"/>
      <c r="CM403" s="66"/>
      <c r="CN403" s="66"/>
      <c r="CO403" s="68"/>
      <c r="CR403" s="8"/>
      <c r="CX403" s="66"/>
      <c r="CY403" s="532"/>
      <c r="DE403" s="66"/>
      <c r="DF403" s="66"/>
      <c r="DG403" s="68"/>
      <c r="DH403" s="68"/>
      <c r="DK403" s="66"/>
      <c r="DL403" s="66"/>
      <c r="DM403" s="66"/>
      <c r="DN403" s="66"/>
      <c r="DO403" s="66"/>
      <c r="DP403" s="66"/>
      <c r="DQ403" s="66"/>
      <c r="DR403" s="66"/>
      <c r="DS403" s="66"/>
      <c r="DT403" s="68"/>
      <c r="DU403" s="66"/>
      <c r="DV403" s="296"/>
      <c r="DW403" s="330"/>
      <c r="DX403" s="631"/>
      <c r="DY403" s="631"/>
      <c r="DZ403" s="631"/>
      <c r="EA403" s="330"/>
      <c r="EC403" s="66"/>
      <c r="ED403" s="68"/>
      <c r="EH403" s="66"/>
      <c r="EI403" s="66"/>
      <c r="EJ403" s="68"/>
      <c r="EK403" s="252"/>
      <c r="EL403" s="252"/>
      <c r="EM403" s="252"/>
      <c r="EO403" s="252"/>
      <c r="EP403" s="252"/>
      <c r="EQ403" s="252"/>
      <c r="ES403" s="252"/>
      <c r="ET403" s="252"/>
      <c r="EU403" s="252"/>
      <c r="EW403" s="252"/>
      <c r="EX403" s="252"/>
      <c r="EY403" s="252"/>
      <c r="FA403" s="250"/>
      <c r="FB403" s="250"/>
      <c r="FC403" s="250"/>
      <c r="FD403" s="250"/>
      <c r="FE403" s="250"/>
      <c r="FF403" s="250"/>
      <c r="FG403" s="250"/>
      <c r="FH403" s="424"/>
      <c r="FI403" s="250"/>
      <c r="FJ403" s="250"/>
      <c r="FK403" s="250"/>
      <c r="FL403" s="256"/>
      <c r="FM403" s="250"/>
      <c r="FN403" s="256"/>
      <c r="FO403" s="250"/>
      <c r="FP403" s="256"/>
      <c r="FQ403" s="250"/>
      <c r="FR403" s="256"/>
      <c r="FS403" s="250"/>
      <c r="FT403" s="256"/>
      <c r="FU403" s="256"/>
      <c r="FV403" s="256"/>
      <c r="FW403" s="250"/>
      <c r="FX403" s="424"/>
      <c r="FY403" s="251"/>
      <c r="GC403" s="252"/>
      <c r="GF403" s="252"/>
      <c r="GG403" s="252"/>
      <c r="GH403" s="252"/>
      <c r="GI403" s="252"/>
      <c r="GJ403" s="252"/>
      <c r="GK403" s="251"/>
      <c r="GL403" s="250"/>
      <c r="GM403" s="250"/>
      <c r="GN403" s="250"/>
      <c r="GO403" s="250"/>
      <c r="GP403" s="250"/>
      <c r="GQ403" s="250"/>
      <c r="GR403" s="250"/>
      <c r="GS403" s="250"/>
      <c r="GT403" s="250"/>
      <c r="GU403" s="251"/>
      <c r="GV403" s="250"/>
      <c r="GW403" s="250"/>
      <c r="GX403" s="250"/>
      <c r="GY403" s="250"/>
      <c r="GZ403" s="250"/>
      <c r="HA403" s="250"/>
      <c r="HB403" s="250"/>
      <c r="HC403" s="250"/>
      <c r="HD403" s="250"/>
      <c r="HE403" s="250"/>
      <c r="HF403" s="250"/>
      <c r="HG403" s="250"/>
      <c r="HH403" s="251"/>
      <c r="HI403" s="424"/>
      <c r="HJ403" s="255"/>
      <c r="HK403" s="255"/>
      <c r="HL403" s="250"/>
      <c r="HM403" s="255"/>
      <c r="HN403" s="255"/>
      <c r="HO403" s="255"/>
      <c r="HP403" s="250"/>
      <c r="HQ403" s="250"/>
      <c r="HR403" s="250"/>
      <c r="HS403" s="250"/>
      <c r="HT403" s="250"/>
      <c r="HU403" s="251"/>
      <c r="HX403" s="252"/>
      <c r="HY403" s="252"/>
      <c r="HZ403" s="252"/>
      <c r="ID403" s="252"/>
      <c r="IE403" s="252"/>
      <c r="IF403" s="252"/>
      <c r="IJ403" s="252"/>
      <c r="IK403" s="252"/>
      <c r="IL403" s="252"/>
      <c r="IP403" s="252"/>
      <c r="IQ403" s="252"/>
      <c r="IR403" s="252"/>
      <c r="IY403" s="66"/>
      <c r="IZ403" s="66"/>
      <c r="JA403" s="66"/>
      <c r="JB403" s="250"/>
      <c r="JC403" s="66"/>
      <c r="JD403" s="66"/>
      <c r="JE403" s="66"/>
      <c r="JF403" s="66"/>
      <c r="JG403" s="66"/>
      <c r="JH403" s="66"/>
      <c r="JI403" s="66"/>
      <c r="JJ403" s="66"/>
      <c r="JK403" s="8"/>
      <c r="JN403" s="252"/>
      <c r="JO403" s="252"/>
      <c r="JP403" s="252"/>
      <c r="JT403" s="252"/>
      <c r="JU403" s="252"/>
      <c r="JV403" s="252"/>
      <c r="JZ403" s="252"/>
      <c r="KA403" s="252"/>
      <c r="KB403" s="252"/>
      <c r="KF403" s="252"/>
      <c r="KG403" s="252"/>
      <c r="KH403" s="252"/>
      <c r="KO403" s="66"/>
      <c r="KP403" s="66"/>
      <c r="KQ403" s="66"/>
      <c r="KR403" s="66"/>
      <c r="KS403" s="66"/>
      <c r="KT403" s="66"/>
      <c r="KU403" s="66"/>
      <c r="KV403" s="66"/>
      <c r="KW403" s="66"/>
      <c r="KX403" s="66"/>
      <c r="KY403" s="66"/>
      <c r="KZ403" s="66"/>
      <c r="LA403" s="8"/>
      <c r="LD403" s="252"/>
      <c r="LE403" s="252"/>
      <c r="LF403" s="252"/>
      <c r="LJ403" s="252"/>
      <c r="LK403" s="252"/>
      <c r="LN403" s="252"/>
      <c r="LO403" s="252"/>
      <c r="LP403" s="252"/>
      <c r="LT403" s="271"/>
      <c r="LU403" s="250"/>
      <c r="LV403" s="250"/>
      <c r="LW403" s="250"/>
      <c r="LX403" s="250"/>
      <c r="LY403" s="250"/>
      <c r="LZ403" s="250"/>
      <c r="MA403" s="250"/>
      <c r="MB403" s="250"/>
      <c r="MC403" s="250"/>
      <c r="MD403" s="250"/>
      <c r="ME403" s="250"/>
      <c r="MF403" s="250"/>
      <c r="MG403" s="250"/>
      <c r="MH403" s="250"/>
      <c r="MI403" s="250"/>
      <c r="MJ403" s="250"/>
      <c r="MK403" s="424"/>
      <c r="ML403" s="640"/>
      <c r="MM403" s="251"/>
      <c r="MN403" s="252"/>
      <c r="MO403" s="252"/>
      <c r="MP403" s="252"/>
      <c r="MQ403" s="252"/>
      <c r="MR403" s="252"/>
      <c r="MS403" s="252"/>
      <c r="MT403" s="252"/>
      <c r="MU403" s="252"/>
      <c r="MV403" s="252"/>
      <c r="MW403" s="252"/>
      <c r="MX403" s="252"/>
      <c r="MY403" s="252"/>
      <c r="MZ403" s="252"/>
      <c r="NA403" s="252"/>
      <c r="NB403" s="252"/>
      <c r="NC403" s="251"/>
      <c r="ND403" s="250"/>
      <c r="NE403" s="250"/>
      <c r="NF403" s="250"/>
      <c r="NG403" s="250"/>
      <c r="NH403" s="250"/>
      <c r="NI403" s="250"/>
      <c r="NJ403" s="250"/>
      <c r="NK403" s="250"/>
      <c r="NL403" s="250"/>
      <c r="NM403" s="250"/>
      <c r="NN403" s="250"/>
      <c r="NO403" s="250"/>
      <c r="NP403" s="250"/>
      <c r="NQ403" s="250"/>
      <c r="NR403" s="250"/>
      <c r="NS403" s="250"/>
      <c r="NT403" s="250"/>
      <c r="NU403" s="250"/>
      <c r="NV403" s="250"/>
      <c r="NW403" s="251"/>
      <c r="OT403" s="8"/>
      <c r="QG403" s="8"/>
      <c r="RT403" s="8"/>
    </row>
    <row r="404" spans="1:488" s="282" customFormat="1" x14ac:dyDescent="0.25">
      <c r="A404" s="66"/>
      <c r="B404" s="8"/>
      <c r="C404" s="66"/>
      <c r="D404" s="66"/>
      <c r="E404" s="66"/>
      <c r="F404" s="66"/>
      <c r="G404" s="66"/>
      <c r="H404" s="66"/>
      <c r="I404" s="66"/>
      <c r="J404" s="66"/>
      <c r="K404" s="66"/>
      <c r="L404" s="66"/>
      <c r="M404" s="66"/>
      <c r="N404" s="66"/>
      <c r="O404" s="66"/>
      <c r="P404" s="66"/>
      <c r="Q404" s="66"/>
      <c r="R404" s="66"/>
      <c r="S404" s="66"/>
      <c r="T404" s="68"/>
      <c r="AC404" s="66"/>
      <c r="AD404" s="66"/>
      <c r="AE404" s="68"/>
      <c r="AN404" s="66"/>
      <c r="AO404" s="66"/>
      <c r="AP404" s="68"/>
      <c r="AW404" s="66"/>
      <c r="AX404" s="68"/>
      <c r="BD404" s="66"/>
      <c r="BE404" s="68"/>
      <c r="BF404" s="66"/>
      <c r="BG404" s="66"/>
      <c r="BH404" s="66"/>
      <c r="BI404" s="66"/>
      <c r="BJ404" s="66"/>
      <c r="BK404" s="66"/>
      <c r="BL404" s="68"/>
      <c r="BO404" s="66"/>
      <c r="BP404" s="68"/>
      <c r="BV404" s="66"/>
      <c r="BW404" s="68"/>
      <c r="CB404" s="8"/>
      <c r="CH404" s="8"/>
      <c r="CK404" s="299"/>
      <c r="CL404" s="299"/>
      <c r="CM404" s="66"/>
      <c r="CN404" s="66"/>
      <c r="CO404" s="68"/>
      <c r="CR404" s="8"/>
      <c r="CX404" s="66"/>
      <c r="CY404" s="532"/>
      <c r="DE404" s="66"/>
      <c r="DF404" s="66"/>
      <c r="DG404" s="68"/>
      <c r="DH404" s="68"/>
      <c r="DK404" s="66"/>
      <c r="DL404" s="66"/>
      <c r="DM404" s="66"/>
      <c r="DN404" s="66"/>
      <c r="DO404" s="66"/>
      <c r="DP404" s="66"/>
      <c r="DQ404" s="66"/>
      <c r="DR404" s="66"/>
      <c r="DS404" s="66"/>
      <c r="DT404" s="68"/>
      <c r="DU404" s="66"/>
      <c r="DV404" s="296"/>
      <c r="DW404" s="330"/>
      <c r="DX404" s="631"/>
      <c r="DY404" s="631"/>
      <c r="DZ404" s="631"/>
      <c r="EA404" s="330"/>
      <c r="EC404" s="66"/>
      <c r="ED404" s="68"/>
      <c r="EH404" s="66"/>
      <c r="EI404" s="66"/>
      <c r="EJ404" s="68"/>
      <c r="EK404" s="252"/>
      <c r="EL404" s="252"/>
      <c r="EM404" s="252"/>
      <c r="EO404" s="252"/>
      <c r="EP404" s="252"/>
      <c r="EQ404" s="252"/>
      <c r="ES404" s="252"/>
      <c r="ET404" s="252"/>
      <c r="EU404" s="252"/>
      <c r="EW404" s="252"/>
      <c r="EX404" s="252"/>
      <c r="EY404" s="252"/>
      <c r="FA404" s="250"/>
      <c r="FB404" s="250"/>
      <c r="FC404" s="250"/>
      <c r="FD404" s="250"/>
      <c r="FE404" s="250"/>
      <c r="FF404" s="250"/>
      <c r="FG404" s="250"/>
      <c r="FH404" s="424"/>
      <c r="FI404" s="250"/>
      <c r="FJ404" s="250"/>
      <c r="FK404" s="250"/>
      <c r="FL404" s="256"/>
      <c r="FM404" s="250"/>
      <c r="FN404" s="256"/>
      <c r="FO404" s="250"/>
      <c r="FP404" s="256"/>
      <c r="FQ404" s="250"/>
      <c r="FR404" s="256"/>
      <c r="FS404" s="250"/>
      <c r="FT404" s="256"/>
      <c r="FU404" s="256"/>
      <c r="FV404" s="256"/>
      <c r="FW404" s="250"/>
      <c r="FX404" s="424"/>
      <c r="FY404" s="251"/>
      <c r="GC404" s="252"/>
      <c r="GF404" s="252"/>
      <c r="GG404" s="252"/>
      <c r="GH404" s="252"/>
      <c r="GI404" s="252"/>
      <c r="GJ404" s="252"/>
      <c r="GK404" s="251"/>
      <c r="GL404" s="250"/>
      <c r="GM404" s="250"/>
      <c r="GN404" s="250"/>
      <c r="GO404" s="250"/>
      <c r="GP404" s="250"/>
      <c r="GQ404" s="250"/>
      <c r="GR404" s="250"/>
      <c r="GS404" s="250"/>
      <c r="GT404" s="250"/>
      <c r="GU404" s="251"/>
      <c r="GV404" s="250"/>
      <c r="GW404" s="250"/>
      <c r="GX404" s="250"/>
      <c r="GY404" s="250"/>
      <c r="GZ404" s="250"/>
      <c r="HA404" s="250"/>
      <c r="HB404" s="250"/>
      <c r="HC404" s="250"/>
      <c r="HD404" s="250"/>
      <c r="HE404" s="250"/>
      <c r="HF404" s="250"/>
      <c r="HG404" s="250"/>
      <c r="HH404" s="251"/>
      <c r="HI404" s="424"/>
      <c r="HJ404" s="255"/>
      <c r="HK404" s="255"/>
      <c r="HL404" s="250"/>
      <c r="HM404" s="255"/>
      <c r="HN404" s="255"/>
      <c r="HO404" s="255"/>
      <c r="HP404" s="250"/>
      <c r="HQ404" s="250"/>
      <c r="HR404" s="250"/>
      <c r="HS404" s="250"/>
      <c r="HT404" s="250"/>
      <c r="HU404" s="251"/>
      <c r="HX404" s="252"/>
      <c r="HY404" s="252"/>
      <c r="HZ404" s="252"/>
      <c r="ID404" s="252"/>
      <c r="IE404" s="252"/>
      <c r="IF404" s="252"/>
      <c r="IJ404" s="252"/>
      <c r="IK404" s="252"/>
      <c r="IL404" s="252"/>
      <c r="IP404" s="252"/>
      <c r="IQ404" s="252"/>
      <c r="IR404" s="252"/>
      <c r="IY404" s="66"/>
      <c r="IZ404" s="66"/>
      <c r="JA404" s="66"/>
      <c r="JB404" s="250"/>
      <c r="JC404" s="66"/>
      <c r="JD404" s="66"/>
      <c r="JE404" s="66"/>
      <c r="JF404" s="66"/>
      <c r="JG404" s="66"/>
      <c r="JH404" s="66"/>
      <c r="JI404" s="66"/>
      <c r="JJ404" s="66"/>
      <c r="JK404" s="8"/>
      <c r="JN404" s="252"/>
      <c r="JO404" s="252"/>
      <c r="JP404" s="252"/>
      <c r="JT404" s="252"/>
      <c r="JU404" s="252"/>
      <c r="JV404" s="252"/>
      <c r="JZ404" s="252"/>
      <c r="KA404" s="252"/>
      <c r="KB404" s="252"/>
      <c r="KF404" s="252"/>
      <c r="KG404" s="252"/>
      <c r="KH404" s="252"/>
      <c r="KO404" s="66"/>
      <c r="KP404" s="66"/>
      <c r="KQ404" s="66"/>
      <c r="KR404" s="66"/>
      <c r="KS404" s="66"/>
      <c r="KT404" s="66"/>
      <c r="KU404" s="66"/>
      <c r="KV404" s="66"/>
      <c r="KW404" s="66"/>
      <c r="KX404" s="66"/>
      <c r="KY404" s="66"/>
      <c r="KZ404" s="66"/>
      <c r="LA404" s="8"/>
      <c r="LD404" s="252"/>
      <c r="LE404" s="252"/>
      <c r="LF404" s="252"/>
      <c r="LJ404" s="252"/>
      <c r="LK404" s="252"/>
      <c r="LN404" s="252"/>
      <c r="LO404" s="252"/>
      <c r="LP404" s="252"/>
      <c r="LT404" s="271"/>
      <c r="LU404" s="250"/>
      <c r="LV404" s="250"/>
      <c r="LW404" s="250"/>
      <c r="LX404" s="250"/>
      <c r="LY404" s="250"/>
      <c r="LZ404" s="250"/>
      <c r="MA404" s="250"/>
      <c r="MB404" s="250"/>
      <c r="MC404" s="250"/>
      <c r="MD404" s="250"/>
      <c r="ME404" s="250"/>
      <c r="MF404" s="250"/>
      <c r="MG404" s="250"/>
      <c r="MH404" s="250"/>
      <c r="MI404" s="250"/>
      <c r="MJ404" s="250"/>
      <c r="MK404" s="424"/>
      <c r="ML404" s="640"/>
      <c r="MM404" s="251"/>
      <c r="MN404" s="252"/>
      <c r="MO404" s="252"/>
      <c r="MP404" s="252"/>
      <c r="MQ404" s="252"/>
      <c r="MR404" s="252"/>
      <c r="MS404" s="252"/>
      <c r="MT404" s="252"/>
      <c r="MU404" s="252"/>
      <c r="MV404" s="252"/>
      <c r="MW404" s="252"/>
      <c r="MX404" s="252"/>
      <c r="MY404" s="252"/>
      <c r="MZ404" s="252"/>
      <c r="NA404" s="252"/>
      <c r="NB404" s="252"/>
      <c r="NC404" s="251"/>
      <c r="ND404" s="250"/>
      <c r="NE404" s="250"/>
      <c r="NF404" s="250"/>
      <c r="NG404" s="250"/>
      <c r="NH404" s="250"/>
      <c r="NI404" s="250"/>
      <c r="NJ404" s="250"/>
      <c r="NK404" s="250"/>
      <c r="NL404" s="250"/>
      <c r="NM404" s="250"/>
      <c r="NN404" s="250"/>
      <c r="NO404" s="250"/>
      <c r="NP404" s="250"/>
      <c r="NQ404" s="250"/>
      <c r="NR404" s="250"/>
      <c r="NS404" s="250"/>
      <c r="NT404" s="250"/>
      <c r="NU404" s="250"/>
      <c r="NV404" s="250"/>
      <c r="NW404" s="251"/>
      <c r="OT404" s="8"/>
      <c r="QG404" s="8"/>
      <c r="RT404" s="8"/>
    </row>
    <row r="405" spans="1:488" s="282" customFormat="1" x14ac:dyDescent="0.25">
      <c r="A405" s="66"/>
      <c r="B405" s="8"/>
      <c r="C405" s="66"/>
      <c r="D405" s="66"/>
      <c r="E405" s="66"/>
      <c r="F405" s="66"/>
      <c r="G405" s="66"/>
      <c r="H405" s="66"/>
      <c r="I405" s="66"/>
      <c r="J405" s="66"/>
      <c r="K405" s="66"/>
      <c r="L405" s="66"/>
      <c r="M405" s="66"/>
      <c r="N405" s="66"/>
      <c r="O405" s="66"/>
      <c r="P405" s="66"/>
      <c r="Q405" s="66"/>
      <c r="R405" s="66"/>
      <c r="S405" s="66"/>
      <c r="T405" s="68"/>
      <c r="AC405" s="66"/>
      <c r="AD405" s="66"/>
      <c r="AE405" s="68"/>
      <c r="AN405" s="66"/>
      <c r="AO405" s="66"/>
      <c r="AP405" s="68"/>
      <c r="AW405" s="66"/>
      <c r="AX405" s="68"/>
      <c r="BD405" s="66"/>
      <c r="BE405" s="68"/>
      <c r="BF405" s="66"/>
      <c r="BG405" s="66"/>
      <c r="BH405" s="66"/>
      <c r="BI405" s="66"/>
      <c r="BJ405" s="66"/>
      <c r="BK405" s="66"/>
      <c r="BL405" s="68"/>
      <c r="BO405" s="66"/>
      <c r="BP405" s="68"/>
      <c r="BV405" s="66"/>
      <c r="BW405" s="68"/>
      <c r="CB405" s="8"/>
      <c r="CH405" s="8"/>
      <c r="CK405" s="299"/>
      <c r="CL405" s="299"/>
      <c r="CM405" s="66"/>
      <c r="CN405" s="66"/>
      <c r="CO405" s="68"/>
      <c r="CR405" s="8"/>
      <c r="CX405" s="66"/>
      <c r="CY405" s="532"/>
      <c r="DE405" s="66"/>
      <c r="DF405" s="66"/>
      <c r="DG405" s="68"/>
      <c r="DH405" s="68"/>
      <c r="DK405" s="66"/>
      <c r="DL405" s="66"/>
      <c r="DM405" s="66"/>
      <c r="DN405" s="66"/>
      <c r="DO405" s="66"/>
      <c r="DP405" s="66"/>
      <c r="DQ405" s="66"/>
      <c r="DR405" s="66"/>
      <c r="DS405" s="66"/>
      <c r="DT405" s="68"/>
      <c r="DU405" s="66"/>
      <c r="DV405" s="296"/>
      <c r="DW405" s="330"/>
      <c r="DX405" s="631"/>
      <c r="DY405" s="631"/>
      <c r="DZ405" s="631"/>
      <c r="EA405" s="330"/>
      <c r="EC405" s="66"/>
      <c r="ED405" s="68"/>
      <c r="EH405" s="66"/>
      <c r="EI405" s="66"/>
      <c r="EJ405" s="68"/>
      <c r="EK405" s="252"/>
      <c r="EL405" s="252"/>
      <c r="EM405" s="252"/>
      <c r="EO405" s="252"/>
      <c r="EP405" s="252"/>
      <c r="EQ405" s="252"/>
      <c r="ES405" s="252"/>
      <c r="ET405" s="252"/>
      <c r="EU405" s="252"/>
      <c r="EW405" s="252"/>
      <c r="EX405" s="252"/>
      <c r="EY405" s="252"/>
      <c r="FA405" s="250"/>
      <c r="FB405" s="250"/>
      <c r="FC405" s="250"/>
      <c r="FD405" s="250"/>
      <c r="FE405" s="250"/>
      <c r="FF405" s="250"/>
      <c r="FG405" s="250"/>
      <c r="FH405" s="424"/>
      <c r="FI405" s="250"/>
      <c r="FJ405" s="250"/>
      <c r="FK405" s="250"/>
      <c r="FL405" s="256"/>
      <c r="FM405" s="250"/>
      <c r="FN405" s="256"/>
      <c r="FO405" s="250"/>
      <c r="FP405" s="256"/>
      <c r="FQ405" s="250"/>
      <c r="FR405" s="256"/>
      <c r="FS405" s="250"/>
      <c r="FT405" s="256"/>
      <c r="FU405" s="256"/>
      <c r="FV405" s="256"/>
      <c r="FW405" s="250"/>
      <c r="FX405" s="424"/>
      <c r="FY405" s="251"/>
      <c r="GC405" s="252"/>
      <c r="GF405" s="252"/>
      <c r="GG405" s="252"/>
      <c r="GH405" s="252"/>
      <c r="GI405" s="252"/>
      <c r="GJ405" s="252"/>
      <c r="GK405" s="251"/>
      <c r="GL405" s="250"/>
      <c r="GM405" s="250"/>
      <c r="GN405" s="250"/>
      <c r="GO405" s="250"/>
      <c r="GP405" s="250"/>
      <c r="GQ405" s="250"/>
      <c r="GR405" s="250"/>
      <c r="GS405" s="250"/>
      <c r="GT405" s="250"/>
      <c r="GU405" s="251"/>
      <c r="GV405" s="250"/>
      <c r="GW405" s="250"/>
      <c r="GX405" s="250"/>
      <c r="GY405" s="250"/>
      <c r="GZ405" s="250"/>
      <c r="HA405" s="250"/>
      <c r="HB405" s="250"/>
      <c r="HC405" s="250"/>
      <c r="HD405" s="250"/>
      <c r="HE405" s="250"/>
      <c r="HF405" s="250"/>
      <c r="HG405" s="250"/>
      <c r="HH405" s="251"/>
      <c r="HI405" s="424"/>
      <c r="HJ405" s="255"/>
      <c r="HK405" s="255"/>
      <c r="HL405" s="250"/>
      <c r="HM405" s="255"/>
      <c r="HN405" s="255"/>
      <c r="HO405" s="255"/>
      <c r="HP405" s="250"/>
      <c r="HQ405" s="250"/>
      <c r="HR405" s="250"/>
      <c r="HS405" s="250"/>
      <c r="HT405" s="250"/>
      <c r="HU405" s="251"/>
      <c r="HX405" s="252"/>
      <c r="HY405" s="252"/>
      <c r="HZ405" s="252"/>
      <c r="ID405" s="252"/>
      <c r="IE405" s="252"/>
      <c r="IF405" s="252"/>
      <c r="IJ405" s="252"/>
      <c r="IK405" s="252"/>
      <c r="IL405" s="252"/>
      <c r="IP405" s="252"/>
      <c r="IQ405" s="252"/>
      <c r="IR405" s="252"/>
      <c r="IY405" s="66"/>
      <c r="IZ405" s="66"/>
      <c r="JA405" s="66"/>
      <c r="JB405" s="250"/>
      <c r="JC405" s="66"/>
      <c r="JD405" s="66"/>
      <c r="JE405" s="66"/>
      <c r="JF405" s="66"/>
      <c r="JG405" s="66"/>
      <c r="JH405" s="66"/>
      <c r="JI405" s="66"/>
      <c r="JJ405" s="66"/>
      <c r="JK405" s="8"/>
      <c r="JN405" s="252"/>
      <c r="JO405" s="252"/>
      <c r="JP405" s="252"/>
      <c r="JT405" s="252"/>
      <c r="JU405" s="252"/>
      <c r="JV405" s="252"/>
      <c r="JZ405" s="252"/>
      <c r="KA405" s="252"/>
      <c r="KB405" s="252"/>
      <c r="KF405" s="252"/>
      <c r="KG405" s="252"/>
      <c r="KH405" s="252"/>
      <c r="KO405" s="66"/>
      <c r="KP405" s="66"/>
      <c r="KQ405" s="66"/>
      <c r="KR405" s="66"/>
      <c r="KS405" s="66"/>
      <c r="KT405" s="66"/>
      <c r="KU405" s="66"/>
      <c r="KV405" s="66"/>
      <c r="KW405" s="66"/>
      <c r="KX405" s="66"/>
      <c r="KY405" s="66"/>
      <c r="KZ405" s="66"/>
      <c r="LA405" s="8"/>
      <c r="LD405" s="252"/>
      <c r="LE405" s="252"/>
      <c r="LF405" s="252"/>
      <c r="LJ405" s="252"/>
      <c r="LK405" s="252"/>
      <c r="LN405" s="252"/>
      <c r="LO405" s="252"/>
      <c r="LP405" s="252"/>
      <c r="LT405" s="271"/>
      <c r="LU405" s="250"/>
      <c r="LV405" s="250"/>
      <c r="LW405" s="250"/>
      <c r="LX405" s="250"/>
      <c r="LY405" s="250"/>
      <c r="LZ405" s="250"/>
      <c r="MA405" s="250"/>
      <c r="MB405" s="250"/>
      <c r="MC405" s="250"/>
      <c r="MD405" s="250"/>
      <c r="ME405" s="250"/>
      <c r="MF405" s="250"/>
      <c r="MG405" s="250"/>
      <c r="MH405" s="250"/>
      <c r="MI405" s="250"/>
      <c r="MJ405" s="250"/>
      <c r="MK405" s="424"/>
      <c r="ML405" s="640"/>
      <c r="MM405" s="251"/>
      <c r="MN405" s="252"/>
      <c r="MO405" s="252"/>
      <c r="MP405" s="252"/>
      <c r="MQ405" s="252"/>
      <c r="MR405" s="252"/>
      <c r="MS405" s="252"/>
      <c r="MT405" s="252"/>
      <c r="MU405" s="252"/>
      <c r="MV405" s="252"/>
      <c r="MW405" s="252"/>
      <c r="MX405" s="252"/>
      <c r="MY405" s="252"/>
      <c r="MZ405" s="252"/>
      <c r="NA405" s="252"/>
      <c r="NB405" s="252"/>
      <c r="NC405" s="251"/>
      <c r="ND405" s="250"/>
      <c r="NE405" s="250"/>
      <c r="NF405" s="250"/>
      <c r="NG405" s="250"/>
      <c r="NH405" s="250"/>
      <c r="NI405" s="250"/>
      <c r="NJ405" s="250"/>
      <c r="NK405" s="250"/>
      <c r="NL405" s="250"/>
      <c r="NM405" s="250"/>
      <c r="NN405" s="250"/>
      <c r="NO405" s="250"/>
      <c r="NP405" s="250"/>
      <c r="NQ405" s="250"/>
      <c r="NR405" s="250"/>
      <c r="NS405" s="250"/>
      <c r="NT405" s="250"/>
      <c r="NU405" s="250"/>
      <c r="NV405" s="250"/>
      <c r="NW405" s="251"/>
      <c r="OT405" s="8"/>
      <c r="QG405" s="8"/>
      <c r="RT405" s="8"/>
    </row>
    <row r="406" spans="1:488" s="282" customFormat="1" x14ac:dyDescent="0.25">
      <c r="A406" s="66"/>
      <c r="B406" s="8"/>
      <c r="C406" s="66"/>
      <c r="D406" s="66"/>
      <c r="E406" s="66"/>
      <c r="F406" s="66"/>
      <c r="G406" s="66"/>
      <c r="H406" s="66"/>
      <c r="I406" s="66"/>
      <c r="J406" s="66"/>
      <c r="K406" s="66"/>
      <c r="L406" s="66"/>
      <c r="M406" s="66"/>
      <c r="N406" s="66"/>
      <c r="O406" s="66"/>
      <c r="P406" s="66"/>
      <c r="Q406" s="66"/>
      <c r="R406" s="66"/>
      <c r="S406" s="66"/>
      <c r="T406" s="68"/>
      <c r="AC406" s="66"/>
      <c r="AD406" s="66"/>
      <c r="AE406" s="68"/>
      <c r="AN406" s="66"/>
      <c r="AO406" s="66"/>
      <c r="AP406" s="68"/>
      <c r="AW406" s="66"/>
      <c r="AX406" s="68"/>
      <c r="BD406" s="66"/>
      <c r="BE406" s="68"/>
      <c r="BF406" s="66"/>
      <c r="BG406" s="66"/>
      <c r="BH406" s="66"/>
      <c r="BI406" s="66"/>
      <c r="BJ406" s="66"/>
      <c r="BK406" s="66"/>
      <c r="BL406" s="68"/>
      <c r="BO406" s="66"/>
      <c r="BP406" s="68"/>
      <c r="BV406" s="66"/>
      <c r="BW406" s="68"/>
      <c r="CB406" s="8"/>
      <c r="CH406" s="8"/>
      <c r="CK406" s="299"/>
      <c r="CL406" s="299"/>
      <c r="CM406" s="66"/>
      <c r="CN406" s="66"/>
      <c r="CO406" s="68"/>
      <c r="CR406" s="8"/>
      <c r="CX406" s="66"/>
      <c r="CY406" s="532"/>
      <c r="DE406" s="66"/>
      <c r="DF406" s="66"/>
      <c r="DG406" s="68"/>
      <c r="DH406" s="68"/>
      <c r="DK406" s="66"/>
      <c r="DL406" s="66"/>
      <c r="DM406" s="66"/>
      <c r="DN406" s="66"/>
      <c r="DO406" s="66"/>
      <c r="DP406" s="66"/>
      <c r="DQ406" s="66"/>
      <c r="DR406" s="66"/>
      <c r="DS406" s="66"/>
      <c r="DT406" s="68"/>
      <c r="DU406" s="66"/>
      <c r="DV406" s="296"/>
      <c r="DW406" s="330"/>
      <c r="DX406" s="631"/>
      <c r="DY406" s="631"/>
      <c r="DZ406" s="631"/>
      <c r="EA406" s="330"/>
      <c r="EC406" s="66"/>
      <c r="ED406" s="68"/>
      <c r="EH406" s="66"/>
      <c r="EI406" s="66"/>
      <c r="EJ406" s="68"/>
      <c r="EK406" s="252"/>
      <c r="EL406" s="252"/>
      <c r="EM406" s="252"/>
      <c r="EO406" s="252"/>
      <c r="EP406" s="252"/>
      <c r="EQ406" s="252"/>
      <c r="ES406" s="252"/>
      <c r="ET406" s="252"/>
      <c r="EU406" s="252"/>
      <c r="EW406" s="252"/>
      <c r="EX406" s="252"/>
      <c r="EY406" s="252"/>
      <c r="FA406" s="250"/>
      <c r="FB406" s="250"/>
      <c r="FC406" s="250"/>
      <c r="FD406" s="250"/>
      <c r="FE406" s="250"/>
      <c r="FF406" s="250"/>
      <c r="FG406" s="250"/>
      <c r="FH406" s="424"/>
      <c r="FI406" s="250"/>
      <c r="FJ406" s="250"/>
      <c r="FK406" s="250"/>
      <c r="FL406" s="256"/>
      <c r="FM406" s="250"/>
      <c r="FN406" s="256"/>
      <c r="FO406" s="250"/>
      <c r="FP406" s="256"/>
      <c r="FQ406" s="250"/>
      <c r="FR406" s="256"/>
      <c r="FS406" s="250"/>
      <c r="FT406" s="256"/>
      <c r="FU406" s="256"/>
      <c r="FV406" s="256"/>
      <c r="FW406" s="250"/>
      <c r="FX406" s="424"/>
      <c r="FY406" s="251"/>
      <c r="GC406" s="252"/>
      <c r="GF406" s="252"/>
      <c r="GG406" s="252"/>
      <c r="GH406" s="252"/>
      <c r="GI406" s="252"/>
      <c r="GJ406" s="252"/>
      <c r="GK406" s="251"/>
      <c r="GL406" s="250"/>
      <c r="GM406" s="250"/>
      <c r="GN406" s="250"/>
      <c r="GO406" s="250"/>
      <c r="GP406" s="250"/>
      <c r="GQ406" s="250"/>
      <c r="GR406" s="250"/>
      <c r="GS406" s="250"/>
      <c r="GT406" s="250"/>
      <c r="GU406" s="251"/>
      <c r="GV406" s="250"/>
      <c r="GW406" s="250"/>
      <c r="GX406" s="250"/>
      <c r="GY406" s="250"/>
      <c r="GZ406" s="250"/>
      <c r="HA406" s="250"/>
      <c r="HB406" s="250"/>
      <c r="HC406" s="250"/>
      <c r="HD406" s="250"/>
      <c r="HE406" s="250"/>
      <c r="HF406" s="250"/>
      <c r="HG406" s="250"/>
      <c r="HH406" s="251"/>
      <c r="HI406" s="424"/>
      <c r="HJ406" s="255"/>
      <c r="HK406" s="255"/>
      <c r="HL406" s="250"/>
      <c r="HM406" s="255"/>
      <c r="HN406" s="255"/>
      <c r="HO406" s="255"/>
      <c r="HP406" s="250"/>
      <c r="HQ406" s="250"/>
      <c r="HR406" s="250"/>
      <c r="HS406" s="250"/>
      <c r="HT406" s="250"/>
      <c r="HU406" s="251"/>
      <c r="HX406" s="252"/>
      <c r="HY406" s="252"/>
      <c r="HZ406" s="252"/>
      <c r="ID406" s="252"/>
      <c r="IE406" s="252"/>
      <c r="IF406" s="252"/>
      <c r="IJ406" s="252"/>
      <c r="IK406" s="252"/>
      <c r="IL406" s="252"/>
      <c r="IP406" s="252"/>
      <c r="IQ406" s="252"/>
      <c r="IR406" s="252"/>
      <c r="IY406" s="66"/>
      <c r="IZ406" s="66"/>
      <c r="JA406" s="66"/>
      <c r="JB406" s="250"/>
      <c r="JC406" s="66"/>
      <c r="JD406" s="66"/>
      <c r="JE406" s="66"/>
      <c r="JF406" s="66"/>
      <c r="JG406" s="66"/>
      <c r="JH406" s="66"/>
      <c r="JI406" s="66"/>
      <c r="JJ406" s="66"/>
      <c r="JK406" s="8"/>
      <c r="JN406" s="252"/>
      <c r="JO406" s="252"/>
      <c r="JP406" s="252"/>
      <c r="JT406" s="252"/>
      <c r="JU406" s="252"/>
      <c r="JV406" s="252"/>
      <c r="JZ406" s="252"/>
      <c r="KA406" s="252"/>
      <c r="KB406" s="252"/>
      <c r="KF406" s="252"/>
      <c r="KG406" s="252"/>
      <c r="KH406" s="252"/>
      <c r="KO406" s="66"/>
      <c r="KP406" s="66"/>
      <c r="KQ406" s="66"/>
      <c r="KR406" s="66"/>
      <c r="KS406" s="66"/>
      <c r="KT406" s="66"/>
      <c r="KU406" s="66"/>
      <c r="KV406" s="66"/>
      <c r="KW406" s="66"/>
      <c r="KX406" s="66"/>
      <c r="KY406" s="66"/>
      <c r="KZ406" s="66"/>
      <c r="LA406" s="8"/>
      <c r="LD406" s="252"/>
      <c r="LE406" s="252"/>
      <c r="LF406" s="252"/>
      <c r="LJ406" s="252"/>
      <c r="LK406" s="252"/>
      <c r="LN406" s="252"/>
      <c r="LO406" s="252"/>
      <c r="LP406" s="252"/>
      <c r="LT406" s="271"/>
      <c r="LU406" s="250"/>
      <c r="LV406" s="250"/>
      <c r="LW406" s="250"/>
      <c r="LX406" s="250"/>
      <c r="LY406" s="250"/>
      <c r="LZ406" s="250"/>
      <c r="MA406" s="250"/>
      <c r="MB406" s="250"/>
      <c r="MC406" s="250"/>
      <c r="MD406" s="250"/>
      <c r="ME406" s="250"/>
      <c r="MF406" s="250"/>
      <c r="MG406" s="250"/>
      <c r="MH406" s="250"/>
      <c r="MI406" s="250"/>
      <c r="MJ406" s="250"/>
      <c r="MK406" s="424"/>
      <c r="ML406" s="640"/>
      <c r="MM406" s="251"/>
      <c r="MN406" s="252"/>
      <c r="MO406" s="252"/>
      <c r="MP406" s="252"/>
      <c r="MQ406" s="252"/>
      <c r="MR406" s="252"/>
      <c r="MS406" s="252"/>
      <c r="MT406" s="252"/>
      <c r="MU406" s="252"/>
      <c r="MV406" s="252"/>
      <c r="MW406" s="252"/>
      <c r="MX406" s="252"/>
      <c r="MY406" s="252"/>
      <c r="MZ406" s="252"/>
      <c r="NA406" s="252"/>
      <c r="NB406" s="252"/>
      <c r="NC406" s="251"/>
      <c r="ND406" s="250"/>
      <c r="NE406" s="250"/>
      <c r="NF406" s="250"/>
      <c r="NG406" s="250"/>
      <c r="NH406" s="250"/>
      <c r="NI406" s="250"/>
      <c r="NJ406" s="250"/>
      <c r="NK406" s="250"/>
      <c r="NL406" s="250"/>
      <c r="NM406" s="250"/>
      <c r="NN406" s="250"/>
      <c r="NO406" s="250"/>
      <c r="NP406" s="250"/>
      <c r="NQ406" s="250"/>
      <c r="NR406" s="250"/>
      <c r="NS406" s="250"/>
      <c r="NT406" s="250"/>
      <c r="NU406" s="250"/>
      <c r="NV406" s="250"/>
      <c r="NW406" s="251"/>
      <c r="OT406" s="8"/>
      <c r="QG406" s="8"/>
      <c r="RT406" s="8"/>
    </row>
    <row r="407" spans="1:488" s="282" customFormat="1" x14ac:dyDescent="0.25">
      <c r="A407" s="66"/>
      <c r="B407" s="8"/>
      <c r="C407" s="66"/>
      <c r="D407" s="66"/>
      <c r="E407" s="66"/>
      <c r="F407" s="66"/>
      <c r="G407" s="66"/>
      <c r="H407" s="66"/>
      <c r="I407" s="66"/>
      <c r="J407" s="66"/>
      <c r="K407" s="66"/>
      <c r="L407" s="66"/>
      <c r="M407" s="66"/>
      <c r="N407" s="66"/>
      <c r="O407" s="66"/>
      <c r="P407" s="66"/>
      <c r="Q407" s="66"/>
      <c r="R407" s="66"/>
      <c r="S407" s="66"/>
      <c r="T407" s="68"/>
      <c r="AC407" s="66"/>
      <c r="AD407" s="66"/>
      <c r="AE407" s="68"/>
      <c r="AN407" s="66"/>
      <c r="AO407" s="66"/>
      <c r="AP407" s="68"/>
      <c r="AW407" s="66"/>
      <c r="AX407" s="68"/>
      <c r="BD407" s="66"/>
      <c r="BE407" s="68"/>
      <c r="BF407" s="66"/>
      <c r="BG407" s="66"/>
      <c r="BH407" s="66"/>
      <c r="BI407" s="66"/>
      <c r="BJ407" s="66"/>
      <c r="BK407" s="66"/>
      <c r="BL407" s="68"/>
      <c r="BO407" s="66"/>
      <c r="BP407" s="68"/>
      <c r="BV407" s="66"/>
      <c r="BW407" s="68"/>
      <c r="CB407" s="8"/>
      <c r="CH407" s="8"/>
      <c r="CK407" s="299"/>
      <c r="CL407" s="299"/>
      <c r="CM407" s="66"/>
      <c r="CN407" s="66"/>
      <c r="CO407" s="68"/>
      <c r="CR407" s="8"/>
      <c r="CX407" s="66"/>
      <c r="CY407" s="532"/>
      <c r="DE407" s="66"/>
      <c r="DF407" s="66"/>
      <c r="DG407" s="68"/>
      <c r="DH407" s="68"/>
      <c r="DK407" s="66"/>
      <c r="DL407" s="66"/>
      <c r="DM407" s="66"/>
      <c r="DN407" s="66"/>
      <c r="DO407" s="66"/>
      <c r="DP407" s="66"/>
      <c r="DQ407" s="66"/>
      <c r="DR407" s="66"/>
      <c r="DS407" s="66"/>
      <c r="DT407" s="68"/>
      <c r="DU407" s="66"/>
      <c r="DV407" s="296"/>
      <c r="DW407" s="330"/>
      <c r="DX407" s="631"/>
      <c r="DY407" s="631"/>
      <c r="DZ407" s="631"/>
      <c r="EA407" s="330"/>
      <c r="EC407" s="66"/>
      <c r="ED407" s="68"/>
      <c r="EH407" s="66"/>
      <c r="EI407" s="66"/>
      <c r="EJ407" s="68"/>
      <c r="EK407" s="252"/>
      <c r="EL407" s="252"/>
      <c r="EM407" s="252"/>
      <c r="EO407" s="252"/>
      <c r="EP407" s="252"/>
      <c r="EQ407" s="252"/>
      <c r="ES407" s="252"/>
      <c r="ET407" s="252"/>
      <c r="EU407" s="252"/>
      <c r="EW407" s="252"/>
      <c r="EX407" s="252"/>
      <c r="EY407" s="252"/>
      <c r="FA407" s="250"/>
      <c r="FB407" s="250"/>
      <c r="FC407" s="250"/>
      <c r="FD407" s="250"/>
      <c r="FE407" s="250"/>
      <c r="FF407" s="250"/>
      <c r="FG407" s="250"/>
      <c r="FH407" s="424"/>
      <c r="FI407" s="250"/>
      <c r="FJ407" s="250"/>
      <c r="FK407" s="250"/>
      <c r="FL407" s="256"/>
      <c r="FM407" s="250"/>
      <c r="FN407" s="256"/>
      <c r="FO407" s="250"/>
      <c r="FP407" s="256"/>
      <c r="FQ407" s="250"/>
      <c r="FR407" s="256"/>
      <c r="FS407" s="250"/>
      <c r="FT407" s="256"/>
      <c r="FU407" s="256"/>
      <c r="FV407" s="256"/>
      <c r="FW407" s="250"/>
      <c r="FX407" s="424"/>
      <c r="FY407" s="251"/>
      <c r="GC407" s="252"/>
      <c r="GF407" s="252"/>
      <c r="GG407" s="252"/>
      <c r="GH407" s="252"/>
      <c r="GI407" s="252"/>
      <c r="GJ407" s="252"/>
      <c r="GK407" s="251"/>
      <c r="GL407" s="250"/>
      <c r="GM407" s="250"/>
      <c r="GN407" s="250"/>
      <c r="GO407" s="250"/>
      <c r="GP407" s="250"/>
      <c r="GQ407" s="250"/>
      <c r="GR407" s="250"/>
      <c r="GS407" s="250"/>
      <c r="GT407" s="250"/>
      <c r="GU407" s="251"/>
      <c r="GV407" s="250"/>
      <c r="GW407" s="250"/>
      <c r="GX407" s="250"/>
      <c r="GY407" s="250"/>
      <c r="GZ407" s="250"/>
      <c r="HA407" s="250"/>
      <c r="HB407" s="250"/>
      <c r="HC407" s="250"/>
      <c r="HD407" s="250"/>
      <c r="HE407" s="250"/>
      <c r="HF407" s="250"/>
      <c r="HG407" s="250"/>
      <c r="HH407" s="251"/>
      <c r="HI407" s="424"/>
      <c r="HJ407" s="255"/>
      <c r="HK407" s="255"/>
      <c r="HL407" s="250"/>
      <c r="HM407" s="255"/>
      <c r="HN407" s="255"/>
      <c r="HO407" s="255"/>
      <c r="HP407" s="250"/>
      <c r="HQ407" s="250"/>
      <c r="HR407" s="250"/>
      <c r="HS407" s="250"/>
      <c r="HT407" s="250"/>
      <c r="HU407" s="251"/>
      <c r="HX407" s="252"/>
      <c r="HY407" s="252"/>
      <c r="HZ407" s="252"/>
      <c r="ID407" s="252"/>
      <c r="IE407" s="252"/>
      <c r="IF407" s="252"/>
      <c r="IJ407" s="252"/>
      <c r="IK407" s="252"/>
      <c r="IL407" s="252"/>
      <c r="IP407" s="252"/>
      <c r="IQ407" s="252"/>
      <c r="IR407" s="252"/>
      <c r="IY407" s="66"/>
      <c r="IZ407" s="66"/>
      <c r="JA407" s="66"/>
      <c r="JB407" s="250"/>
      <c r="JC407" s="66"/>
      <c r="JD407" s="66"/>
      <c r="JE407" s="66"/>
      <c r="JF407" s="66"/>
      <c r="JG407" s="66"/>
      <c r="JH407" s="66"/>
      <c r="JI407" s="66"/>
      <c r="JJ407" s="66"/>
      <c r="JK407" s="8"/>
      <c r="JN407" s="252"/>
      <c r="JO407" s="252"/>
      <c r="JP407" s="252"/>
      <c r="JT407" s="252"/>
      <c r="JU407" s="252"/>
      <c r="JV407" s="252"/>
      <c r="JZ407" s="252"/>
      <c r="KA407" s="252"/>
      <c r="KB407" s="252"/>
      <c r="KF407" s="252"/>
      <c r="KG407" s="252"/>
      <c r="KH407" s="252"/>
      <c r="KO407" s="66"/>
      <c r="KP407" s="66"/>
      <c r="KQ407" s="66"/>
      <c r="KR407" s="66"/>
      <c r="KS407" s="66"/>
      <c r="KT407" s="66"/>
      <c r="KU407" s="66"/>
      <c r="KV407" s="66"/>
      <c r="KW407" s="66"/>
      <c r="KX407" s="66"/>
      <c r="KY407" s="66"/>
      <c r="KZ407" s="66"/>
      <c r="LA407" s="8"/>
      <c r="LD407" s="252"/>
      <c r="LE407" s="252"/>
      <c r="LF407" s="252"/>
      <c r="LJ407" s="252"/>
      <c r="LK407" s="252"/>
      <c r="LN407" s="252"/>
      <c r="LO407" s="252"/>
      <c r="LP407" s="252"/>
      <c r="LT407" s="271"/>
      <c r="LU407" s="250"/>
      <c r="LV407" s="250"/>
      <c r="LW407" s="250"/>
      <c r="LX407" s="250"/>
      <c r="LY407" s="250"/>
      <c r="LZ407" s="250"/>
      <c r="MA407" s="250"/>
      <c r="MB407" s="250"/>
      <c r="MC407" s="250"/>
      <c r="MD407" s="250"/>
      <c r="ME407" s="250"/>
      <c r="MF407" s="250"/>
      <c r="MG407" s="250"/>
      <c r="MH407" s="250"/>
      <c r="MI407" s="250"/>
      <c r="MJ407" s="250"/>
      <c r="MK407" s="424"/>
      <c r="ML407" s="640"/>
      <c r="MM407" s="251"/>
      <c r="MN407" s="252"/>
      <c r="MO407" s="252"/>
      <c r="MP407" s="252"/>
      <c r="MQ407" s="252"/>
      <c r="MR407" s="252"/>
      <c r="MS407" s="252"/>
      <c r="MT407" s="252"/>
      <c r="MU407" s="252"/>
      <c r="MV407" s="252"/>
      <c r="MW407" s="252"/>
      <c r="MX407" s="252"/>
      <c r="MY407" s="252"/>
      <c r="MZ407" s="252"/>
      <c r="NA407" s="252"/>
      <c r="NB407" s="252"/>
      <c r="NC407" s="251"/>
      <c r="ND407" s="250"/>
      <c r="NE407" s="250"/>
      <c r="NF407" s="250"/>
      <c r="NG407" s="250"/>
      <c r="NH407" s="250"/>
      <c r="NI407" s="250"/>
      <c r="NJ407" s="250"/>
      <c r="NK407" s="250"/>
      <c r="NL407" s="250"/>
      <c r="NM407" s="250"/>
      <c r="NN407" s="250"/>
      <c r="NO407" s="250"/>
      <c r="NP407" s="250"/>
      <c r="NQ407" s="250"/>
      <c r="NR407" s="250"/>
      <c r="NS407" s="250"/>
      <c r="NT407" s="250"/>
      <c r="NU407" s="250"/>
      <c r="NV407" s="250"/>
      <c r="NW407" s="251"/>
      <c r="OT407" s="8"/>
      <c r="QG407" s="8"/>
      <c r="RT407" s="8"/>
    </row>
    <row r="408" spans="1:488" s="282" customFormat="1" x14ac:dyDescent="0.25">
      <c r="A408" s="66"/>
      <c r="B408" s="8"/>
      <c r="C408" s="66"/>
      <c r="D408" s="66"/>
      <c r="E408" s="66"/>
      <c r="F408" s="66"/>
      <c r="G408" s="66"/>
      <c r="H408" s="66"/>
      <c r="I408" s="66"/>
      <c r="J408" s="66"/>
      <c r="K408" s="66"/>
      <c r="L408" s="66"/>
      <c r="M408" s="66"/>
      <c r="N408" s="66"/>
      <c r="O408" s="66"/>
      <c r="P408" s="66"/>
      <c r="Q408" s="66"/>
      <c r="R408" s="66"/>
      <c r="S408" s="66"/>
      <c r="T408" s="68"/>
      <c r="AC408" s="66"/>
      <c r="AD408" s="66"/>
      <c r="AE408" s="68"/>
      <c r="AN408" s="66"/>
      <c r="AO408" s="66"/>
      <c r="AP408" s="68"/>
      <c r="AW408" s="66"/>
      <c r="AX408" s="68"/>
      <c r="BD408" s="66"/>
      <c r="BE408" s="68"/>
      <c r="BF408" s="66"/>
      <c r="BG408" s="66"/>
      <c r="BH408" s="66"/>
      <c r="BI408" s="66"/>
      <c r="BJ408" s="66"/>
      <c r="BK408" s="66"/>
      <c r="BL408" s="68"/>
      <c r="BO408" s="66"/>
      <c r="BP408" s="68"/>
      <c r="BV408" s="66"/>
      <c r="BW408" s="68"/>
      <c r="CB408" s="8"/>
      <c r="CH408" s="8"/>
      <c r="CK408" s="299"/>
      <c r="CL408" s="299"/>
      <c r="CM408" s="66"/>
      <c r="CN408" s="66"/>
      <c r="CO408" s="68"/>
      <c r="CR408" s="8"/>
      <c r="CX408" s="66"/>
      <c r="CY408" s="532"/>
      <c r="DE408" s="66"/>
      <c r="DF408" s="66"/>
      <c r="DG408" s="68"/>
      <c r="DH408" s="68"/>
      <c r="DK408" s="66"/>
      <c r="DL408" s="66"/>
      <c r="DM408" s="66"/>
      <c r="DN408" s="66"/>
      <c r="DO408" s="66"/>
      <c r="DP408" s="66"/>
      <c r="DQ408" s="66"/>
      <c r="DR408" s="66"/>
      <c r="DS408" s="66"/>
      <c r="DT408" s="68"/>
      <c r="DU408" s="66"/>
      <c r="DV408" s="296"/>
      <c r="DW408" s="330"/>
      <c r="DX408" s="631"/>
      <c r="DY408" s="631"/>
      <c r="DZ408" s="631"/>
      <c r="EA408" s="330"/>
      <c r="EC408" s="66"/>
      <c r="ED408" s="68"/>
      <c r="EH408" s="66"/>
      <c r="EI408" s="66"/>
      <c r="EJ408" s="68"/>
      <c r="EK408" s="252"/>
      <c r="EL408" s="252"/>
      <c r="EM408" s="252"/>
      <c r="EO408" s="252"/>
      <c r="EP408" s="252"/>
      <c r="EQ408" s="252"/>
      <c r="ES408" s="252"/>
      <c r="ET408" s="252"/>
      <c r="EU408" s="252"/>
      <c r="EW408" s="252"/>
      <c r="EX408" s="252"/>
      <c r="EY408" s="252"/>
      <c r="FA408" s="250"/>
      <c r="FB408" s="250"/>
      <c r="FC408" s="250"/>
      <c r="FD408" s="250"/>
      <c r="FE408" s="250"/>
      <c r="FF408" s="250"/>
      <c r="FG408" s="250"/>
      <c r="FH408" s="424"/>
      <c r="FI408" s="250"/>
      <c r="FJ408" s="250"/>
      <c r="FK408" s="250"/>
      <c r="FL408" s="256"/>
      <c r="FM408" s="250"/>
      <c r="FN408" s="256"/>
      <c r="FO408" s="250"/>
      <c r="FP408" s="256"/>
      <c r="FQ408" s="250"/>
      <c r="FR408" s="256"/>
      <c r="FS408" s="250"/>
      <c r="FT408" s="256"/>
      <c r="FU408" s="256"/>
      <c r="FV408" s="256"/>
      <c r="FW408" s="250"/>
      <c r="FX408" s="424"/>
      <c r="FY408" s="251"/>
      <c r="GC408" s="252"/>
      <c r="GF408" s="252"/>
      <c r="GG408" s="252"/>
      <c r="GH408" s="252"/>
      <c r="GI408" s="252"/>
      <c r="GJ408" s="252"/>
      <c r="GK408" s="251"/>
      <c r="GL408" s="250"/>
      <c r="GM408" s="250"/>
      <c r="GN408" s="250"/>
      <c r="GO408" s="250"/>
      <c r="GP408" s="250"/>
      <c r="GQ408" s="250"/>
      <c r="GR408" s="250"/>
      <c r="GS408" s="250"/>
      <c r="GT408" s="250"/>
      <c r="GU408" s="251"/>
      <c r="GV408" s="250"/>
      <c r="GW408" s="250"/>
      <c r="GX408" s="250"/>
      <c r="GY408" s="250"/>
      <c r="GZ408" s="250"/>
      <c r="HA408" s="250"/>
      <c r="HB408" s="250"/>
      <c r="HC408" s="250"/>
      <c r="HD408" s="250"/>
      <c r="HE408" s="250"/>
      <c r="HF408" s="250"/>
      <c r="HG408" s="250"/>
      <c r="HH408" s="251"/>
      <c r="HI408" s="424"/>
      <c r="HJ408" s="255"/>
      <c r="HK408" s="255"/>
      <c r="HL408" s="250"/>
      <c r="HM408" s="255"/>
      <c r="HN408" s="255"/>
      <c r="HO408" s="255"/>
      <c r="HP408" s="250"/>
      <c r="HQ408" s="250"/>
      <c r="HR408" s="250"/>
      <c r="HS408" s="250"/>
      <c r="HT408" s="250"/>
      <c r="HU408" s="251"/>
      <c r="HX408" s="252"/>
      <c r="HY408" s="252"/>
      <c r="HZ408" s="252"/>
      <c r="ID408" s="252"/>
      <c r="IE408" s="252"/>
      <c r="IF408" s="252"/>
      <c r="IJ408" s="252"/>
      <c r="IK408" s="252"/>
      <c r="IL408" s="252"/>
      <c r="IP408" s="252"/>
      <c r="IQ408" s="252"/>
      <c r="IR408" s="252"/>
      <c r="IY408" s="66"/>
      <c r="IZ408" s="66"/>
      <c r="JA408" s="66"/>
      <c r="JB408" s="250"/>
      <c r="JC408" s="66"/>
      <c r="JD408" s="66"/>
      <c r="JE408" s="66"/>
      <c r="JF408" s="66"/>
      <c r="JG408" s="66"/>
      <c r="JH408" s="66"/>
      <c r="JI408" s="66"/>
      <c r="JJ408" s="66"/>
      <c r="JK408" s="8"/>
      <c r="JN408" s="252"/>
      <c r="JO408" s="252"/>
      <c r="JP408" s="252"/>
      <c r="JT408" s="252"/>
      <c r="JU408" s="252"/>
      <c r="JV408" s="252"/>
      <c r="JZ408" s="252"/>
      <c r="KA408" s="252"/>
      <c r="KB408" s="252"/>
      <c r="KF408" s="252"/>
      <c r="KG408" s="252"/>
      <c r="KH408" s="252"/>
      <c r="KO408" s="66"/>
      <c r="KP408" s="66"/>
      <c r="KQ408" s="66"/>
      <c r="KR408" s="66"/>
      <c r="KS408" s="66"/>
      <c r="KT408" s="66"/>
      <c r="KU408" s="66"/>
      <c r="KV408" s="66"/>
      <c r="KW408" s="66"/>
      <c r="KX408" s="66"/>
      <c r="KY408" s="66"/>
      <c r="KZ408" s="66"/>
      <c r="LA408" s="8"/>
      <c r="LD408" s="252"/>
      <c r="LE408" s="252"/>
      <c r="LF408" s="252"/>
      <c r="LJ408" s="252"/>
      <c r="LK408" s="252"/>
      <c r="LN408" s="252"/>
      <c r="LO408" s="252"/>
      <c r="LP408" s="252"/>
      <c r="LT408" s="271"/>
      <c r="LU408" s="250"/>
      <c r="LV408" s="250"/>
      <c r="LW408" s="250"/>
      <c r="LX408" s="250"/>
      <c r="LY408" s="250"/>
      <c r="LZ408" s="250"/>
      <c r="MA408" s="250"/>
      <c r="MB408" s="250"/>
      <c r="MC408" s="250"/>
      <c r="MD408" s="250"/>
      <c r="ME408" s="250"/>
      <c r="MF408" s="250"/>
      <c r="MG408" s="250"/>
      <c r="MH408" s="250"/>
      <c r="MI408" s="250"/>
      <c r="MJ408" s="250"/>
      <c r="MK408" s="424"/>
      <c r="ML408" s="640"/>
      <c r="MM408" s="251"/>
      <c r="MN408" s="252"/>
      <c r="MO408" s="252"/>
      <c r="MP408" s="252"/>
      <c r="MQ408" s="252"/>
      <c r="MR408" s="252"/>
      <c r="MS408" s="252"/>
      <c r="MT408" s="252"/>
      <c r="MU408" s="252"/>
      <c r="MV408" s="252"/>
      <c r="MW408" s="252"/>
      <c r="MX408" s="252"/>
      <c r="MY408" s="252"/>
      <c r="MZ408" s="252"/>
      <c r="NA408" s="252"/>
      <c r="NB408" s="252"/>
      <c r="NC408" s="251"/>
      <c r="ND408" s="250"/>
      <c r="NE408" s="250"/>
      <c r="NF408" s="250"/>
      <c r="NG408" s="250"/>
      <c r="NH408" s="250"/>
      <c r="NI408" s="250"/>
      <c r="NJ408" s="250"/>
      <c r="NK408" s="250"/>
      <c r="NL408" s="250"/>
      <c r="NM408" s="250"/>
      <c r="NN408" s="250"/>
      <c r="NO408" s="250"/>
      <c r="NP408" s="250"/>
      <c r="NQ408" s="250"/>
      <c r="NR408" s="250"/>
      <c r="NS408" s="250"/>
      <c r="NT408" s="250"/>
      <c r="NU408" s="250"/>
      <c r="NV408" s="250"/>
      <c r="NW408" s="251"/>
      <c r="OT408" s="8"/>
      <c r="QG408" s="8"/>
      <c r="RT408" s="8"/>
    </row>
    <row r="409" spans="1:488" s="282" customFormat="1" x14ac:dyDescent="0.25">
      <c r="A409" s="66"/>
      <c r="B409" s="8"/>
      <c r="C409" s="66"/>
      <c r="D409" s="66"/>
      <c r="E409" s="66"/>
      <c r="F409" s="66"/>
      <c r="G409" s="66"/>
      <c r="H409" s="66"/>
      <c r="I409" s="66"/>
      <c r="J409" s="66"/>
      <c r="K409" s="66"/>
      <c r="L409" s="66"/>
      <c r="M409" s="66"/>
      <c r="N409" s="66"/>
      <c r="O409" s="66"/>
      <c r="P409" s="66"/>
      <c r="Q409" s="66"/>
      <c r="R409" s="66"/>
      <c r="S409" s="66"/>
      <c r="T409" s="68"/>
      <c r="AC409" s="66"/>
      <c r="AD409" s="66"/>
      <c r="AE409" s="68"/>
      <c r="AN409" s="66"/>
      <c r="AO409" s="66"/>
      <c r="AP409" s="68"/>
      <c r="AW409" s="66"/>
      <c r="AX409" s="68"/>
      <c r="BD409" s="66"/>
      <c r="BE409" s="68"/>
      <c r="BF409" s="66"/>
      <c r="BG409" s="66"/>
      <c r="BH409" s="66"/>
      <c r="BI409" s="66"/>
      <c r="BJ409" s="66"/>
      <c r="BK409" s="66"/>
      <c r="BL409" s="68"/>
      <c r="BO409" s="66"/>
      <c r="BP409" s="68"/>
      <c r="BV409" s="66"/>
      <c r="BW409" s="68"/>
      <c r="CB409" s="8"/>
      <c r="CH409" s="8"/>
      <c r="CK409" s="299"/>
      <c r="CL409" s="299"/>
      <c r="CM409" s="66"/>
      <c r="CN409" s="66"/>
      <c r="CO409" s="68"/>
      <c r="CR409" s="8"/>
      <c r="CX409" s="66"/>
      <c r="CY409" s="532"/>
      <c r="DE409" s="66"/>
      <c r="DF409" s="66"/>
      <c r="DG409" s="68"/>
      <c r="DH409" s="68"/>
      <c r="DK409" s="66"/>
      <c r="DL409" s="66"/>
      <c r="DM409" s="66"/>
      <c r="DN409" s="66"/>
      <c r="DO409" s="66"/>
      <c r="DP409" s="66"/>
      <c r="DQ409" s="66"/>
      <c r="DR409" s="66"/>
      <c r="DS409" s="66"/>
      <c r="DT409" s="68"/>
      <c r="DU409" s="66"/>
      <c r="DV409" s="296"/>
      <c r="DW409" s="330"/>
      <c r="DX409" s="631"/>
      <c r="DY409" s="631"/>
      <c r="DZ409" s="631"/>
      <c r="EA409" s="330"/>
      <c r="EC409" s="66"/>
      <c r="ED409" s="68"/>
      <c r="EH409" s="66"/>
      <c r="EI409" s="66"/>
      <c r="EJ409" s="68"/>
      <c r="EK409" s="252"/>
      <c r="EL409" s="252"/>
      <c r="EM409" s="252"/>
      <c r="EO409" s="252"/>
      <c r="EP409" s="252"/>
      <c r="EQ409" s="252"/>
      <c r="ES409" s="252"/>
      <c r="ET409" s="252"/>
      <c r="EU409" s="252"/>
      <c r="EW409" s="252"/>
      <c r="EX409" s="252"/>
      <c r="EY409" s="252"/>
      <c r="FA409" s="250"/>
      <c r="FB409" s="250"/>
      <c r="FC409" s="250"/>
      <c r="FD409" s="250"/>
      <c r="FE409" s="250"/>
      <c r="FF409" s="250"/>
      <c r="FG409" s="250"/>
      <c r="FH409" s="424"/>
      <c r="FI409" s="250"/>
      <c r="FJ409" s="250"/>
      <c r="FK409" s="250"/>
      <c r="FL409" s="256"/>
      <c r="FM409" s="250"/>
      <c r="FN409" s="256"/>
      <c r="FO409" s="250"/>
      <c r="FP409" s="256"/>
      <c r="FQ409" s="250"/>
      <c r="FR409" s="256"/>
      <c r="FS409" s="250"/>
      <c r="FT409" s="256"/>
      <c r="FU409" s="256"/>
      <c r="FV409" s="256"/>
      <c r="FW409" s="250"/>
      <c r="FX409" s="424"/>
      <c r="FY409" s="251"/>
      <c r="GC409" s="252"/>
      <c r="GF409" s="252"/>
      <c r="GG409" s="252"/>
      <c r="GH409" s="252"/>
      <c r="GI409" s="252"/>
      <c r="GJ409" s="252"/>
      <c r="GK409" s="251"/>
      <c r="GL409" s="250"/>
      <c r="GM409" s="250"/>
      <c r="GN409" s="250"/>
      <c r="GO409" s="250"/>
      <c r="GP409" s="250"/>
      <c r="GQ409" s="250"/>
      <c r="GR409" s="250"/>
      <c r="GS409" s="250"/>
      <c r="GT409" s="250"/>
      <c r="GU409" s="251"/>
      <c r="GV409" s="250"/>
      <c r="GW409" s="250"/>
      <c r="GX409" s="250"/>
      <c r="GY409" s="250"/>
      <c r="GZ409" s="250"/>
      <c r="HA409" s="250"/>
      <c r="HB409" s="250"/>
      <c r="HC409" s="250"/>
      <c r="HD409" s="250"/>
      <c r="HE409" s="250"/>
      <c r="HF409" s="250"/>
      <c r="HG409" s="250"/>
      <c r="HH409" s="251"/>
      <c r="HI409" s="424"/>
      <c r="HJ409" s="255"/>
      <c r="HK409" s="255"/>
      <c r="HL409" s="250"/>
      <c r="HM409" s="255"/>
      <c r="HN409" s="255"/>
      <c r="HO409" s="255"/>
      <c r="HP409" s="250"/>
      <c r="HQ409" s="250"/>
      <c r="HR409" s="250"/>
      <c r="HS409" s="250"/>
      <c r="HT409" s="250"/>
      <c r="HU409" s="251"/>
      <c r="HX409" s="252"/>
      <c r="HY409" s="252"/>
      <c r="HZ409" s="252"/>
      <c r="ID409" s="252"/>
      <c r="IE409" s="252"/>
      <c r="IF409" s="252"/>
      <c r="IJ409" s="252"/>
      <c r="IK409" s="252"/>
      <c r="IL409" s="252"/>
      <c r="IP409" s="252"/>
      <c r="IQ409" s="252"/>
      <c r="IR409" s="252"/>
      <c r="IY409" s="66"/>
      <c r="IZ409" s="66"/>
      <c r="JA409" s="66"/>
      <c r="JB409" s="250"/>
      <c r="JC409" s="66"/>
      <c r="JD409" s="66"/>
      <c r="JE409" s="66"/>
      <c r="JF409" s="66"/>
      <c r="JG409" s="66"/>
      <c r="JH409" s="66"/>
      <c r="JI409" s="66"/>
      <c r="JJ409" s="66"/>
      <c r="JK409" s="8"/>
      <c r="JN409" s="252"/>
      <c r="JO409" s="252"/>
      <c r="JP409" s="252"/>
      <c r="JT409" s="252"/>
      <c r="JU409" s="252"/>
      <c r="JV409" s="252"/>
      <c r="JZ409" s="252"/>
      <c r="KA409" s="252"/>
      <c r="KB409" s="252"/>
      <c r="KF409" s="252"/>
      <c r="KG409" s="252"/>
      <c r="KH409" s="252"/>
      <c r="KO409" s="66"/>
      <c r="KP409" s="66"/>
      <c r="KQ409" s="66"/>
      <c r="KR409" s="66"/>
      <c r="KS409" s="66"/>
      <c r="KT409" s="66"/>
      <c r="KU409" s="66"/>
      <c r="KV409" s="66"/>
      <c r="KW409" s="66"/>
      <c r="KX409" s="66"/>
      <c r="KY409" s="66"/>
      <c r="KZ409" s="66"/>
      <c r="LA409" s="8"/>
      <c r="LD409" s="252"/>
      <c r="LE409" s="252"/>
      <c r="LF409" s="252"/>
      <c r="LJ409" s="252"/>
      <c r="LK409" s="252"/>
      <c r="LN409" s="252"/>
      <c r="LO409" s="252"/>
      <c r="LP409" s="252"/>
      <c r="LT409" s="271"/>
      <c r="LU409" s="250"/>
      <c r="LV409" s="250"/>
      <c r="LW409" s="250"/>
      <c r="LX409" s="250"/>
      <c r="LY409" s="250"/>
      <c r="LZ409" s="250"/>
      <c r="MA409" s="250"/>
      <c r="MB409" s="250"/>
      <c r="MC409" s="250"/>
      <c r="MD409" s="250"/>
      <c r="ME409" s="250"/>
      <c r="MF409" s="250"/>
      <c r="MG409" s="250"/>
      <c r="MH409" s="250"/>
      <c r="MI409" s="250"/>
      <c r="MJ409" s="250"/>
      <c r="MK409" s="424"/>
      <c r="ML409" s="640"/>
      <c r="MM409" s="251"/>
      <c r="MN409" s="252"/>
      <c r="MO409" s="252"/>
      <c r="MP409" s="252"/>
      <c r="MQ409" s="252"/>
      <c r="MR409" s="252"/>
      <c r="MS409" s="252"/>
      <c r="MT409" s="252"/>
      <c r="MU409" s="252"/>
      <c r="MV409" s="252"/>
      <c r="MW409" s="252"/>
      <c r="MX409" s="252"/>
      <c r="MY409" s="252"/>
      <c r="MZ409" s="252"/>
      <c r="NA409" s="252"/>
      <c r="NB409" s="252"/>
      <c r="NC409" s="251"/>
      <c r="ND409" s="250"/>
      <c r="NE409" s="250"/>
      <c r="NF409" s="250"/>
      <c r="NG409" s="250"/>
      <c r="NH409" s="250"/>
      <c r="NI409" s="250"/>
      <c r="NJ409" s="250"/>
      <c r="NK409" s="250"/>
      <c r="NL409" s="250"/>
      <c r="NM409" s="250"/>
      <c r="NN409" s="250"/>
      <c r="NO409" s="250"/>
      <c r="NP409" s="250"/>
      <c r="NQ409" s="250"/>
      <c r="NR409" s="250"/>
      <c r="NS409" s="250"/>
      <c r="NT409" s="250"/>
      <c r="NU409" s="250"/>
      <c r="NV409" s="250"/>
      <c r="NW409" s="251"/>
      <c r="OT409" s="8"/>
      <c r="QG409" s="8"/>
      <c r="RT409" s="8"/>
    </row>
    <row r="410" spans="1:488" s="282" customFormat="1" x14ac:dyDescent="0.25">
      <c r="A410" s="66"/>
      <c r="B410" s="8"/>
      <c r="C410" s="66"/>
      <c r="D410" s="66"/>
      <c r="E410" s="66"/>
      <c r="F410" s="66"/>
      <c r="G410" s="66"/>
      <c r="H410" s="66"/>
      <c r="I410" s="66"/>
      <c r="J410" s="66"/>
      <c r="K410" s="66"/>
      <c r="L410" s="66"/>
      <c r="M410" s="66"/>
      <c r="N410" s="66"/>
      <c r="O410" s="66"/>
      <c r="P410" s="66"/>
      <c r="Q410" s="66"/>
      <c r="R410" s="66"/>
      <c r="S410" s="66"/>
      <c r="T410" s="68"/>
      <c r="AC410" s="66"/>
      <c r="AD410" s="66"/>
      <c r="AE410" s="68"/>
      <c r="AN410" s="66"/>
      <c r="AO410" s="66"/>
      <c r="AP410" s="68"/>
      <c r="AW410" s="66"/>
      <c r="AX410" s="68"/>
      <c r="BD410" s="66"/>
      <c r="BE410" s="68"/>
      <c r="BF410" s="66"/>
      <c r="BG410" s="66"/>
      <c r="BH410" s="66"/>
      <c r="BI410" s="66"/>
      <c r="BJ410" s="66"/>
      <c r="BK410" s="66"/>
      <c r="BL410" s="68"/>
      <c r="BO410" s="66"/>
      <c r="BP410" s="68"/>
      <c r="BV410" s="66"/>
      <c r="BW410" s="68"/>
      <c r="CB410" s="8"/>
      <c r="CH410" s="8"/>
      <c r="CK410" s="299"/>
      <c r="CL410" s="299"/>
      <c r="CM410" s="66"/>
      <c r="CN410" s="66"/>
      <c r="CO410" s="68"/>
      <c r="CR410" s="8"/>
      <c r="CX410" s="66"/>
      <c r="CY410" s="532"/>
      <c r="DE410" s="66"/>
      <c r="DF410" s="66"/>
      <c r="DG410" s="68"/>
      <c r="DH410" s="68"/>
      <c r="DK410" s="66"/>
      <c r="DL410" s="66"/>
      <c r="DM410" s="66"/>
      <c r="DN410" s="66"/>
      <c r="DO410" s="66"/>
      <c r="DP410" s="66"/>
      <c r="DQ410" s="66"/>
      <c r="DR410" s="66"/>
      <c r="DS410" s="66"/>
      <c r="DT410" s="68"/>
      <c r="DU410" s="66"/>
      <c r="DV410" s="296"/>
      <c r="DW410" s="330"/>
      <c r="DX410" s="631"/>
      <c r="DY410" s="631"/>
      <c r="DZ410" s="631"/>
      <c r="EA410" s="330"/>
      <c r="EC410" s="66"/>
      <c r="ED410" s="68"/>
      <c r="EH410" s="66"/>
      <c r="EI410" s="66"/>
      <c r="EJ410" s="68"/>
      <c r="EK410" s="252"/>
      <c r="EL410" s="252"/>
      <c r="EM410" s="252"/>
      <c r="EO410" s="252"/>
      <c r="EP410" s="252"/>
      <c r="EQ410" s="252"/>
      <c r="ES410" s="252"/>
      <c r="ET410" s="252"/>
      <c r="EU410" s="252"/>
      <c r="EW410" s="252"/>
      <c r="EX410" s="252"/>
      <c r="EY410" s="252"/>
      <c r="FA410" s="250"/>
      <c r="FB410" s="250"/>
      <c r="FC410" s="250"/>
      <c r="FD410" s="250"/>
      <c r="FE410" s="250"/>
      <c r="FF410" s="250"/>
      <c r="FG410" s="250"/>
      <c r="FH410" s="424"/>
      <c r="FI410" s="250"/>
      <c r="FJ410" s="250"/>
      <c r="FK410" s="250"/>
      <c r="FL410" s="256"/>
      <c r="FM410" s="250"/>
      <c r="FN410" s="256"/>
      <c r="FO410" s="250"/>
      <c r="FP410" s="256"/>
      <c r="FQ410" s="250"/>
      <c r="FR410" s="256"/>
      <c r="FS410" s="250"/>
      <c r="FT410" s="256"/>
      <c r="FU410" s="256"/>
      <c r="FV410" s="256"/>
      <c r="FW410" s="250"/>
      <c r="FX410" s="424"/>
      <c r="FY410" s="251"/>
      <c r="GC410" s="252"/>
      <c r="GF410" s="252"/>
      <c r="GG410" s="252"/>
      <c r="GH410" s="252"/>
      <c r="GI410" s="252"/>
      <c r="GJ410" s="252"/>
      <c r="GK410" s="251"/>
      <c r="GL410" s="250"/>
      <c r="GM410" s="250"/>
      <c r="GN410" s="250"/>
      <c r="GO410" s="250"/>
      <c r="GP410" s="250"/>
      <c r="GQ410" s="250"/>
      <c r="GR410" s="250"/>
      <c r="GS410" s="250"/>
      <c r="GT410" s="250"/>
      <c r="GU410" s="251"/>
      <c r="GV410" s="250"/>
      <c r="GW410" s="250"/>
      <c r="GX410" s="250"/>
      <c r="GY410" s="250"/>
      <c r="GZ410" s="250"/>
      <c r="HA410" s="250"/>
      <c r="HB410" s="250"/>
      <c r="HC410" s="250"/>
      <c r="HD410" s="250"/>
      <c r="HE410" s="250"/>
      <c r="HF410" s="250"/>
      <c r="HG410" s="250"/>
      <c r="HH410" s="251"/>
      <c r="HI410" s="424"/>
      <c r="HJ410" s="255"/>
      <c r="HK410" s="255"/>
      <c r="HL410" s="250"/>
      <c r="HM410" s="255"/>
      <c r="HN410" s="255"/>
      <c r="HO410" s="255"/>
      <c r="HP410" s="250"/>
      <c r="HQ410" s="250"/>
      <c r="HR410" s="250"/>
      <c r="HS410" s="250"/>
      <c r="HT410" s="250"/>
      <c r="HU410" s="251"/>
      <c r="HX410" s="252"/>
      <c r="HY410" s="252"/>
      <c r="HZ410" s="252"/>
      <c r="ID410" s="252"/>
      <c r="IE410" s="252"/>
      <c r="IF410" s="252"/>
      <c r="IJ410" s="252"/>
      <c r="IK410" s="252"/>
      <c r="IL410" s="252"/>
      <c r="IP410" s="252"/>
      <c r="IQ410" s="252"/>
      <c r="IR410" s="252"/>
      <c r="IY410" s="66"/>
      <c r="IZ410" s="66"/>
      <c r="JA410" s="66"/>
      <c r="JB410" s="250"/>
      <c r="JC410" s="66"/>
      <c r="JD410" s="66"/>
      <c r="JE410" s="66"/>
      <c r="JF410" s="66"/>
      <c r="JG410" s="66"/>
      <c r="JH410" s="66"/>
      <c r="JI410" s="66"/>
      <c r="JJ410" s="66"/>
      <c r="JK410" s="8"/>
      <c r="JN410" s="252"/>
      <c r="JO410" s="252"/>
      <c r="JP410" s="252"/>
      <c r="JT410" s="252"/>
      <c r="JU410" s="252"/>
      <c r="JV410" s="252"/>
      <c r="JZ410" s="252"/>
      <c r="KA410" s="252"/>
      <c r="KB410" s="252"/>
      <c r="KF410" s="252"/>
      <c r="KG410" s="252"/>
      <c r="KH410" s="252"/>
      <c r="KO410" s="66"/>
      <c r="KP410" s="66"/>
      <c r="KQ410" s="66"/>
      <c r="KR410" s="66"/>
      <c r="KS410" s="66"/>
      <c r="KT410" s="66"/>
      <c r="KU410" s="66"/>
      <c r="KV410" s="66"/>
      <c r="KW410" s="66"/>
      <c r="KX410" s="66"/>
      <c r="KY410" s="66"/>
      <c r="KZ410" s="66"/>
      <c r="LA410" s="8"/>
      <c r="LD410" s="252"/>
      <c r="LE410" s="252"/>
      <c r="LF410" s="252"/>
      <c r="LJ410" s="252"/>
      <c r="LK410" s="252"/>
      <c r="LN410" s="252"/>
      <c r="LO410" s="252"/>
      <c r="LP410" s="252"/>
      <c r="LT410" s="271"/>
      <c r="LU410" s="250"/>
      <c r="LV410" s="250"/>
      <c r="LW410" s="250"/>
      <c r="LX410" s="250"/>
      <c r="LY410" s="250"/>
      <c r="LZ410" s="250"/>
      <c r="MA410" s="250"/>
      <c r="MB410" s="250"/>
      <c r="MC410" s="250"/>
      <c r="MD410" s="250"/>
      <c r="ME410" s="250"/>
      <c r="MF410" s="250"/>
      <c r="MG410" s="250"/>
      <c r="MH410" s="250"/>
      <c r="MI410" s="250"/>
      <c r="MJ410" s="250"/>
      <c r="MK410" s="424"/>
      <c r="ML410" s="640"/>
      <c r="MM410" s="251"/>
      <c r="MN410" s="252"/>
      <c r="MO410" s="252"/>
      <c r="MP410" s="252"/>
      <c r="MQ410" s="252"/>
      <c r="MR410" s="252"/>
      <c r="MS410" s="252"/>
      <c r="MT410" s="252"/>
      <c r="MU410" s="252"/>
      <c r="MV410" s="252"/>
      <c r="MW410" s="252"/>
      <c r="MX410" s="252"/>
      <c r="MY410" s="252"/>
      <c r="MZ410" s="252"/>
      <c r="NA410" s="252"/>
      <c r="NB410" s="252"/>
      <c r="NC410" s="251"/>
      <c r="ND410" s="250"/>
      <c r="NE410" s="250"/>
      <c r="NF410" s="250"/>
      <c r="NG410" s="250"/>
      <c r="NH410" s="250"/>
      <c r="NI410" s="250"/>
      <c r="NJ410" s="250"/>
      <c r="NK410" s="250"/>
      <c r="NL410" s="250"/>
      <c r="NM410" s="250"/>
      <c r="NN410" s="250"/>
      <c r="NO410" s="250"/>
      <c r="NP410" s="250"/>
      <c r="NQ410" s="250"/>
      <c r="NR410" s="250"/>
      <c r="NS410" s="250"/>
      <c r="NT410" s="250"/>
      <c r="NU410" s="250"/>
      <c r="NV410" s="250"/>
      <c r="NW410" s="251"/>
      <c r="OT410" s="8"/>
      <c r="QG410" s="8"/>
      <c r="RT410" s="8"/>
    </row>
    <row r="411" spans="1:488" s="282" customFormat="1" x14ac:dyDescent="0.25">
      <c r="A411" s="66"/>
      <c r="B411" s="8"/>
      <c r="C411" s="66"/>
      <c r="D411" s="66"/>
      <c r="E411" s="66"/>
      <c r="F411" s="66"/>
      <c r="G411" s="66"/>
      <c r="H411" s="66"/>
      <c r="I411" s="66"/>
      <c r="J411" s="66"/>
      <c r="K411" s="66"/>
      <c r="L411" s="66"/>
      <c r="M411" s="66"/>
      <c r="N411" s="66"/>
      <c r="O411" s="66"/>
      <c r="P411" s="66"/>
      <c r="Q411" s="66"/>
      <c r="R411" s="66"/>
      <c r="S411" s="66"/>
      <c r="T411" s="68"/>
      <c r="AC411" s="66"/>
      <c r="AD411" s="66"/>
      <c r="AE411" s="68"/>
      <c r="AN411" s="66"/>
      <c r="AO411" s="66"/>
      <c r="AP411" s="68"/>
      <c r="AW411" s="66"/>
      <c r="AX411" s="68"/>
      <c r="BD411" s="66"/>
      <c r="BE411" s="68"/>
      <c r="BF411" s="66"/>
      <c r="BG411" s="66"/>
      <c r="BH411" s="66"/>
      <c r="BI411" s="66"/>
      <c r="BJ411" s="66"/>
      <c r="BK411" s="66"/>
      <c r="BL411" s="68"/>
      <c r="BO411" s="66"/>
      <c r="BP411" s="68"/>
      <c r="BV411" s="66"/>
      <c r="BW411" s="68"/>
      <c r="CB411" s="8"/>
      <c r="CH411" s="8"/>
      <c r="CK411" s="299"/>
      <c r="CL411" s="299"/>
      <c r="CM411" s="66"/>
      <c r="CN411" s="66"/>
      <c r="CO411" s="68"/>
      <c r="CR411" s="8"/>
      <c r="CX411" s="66"/>
      <c r="CY411" s="532"/>
      <c r="DE411" s="66"/>
      <c r="DF411" s="66"/>
      <c r="DG411" s="68"/>
      <c r="DH411" s="68"/>
      <c r="DK411" s="66"/>
      <c r="DL411" s="66"/>
      <c r="DM411" s="66"/>
      <c r="DN411" s="66"/>
      <c r="DO411" s="66"/>
      <c r="DP411" s="66"/>
      <c r="DQ411" s="66"/>
      <c r="DR411" s="66"/>
      <c r="DS411" s="66"/>
      <c r="DT411" s="68"/>
      <c r="DU411" s="66"/>
      <c r="DV411" s="296"/>
      <c r="DW411" s="330"/>
      <c r="DX411" s="631"/>
      <c r="DY411" s="631"/>
      <c r="DZ411" s="631"/>
      <c r="EA411" s="330"/>
      <c r="EC411" s="66"/>
      <c r="ED411" s="68"/>
      <c r="EH411" s="66"/>
      <c r="EI411" s="66"/>
      <c r="EJ411" s="68"/>
      <c r="EK411" s="252"/>
      <c r="EL411" s="252"/>
      <c r="EM411" s="252"/>
      <c r="EO411" s="252"/>
      <c r="EP411" s="252"/>
      <c r="EQ411" s="252"/>
      <c r="ES411" s="252"/>
      <c r="ET411" s="252"/>
      <c r="EU411" s="252"/>
      <c r="EW411" s="252"/>
      <c r="EX411" s="252"/>
      <c r="EY411" s="252"/>
      <c r="FA411" s="250"/>
      <c r="FB411" s="250"/>
      <c r="FC411" s="250"/>
      <c r="FD411" s="250"/>
      <c r="FE411" s="250"/>
      <c r="FF411" s="250"/>
      <c r="FG411" s="250"/>
      <c r="FH411" s="424"/>
      <c r="FI411" s="250"/>
      <c r="FJ411" s="250"/>
      <c r="FK411" s="250"/>
      <c r="FL411" s="256"/>
      <c r="FM411" s="250"/>
      <c r="FN411" s="256"/>
      <c r="FO411" s="250"/>
      <c r="FP411" s="256"/>
      <c r="FQ411" s="250"/>
      <c r="FR411" s="256"/>
      <c r="FS411" s="250"/>
      <c r="FT411" s="256"/>
      <c r="FU411" s="256"/>
      <c r="FV411" s="256"/>
      <c r="FW411" s="250"/>
      <c r="FX411" s="424"/>
      <c r="FY411" s="251"/>
      <c r="GC411" s="252"/>
      <c r="GF411" s="252"/>
      <c r="GG411" s="252"/>
      <c r="GH411" s="252"/>
      <c r="GI411" s="252"/>
      <c r="GJ411" s="252"/>
      <c r="GK411" s="251"/>
      <c r="GL411" s="250"/>
      <c r="GM411" s="250"/>
      <c r="GN411" s="250"/>
      <c r="GO411" s="250"/>
      <c r="GP411" s="250"/>
      <c r="GQ411" s="250"/>
      <c r="GR411" s="250"/>
      <c r="GS411" s="250"/>
      <c r="GT411" s="250"/>
      <c r="GU411" s="251"/>
      <c r="GV411" s="250"/>
      <c r="GW411" s="250"/>
      <c r="GX411" s="250"/>
      <c r="GY411" s="250"/>
      <c r="GZ411" s="250"/>
      <c r="HA411" s="250"/>
      <c r="HB411" s="250"/>
      <c r="HC411" s="250"/>
      <c r="HD411" s="250"/>
      <c r="HE411" s="250"/>
      <c r="HF411" s="250"/>
      <c r="HG411" s="250"/>
      <c r="HH411" s="251"/>
      <c r="HI411" s="424"/>
      <c r="HJ411" s="255"/>
      <c r="HK411" s="255"/>
      <c r="HL411" s="250"/>
      <c r="HM411" s="255"/>
      <c r="HN411" s="255"/>
      <c r="HO411" s="255"/>
      <c r="HP411" s="250"/>
      <c r="HQ411" s="250"/>
      <c r="HR411" s="250"/>
      <c r="HS411" s="250"/>
      <c r="HT411" s="250"/>
      <c r="HU411" s="251"/>
      <c r="HX411" s="252"/>
      <c r="HY411" s="252"/>
      <c r="HZ411" s="252"/>
      <c r="ID411" s="252"/>
      <c r="IE411" s="252"/>
      <c r="IF411" s="252"/>
      <c r="IJ411" s="252"/>
      <c r="IK411" s="252"/>
      <c r="IL411" s="252"/>
      <c r="IP411" s="252"/>
      <c r="IQ411" s="252"/>
      <c r="IR411" s="252"/>
      <c r="IY411" s="66"/>
      <c r="IZ411" s="66"/>
      <c r="JA411" s="66"/>
      <c r="JB411" s="250"/>
      <c r="JC411" s="66"/>
      <c r="JD411" s="66"/>
      <c r="JE411" s="66"/>
      <c r="JF411" s="66"/>
      <c r="JG411" s="66"/>
      <c r="JH411" s="66"/>
      <c r="JI411" s="66"/>
      <c r="JJ411" s="66"/>
      <c r="JK411" s="8"/>
      <c r="JN411" s="252"/>
      <c r="JO411" s="252"/>
      <c r="JP411" s="252"/>
      <c r="JT411" s="252"/>
      <c r="JU411" s="252"/>
      <c r="JV411" s="252"/>
      <c r="JZ411" s="252"/>
      <c r="KA411" s="252"/>
      <c r="KB411" s="252"/>
      <c r="KF411" s="252"/>
      <c r="KG411" s="252"/>
      <c r="KH411" s="252"/>
      <c r="KO411" s="66"/>
      <c r="KP411" s="66"/>
      <c r="KQ411" s="66"/>
      <c r="KR411" s="66"/>
      <c r="KS411" s="66"/>
      <c r="KT411" s="66"/>
      <c r="KU411" s="66"/>
      <c r="KV411" s="66"/>
      <c r="KW411" s="66"/>
      <c r="KX411" s="66"/>
      <c r="KY411" s="66"/>
      <c r="KZ411" s="66"/>
      <c r="LA411" s="8"/>
      <c r="LD411" s="252"/>
      <c r="LE411" s="252"/>
      <c r="LF411" s="252"/>
      <c r="LJ411" s="252"/>
      <c r="LK411" s="252"/>
      <c r="LN411" s="252"/>
      <c r="LO411" s="252"/>
      <c r="LP411" s="252"/>
      <c r="LT411" s="271"/>
      <c r="LU411" s="250"/>
      <c r="LV411" s="250"/>
      <c r="LW411" s="250"/>
      <c r="LX411" s="250"/>
      <c r="LY411" s="250"/>
      <c r="LZ411" s="250"/>
      <c r="MA411" s="250"/>
      <c r="MB411" s="250"/>
      <c r="MC411" s="250"/>
      <c r="MD411" s="250"/>
      <c r="ME411" s="250"/>
      <c r="MF411" s="250"/>
      <c r="MG411" s="250"/>
      <c r="MH411" s="250"/>
      <c r="MI411" s="250"/>
      <c r="MJ411" s="250"/>
      <c r="MK411" s="424"/>
      <c r="ML411" s="640"/>
      <c r="MM411" s="251"/>
      <c r="MN411" s="252"/>
      <c r="MO411" s="252"/>
      <c r="MP411" s="252"/>
      <c r="MQ411" s="252"/>
      <c r="MR411" s="252"/>
      <c r="MS411" s="252"/>
      <c r="MT411" s="252"/>
      <c r="MU411" s="252"/>
      <c r="MV411" s="252"/>
      <c r="MW411" s="252"/>
      <c r="MX411" s="252"/>
      <c r="MY411" s="252"/>
      <c r="MZ411" s="252"/>
      <c r="NA411" s="252"/>
      <c r="NB411" s="252"/>
      <c r="NC411" s="251"/>
      <c r="ND411" s="250"/>
      <c r="NE411" s="250"/>
      <c r="NF411" s="250"/>
      <c r="NG411" s="250"/>
      <c r="NH411" s="250"/>
      <c r="NI411" s="250"/>
      <c r="NJ411" s="250"/>
      <c r="NK411" s="250"/>
      <c r="NL411" s="250"/>
      <c r="NM411" s="250"/>
      <c r="NN411" s="250"/>
      <c r="NO411" s="250"/>
      <c r="NP411" s="250"/>
      <c r="NQ411" s="250"/>
      <c r="NR411" s="250"/>
      <c r="NS411" s="250"/>
      <c r="NT411" s="250"/>
      <c r="NU411" s="250"/>
      <c r="NV411" s="250"/>
      <c r="NW411" s="251"/>
      <c r="OT411" s="8"/>
      <c r="QG411" s="8"/>
      <c r="RT411" s="8"/>
    </row>
    <row r="412" spans="1:488" s="282" customFormat="1" x14ac:dyDescent="0.25">
      <c r="A412" s="66"/>
      <c r="B412" s="8"/>
      <c r="C412" s="66"/>
      <c r="D412" s="66"/>
      <c r="E412" s="66"/>
      <c r="F412" s="66"/>
      <c r="G412" s="66"/>
      <c r="H412" s="66"/>
      <c r="I412" s="66"/>
      <c r="J412" s="66"/>
      <c r="K412" s="66"/>
      <c r="L412" s="66"/>
      <c r="M412" s="66"/>
      <c r="N412" s="66"/>
      <c r="O412" s="66"/>
      <c r="P412" s="66"/>
      <c r="Q412" s="66"/>
      <c r="R412" s="66"/>
      <c r="S412" s="66"/>
      <c r="T412" s="68"/>
      <c r="AC412" s="66"/>
      <c r="AD412" s="66"/>
      <c r="AE412" s="68"/>
      <c r="AN412" s="66"/>
      <c r="AO412" s="66"/>
      <c r="AP412" s="68"/>
      <c r="AW412" s="66"/>
      <c r="AX412" s="68"/>
      <c r="BD412" s="66"/>
      <c r="BE412" s="68"/>
      <c r="BF412" s="66"/>
      <c r="BG412" s="66"/>
      <c r="BH412" s="66"/>
      <c r="BI412" s="66"/>
      <c r="BJ412" s="66"/>
      <c r="BK412" s="66"/>
      <c r="BL412" s="68"/>
      <c r="BO412" s="66"/>
      <c r="BP412" s="68"/>
      <c r="BV412" s="66"/>
      <c r="BW412" s="68"/>
      <c r="CB412" s="8"/>
      <c r="CH412" s="8"/>
      <c r="CK412" s="299"/>
      <c r="CL412" s="299"/>
      <c r="CM412" s="66"/>
      <c r="CN412" s="66"/>
      <c r="CO412" s="68"/>
      <c r="CR412" s="8"/>
      <c r="CX412" s="66"/>
      <c r="CY412" s="532"/>
      <c r="DE412" s="66"/>
      <c r="DF412" s="66"/>
      <c r="DG412" s="68"/>
      <c r="DH412" s="68"/>
      <c r="DK412" s="66"/>
      <c r="DL412" s="66"/>
      <c r="DM412" s="66"/>
      <c r="DN412" s="66"/>
      <c r="DO412" s="66"/>
      <c r="DP412" s="66"/>
      <c r="DQ412" s="66"/>
      <c r="DR412" s="66"/>
      <c r="DS412" s="66"/>
      <c r="DT412" s="68"/>
      <c r="DU412" s="66"/>
      <c r="DV412" s="296"/>
      <c r="DW412" s="330"/>
      <c r="DX412" s="631"/>
      <c r="DY412" s="631"/>
      <c r="DZ412" s="631"/>
      <c r="EA412" s="330"/>
      <c r="EC412" s="66"/>
      <c r="ED412" s="68"/>
      <c r="EH412" s="66"/>
      <c r="EI412" s="66"/>
      <c r="EJ412" s="68"/>
      <c r="EK412" s="252"/>
      <c r="EL412" s="252"/>
      <c r="EM412" s="252"/>
      <c r="EO412" s="252"/>
      <c r="EP412" s="252"/>
      <c r="EQ412" s="252"/>
      <c r="ES412" s="252"/>
      <c r="ET412" s="252"/>
      <c r="EU412" s="252"/>
      <c r="EW412" s="252"/>
      <c r="EX412" s="252"/>
      <c r="EY412" s="252"/>
      <c r="FA412" s="250"/>
      <c r="FB412" s="250"/>
      <c r="FC412" s="250"/>
      <c r="FD412" s="250"/>
      <c r="FE412" s="250"/>
      <c r="FF412" s="250"/>
      <c r="FG412" s="250"/>
      <c r="FH412" s="424"/>
      <c r="FI412" s="250"/>
      <c r="FJ412" s="250"/>
      <c r="FK412" s="250"/>
      <c r="FL412" s="256"/>
      <c r="FM412" s="250"/>
      <c r="FN412" s="256"/>
      <c r="FO412" s="250"/>
      <c r="FP412" s="256"/>
      <c r="FQ412" s="250"/>
      <c r="FR412" s="256"/>
      <c r="FS412" s="250"/>
      <c r="FT412" s="256"/>
      <c r="FU412" s="256"/>
      <c r="FV412" s="256"/>
      <c r="FW412" s="250"/>
      <c r="FX412" s="424"/>
      <c r="FY412" s="251"/>
      <c r="GC412" s="252"/>
      <c r="GF412" s="252"/>
      <c r="GG412" s="252"/>
      <c r="GH412" s="252"/>
      <c r="GI412" s="252"/>
      <c r="GJ412" s="252"/>
      <c r="GK412" s="251"/>
      <c r="GL412" s="250"/>
      <c r="GM412" s="250"/>
      <c r="GN412" s="250"/>
      <c r="GO412" s="250"/>
      <c r="GP412" s="250"/>
      <c r="GQ412" s="250"/>
      <c r="GR412" s="250"/>
      <c r="GS412" s="250"/>
      <c r="GT412" s="250"/>
      <c r="GU412" s="251"/>
      <c r="GV412" s="250"/>
      <c r="GW412" s="250"/>
      <c r="GX412" s="250"/>
      <c r="GY412" s="250"/>
      <c r="GZ412" s="250"/>
      <c r="HA412" s="250"/>
      <c r="HB412" s="250"/>
      <c r="HC412" s="250"/>
      <c r="HD412" s="250"/>
      <c r="HE412" s="250"/>
      <c r="HF412" s="250"/>
      <c r="HG412" s="250"/>
      <c r="HH412" s="251"/>
      <c r="HI412" s="424"/>
      <c r="HJ412" s="255"/>
      <c r="HK412" s="255"/>
      <c r="HL412" s="250"/>
      <c r="HM412" s="255"/>
      <c r="HN412" s="255"/>
      <c r="HO412" s="255"/>
      <c r="HP412" s="250"/>
      <c r="HQ412" s="250"/>
      <c r="HR412" s="250"/>
      <c r="HS412" s="250"/>
      <c r="HT412" s="250"/>
      <c r="HU412" s="251"/>
      <c r="HX412" s="252"/>
      <c r="HY412" s="252"/>
      <c r="HZ412" s="252"/>
      <c r="ID412" s="252"/>
      <c r="IE412" s="252"/>
      <c r="IF412" s="252"/>
      <c r="IJ412" s="252"/>
      <c r="IK412" s="252"/>
      <c r="IL412" s="252"/>
      <c r="IP412" s="252"/>
      <c r="IQ412" s="252"/>
      <c r="IR412" s="252"/>
      <c r="IY412" s="66"/>
      <c r="IZ412" s="66"/>
      <c r="JA412" s="66"/>
      <c r="JB412" s="250"/>
      <c r="JC412" s="66"/>
      <c r="JD412" s="66"/>
      <c r="JE412" s="66"/>
      <c r="JF412" s="66"/>
      <c r="JG412" s="66"/>
      <c r="JH412" s="66"/>
      <c r="JI412" s="66"/>
      <c r="JJ412" s="66"/>
      <c r="JK412" s="8"/>
      <c r="JN412" s="252"/>
      <c r="JO412" s="252"/>
      <c r="JP412" s="252"/>
      <c r="JT412" s="252"/>
      <c r="JU412" s="252"/>
      <c r="JV412" s="252"/>
      <c r="JZ412" s="252"/>
      <c r="KA412" s="252"/>
      <c r="KB412" s="252"/>
      <c r="KF412" s="252"/>
      <c r="KG412" s="252"/>
      <c r="KH412" s="252"/>
      <c r="KO412" s="66"/>
      <c r="KP412" s="66"/>
      <c r="KQ412" s="66"/>
      <c r="KR412" s="66"/>
      <c r="KS412" s="66"/>
      <c r="KT412" s="66"/>
      <c r="KU412" s="66"/>
      <c r="KV412" s="66"/>
      <c r="KW412" s="66"/>
      <c r="KX412" s="66"/>
      <c r="KY412" s="66"/>
      <c r="KZ412" s="66"/>
      <c r="LA412" s="8"/>
      <c r="LD412" s="252"/>
      <c r="LE412" s="252"/>
      <c r="LF412" s="252"/>
      <c r="LJ412" s="252"/>
      <c r="LK412" s="252"/>
      <c r="LN412" s="252"/>
      <c r="LO412" s="252"/>
      <c r="LP412" s="252"/>
      <c r="LT412" s="271"/>
      <c r="LU412" s="250"/>
      <c r="LV412" s="250"/>
      <c r="LW412" s="250"/>
      <c r="LX412" s="250"/>
      <c r="LY412" s="250"/>
      <c r="LZ412" s="250"/>
      <c r="MA412" s="250"/>
      <c r="MB412" s="250"/>
      <c r="MC412" s="250"/>
      <c r="MD412" s="250"/>
      <c r="ME412" s="250"/>
      <c r="MF412" s="250"/>
      <c r="MG412" s="250"/>
      <c r="MH412" s="250"/>
      <c r="MI412" s="250"/>
      <c r="MJ412" s="250"/>
      <c r="MK412" s="424"/>
      <c r="ML412" s="640"/>
      <c r="MM412" s="251"/>
      <c r="MN412" s="252"/>
      <c r="MO412" s="252"/>
      <c r="MP412" s="252"/>
      <c r="MQ412" s="252"/>
      <c r="MR412" s="252"/>
      <c r="MS412" s="252"/>
      <c r="MT412" s="252"/>
      <c r="MU412" s="252"/>
      <c r="MV412" s="252"/>
      <c r="MW412" s="252"/>
      <c r="MX412" s="252"/>
      <c r="MY412" s="252"/>
      <c r="MZ412" s="252"/>
      <c r="NA412" s="252"/>
      <c r="NB412" s="252"/>
      <c r="NC412" s="251"/>
      <c r="ND412" s="250"/>
      <c r="NE412" s="250"/>
      <c r="NF412" s="250"/>
      <c r="NG412" s="250"/>
      <c r="NH412" s="250"/>
      <c r="NI412" s="250"/>
      <c r="NJ412" s="250"/>
      <c r="NK412" s="250"/>
      <c r="NL412" s="250"/>
      <c r="NM412" s="250"/>
      <c r="NN412" s="250"/>
      <c r="NO412" s="250"/>
      <c r="NP412" s="250"/>
      <c r="NQ412" s="250"/>
      <c r="NR412" s="250"/>
      <c r="NS412" s="250"/>
      <c r="NT412" s="250"/>
      <c r="NU412" s="250"/>
      <c r="NV412" s="250"/>
      <c r="NW412" s="251"/>
      <c r="OT412" s="8"/>
      <c r="QG412" s="8"/>
      <c r="RT412" s="8"/>
    </row>
    <row r="413" spans="1:488" s="282" customFormat="1" x14ac:dyDescent="0.25">
      <c r="A413" s="66"/>
      <c r="B413" s="8"/>
      <c r="C413" s="66"/>
      <c r="D413" s="66"/>
      <c r="E413" s="66"/>
      <c r="F413" s="66"/>
      <c r="G413" s="66"/>
      <c r="H413" s="66"/>
      <c r="I413" s="66"/>
      <c r="J413" s="66"/>
      <c r="K413" s="66"/>
      <c r="L413" s="66"/>
      <c r="M413" s="66"/>
      <c r="N413" s="66"/>
      <c r="O413" s="66"/>
      <c r="P413" s="66"/>
      <c r="Q413" s="66"/>
      <c r="R413" s="66"/>
      <c r="S413" s="66"/>
      <c r="T413" s="68"/>
      <c r="AC413" s="66"/>
      <c r="AD413" s="66"/>
      <c r="AE413" s="68"/>
      <c r="AN413" s="66"/>
      <c r="AO413" s="66"/>
      <c r="AP413" s="68"/>
      <c r="AW413" s="66"/>
      <c r="AX413" s="68"/>
      <c r="BD413" s="66"/>
      <c r="BE413" s="68"/>
      <c r="BF413" s="66"/>
      <c r="BG413" s="66"/>
      <c r="BH413" s="66"/>
      <c r="BI413" s="66"/>
      <c r="BJ413" s="66"/>
      <c r="BK413" s="66"/>
      <c r="BL413" s="68"/>
      <c r="BO413" s="66"/>
      <c r="BP413" s="68"/>
      <c r="BV413" s="66"/>
      <c r="BW413" s="68"/>
      <c r="CB413" s="8"/>
      <c r="CH413" s="8"/>
      <c r="CK413" s="299"/>
      <c r="CL413" s="299"/>
      <c r="CM413" s="66"/>
      <c r="CN413" s="66"/>
      <c r="CO413" s="68"/>
      <c r="CR413" s="8"/>
      <c r="CX413" s="66"/>
      <c r="CY413" s="532"/>
      <c r="DE413" s="66"/>
      <c r="DF413" s="66"/>
      <c r="DG413" s="68"/>
      <c r="DH413" s="68"/>
      <c r="DK413" s="66"/>
      <c r="DL413" s="66"/>
      <c r="DM413" s="66"/>
      <c r="DN413" s="66"/>
      <c r="DO413" s="66"/>
      <c r="DP413" s="66"/>
      <c r="DQ413" s="66"/>
      <c r="DR413" s="66"/>
      <c r="DS413" s="66"/>
      <c r="DT413" s="68"/>
      <c r="DU413" s="66"/>
      <c r="DV413" s="296"/>
      <c r="DW413" s="330"/>
      <c r="DX413" s="631"/>
      <c r="DY413" s="631"/>
      <c r="DZ413" s="631"/>
      <c r="EA413" s="330"/>
      <c r="EC413" s="66"/>
      <c r="ED413" s="68"/>
      <c r="EH413" s="66"/>
      <c r="EI413" s="66"/>
      <c r="EJ413" s="68"/>
      <c r="EK413" s="252"/>
      <c r="EL413" s="252"/>
      <c r="EM413" s="252"/>
      <c r="EO413" s="252"/>
      <c r="EP413" s="252"/>
      <c r="EQ413" s="252"/>
      <c r="ES413" s="252"/>
      <c r="ET413" s="252"/>
      <c r="EU413" s="252"/>
      <c r="EW413" s="252"/>
      <c r="EX413" s="252"/>
      <c r="EY413" s="252"/>
      <c r="FA413" s="250"/>
      <c r="FB413" s="250"/>
      <c r="FC413" s="250"/>
      <c r="FD413" s="250"/>
      <c r="FE413" s="250"/>
      <c r="FF413" s="250"/>
      <c r="FG413" s="250"/>
      <c r="FH413" s="424"/>
      <c r="FI413" s="250"/>
      <c r="FJ413" s="250"/>
      <c r="FK413" s="250"/>
      <c r="FL413" s="256"/>
      <c r="FM413" s="250"/>
      <c r="FN413" s="256"/>
      <c r="FO413" s="250"/>
      <c r="FP413" s="256"/>
      <c r="FQ413" s="250"/>
      <c r="FR413" s="256"/>
      <c r="FS413" s="250"/>
      <c r="FT413" s="256"/>
      <c r="FU413" s="256"/>
      <c r="FV413" s="256"/>
      <c r="FW413" s="250"/>
      <c r="FX413" s="424"/>
      <c r="FY413" s="251"/>
      <c r="GC413" s="252"/>
      <c r="GF413" s="252"/>
      <c r="GG413" s="252"/>
      <c r="GH413" s="252"/>
      <c r="GI413" s="252"/>
      <c r="GJ413" s="252"/>
      <c r="GK413" s="251"/>
      <c r="GL413" s="250"/>
      <c r="GM413" s="250"/>
      <c r="GN413" s="250"/>
      <c r="GO413" s="250"/>
      <c r="GP413" s="250"/>
      <c r="GQ413" s="250"/>
      <c r="GR413" s="250"/>
      <c r="GS413" s="250"/>
      <c r="GT413" s="250"/>
      <c r="GU413" s="251"/>
      <c r="GV413" s="250"/>
      <c r="GW413" s="250"/>
      <c r="GX413" s="250"/>
      <c r="GY413" s="250"/>
      <c r="GZ413" s="250"/>
      <c r="HA413" s="250"/>
      <c r="HB413" s="250"/>
      <c r="HC413" s="250"/>
      <c r="HD413" s="250"/>
      <c r="HE413" s="250"/>
      <c r="HF413" s="250"/>
      <c r="HG413" s="250"/>
      <c r="HH413" s="251"/>
      <c r="HI413" s="424"/>
      <c r="HJ413" s="255"/>
      <c r="HK413" s="255"/>
      <c r="HL413" s="250"/>
      <c r="HM413" s="255"/>
      <c r="HN413" s="255"/>
      <c r="HO413" s="255"/>
      <c r="HP413" s="250"/>
      <c r="HQ413" s="250"/>
      <c r="HR413" s="250"/>
      <c r="HS413" s="250"/>
      <c r="HT413" s="250"/>
      <c r="HU413" s="251"/>
      <c r="HX413" s="252"/>
      <c r="HY413" s="252"/>
      <c r="HZ413" s="252"/>
      <c r="ID413" s="252"/>
      <c r="IE413" s="252"/>
      <c r="IF413" s="252"/>
      <c r="IJ413" s="252"/>
      <c r="IK413" s="252"/>
      <c r="IL413" s="252"/>
      <c r="IP413" s="252"/>
      <c r="IQ413" s="252"/>
      <c r="IR413" s="252"/>
      <c r="IY413" s="66"/>
      <c r="IZ413" s="66"/>
      <c r="JA413" s="66"/>
      <c r="JB413" s="250"/>
      <c r="JC413" s="66"/>
      <c r="JD413" s="66"/>
      <c r="JE413" s="66"/>
      <c r="JF413" s="66"/>
      <c r="JG413" s="66"/>
      <c r="JH413" s="66"/>
      <c r="JI413" s="66"/>
      <c r="JJ413" s="66"/>
      <c r="JK413" s="8"/>
      <c r="JN413" s="252"/>
      <c r="JO413" s="252"/>
      <c r="JP413" s="252"/>
      <c r="JT413" s="252"/>
      <c r="JU413" s="252"/>
      <c r="JV413" s="252"/>
      <c r="JZ413" s="252"/>
      <c r="KA413" s="252"/>
      <c r="KB413" s="252"/>
      <c r="KF413" s="252"/>
      <c r="KG413" s="252"/>
      <c r="KH413" s="252"/>
      <c r="KO413" s="66"/>
      <c r="KP413" s="66"/>
      <c r="KQ413" s="66"/>
      <c r="KR413" s="66"/>
      <c r="KS413" s="66"/>
      <c r="KT413" s="66"/>
      <c r="KU413" s="66"/>
      <c r="KV413" s="66"/>
      <c r="KW413" s="66"/>
      <c r="KX413" s="66"/>
      <c r="KY413" s="66"/>
      <c r="KZ413" s="66"/>
      <c r="LA413" s="8"/>
      <c r="LD413" s="252"/>
      <c r="LE413" s="252"/>
      <c r="LF413" s="252"/>
      <c r="LJ413" s="252"/>
      <c r="LK413" s="252"/>
      <c r="LN413" s="252"/>
      <c r="LO413" s="252"/>
      <c r="LP413" s="252"/>
      <c r="LT413" s="271"/>
      <c r="LU413" s="250"/>
      <c r="LV413" s="250"/>
      <c r="LW413" s="250"/>
      <c r="LX413" s="250"/>
      <c r="LY413" s="250"/>
      <c r="LZ413" s="250"/>
      <c r="MA413" s="250"/>
      <c r="MB413" s="250"/>
      <c r="MC413" s="250"/>
      <c r="MD413" s="250"/>
      <c r="ME413" s="250"/>
      <c r="MF413" s="250"/>
      <c r="MG413" s="250"/>
      <c r="MH413" s="250"/>
      <c r="MI413" s="250"/>
      <c r="MJ413" s="250"/>
      <c r="MK413" s="424"/>
      <c r="ML413" s="640"/>
      <c r="MM413" s="251"/>
      <c r="MN413" s="252"/>
      <c r="MO413" s="252"/>
      <c r="MP413" s="252"/>
      <c r="MQ413" s="252"/>
      <c r="MR413" s="252"/>
      <c r="MS413" s="252"/>
      <c r="MT413" s="252"/>
      <c r="MU413" s="252"/>
      <c r="MV413" s="252"/>
      <c r="MW413" s="252"/>
      <c r="MX413" s="252"/>
      <c r="MY413" s="252"/>
      <c r="MZ413" s="252"/>
      <c r="NA413" s="252"/>
      <c r="NB413" s="252"/>
      <c r="NC413" s="251"/>
      <c r="ND413" s="250"/>
      <c r="NE413" s="250"/>
      <c r="NF413" s="250"/>
      <c r="NG413" s="250"/>
      <c r="NH413" s="250"/>
      <c r="NI413" s="250"/>
      <c r="NJ413" s="250"/>
      <c r="NK413" s="250"/>
      <c r="NL413" s="250"/>
      <c r="NM413" s="250"/>
      <c r="NN413" s="250"/>
      <c r="NO413" s="250"/>
      <c r="NP413" s="250"/>
      <c r="NQ413" s="250"/>
      <c r="NR413" s="250"/>
      <c r="NS413" s="250"/>
      <c r="NT413" s="250"/>
      <c r="NU413" s="250"/>
      <c r="NV413" s="250"/>
      <c r="NW413" s="251"/>
      <c r="OT413" s="8"/>
      <c r="QG413" s="8"/>
      <c r="RT413" s="8"/>
    </row>
    <row r="414" spans="1:488" s="282" customFormat="1" x14ac:dyDescent="0.25">
      <c r="A414" s="66"/>
      <c r="B414" s="8"/>
      <c r="C414" s="66"/>
      <c r="D414" s="66"/>
      <c r="E414" s="66"/>
      <c r="F414" s="66"/>
      <c r="G414" s="66"/>
      <c r="H414" s="66"/>
      <c r="I414" s="66"/>
      <c r="J414" s="66"/>
      <c r="K414" s="66"/>
      <c r="L414" s="66"/>
      <c r="M414" s="66"/>
      <c r="N414" s="66"/>
      <c r="O414" s="66"/>
      <c r="P414" s="66"/>
      <c r="Q414" s="66"/>
      <c r="R414" s="66"/>
      <c r="S414" s="66"/>
      <c r="T414" s="68"/>
      <c r="AC414" s="66"/>
      <c r="AD414" s="66"/>
      <c r="AE414" s="68"/>
      <c r="AN414" s="66"/>
      <c r="AO414" s="66"/>
      <c r="AP414" s="68"/>
      <c r="AW414" s="66"/>
      <c r="AX414" s="68"/>
      <c r="BD414" s="66"/>
      <c r="BE414" s="68"/>
      <c r="BF414" s="66"/>
      <c r="BG414" s="66"/>
      <c r="BH414" s="66"/>
      <c r="BI414" s="66"/>
      <c r="BJ414" s="66"/>
      <c r="BK414" s="66"/>
      <c r="BL414" s="68"/>
      <c r="BO414" s="66"/>
      <c r="BP414" s="68"/>
      <c r="BV414" s="66"/>
      <c r="BW414" s="68"/>
      <c r="CB414" s="8"/>
      <c r="CH414" s="8"/>
      <c r="CK414" s="299"/>
      <c r="CL414" s="299"/>
      <c r="CM414" s="66"/>
      <c r="CN414" s="66"/>
      <c r="CO414" s="68"/>
      <c r="CR414" s="8"/>
      <c r="CX414" s="66"/>
      <c r="CY414" s="532"/>
      <c r="DE414" s="66"/>
      <c r="DF414" s="66"/>
      <c r="DG414" s="68"/>
      <c r="DH414" s="68"/>
      <c r="DK414" s="66"/>
      <c r="DL414" s="66"/>
      <c r="DM414" s="66"/>
      <c r="DN414" s="66"/>
      <c r="DO414" s="66"/>
      <c r="DP414" s="66"/>
      <c r="DQ414" s="66"/>
      <c r="DR414" s="66"/>
      <c r="DS414" s="66"/>
      <c r="DT414" s="68"/>
      <c r="DU414" s="66"/>
      <c r="DV414" s="296"/>
      <c r="DW414" s="330"/>
      <c r="DX414" s="631"/>
      <c r="DY414" s="631"/>
      <c r="DZ414" s="631"/>
      <c r="EA414" s="330"/>
      <c r="EC414" s="66"/>
      <c r="ED414" s="68"/>
      <c r="EH414" s="66"/>
      <c r="EI414" s="66"/>
      <c r="EJ414" s="68"/>
      <c r="EK414" s="252"/>
      <c r="EL414" s="252"/>
      <c r="EM414" s="252"/>
      <c r="EO414" s="252"/>
      <c r="EP414" s="252"/>
      <c r="EQ414" s="252"/>
      <c r="ES414" s="252"/>
      <c r="ET414" s="252"/>
      <c r="EU414" s="252"/>
      <c r="EW414" s="252"/>
      <c r="EX414" s="252"/>
      <c r="EY414" s="252"/>
      <c r="FA414" s="250"/>
      <c r="FB414" s="250"/>
      <c r="FC414" s="250"/>
      <c r="FD414" s="250"/>
      <c r="FE414" s="250"/>
      <c r="FF414" s="250"/>
      <c r="FG414" s="250"/>
      <c r="FH414" s="424"/>
      <c r="FI414" s="250"/>
      <c r="FJ414" s="250"/>
      <c r="FK414" s="250"/>
      <c r="FL414" s="256"/>
      <c r="FM414" s="250"/>
      <c r="FN414" s="256"/>
      <c r="FO414" s="250"/>
      <c r="FP414" s="256"/>
      <c r="FQ414" s="250"/>
      <c r="FR414" s="256"/>
      <c r="FS414" s="250"/>
      <c r="FT414" s="256"/>
      <c r="FU414" s="256"/>
      <c r="FV414" s="256"/>
      <c r="FW414" s="250"/>
      <c r="FX414" s="424"/>
      <c r="FY414" s="251"/>
      <c r="GC414" s="252"/>
      <c r="GF414" s="252"/>
      <c r="GG414" s="252"/>
      <c r="GH414" s="252"/>
      <c r="GI414" s="252"/>
      <c r="GJ414" s="252"/>
      <c r="GK414" s="251"/>
      <c r="GL414" s="250"/>
      <c r="GM414" s="250"/>
      <c r="GN414" s="250"/>
      <c r="GO414" s="250"/>
      <c r="GP414" s="250"/>
      <c r="GQ414" s="250"/>
      <c r="GR414" s="250"/>
      <c r="GS414" s="250"/>
      <c r="GT414" s="250"/>
      <c r="GU414" s="251"/>
      <c r="GV414" s="250"/>
      <c r="GW414" s="250"/>
      <c r="GX414" s="250"/>
      <c r="GY414" s="250"/>
      <c r="GZ414" s="250"/>
      <c r="HA414" s="250"/>
      <c r="HB414" s="250"/>
      <c r="HC414" s="250"/>
      <c r="HD414" s="250"/>
      <c r="HE414" s="250"/>
      <c r="HF414" s="250"/>
      <c r="HG414" s="250"/>
      <c r="HH414" s="251"/>
      <c r="HI414" s="424"/>
      <c r="HJ414" s="255"/>
      <c r="HK414" s="255"/>
      <c r="HL414" s="250"/>
      <c r="HM414" s="255"/>
      <c r="HN414" s="255"/>
      <c r="HO414" s="255"/>
      <c r="HP414" s="250"/>
      <c r="HQ414" s="250"/>
      <c r="HR414" s="250"/>
      <c r="HS414" s="250"/>
      <c r="HT414" s="250"/>
      <c r="HU414" s="251"/>
      <c r="HX414" s="252"/>
      <c r="HY414" s="252"/>
      <c r="HZ414" s="252"/>
      <c r="ID414" s="252"/>
      <c r="IE414" s="252"/>
      <c r="IF414" s="252"/>
      <c r="IJ414" s="252"/>
      <c r="IK414" s="252"/>
      <c r="IL414" s="252"/>
      <c r="IP414" s="252"/>
      <c r="IQ414" s="252"/>
      <c r="IR414" s="252"/>
      <c r="IY414" s="66"/>
      <c r="IZ414" s="66"/>
      <c r="JA414" s="66"/>
      <c r="JB414" s="250"/>
      <c r="JC414" s="66"/>
      <c r="JD414" s="66"/>
      <c r="JE414" s="66"/>
      <c r="JF414" s="66"/>
      <c r="JG414" s="66"/>
      <c r="JH414" s="66"/>
      <c r="JI414" s="66"/>
      <c r="JJ414" s="66"/>
      <c r="JK414" s="8"/>
      <c r="JN414" s="252"/>
      <c r="JO414" s="252"/>
      <c r="JP414" s="252"/>
      <c r="JT414" s="252"/>
      <c r="JU414" s="252"/>
      <c r="JV414" s="252"/>
      <c r="JZ414" s="252"/>
      <c r="KA414" s="252"/>
      <c r="KB414" s="252"/>
      <c r="KF414" s="252"/>
      <c r="KG414" s="252"/>
      <c r="KH414" s="252"/>
      <c r="KO414" s="66"/>
      <c r="KP414" s="66"/>
      <c r="KQ414" s="66"/>
      <c r="KR414" s="66"/>
      <c r="KS414" s="66"/>
      <c r="KT414" s="66"/>
      <c r="KU414" s="66"/>
      <c r="KV414" s="66"/>
      <c r="KW414" s="66"/>
      <c r="KX414" s="66"/>
      <c r="KY414" s="66"/>
      <c r="KZ414" s="66"/>
      <c r="LA414" s="8"/>
      <c r="LD414" s="252"/>
      <c r="LE414" s="252"/>
      <c r="LF414" s="252"/>
      <c r="LJ414" s="252"/>
      <c r="LK414" s="252"/>
      <c r="LN414" s="252"/>
      <c r="LO414" s="252"/>
      <c r="LP414" s="252"/>
      <c r="LT414" s="271"/>
      <c r="LU414" s="250"/>
      <c r="LV414" s="250"/>
      <c r="LW414" s="250"/>
      <c r="LX414" s="250"/>
      <c r="LY414" s="250"/>
      <c r="LZ414" s="250"/>
      <c r="MA414" s="250"/>
      <c r="MB414" s="250"/>
      <c r="MC414" s="250"/>
      <c r="MD414" s="250"/>
      <c r="ME414" s="250"/>
      <c r="MF414" s="250"/>
      <c r="MG414" s="250"/>
      <c r="MH414" s="250"/>
      <c r="MI414" s="250"/>
      <c r="MJ414" s="250"/>
      <c r="MK414" s="424"/>
      <c r="ML414" s="640"/>
      <c r="MM414" s="251"/>
      <c r="MN414" s="252"/>
      <c r="MO414" s="252"/>
      <c r="MP414" s="252"/>
      <c r="MQ414" s="252"/>
      <c r="MR414" s="252"/>
      <c r="MS414" s="252"/>
      <c r="MT414" s="252"/>
      <c r="MU414" s="252"/>
      <c r="MV414" s="252"/>
      <c r="MW414" s="252"/>
      <c r="MX414" s="252"/>
      <c r="MY414" s="252"/>
      <c r="MZ414" s="252"/>
      <c r="NA414" s="252"/>
      <c r="NB414" s="252"/>
      <c r="NC414" s="251"/>
      <c r="ND414" s="250"/>
      <c r="NE414" s="250"/>
      <c r="NF414" s="250"/>
      <c r="NG414" s="250"/>
      <c r="NH414" s="250"/>
      <c r="NI414" s="250"/>
      <c r="NJ414" s="250"/>
      <c r="NK414" s="250"/>
      <c r="NL414" s="250"/>
      <c r="NM414" s="250"/>
      <c r="NN414" s="250"/>
      <c r="NO414" s="250"/>
      <c r="NP414" s="250"/>
      <c r="NQ414" s="250"/>
      <c r="NR414" s="250"/>
      <c r="NS414" s="250"/>
      <c r="NT414" s="250"/>
      <c r="NU414" s="250"/>
      <c r="NV414" s="250"/>
      <c r="NW414" s="251"/>
      <c r="OT414" s="8"/>
      <c r="QG414" s="8"/>
      <c r="RT414" s="8"/>
    </row>
    <row r="415" spans="1:488" s="282" customFormat="1" x14ac:dyDescent="0.25">
      <c r="A415" s="66"/>
      <c r="B415" s="8"/>
      <c r="C415" s="66"/>
      <c r="D415" s="66"/>
      <c r="E415" s="66"/>
      <c r="F415" s="66"/>
      <c r="G415" s="66"/>
      <c r="H415" s="66"/>
      <c r="I415" s="66"/>
      <c r="J415" s="66"/>
      <c r="K415" s="66"/>
      <c r="L415" s="66"/>
      <c r="M415" s="66"/>
      <c r="N415" s="66"/>
      <c r="O415" s="66"/>
      <c r="P415" s="66"/>
      <c r="Q415" s="66"/>
      <c r="R415" s="66"/>
      <c r="S415" s="66"/>
      <c r="T415" s="68"/>
      <c r="AC415" s="66"/>
      <c r="AD415" s="66"/>
      <c r="AE415" s="68"/>
      <c r="AN415" s="66"/>
      <c r="AO415" s="66"/>
      <c r="AP415" s="68"/>
      <c r="AW415" s="66"/>
      <c r="AX415" s="68"/>
      <c r="BD415" s="66"/>
      <c r="BE415" s="68"/>
      <c r="BF415" s="66"/>
      <c r="BG415" s="66"/>
      <c r="BH415" s="66"/>
      <c r="BI415" s="66"/>
      <c r="BJ415" s="66"/>
      <c r="BK415" s="66"/>
      <c r="BL415" s="68"/>
      <c r="BO415" s="66"/>
      <c r="BP415" s="68"/>
      <c r="BV415" s="66"/>
      <c r="BW415" s="68"/>
      <c r="CB415" s="8"/>
      <c r="CH415" s="8"/>
      <c r="CK415" s="299"/>
      <c r="CL415" s="299"/>
      <c r="CM415" s="66"/>
      <c r="CN415" s="66"/>
      <c r="CO415" s="68"/>
      <c r="CR415" s="8"/>
      <c r="CX415" s="66"/>
      <c r="CY415" s="532"/>
      <c r="DE415" s="66"/>
      <c r="DF415" s="66"/>
      <c r="DG415" s="68"/>
      <c r="DH415" s="68"/>
      <c r="DK415" s="66"/>
      <c r="DL415" s="66"/>
      <c r="DM415" s="66"/>
      <c r="DN415" s="66"/>
      <c r="DO415" s="66"/>
      <c r="DP415" s="66"/>
      <c r="DQ415" s="66"/>
      <c r="DR415" s="66"/>
      <c r="DS415" s="66"/>
      <c r="DT415" s="68"/>
      <c r="DU415" s="66"/>
      <c r="DV415" s="296"/>
      <c r="DW415" s="330"/>
      <c r="DX415" s="631"/>
      <c r="DY415" s="631"/>
      <c r="DZ415" s="631"/>
      <c r="EA415" s="330"/>
      <c r="EC415" s="66"/>
      <c r="ED415" s="68"/>
      <c r="EH415" s="66"/>
      <c r="EI415" s="66"/>
      <c r="EJ415" s="68"/>
      <c r="EK415" s="252"/>
      <c r="EL415" s="252"/>
      <c r="EM415" s="252"/>
      <c r="EO415" s="252"/>
      <c r="EP415" s="252"/>
      <c r="EQ415" s="252"/>
      <c r="ES415" s="252"/>
      <c r="ET415" s="252"/>
      <c r="EU415" s="252"/>
      <c r="EW415" s="252"/>
      <c r="EX415" s="252"/>
      <c r="EY415" s="252"/>
      <c r="FA415" s="250"/>
      <c r="FB415" s="250"/>
      <c r="FC415" s="250"/>
      <c r="FD415" s="250"/>
      <c r="FE415" s="250"/>
      <c r="FF415" s="250"/>
      <c r="FG415" s="250"/>
      <c r="FH415" s="424"/>
      <c r="FI415" s="250"/>
      <c r="FJ415" s="250"/>
      <c r="FK415" s="250"/>
      <c r="FL415" s="256"/>
      <c r="FM415" s="250"/>
      <c r="FN415" s="256"/>
      <c r="FO415" s="250"/>
      <c r="FP415" s="256"/>
      <c r="FQ415" s="250"/>
      <c r="FR415" s="256"/>
      <c r="FS415" s="250"/>
      <c r="FT415" s="256"/>
      <c r="FU415" s="256"/>
      <c r="FV415" s="256"/>
      <c r="FW415" s="250"/>
      <c r="FX415" s="424"/>
      <c r="FY415" s="251"/>
      <c r="GC415" s="252"/>
      <c r="GF415" s="252"/>
      <c r="GG415" s="252"/>
      <c r="GH415" s="252"/>
      <c r="GI415" s="252"/>
      <c r="GJ415" s="252"/>
      <c r="GK415" s="251"/>
      <c r="GL415" s="250"/>
      <c r="GM415" s="250"/>
      <c r="GN415" s="250"/>
      <c r="GO415" s="250"/>
      <c r="GP415" s="250"/>
      <c r="GQ415" s="250"/>
      <c r="GR415" s="250"/>
      <c r="GS415" s="250"/>
      <c r="GT415" s="250"/>
      <c r="GU415" s="251"/>
      <c r="GV415" s="250"/>
      <c r="GW415" s="250"/>
      <c r="GX415" s="250"/>
      <c r="GY415" s="250"/>
      <c r="GZ415" s="250"/>
      <c r="HA415" s="250"/>
      <c r="HB415" s="250"/>
      <c r="HC415" s="250"/>
      <c r="HD415" s="250"/>
      <c r="HE415" s="250"/>
      <c r="HF415" s="250"/>
      <c r="HG415" s="250"/>
      <c r="HH415" s="251"/>
      <c r="HI415" s="424"/>
      <c r="HJ415" s="255"/>
      <c r="HK415" s="255"/>
      <c r="HL415" s="250"/>
      <c r="HM415" s="255"/>
      <c r="HN415" s="255"/>
      <c r="HO415" s="255"/>
      <c r="HP415" s="250"/>
      <c r="HQ415" s="250"/>
      <c r="HR415" s="250"/>
      <c r="HS415" s="250"/>
      <c r="HT415" s="250"/>
      <c r="HU415" s="251"/>
      <c r="HX415" s="252"/>
      <c r="HY415" s="252"/>
      <c r="HZ415" s="252"/>
      <c r="ID415" s="252"/>
      <c r="IE415" s="252"/>
      <c r="IF415" s="252"/>
      <c r="IJ415" s="252"/>
      <c r="IK415" s="252"/>
      <c r="IL415" s="252"/>
      <c r="IP415" s="252"/>
      <c r="IQ415" s="252"/>
      <c r="IR415" s="252"/>
      <c r="IY415" s="66"/>
      <c r="IZ415" s="66"/>
      <c r="JA415" s="66"/>
      <c r="JB415" s="250"/>
      <c r="JC415" s="66"/>
      <c r="JD415" s="66"/>
      <c r="JE415" s="66"/>
      <c r="JF415" s="66"/>
      <c r="JG415" s="66"/>
      <c r="JH415" s="66"/>
      <c r="JI415" s="66"/>
      <c r="JJ415" s="66"/>
      <c r="JK415" s="8"/>
      <c r="JN415" s="252"/>
      <c r="JO415" s="252"/>
      <c r="JP415" s="252"/>
      <c r="JT415" s="252"/>
      <c r="JU415" s="252"/>
      <c r="JV415" s="252"/>
      <c r="JZ415" s="252"/>
      <c r="KA415" s="252"/>
      <c r="KB415" s="252"/>
      <c r="KF415" s="252"/>
      <c r="KG415" s="252"/>
      <c r="KH415" s="252"/>
      <c r="KO415" s="66"/>
      <c r="KP415" s="66"/>
      <c r="KQ415" s="66"/>
      <c r="KR415" s="66"/>
      <c r="KS415" s="66"/>
      <c r="KT415" s="66"/>
      <c r="KU415" s="66"/>
      <c r="KV415" s="66"/>
      <c r="KW415" s="66"/>
      <c r="KX415" s="66"/>
      <c r="KY415" s="66"/>
      <c r="KZ415" s="66"/>
      <c r="LA415" s="8"/>
      <c r="LD415" s="252"/>
      <c r="LE415" s="252"/>
      <c r="LF415" s="252"/>
      <c r="LJ415" s="252"/>
      <c r="LK415" s="252"/>
      <c r="LN415" s="252"/>
      <c r="LO415" s="252"/>
      <c r="LP415" s="252"/>
      <c r="LT415" s="271"/>
      <c r="LU415" s="250"/>
      <c r="LV415" s="250"/>
      <c r="LW415" s="250"/>
      <c r="LX415" s="250"/>
      <c r="LY415" s="250"/>
      <c r="LZ415" s="250"/>
      <c r="MA415" s="250"/>
      <c r="MB415" s="250"/>
      <c r="MC415" s="250"/>
      <c r="MD415" s="250"/>
      <c r="ME415" s="250"/>
      <c r="MF415" s="250"/>
      <c r="MG415" s="250"/>
      <c r="MH415" s="250"/>
      <c r="MI415" s="250"/>
      <c r="MJ415" s="250"/>
      <c r="MK415" s="424"/>
      <c r="ML415" s="640"/>
      <c r="MM415" s="251"/>
      <c r="MN415" s="252"/>
      <c r="MO415" s="252"/>
      <c r="MP415" s="252"/>
      <c r="MQ415" s="252"/>
      <c r="MR415" s="252"/>
      <c r="MS415" s="252"/>
      <c r="MT415" s="252"/>
      <c r="MU415" s="252"/>
      <c r="MV415" s="252"/>
      <c r="MW415" s="252"/>
      <c r="MX415" s="252"/>
      <c r="MY415" s="252"/>
      <c r="MZ415" s="252"/>
      <c r="NA415" s="252"/>
      <c r="NB415" s="252"/>
      <c r="NC415" s="251"/>
      <c r="ND415" s="250"/>
      <c r="NE415" s="250"/>
      <c r="NF415" s="250"/>
      <c r="NG415" s="250"/>
      <c r="NH415" s="250"/>
      <c r="NI415" s="250"/>
      <c r="NJ415" s="250"/>
      <c r="NK415" s="250"/>
      <c r="NL415" s="250"/>
      <c r="NM415" s="250"/>
      <c r="NN415" s="250"/>
      <c r="NO415" s="250"/>
      <c r="NP415" s="250"/>
      <c r="NQ415" s="250"/>
      <c r="NR415" s="250"/>
      <c r="NS415" s="250"/>
      <c r="NT415" s="250"/>
      <c r="NU415" s="250"/>
      <c r="NV415" s="250"/>
      <c r="NW415" s="251"/>
      <c r="OT415" s="8"/>
      <c r="QG415" s="8"/>
      <c r="RT415" s="8"/>
    </row>
    <row r="416" spans="1:488" s="282" customFormat="1" x14ac:dyDescent="0.25">
      <c r="A416" s="66"/>
      <c r="B416" s="8"/>
      <c r="C416" s="66"/>
      <c r="D416" s="66"/>
      <c r="E416" s="66"/>
      <c r="F416" s="66"/>
      <c r="G416" s="66"/>
      <c r="H416" s="66"/>
      <c r="I416" s="66"/>
      <c r="J416" s="66"/>
      <c r="K416" s="66"/>
      <c r="L416" s="66"/>
      <c r="M416" s="66"/>
      <c r="N416" s="66"/>
      <c r="O416" s="66"/>
      <c r="P416" s="66"/>
      <c r="Q416" s="66"/>
      <c r="R416" s="66"/>
      <c r="S416" s="66"/>
      <c r="T416" s="68"/>
      <c r="AC416" s="66"/>
      <c r="AD416" s="66"/>
      <c r="AE416" s="68"/>
      <c r="AN416" s="66"/>
      <c r="AO416" s="66"/>
      <c r="AP416" s="68"/>
      <c r="AW416" s="66"/>
      <c r="AX416" s="68"/>
      <c r="BD416" s="66"/>
      <c r="BE416" s="68"/>
      <c r="BF416" s="66"/>
      <c r="BG416" s="66"/>
      <c r="BH416" s="66"/>
      <c r="BI416" s="66"/>
      <c r="BJ416" s="66"/>
      <c r="BK416" s="66"/>
      <c r="BL416" s="68"/>
      <c r="BO416" s="66"/>
      <c r="BP416" s="68"/>
      <c r="BV416" s="66"/>
      <c r="BW416" s="68"/>
      <c r="CB416" s="8"/>
      <c r="CH416" s="8"/>
      <c r="CK416" s="299"/>
      <c r="CL416" s="299"/>
      <c r="CM416" s="66"/>
      <c r="CN416" s="66"/>
      <c r="CO416" s="68"/>
      <c r="CR416" s="8"/>
      <c r="CX416" s="66"/>
      <c r="CY416" s="532"/>
      <c r="DE416" s="66"/>
      <c r="DF416" s="66"/>
      <c r="DG416" s="68"/>
      <c r="DH416" s="68"/>
      <c r="DK416" s="66"/>
      <c r="DL416" s="66"/>
      <c r="DM416" s="66"/>
      <c r="DN416" s="66"/>
      <c r="DO416" s="66"/>
      <c r="DP416" s="66"/>
      <c r="DQ416" s="66"/>
      <c r="DR416" s="66"/>
      <c r="DS416" s="66"/>
      <c r="DT416" s="68"/>
      <c r="DU416" s="66"/>
      <c r="DV416" s="296"/>
      <c r="DW416" s="330"/>
      <c r="DX416" s="631"/>
      <c r="DY416" s="631"/>
      <c r="DZ416" s="631"/>
      <c r="EA416" s="330"/>
      <c r="EC416" s="66"/>
      <c r="ED416" s="68"/>
      <c r="EH416" s="66"/>
      <c r="EI416" s="66"/>
      <c r="EJ416" s="68"/>
      <c r="EK416" s="252"/>
      <c r="EL416" s="252"/>
      <c r="EM416" s="252"/>
      <c r="EO416" s="252"/>
      <c r="EP416" s="252"/>
      <c r="EQ416" s="252"/>
      <c r="ES416" s="252"/>
      <c r="ET416" s="252"/>
      <c r="EU416" s="252"/>
      <c r="EW416" s="252"/>
      <c r="EX416" s="252"/>
      <c r="EY416" s="252"/>
      <c r="FA416" s="250"/>
      <c r="FB416" s="250"/>
      <c r="FC416" s="250"/>
      <c r="FD416" s="250"/>
      <c r="FE416" s="250"/>
      <c r="FF416" s="250"/>
      <c r="FG416" s="250"/>
      <c r="FH416" s="424"/>
      <c r="FI416" s="250"/>
      <c r="FJ416" s="250"/>
      <c r="FK416" s="250"/>
      <c r="FL416" s="256"/>
      <c r="FM416" s="250"/>
      <c r="FN416" s="256"/>
      <c r="FO416" s="250"/>
      <c r="FP416" s="256"/>
      <c r="FQ416" s="250"/>
      <c r="FR416" s="256"/>
      <c r="FS416" s="250"/>
      <c r="FT416" s="256"/>
      <c r="FU416" s="256"/>
      <c r="FV416" s="256"/>
      <c r="FW416" s="250"/>
      <c r="FX416" s="424"/>
      <c r="FY416" s="251"/>
      <c r="GC416" s="252"/>
      <c r="GF416" s="252"/>
      <c r="GG416" s="252"/>
      <c r="GH416" s="252"/>
      <c r="GI416" s="252"/>
      <c r="GJ416" s="252"/>
      <c r="GK416" s="251"/>
      <c r="GL416" s="250"/>
      <c r="GM416" s="250"/>
      <c r="GN416" s="250"/>
      <c r="GO416" s="250"/>
      <c r="GP416" s="250"/>
      <c r="GQ416" s="250"/>
      <c r="GR416" s="250"/>
      <c r="GS416" s="250"/>
      <c r="GT416" s="250"/>
      <c r="GU416" s="251"/>
      <c r="GV416" s="250"/>
      <c r="GW416" s="250"/>
      <c r="GX416" s="250"/>
      <c r="GY416" s="250"/>
      <c r="GZ416" s="250"/>
      <c r="HA416" s="250"/>
      <c r="HB416" s="250"/>
      <c r="HC416" s="250"/>
      <c r="HD416" s="250"/>
      <c r="HE416" s="250"/>
      <c r="HF416" s="250"/>
      <c r="HG416" s="250"/>
      <c r="HH416" s="251"/>
      <c r="HI416" s="424"/>
      <c r="HJ416" s="255"/>
      <c r="HK416" s="255"/>
      <c r="HL416" s="250"/>
      <c r="HM416" s="255"/>
      <c r="HN416" s="255"/>
      <c r="HO416" s="255"/>
      <c r="HP416" s="250"/>
      <c r="HQ416" s="250"/>
      <c r="HR416" s="250"/>
      <c r="HS416" s="250"/>
      <c r="HT416" s="250"/>
      <c r="HU416" s="251"/>
      <c r="HX416" s="252"/>
      <c r="HY416" s="252"/>
      <c r="HZ416" s="252"/>
      <c r="ID416" s="252"/>
      <c r="IE416" s="252"/>
      <c r="IF416" s="252"/>
      <c r="IJ416" s="252"/>
      <c r="IK416" s="252"/>
      <c r="IL416" s="252"/>
      <c r="IP416" s="252"/>
      <c r="IQ416" s="252"/>
      <c r="IR416" s="252"/>
      <c r="IY416" s="66"/>
      <c r="IZ416" s="66"/>
      <c r="JA416" s="66"/>
      <c r="JB416" s="250"/>
      <c r="JC416" s="66"/>
      <c r="JD416" s="66"/>
      <c r="JE416" s="66"/>
      <c r="JF416" s="66"/>
      <c r="JG416" s="66"/>
      <c r="JH416" s="66"/>
      <c r="JI416" s="66"/>
      <c r="JJ416" s="66"/>
      <c r="JK416" s="8"/>
      <c r="JN416" s="252"/>
      <c r="JO416" s="252"/>
      <c r="JP416" s="252"/>
      <c r="JT416" s="252"/>
      <c r="JU416" s="252"/>
      <c r="JV416" s="252"/>
      <c r="JZ416" s="252"/>
      <c r="KA416" s="252"/>
      <c r="KB416" s="252"/>
      <c r="KF416" s="252"/>
      <c r="KG416" s="252"/>
      <c r="KH416" s="252"/>
      <c r="KO416" s="66"/>
      <c r="KP416" s="66"/>
      <c r="KQ416" s="66"/>
      <c r="KR416" s="66"/>
      <c r="KS416" s="66"/>
      <c r="KT416" s="66"/>
      <c r="KU416" s="66"/>
      <c r="KV416" s="66"/>
      <c r="KW416" s="66"/>
      <c r="KX416" s="66"/>
      <c r="KY416" s="66"/>
      <c r="KZ416" s="66"/>
      <c r="LA416" s="8"/>
      <c r="LD416" s="252"/>
      <c r="LE416" s="252"/>
      <c r="LF416" s="252"/>
      <c r="LJ416" s="252"/>
      <c r="LK416" s="252"/>
      <c r="LN416" s="252"/>
      <c r="LO416" s="252"/>
      <c r="LP416" s="252"/>
      <c r="LT416" s="271"/>
      <c r="LU416" s="250"/>
      <c r="LV416" s="250"/>
      <c r="LW416" s="250"/>
      <c r="LX416" s="250"/>
      <c r="LY416" s="250"/>
      <c r="LZ416" s="250"/>
      <c r="MA416" s="250"/>
      <c r="MB416" s="250"/>
      <c r="MC416" s="250"/>
      <c r="MD416" s="250"/>
      <c r="ME416" s="250"/>
      <c r="MF416" s="250"/>
      <c r="MG416" s="250"/>
      <c r="MH416" s="250"/>
      <c r="MI416" s="250"/>
      <c r="MJ416" s="250"/>
      <c r="MK416" s="424"/>
      <c r="ML416" s="640"/>
      <c r="MM416" s="251"/>
      <c r="MN416" s="252"/>
      <c r="MO416" s="252"/>
      <c r="MP416" s="252"/>
      <c r="MQ416" s="252"/>
      <c r="MR416" s="252"/>
      <c r="MS416" s="252"/>
      <c r="MT416" s="252"/>
      <c r="MU416" s="252"/>
      <c r="MV416" s="252"/>
      <c r="MW416" s="252"/>
      <c r="MX416" s="252"/>
      <c r="MY416" s="252"/>
      <c r="MZ416" s="252"/>
      <c r="NA416" s="252"/>
      <c r="NB416" s="252"/>
      <c r="NC416" s="251"/>
      <c r="ND416" s="250"/>
      <c r="NE416" s="250"/>
      <c r="NF416" s="250"/>
      <c r="NG416" s="250"/>
      <c r="NH416" s="250"/>
      <c r="NI416" s="250"/>
      <c r="NJ416" s="250"/>
      <c r="NK416" s="250"/>
      <c r="NL416" s="250"/>
      <c r="NM416" s="250"/>
      <c r="NN416" s="250"/>
      <c r="NO416" s="250"/>
      <c r="NP416" s="250"/>
      <c r="NQ416" s="250"/>
      <c r="NR416" s="250"/>
      <c r="NS416" s="250"/>
      <c r="NT416" s="250"/>
      <c r="NU416" s="250"/>
      <c r="NV416" s="250"/>
      <c r="NW416" s="251"/>
      <c r="OT416" s="8"/>
      <c r="QG416" s="8"/>
      <c r="RT416" s="8"/>
    </row>
    <row r="417" spans="1:488" s="282" customFormat="1" x14ac:dyDescent="0.25">
      <c r="A417" s="66"/>
      <c r="B417" s="8"/>
      <c r="C417" s="66"/>
      <c r="D417" s="66"/>
      <c r="E417" s="66"/>
      <c r="F417" s="66"/>
      <c r="G417" s="66"/>
      <c r="H417" s="66"/>
      <c r="I417" s="66"/>
      <c r="J417" s="66"/>
      <c r="K417" s="66"/>
      <c r="L417" s="66"/>
      <c r="M417" s="66"/>
      <c r="N417" s="66"/>
      <c r="O417" s="66"/>
      <c r="P417" s="66"/>
      <c r="Q417" s="66"/>
      <c r="R417" s="66"/>
      <c r="S417" s="66"/>
      <c r="T417" s="68"/>
      <c r="AC417" s="66"/>
      <c r="AD417" s="66"/>
      <c r="AE417" s="68"/>
      <c r="AN417" s="66"/>
      <c r="AO417" s="66"/>
      <c r="AP417" s="68"/>
      <c r="AW417" s="66"/>
      <c r="AX417" s="68"/>
      <c r="BD417" s="66"/>
      <c r="BE417" s="68"/>
      <c r="BF417" s="66"/>
      <c r="BG417" s="66"/>
      <c r="BH417" s="66"/>
      <c r="BI417" s="66"/>
      <c r="BJ417" s="66"/>
      <c r="BK417" s="66"/>
      <c r="BL417" s="68"/>
      <c r="BO417" s="66"/>
      <c r="BP417" s="68"/>
      <c r="BV417" s="66"/>
      <c r="BW417" s="68"/>
      <c r="CB417" s="8"/>
      <c r="CH417" s="8"/>
      <c r="CK417" s="299"/>
      <c r="CL417" s="299"/>
      <c r="CM417" s="66"/>
      <c r="CN417" s="66"/>
      <c r="CO417" s="68"/>
      <c r="CR417" s="8"/>
      <c r="CX417" s="66"/>
      <c r="CY417" s="532"/>
      <c r="DE417" s="66"/>
      <c r="DF417" s="66"/>
      <c r="DG417" s="68"/>
      <c r="DH417" s="68"/>
      <c r="DK417" s="66"/>
      <c r="DL417" s="66"/>
      <c r="DM417" s="66"/>
      <c r="DN417" s="66"/>
      <c r="DO417" s="66"/>
      <c r="DP417" s="66"/>
      <c r="DQ417" s="66"/>
      <c r="DR417" s="66"/>
      <c r="DS417" s="66"/>
      <c r="DT417" s="68"/>
      <c r="DU417" s="66"/>
      <c r="DV417" s="296"/>
      <c r="DW417" s="330"/>
      <c r="DX417" s="631"/>
      <c r="DY417" s="631"/>
      <c r="DZ417" s="631"/>
      <c r="EA417" s="330"/>
      <c r="EC417" s="66"/>
      <c r="ED417" s="68"/>
      <c r="EH417" s="66"/>
      <c r="EI417" s="66"/>
      <c r="EJ417" s="68"/>
      <c r="EK417" s="252"/>
      <c r="EL417" s="252"/>
      <c r="EM417" s="252"/>
      <c r="EO417" s="252"/>
      <c r="EP417" s="252"/>
      <c r="EQ417" s="252"/>
      <c r="ES417" s="252"/>
      <c r="ET417" s="252"/>
      <c r="EU417" s="252"/>
      <c r="EW417" s="252"/>
      <c r="EX417" s="252"/>
      <c r="EY417" s="252"/>
      <c r="FA417" s="250"/>
      <c r="FB417" s="250"/>
      <c r="FC417" s="250"/>
      <c r="FD417" s="250"/>
      <c r="FE417" s="250"/>
      <c r="FF417" s="250"/>
      <c r="FG417" s="250"/>
      <c r="FH417" s="424"/>
      <c r="FI417" s="250"/>
      <c r="FJ417" s="250"/>
      <c r="FK417" s="250"/>
      <c r="FL417" s="256"/>
      <c r="FM417" s="250"/>
      <c r="FN417" s="256"/>
      <c r="FO417" s="250"/>
      <c r="FP417" s="256"/>
      <c r="FQ417" s="250"/>
      <c r="FR417" s="256"/>
      <c r="FS417" s="250"/>
      <c r="FT417" s="256"/>
      <c r="FU417" s="256"/>
      <c r="FV417" s="256"/>
      <c r="FW417" s="250"/>
      <c r="FX417" s="424"/>
      <c r="FY417" s="251"/>
      <c r="GC417" s="252"/>
      <c r="GF417" s="252"/>
      <c r="GG417" s="252"/>
      <c r="GH417" s="252"/>
      <c r="GI417" s="252"/>
      <c r="GJ417" s="252"/>
      <c r="GK417" s="251"/>
      <c r="GL417" s="250"/>
      <c r="GM417" s="250"/>
      <c r="GN417" s="250"/>
      <c r="GO417" s="250"/>
      <c r="GP417" s="250"/>
      <c r="GQ417" s="250"/>
      <c r="GR417" s="250"/>
      <c r="GS417" s="250"/>
      <c r="GT417" s="250"/>
      <c r="GU417" s="251"/>
      <c r="GV417" s="250"/>
      <c r="GW417" s="250"/>
      <c r="GX417" s="250"/>
      <c r="GY417" s="250"/>
      <c r="GZ417" s="250"/>
      <c r="HA417" s="250"/>
      <c r="HB417" s="250"/>
      <c r="HC417" s="250"/>
      <c r="HD417" s="250"/>
      <c r="HE417" s="250"/>
      <c r="HF417" s="250"/>
      <c r="HG417" s="250"/>
      <c r="HH417" s="251"/>
      <c r="HI417" s="424"/>
      <c r="HJ417" s="255"/>
      <c r="HK417" s="255"/>
      <c r="HL417" s="250"/>
      <c r="HM417" s="255"/>
      <c r="HN417" s="255"/>
      <c r="HO417" s="255"/>
      <c r="HP417" s="250"/>
      <c r="HQ417" s="250"/>
      <c r="HR417" s="250"/>
      <c r="HS417" s="250"/>
      <c r="HT417" s="250"/>
      <c r="HU417" s="251"/>
      <c r="HX417" s="252"/>
      <c r="HY417" s="252"/>
      <c r="HZ417" s="252"/>
      <c r="ID417" s="252"/>
      <c r="IE417" s="252"/>
      <c r="IF417" s="252"/>
      <c r="IJ417" s="252"/>
      <c r="IK417" s="252"/>
      <c r="IL417" s="252"/>
      <c r="IP417" s="252"/>
      <c r="IQ417" s="252"/>
      <c r="IR417" s="252"/>
      <c r="IY417" s="66"/>
      <c r="IZ417" s="66"/>
      <c r="JA417" s="66"/>
      <c r="JB417" s="250"/>
      <c r="JC417" s="66"/>
      <c r="JD417" s="66"/>
      <c r="JE417" s="66"/>
      <c r="JF417" s="66"/>
      <c r="JG417" s="66"/>
      <c r="JH417" s="66"/>
      <c r="JI417" s="66"/>
      <c r="JJ417" s="66"/>
      <c r="JK417" s="8"/>
      <c r="JN417" s="252"/>
      <c r="JO417" s="252"/>
      <c r="JP417" s="252"/>
      <c r="JT417" s="252"/>
      <c r="JU417" s="252"/>
      <c r="JV417" s="252"/>
      <c r="JZ417" s="252"/>
      <c r="KA417" s="252"/>
      <c r="KB417" s="252"/>
      <c r="KF417" s="252"/>
      <c r="KG417" s="252"/>
      <c r="KH417" s="252"/>
      <c r="KO417" s="66"/>
      <c r="KP417" s="66"/>
      <c r="KQ417" s="66"/>
      <c r="KR417" s="66"/>
      <c r="KS417" s="66"/>
      <c r="KT417" s="66"/>
      <c r="KU417" s="66"/>
      <c r="KV417" s="66"/>
      <c r="KW417" s="66"/>
      <c r="KX417" s="66"/>
      <c r="KY417" s="66"/>
      <c r="KZ417" s="66"/>
      <c r="LA417" s="8"/>
      <c r="LD417" s="252"/>
      <c r="LE417" s="252"/>
      <c r="LF417" s="252"/>
      <c r="LJ417" s="252"/>
      <c r="LK417" s="252"/>
      <c r="LN417" s="252"/>
      <c r="LO417" s="252"/>
      <c r="LP417" s="252"/>
      <c r="LT417" s="271"/>
      <c r="LU417" s="250"/>
      <c r="LV417" s="250"/>
      <c r="LW417" s="250"/>
      <c r="LX417" s="250"/>
      <c r="LY417" s="250"/>
      <c r="LZ417" s="250"/>
      <c r="MA417" s="250"/>
      <c r="MB417" s="250"/>
      <c r="MC417" s="250"/>
      <c r="MD417" s="250"/>
      <c r="ME417" s="250"/>
      <c r="MF417" s="250"/>
      <c r="MG417" s="250"/>
      <c r="MH417" s="250"/>
      <c r="MI417" s="250"/>
      <c r="MJ417" s="250"/>
      <c r="MK417" s="424"/>
      <c r="ML417" s="640"/>
      <c r="MM417" s="251"/>
      <c r="MN417" s="252"/>
      <c r="MO417" s="252"/>
      <c r="MP417" s="252"/>
      <c r="MQ417" s="252"/>
      <c r="MR417" s="252"/>
      <c r="MS417" s="252"/>
      <c r="MT417" s="252"/>
      <c r="MU417" s="252"/>
      <c r="MV417" s="252"/>
      <c r="MW417" s="252"/>
      <c r="MX417" s="252"/>
      <c r="MY417" s="252"/>
      <c r="MZ417" s="252"/>
      <c r="NA417" s="252"/>
      <c r="NB417" s="252"/>
      <c r="NC417" s="251"/>
      <c r="ND417" s="250"/>
      <c r="NE417" s="250"/>
      <c r="NF417" s="250"/>
      <c r="NG417" s="250"/>
      <c r="NH417" s="250"/>
      <c r="NI417" s="250"/>
      <c r="NJ417" s="250"/>
      <c r="NK417" s="250"/>
      <c r="NL417" s="250"/>
      <c r="NM417" s="250"/>
      <c r="NN417" s="250"/>
      <c r="NO417" s="250"/>
      <c r="NP417" s="250"/>
      <c r="NQ417" s="250"/>
      <c r="NR417" s="250"/>
      <c r="NS417" s="250"/>
      <c r="NT417" s="250"/>
      <c r="NU417" s="250"/>
      <c r="NV417" s="250"/>
      <c r="NW417" s="251"/>
      <c r="OT417" s="8"/>
      <c r="QG417" s="8"/>
      <c r="RT417" s="8"/>
    </row>
    <row r="418" spans="1:488" s="282" customFormat="1" x14ac:dyDescent="0.25">
      <c r="A418" s="66"/>
      <c r="B418" s="8"/>
      <c r="C418" s="66"/>
      <c r="D418" s="66"/>
      <c r="E418" s="66"/>
      <c r="F418" s="66"/>
      <c r="G418" s="66"/>
      <c r="H418" s="66"/>
      <c r="I418" s="66"/>
      <c r="J418" s="66"/>
      <c r="K418" s="66"/>
      <c r="L418" s="66"/>
      <c r="M418" s="66"/>
      <c r="N418" s="66"/>
      <c r="O418" s="66"/>
      <c r="P418" s="66"/>
      <c r="Q418" s="66"/>
      <c r="R418" s="66"/>
      <c r="S418" s="66"/>
      <c r="T418" s="68"/>
      <c r="AC418" s="66"/>
      <c r="AD418" s="66"/>
      <c r="AE418" s="68"/>
      <c r="AN418" s="66"/>
      <c r="AO418" s="66"/>
      <c r="AP418" s="68"/>
      <c r="AW418" s="66"/>
      <c r="AX418" s="68"/>
      <c r="BD418" s="66"/>
      <c r="BE418" s="68"/>
      <c r="BF418" s="66"/>
      <c r="BG418" s="66"/>
      <c r="BH418" s="66"/>
      <c r="BI418" s="66"/>
      <c r="BJ418" s="66"/>
      <c r="BK418" s="66"/>
      <c r="BL418" s="68"/>
      <c r="BO418" s="66"/>
      <c r="BP418" s="68"/>
      <c r="BV418" s="66"/>
      <c r="BW418" s="68"/>
      <c r="CB418" s="8"/>
      <c r="CH418" s="8"/>
      <c r="CK418" s="299"/>
      <c r="CL418" s="299"/>
      <c r="CM418" s="66"/>
      <c r="CN418" s="66"/>
      <c r="CO418" s="68"/>
      <c r="CR418" s="8"/>
      <c r="CX418" s="66"/>
      <c r="CY418" s="532"/>
      <c r="DE418" s="66"/>
      <c r="DF418" s="66"/>
      <c r="DG418" s="68"/>
      <c r="DH418" s="68"/>
      <c r="DK418" s="66"/>
      <c r="DL418" s="66"/>
      <c r="DM418" s="66"/>
      <c r="DN418" s="66"/>
      <c r="DO418" s="66"/>
      <c r="DP418" s="66"/>
      <c r="DQ418" s="66"/>
      <c r="DR418" s="66"/>
      <c r="DS418" s="66"/>
      <c r="DT418" s="68"/>
      <c r="DU418" s="66"/>
      <c r="DV418" s="296"/>
      <c r="DW418" s="330"/>
      <c r="DX418" s="631"/>
      <c r="DY418" s="631"/>
      <c r="DZ418" s="631"/>
      <c r="EA418" s="330"/>
      <c r="EC418" s="66"/>
      <c r="ED418" s="68"/>
      <c r="EH418" s="66"/>
      <c r="EI418" s="66"/>
      <c r="EJ418" s="68"/>
      <c r="EK418" s="252"/>
      <c r="EL418" s="252"/>
      <c r="EM418" s="252"/>
      <c r="EO418" s="252"/>
      <c r="EP418" s="252"/>
      <c r="EQ418" s="252"/>
      <c r="ES418" s="252"/>
      <c r="ET418" s="252"/>
      <c r="EU418" s="252"/>
      <c r="EW418" s="252"/>
      <c r="EX418" s="252"/>
      <c r="EY418" s="252"/>
      <c r="FA418" s="250"/>
      <c r="FB418" s="250"/>
      <c r="FC418" s="250"/>
      <c r="FD418" s="250"/>
      <c r="FE418" s="250"/>
      <c r="FF418" s="250"/>
      <c r="FG418" s="250"/>
      <c r="FH418" s="424"/>
      <c r="FI418" s="250"/>
      <c r="FJ418" s="250"/>
      <c r="FK418" s="250"/>
      <c r="FL418" s="256"/>
      <c r="FM418" s="250"/>
      <c r="FN418" s="256"/>
      <c r="FO418" s="250"/>
      <c r="FP418" s="256"/>
      <c r="FQ418" s="250"/>
      <c r="FR418" s="256"/>
      <c r="FS418" s="250"/>
      <c r="FT418" s="256"/>
      <c r="FU418" s="256"/>
      <c r="FV418" s="256"/>
      <c r="FW418" s="250"/>
      <c r="FX418" s="424"/>
      <c r="FY418" s="251"/>
      <c r="GC418" s="252"/>
      <c r="GF418" s="252"/>
      <c r="GG418" s="252"/>
      <c r="GH418" s="252"/>
      <c r="GI418" s="252"/>
      <c r="GJ418" s="252"/>
      <c r="GK418" s="251"/>
      <c r="GL418" s="250"/>
      <c r="GM418" s="250"/>
      <c r="GN418" s="250"/>
      <c r="GO418" s="250"/>
      <c r="GP418" s="250"/>
      <c r="GQ418" s="250"/>
      <c r="GR418" s="250"/>
      <c r="GS418" s="250"/>
      <c r="GT418" s="250"/>
      <c r="GU418" s="251"/>
      <c r="GV418" s="250"/>
      <c r="GW418" s="250"/>
      <c r="GX418" s="250"/>
      <c r="GY418" s="250"/>
      <c r="GZ418" s="250"/>
      <c r="HA418" s="250"/>
      <c r="HB418" s="250"/>
      <c r="HC418" s="250"/>
      <c r="HD418" s="250"/>
      <c r="HE418" s="250"/>
      <c r="HF418" s="250"/>
      <c r="HG418" s="250"/>
      <c r="HH418" s="251"/>
      <c r="HI418" s="424"/>
      <c r="HJ418" s="255"/>
      <c r="HK418" s="255"/>
      <c r="HL418" s="250"/>
      <c r="HM418" s="255"/>
      <c r="HN418" s="255"/>
      <c r="HO418" s="255"/>
      <c r="HP418" s="250"/>
      <c r="HQ418" s="250"/>
      <c r="HR418" s="250"/>
      <c r="HS418" s="250"/>
      <c r="HT418" s="250"/>
      <c r="HU418" s="251"/>
      <c r="HX418" s="252"/>
      <c r="HY418" s="252"/>
      <c r="HZ418" s="252"/>
      <c r="ID418" s="252"/>
      <c r="IE418" s="252"/>
      <c r="IF418" s="252"/>
      <c r="IJ418" s="252"/>
      <c r="IK418" s="252"/>
      <c r="IL418" s="252"/>
      <c r="IP418" s="252"/>
      <c r="IQ418" s="252"/>
      <c r="IR418" s="252"/>
      <c r="IY418" s="66"/>
      <c r="IZ418" s="66"/>
      <c r="JA418" s="66"/>
      <c r="JB418" s="250"/>
      <c r="JC418" s="66"/>
      <c r="JD418" s="66"/>
      <c r="JE418" s="66"/>
      <c r="JF418" s="66"/>
      <c r="JG418" s="66"/>
      <c r="JH418" s="66"/>
      <c r="JI418" s="66"/>
      <c r="JJ418" s="66"/>
      <c r="JK418" s="8"/>
      <c r="JN418" s="252"/>
      <c r="JO418" s="252"/>
      <c r="JP418" s="252"/>
      <c r="JT418" s="252"/>
      <c r="JU418" s="252"/>
      <c r="JV418" s="252"/>
      <c r="JZ418" s="252"/>
      <c r="KA418" s="252"/>
      <c r="KB418" s="252"/>
      <c r="KF418" s="252"/>
      <c r="KG418" s="252"/>
      <c r="KH418" s="252"/>
      <c r="KO418" s="66"/>
      <c r="KP418" s="66"/>
      <c r="KQ418" s="66"/>
      <c r="KR418" s="66"/>
      <c r="KS418" s="66"/>
      <c r="KT418" s="66"/>
      <c r="KU418" s="66"/>
      <c r="KV418" s="66"/>
      <c r="KW418" s="66"/>
      <c r="KX418" s="66"/>
      <c r="KY418" s="66"/>
      <c r="KZ418" s="66"/>
      <c r="LA418" s="8"/>
      <c r="LD418" s="252"/>
      <c r="LE418" s="252"/>
      <c r="LF418" s="252"/>
      <c r="LJ418" s="252"/>
      <c r="LK418" s="252"/>
      <c r="LN418" s="252"/>
      <c r="LO418" s="252"/>
      <c r="LP418" s="252"/>
      <c r="LT418" s="271"/>
      <c r="LU418" s="250"/>
      <c r="LV418" s="250"/>
      <c r="LW418" s="250"/>
      <c r="LX418" s="250"/>
      <c r="LY418" s="250"/>
      <c r="LZ418" s="250"/>
      <c r="MA418" s="250"/>
      <c r="MB418" s="250"/>
      <c r="MC418" s="250"/>
      <c r="MD418" s="250"/>
      <c r="ME418" s="250"/>
      <c r="MF418" s="250"/>
      <c r="MG418" s="250"/>
      <c r="MH418" s="250"/>
      <c r="MI418" s="250"/>
      <c r="MJ418" s="250"/>
      <c r="MK418" s="424"/>
      <c r="ML418" s="640"/>
      <c r="MM418" s="251"/>
      <c r="MN418" s="252"/>
      <c r="MO418" s="252"/>
      <c r="MP418" s="252"/>
      <c r="MQ418" s="252"/>
      <c r="MR418" s="252"/>
      <c r="MS418" s="252"/>
      <c r="MT418" s="252"/>
      <c r="MU418" s="252"/>
      <c r="MV418" s="252"/>
      <c r="MW418" s="252"/>
      <c r="MX418" s="252"/>
      <c r="MY418" s="252"/>
      <c r="MZ418" s="252"/>
      <c r="NA418" s="252"/>
      <c r="NB418" s="252"/>
      <c r="NC418" s="251"/>
      <c r="ND418" s="250"/>
      <c r="NE418" s="250"/>
      <c r="NF418" s="250"/>
      <c r="NG418" s="250"/>
      <c r="NH418" s="250"/>
      <c r="NI418" s="250"/>
      <c r="NJ418" s="250"/>
      <c r="NK418" s="250"/>
      <c r="NL418" s="250"/>
      <c r="NM418" s="250"/>
      <c r="NN418" s="250"/>
      <c r="NO418" s="250"/>
      <c r="NP418" s="250"/>
      <c r="NQ418" s="250"/>
      <c r="NR418" s="250"/>
      <c r="NS418" s="250"/>
      <c r="NT418" s="250"/>
      <c r="NU418" s="250"/>
      <c r="NV418" s="250"/>
      <c r="NW418" s="251"/>
      <c r="OT418" s="8"/>
      <c r="QG418" s="8"/>
      <c r="RT418" s="8"/>
    </row>
    <row r="419" spans="1:488" s="282" customFormat="1" x14ac:dyDescent="0.25">
      <c r="A419" s="66"/>
      <c r="B419" s="8"/>
      <c r="C419" s="66"/>
      <c r="D419" s="66"/>
      <c r="E419" s="66"/>
      <c r="F419" s="66"/>
      <c r="G419" s="66"/>
      <c r="H419" s="66"/>
      <c r="I419" s="66"/>
      <c r="J419" s="66"/>
      <c r="K419" s="66"/>
      <c r="L419" s="66"/>
      <c r="M419" s="66"/>
      <c r="N419" s="66"/>
      <c r="O419" s="66"/>
      <c r="P419" s="66"/>
      <c r="Q419" s="66"/>
      <c r="R419" s="66"/>
      <c r="S419" s="66"/>
      <c r="T419" s="68"/>
      <c r="AC419" s="66"/>
      <c r="AD419" s="66"/>
      <c r="AE419" s="68"/>
      <c r="AN419" s="66"/>
      <c r="AO419" s="66"/>
      <c r="AP419" s="68"/>
      <c r="AW419" s="66"/>
      <c r="AX419" s="68"/>
      <c r="BD419" s="66"/>
      <c r="BE419" s="68"/>
      <c r="BF419" s="66"/>
      <c r="BG419" s="66"/>
      <c r="BH419" s="66"/>
      <c r="BI419" s="66"/>
      <c r="BJ419" s="66"/>
      <c r="BK419" s="66"/>
      <c r="BL419" s="68"/>
      <c r="BO419" s="66"/>
      <c r="BP419" s="68"/>
      <c r="BV419" s="66"/>
      <c r="BW419" s="68"/>
      <c r="CB419" s="8"/>
      <c r="CH419" s="8"/>
      <c r="CK419" s="299"/>
      <c r="CL419" s="299"/>
      <c r="CM419" s="66"/>
      <c r="CN419" s="66"/>
      <c r="CO419" s="68"/>
      <c r="CR419" s="8"/>
      <c r="CX419" s="66"/>
      <c r="CY419" s="532"/>
      <c r="DE419" s="66"/>
      <c r="DF419" s="66"/>
      <c r="DG419" s="68"/>
      <c r="DH419" s="68"/>
      <c r="DK419" s="66"/>
      <c r="DL419" s="66"/>
      <c r="DM419" s="66"/>
      <c r="DN419" s="66"/>
      <c r="DO419" s="66"/>
      <c r="DP419" s="66"/>
      <c r="DQ419" s="66"/>
      <c r="DR419" s="66"/>
      <c r="DS419" s="66"/>
      <c r="DT419" s="68"/>
      <c r="DU419" s="66"/>
      <c r="DV419" s="296"/>
      <c r="DW419" s="330"/>
      <c r="DX419" s="631"/>
      <c r="DY419" s="631"/>
      <c r="DZ419" s="631"/>
      <c r="EA419" s="330"/>
      <c r="EC419" s="66"/>
      <c r="ED419" s="68"/>
      <c r="EH419" s="66"/>
      <c r="EI419" s="66"/>
      <c r="EJ419" s="68"/>
      <c r="EK419" s="252"/>
      <c r="EL419" s="252"/>
      <c r="EM419" s="252"/>
      <c r="EO419" s="252"/>
      <c r="EP419" s="252"/>
      <c r="EQ419" s="252"/>
      <c r="ES419" s="252"/>
      <c r="ET419" s="252"/>
      <c r="EU419" s="252"/>
      <c r="EW419" s="252"/>
      <c r="EX419" s="252"/>
      <c r="EY419" s="252"/>
      <c r="FA419" s="250"/>
      <c r="FB419" s="250"/>
      <c r="FC419" s="250"/>
      <c r="FD419" s="250"/>
      <c r="FE419" s="250"/>
      <c r="FF419" s="250"/>
      <c r="FG419" s="250"/>
      <c r="FH419" s="424"/>
      <c r="FI419" s="250"/>
      <c r="FJ419" s="250"/>
      <c r="FK419" s="250"/>
      <c r="FL419" s="256"/>
      <c r="FM419" s="250"/>
      <c r="FN419" s="256"/>
      <c r="FO419" s="250"/>
      <c r="FP419" s="256"/>
      <c r="FQ419" s="250"/>
      <c r="FR419" s="256"/>
      <c r="FS419" s="250"/>
      <c r="FT419" s="256"/>
      <c r="FU419" s="256"/>
      <c r="FV419" s="256"/>
      <c r="FW419" s="250"/>
      <c r="FX419" s="424"/>
      <c r="FY419" s="251"/>
      <c r="GC419" s="252"/>
      <c r="GF419" s="252"/>
      <c r="GG419" s="252"/>
      <c r="GH419" s="252"/>
      <c r="GI419" s="252"/>
      <c r="GJ419" s="252"/>
      <c r="GK419" s="251"/>
      <c r="GL419" s="250"/>
      <c r="GM419" s="250"/>
      <c r="GN419" s="250"/>
      <c r="GO419" s="250"/>
      <c r="GP419" s="250"/>
      <c r="GQ419" s="250"/>
      <c r="GR419" s="250"/>
      <c r="GS419" s="250"/>
      <c r="GT419" s="250"/>
      <c r="GU419" s="251"/>
      <c r="GV419" s="250"/>
      <c r="GW419" s="250"/>
      <c r="GX419" s="250"/>
      <c r="GY419" s="250"/>
      <c r="GZ419" s="250"/>
      <c r="HA419" s="250"/>
      <c r="HB419" s="250"/>
      <c r="HC419" s="250"/>
      <c r="HD419" s="250"/>
      <c r="HE419" s="250"/>
      <c r="HF419" s="250"/>
      <c r="HG419" s="250"/>
      <c r="HH419" s="251"/>
      <c r="HI419" s="424"/>
      <c r="HJ419" s="255"/>
      <c r="HK419" s="255"/>
      <c r="HL419" s="250"/>
      <c r="HM419" s="255"/>
      <c r="HN419" s="255"/>
      <c r="HO419" s="255"/>
      <c r="HP419" s="250"/>
      <c r="HQ419" s="250"/>
      <c r="HR419" s="250"/>
      <c r="HS419" s="250"/>
      <c r="HT419" s="250"/>
      <c r="HU419" s="251"/>
      <c r="HX419" s="252"/>
      <c r="HY419" s="252"/>
      <c r="HZ419" s="252"/>
      <c r="ID419" s="252"/>
      <c r="IE419" s="252"/>
      <c r="IF419" s="252"/>
      <c r="IJ419" s="252"/>
      <c r="IK419" s="252"/>
      <c r="IL419" s="252"/>
      <c r="IP419" s="252"/>
      <c r="IQ419" s="252"/>
      <c r="IR419" s="252"/>
      <c r="IY419" s="66"/>
      <c r="IZ419" s="66"/>
      <c r="JA419" s="66"/>
      <c r="JB419" s="250"/>
      <c r="JC419" s="66"/>
      <c r="JD419" s="66"/>
      <c r="JE419" s="66"/>
      <c r="JF419" s="66"/>
      <c r="JG419" s="66"/>
      <c r="JH419" s="66"/>
      <c r="JI419" s="66"/>
      <c r="JJ419" s="66"/>
      <c r="JK419" s="8"/>
      <c r="JN419" s="252"/>
      <c r="JO419" s="252"/>
      <c r="JP419" s="252"/>
      <c r="JT419" s="252"/>
      <c r="JU419" s="252"/>
      <c r="JV419" s="252"/>
      <c r="JZ419" s="252"/>
      <c r="KA419" s="252"/>
      <c r="KB419" s="252"/>
      <c r="KF419" s="252"/>
      <c r="KG419" s="252"/>
      <c r="KH419" s="252"/>
      <c r="KO419" s="66"/>
      <c r="KP419" s="66"/>
      <c r="KQ419" s="66"/>
      <c r="KR419" s="66"/>
      <c r="KS419" s="66"/>
      <c r="KT419" s="66"/>
      <c r="KU419" s="66"/>
      <c r="KV419" s="66"/>
      <c r="KW419" s="66"/>
      <c r="KX419" s="66"/>
      <c r="KY419" s="66"/>
      <c r="KZ419" s="66"/>
      <c r="LA419" s="8"/>
      <c r="LD419" s="252"/>
      <c r="LE419" s="252"/>
      <c r="LF419" s="252"/>
      <c r="LJ419" s="252"/>
      <c r="LK419" s="252"/>
      <c r="LN419" s="252"/>
      <c r="LO419" s="252"/>
      <c r="LP419" s="252"/>
      <c r="LT419" s="271"/>
      <c r="LU419" s="250"/>
      <c r="LV419" s="250"/>
      <c r="LW419" s="250"/>
      <c r="LX419" s="250"/>
      <c r="LY419" s="250"/>
      <c r="LZ419" s="250"/>
      <c r="MA419" s="250"/>
      <c r="MB419" s="250"/>
      <c r="MC419" s="250"/>
      <c r="MD419" s="250"/>
      <c r="ME419" s="250"/>
      <c r="MF419" s="250"/>
      <c r="MG419" s="250"/>
      <c r="MH419" s="250"/>
      <c r="MI419" s="250"/>
      <c r="MJ419" s="250"/>
      <c r="MK419" s="424"/>
      <c r="ML419" s="640"/>
      <c r="MM419" s="251"/>
      <c r="MN419" s="252"/>
      <c r="MO419" s="252"/>
      <c r="MP419" s="252"/>
      <c r="MQ419" s="252"/>
      <c r="MR419" s="252"/>
      <c r="MS419" s="252"/>
      <c r="MT419" s="252"/>
      <c r="MU419" s="252"/>
      <c r="MV419" s="252"/>
      <c r="MW419" s="252"/>
      <c r="MX419" s="252"/>
      <c r="MY419" s="252"/>
      <c r="MZ419" s="252"/>
      <c r="NA419" s="252"/>
      <c r="NB419" s="252"/>
      <c r="NC419" s="251"/>
      <c r="ND419" s="250"/>
      <c r="NE419" s="250"/>
      <c r="NF419" s="250"/>
      <c r="NG419" s="250"/>
      <c r="NH419" s="250"/>
      <c r="NI419" s="250"/>
      <c r="NJ419" s="250"/>
      <c r="NK419" s="250"/>
      <c r="NL419" s="250"/>
      <c r="NM419" s="250"/>
      <c r="NN419" s="250"/>
      <c r="NO419" s="250"/>
      <c r="NP419" s="250"/>
      <c r="NQ419" s="250"/>
      <c r="NR419" s="250"/>
      <c r="NS419" s="250"/>
      <c r="NT419" s="250"/>
      <c r="NU419" s="250"/>
      <c r="NV419" s="250"/>
      <c r="NW419" s="251"/>
      <c r="OT419" s="8"/>
      <c r="QG419" s="8"/>
      <c r="RT419" s="8"/>
    </row>
    <row r="420" spans="1:488" s="282" customFormat="1" x14ac:dyDescent="0.25">
      <c r="A420" s="66"/>
      <c r="B420" s="8"/>
      <c r="C420" s="66"/>
      <c r="D420" s="66"/>
      <c r="E420" s="66"/>
      <c r="F420" s="66"/>
      <c r="G420" s="66"/>
      <c r="H420" s="66"/>
      <c r="I420" s="66"/>
      <c r="J420" s="66"/>
      <c r="K420" s="66"/>
      <c r="L420" s="66"/>
      <c r="M420" s="66"/>
      <c r="N420" s="66"/>
      <c r="O420" s="66"/>
      <c r="P420" s="66"/>
      <c r="Q420" s="66"/>
      <c r="R420" s="66"/>
      <c r="S420" s="66"/>
      <c r="T420" s="68"/>
      <c r="AC420" s="66"/>
      <c r="AD420" s="66"/>
      <c r="AE420" s="68"/>
      <c r="AN420" s="66"/>
      <c r="AO420" s="66"/>
      <c r="AP420" s="68"/>
      <c r="AW420" s="66"/>
      <c r="AX420" s="68"/>
      <c r="BD420" s="66"/>
      <c r="BE420" s="68"/>
      <c r="BF420" s="66"/>
      <c r="BG420" s="66"/>
      <c r="BH420" s="66"/>
      <c r="BI420" s="66"/>
      <c r="BJ420" s="66"/>
      <c r="BK420" s="66"/>
      <c r="BL420" s="68"/>
      <c r="BO420" s="66"/>
      <c r="BP420" s="68"/>
      <c r="BV420" s="66"/>
      <c r="BW420" s="68"/>
      <c r="CB420" s="8"/>
      <c r="CH420" s="8"/>
      <c r="CK420" s="299"/>
      <c r="CL420" s="299"/>
      <c r="CM420" s="66"/>
      <c r="CN420" s="66"/>
      <c r="CO420" s="68"/>
      <c r="CR420" s="8"/>
      <c r="CX420" s="66"/>
      <c r="CY420" s="532"/>
      <c r="DE420" s="66"/>
      <c r="DF420" s="66"/>
      <c r="DG420" s="68"/>
      <c r="DH420" s="68"/>
      <c r="DK420" s="66"/>
      <c r="DL420" s="66"/>
      <c r="DM420" s="66"/>
      <c r="DN420" s="66"/>
      <c r="DO420" s="66"/>
      <c r="DP420" s="66"/>
      <c r="DQ420" s="66"/>
      <c r="DR420" s="66"/>
      <c r="DS420" s="66"/>
      <c r="DT420" s="68"/>
      <c r="DU420" s="66"/>
      <c r="DV420" s="296"/>
      <c r="DW420" s="330"/>
      <c r="DX420" s="631"/>
      <c r="DY420" s="631"/>
      <c r="DZ420" s="631"/>
      <c r="EA420" s="330"/>
      <c r="EC420" s="66"/>
      <c r="ED420" s="68"/>
      <c r="EH420" s="66"/>
      <c r="EI420" s="66"/>
      <c r="EJ420" s="68"/>
      <c r="EK420" s="252"/>
      <c r="EL420" s="252"/>
      <c r="EM420" s="252"/>
      <c r="EO420" s="252"/>
      <c r="EP420" s="252"/>
      <c r="EQ420" s="252"/>
      <c r="ES420" s="252"/>
      <c r="ET420" s="252"/>
      <c r="EU420" s="252"/>
      <c r="EW420" s="252"/>
      <c r="EX420" s="252"/>
      <c r="EY420" s="252"/>
      <c r="FA420" s="250"/>
      <c r="FB420" s="250"/>
      <c r="FC420" s="250"/>
      <c r="FD420" s="250"/>
      <c r="FE420" s="250"/>
      <c r="FF420" s="250"/>
      <c r="FG420" s="250"/>
      <c r="FH420" s="424"/>
      <c r="FI420" s="250"/>
      <c r="FJ420" s="250"/>
      <c r="FK420" s="250"/>
      <c r="FL420" s="256"/>
      <c r="FM420" s="250"/>
      <c r="FN420" s="256"/>
      <c r="FO420" s="250"/>
      <c r="FP420" s="256"/>
      <c r="FQ420" s="250"/>
      <c r="FR420" s="256"/>
      <c r="FS420" s="250"/>
      <c r="FT420" s="256"/>
      <c r="FU420" s="256"/>
      <c r="FV420" s="256"/>
      <c r="FW420" s="250"/>
      <c r="FX420" s="424"/>
      <c r="FY420" s="251"/>
      <c r="GC420" s="252"/>
      <c r="GF420" s="252"/>
      <c r="GG420" s="252"/>
      <c r="GH420" s="252"/>
      <c r="GI420" s="252"/>
      <c r="GJ420" s="252"/>
      <c r="GK420" s="251"/>
      <c r="GL420" s="250"/>
      <c r="GM420" s="250"/>
      <c r="GN420" s="250"/>
      <c r="GO420" s="250"/>
      <c r="GP420" s="250"/>
      <c r="GQ420" s="250"/>
      <c r="GR420" s="250"/>
      <c r="GS420" s="250"/>
      <c r="GT420" s="250"/>
      <c r="GU420" s="251"/>
      <c r="GV420" s="250"/>
      <c r="GW420" s="250"/>
      <c r="GX420" s="250"/>
      <c r="GY420" s="250"/>
      <c r="GZ420" s="250"/>
      <c r="HA420" s="250"/>
      <c r="HB420" s="250"/>
      <c r="HC420" s="250"/>
      <c r="HD420" s="250"/>
      <c r="HE420" s="250"/>
      <c r="HF420" s="250"/>
      <c r="HG420" s="250"/>
      <c r="HH420" s="251"/>
      <c r="HI420" s="424"/>
      <c r="HJ420" s="255"/>
      <c r="HK420" s="255"/>
      <c r="HL420" s="250"/>
      <c r="HM420" s="255"/>
      <c r="HN420" s="255"/>
      <c r="HO420" s="255"/>
      <c r="HP420" s="250"/>
      <c r="HQ420" s="250"/>
      <c r="HR420" s="250"/>
      <c r="HS420" s="250"/>
      <c r="HT420" s="250"/>
      <c r="HU420" s="251"/>
      <c r="HX420" s="252"/>
      <c r="HY420" s="252"/>
      <c r="HZ420" s="252"/>
      <c r="ID420" s="252"/>
      <c r="IE420" s="252"/>
      <c r="IF420" s="252"/>
      <c r="IJ420" s="252"/>
      <c r="IK420" s="252"/>
      <c r="IL420" s="252"/>
      <c r="IP420" s="252"/>
      <c r="IQ420" s="252"/>
      <c r="IR420" s="252"/>
      <c r="IY420" s="66"/>
      <c r="IZ420" s="66"/>
      <c r="JA420" s="66"/>
      <c r="JB420" s="250"/>
      <c r="JC420" s="66"/>
      <c r="JD420" s="66"/>
      <c r="JE420" s="66"/>
      <c r="JF420" s="66"/>
      <c r="JG420" s="66"/>
      <c r="JH420" s="66"/>
      <c r="JI420" s="66"/>
      <c r="JJ420" s="66"/>
      <c r="JK420" s="8"/>
      <c r="JN420" s="252"/>
      <c r="JO420" s="252"/>
      <c r="JP420" s="252"/>
      <c r="JT420" s="252"/>
      <c r="JU420" s="252"/>
      <c r="JV420" s="252"/>
      <c r="JZ420" s="252"/>
      <c r="KA420" s="252"/>
      <c r="KB420" s="252"/>
      <c r="KF420" s="252"/>
      <c r="KG420" s="252"/>
      <c r="KH420" s="252"/>
      <c r="KO420" s="66"/>
      <c r="KP420" s="66"/>
      <c r="KQ420" s="66"/>
      <c r="KR420" s="66"/>
      <c r="KS420" s="66"/>
      <c r="KT420" s="66"/>
      <c r="KU420" s="66"/>
      <c r="KV420" s="66"/>
      <c r="KW420" s="66"/>
      <c r="KX420" s="66"/>
      <c r="KY420" s="66"/>
      <c r="KZ420" s="66"/>
      <c r="LA420" s="8"/>
      <c r="LD420" s="252"/>
      <c r="LE420" s="252"/>
      <c r="LF420" s="252"/>
      <c r="LJ420" s="252"/>
      <c r="LK420" s="252"/>
      <c r="LN420" s="252"/>
      <c r="LO420" s="252"/>
      <c r="LP420" s="252"/>
      <c r="LT420" s="271"/>
      <c r="LU420" s="250"/>
      <c r="LV420" s="250"/>
      <c r="LW420" s="250"/>
      <c r="LX420" s="250"/>
      <c r="LY420" s="250"/>
      <c r="LZ420" s="250"/>
      <c r="MA420" s="250"/>
      <c r="MB420" s="250"/>
      <c r="MC420" s="250"/>
      <c r="MD420" s="250"/>
      <c r="ME420" s="250"/>
      <c r="MF420" s="250"/>
      <c r="MG420" s="250"/>
      <c r="MH420" s="250"/>
      <c r="MI420" s="250"/>
      <c r="MJ420" s="250"/>
      <c r="MK420" s="424"/>
      <c r="ML420" s="640"/>
      <c r="MM420" s="251"/>
      <c r="MN420" s="252"/>
      <c r="MO420" s="252"/>
      <c r="MP420" s="252"/>
      <c r="MQ420" s="252"/>
      <c r="MR420" s="252"/>
      <c r="MS420" s="252"/>
      <c r="MT420" s="252"/>
      <c r="MU420" s="252"/>
      <c r="MV420" s="252"/>
      <c r="MW420" s="252"/>
      <c r="MX420" s="252"/>
      <c r="MY420" s="252"/>
      <c r="MZ420" s="252"/>
      <c r="NA420" s="252"/>
      <c r="NB420" s="252"/>
      <c r="NC420" s="251"/>
      <c r="ND420" s="250"/>
      <c r="NE420" s="250"/>
      <c r="NF420" s="250"/>
      <c r="NG420" s="250"/>
      <c r="NH420" s="250"/>
      <c r="NI420" s="250"/>
      <c r="NJ420" s="250"/>
      <c r="NK420" s="250"/>
      <c r="NL420" s="250"/>
      <c r="NM420" s="250"/>
      <c r="NN420" s="250"/>
      <c r="NO420" s="250"/>
      <c r="NP420" s="250"/>
      <c r="NQ420" s="250"/>
      <c r="NR420" s="250"/>
      <c r="NS420" s="250"/>
      <c r="NT420" s="250"/>
      <c r="NU420" s="250"/>
      <c r="NV420" s="250"/>
      <c r="NW420" s="251"/>
      <c r="OT420" s="8"/>
      <c r="QG420" s="8"/>
      <c r="RT420" s="8"/>
    </row>
    <row r="421" spans="1:488" s="282" customFormat="1" x14ac:dyDescent="0.25">
      <c r="A421" s="66"/>
      <c r="B421" s="8"/>
      <c r="C421" s="66"/>
      <c r="D421" s="66"/>
      <c r="E421" s="66"/>
      <c r="F421" s="66"/>
      <c r="G421" s="66"/>
      <c r="H421" s="66"/>
      <c r="I421" s="66"/>
      <c r="J421" s="66"/>
      <c r="K421" s="66"/>
      <c r="L421" s="66"/>
      <c r="M421" s="66"/>
      <c r="N421" s="66"/>
      <c r="O421" s="66"/>
      <c r="P421" s="66"/>
      <c r="Q421" s="66"/>
      <c r="R421" s="66"/>
      <c r="S421" s="66"/>
      <c r="T421" s="68"/>
      <c r="AC421" s="66"/>
      <c r="AD421" s="66"/>
      <c r="AE421" s="68"/>
      <c r="AN421" s="66"/>
      <c r="AO421" s="66"/>
      <c r="AP421" s="68"/>
      <c r="AW421" s="66"/>
      <c r="AX421" s="68"/>
      <c r="BD421" s="66"/>
      <c r="BE421" s="68"/>
      <c r="BF421" s="66"/>
      <c r="BG421" s="66"/>
      <c r="BH421" s="66"/>
      <c r="BI421" s="66"/>
      <c r="BJ421" s="66"/>
      <c r="BK421" s="66"/>
      <c r="BL421" s="68"/>
      <c r="BO421" s="66"/>
      <c r="BP421" s="68"/>
      <c r="BV421" s="66"/>
      <c r="BW421" s="68"/>
      <c r="CB421" s="8"/>
      <c r="CH421" s="8"/>
      <c r="CK421" s="299"/>
      <c r="CL421" s="299"/>
      <c r="CM421" s="66"/>
      <c r="CN421" s="66"/>
      <c r="CO421" s="68"/>
      <c r="CR421" s="8"/>
      <c r="CX421" s="66"/>
      <c r="CY421" s="532"/>
      <c r="DE421" s="66"/>
      <c r="DF421" s="66"/>
      <c r="DG421" s="68"/>
      <c r="DH421" s="68"/>
      <c r="DK421" s="66"/>
      <c r="DL421" s="66"/>
      <c r="DM421" s="66"/>
      <c r="DN421" s="66"/>
      <c r="DO421" s="66"/>
      <c r="DP421" s="66"/>
      <c r="DQ421" s="66"/>
      <c r="DR421" s="66"/>
      <c r="DS421" s="66"/>
      <c r="DT421" s="68"/>
      <c r="DU421" s="66"/>
      <c r="DV421" s="296"/>
      <c r="DW421" s="330"/>
      <c r="DX421" s="631"/>
      <c r="DY421" s="631"/>
      <c r="DZ421" s="631"/>
      <c r="EA421" s="330"/>
      <c r="EC421" s="66"/>
      <c r="ED421" s="68"/>
      <c r="EH421" s="66"/>
      <c r="EI421" s="66"/>
      <c r="EJ421" s="68"/>
      <c r="EK421" s="252"/>
      <c r="EL421" s="252"/>
      <c r="EM421" s="252"/>
      <c r="EO421" s="252"/>
      <c r="EP421" s="252"/>
      <c r="EQ421" s="252"/>
      <c r="ES421" s="252"/>
      <c r="ET421" s="252"/>
      <c r="EU421" s="252"/>
      <c r="EW421" s="252"/>
      <c r="EX421" s="252"/>
      <c r="EY421" s="252"/>
      <c r="FA421" s="250"/>
      <c r="FB421" s="250"/>
      <c r="FC421" s="250"/>
      <c r="FD421" s="250"/>
      <c r="FE421" s="250"/>
      <c r="FF421" s="250"/>
      <c r="FG421" s="250"/>
      <c r="FH421" s="424"/>
      <c r="FI421" s="250"/>
      <c r="FJ421" s="250"/>
      <c r="FK421" s="250"/>
      <c r="FL421" s="256"/>
      <c r="FM421" s="250"/>
      <c r="FN421" s="256"/>
      <c r="FO421" s="250"/>
      <c r="FP421" s="256"/>
      <c r="FQ421" s="250"/>
      <c r="FR421" s="256"/>
      <c r="FS421" s="250"/>
      <c r="FT421" s="256"/>
      <c r="FU421" s="256"/>
      <c r="FV421" s="256"/>
      <c r="FW421" s="250"/>
      <c r="FX421" s="424"/>
      <c r="FY421" s="251"/>
      <c r="GC421" s="252"/>
      <c r="GF421" s="252"/>
      <c r="GG421" s="252"/>
      <c r="GH421" s="252"/>
      <c r="GI421" s="252"/>
      <c r="GJ421" s="252"/>
      <c r="GK421" s="251"/>
      <c r="GL421" s="250"/>
      <c r="GM421" s="250"/>
      <c r="GN421" s="250"/>
      <c r="GO421" s="250"/>
      <c r="GP421" s="250"/>
      <c r="GQ421" s="250"/>
      <c r="GR421" s="250"/>
      <c r="GS421" s="250"/>
      <c r="GT421" s="250"/>
      <c r="GU421" s="251"/>
      <c r="GV421" s="250"/>
      <c r="GW421" s="250"/>
      <c r="GX421" s="250"/>
      <c r="GY421" s="250"/>
      <c r="GZ421" s="250"/>
      <c r="HA421" s="250"/>
      <c r="HB421" s="250"/>
      <c r="HC421" s="250"/>
      <c r="HD421" s="250"/>
      <c r="HE421" s="250"/>
      <c r="HF421" s="250"/>
      <c r="HG421" s="250"/>
      <c r="HH421" s="251"/>
      <c r="HI421" s="424"/>
      <c r="HJ421" s="255"/>
      <c r="HK421" s="255"/>
      <c r="HL421" s="250"/>
      <c r="HM421" s="255"/>
      <c r="HN421" s="255"/>
      <c r="HO421" s="255"/>
      <c r="HP421" s="250"/>
      <c r="HQ421" s="250"/>
      <c r="HR421" s="250"/>
      <c r="HS421" s="250"/>
      <c r="HT421" s="250"/>
      <c r="HU421" s="251"/>
      <c r="HX421" s="252"/>
      <c r="HY421" s="252"/>
      <c r="HZ421" s="252"/>
      <c r="ID421" s="252"/>
      <c r="IE421" s="252"/>
      <c r="IF421" s="252"/>
      <c r="IJ421" s="252"/>
      <c r="IK421" s="252"/>
      <c r="IL421" s="252"/>
      <c r="IP421" s="252"/>
      <c r="IQ421" s="252"/>
      <c r="IR421" s="252"/>
      <c r="IY421" s="66"/>
      <c r="IZ421" s="66"/>
      <c r="JA421" s="66"/>
      <c r="JB421" s="250"/>
      <c r="JC421" s="66"/>
      <c r="JD421" s="66"/>
      <c r="JE421" s="66"/>
      <c r="JF421" s="66"/>
      <c r="JG421" s="66"/>
      <c r="JH421" s="66"/>
      <c r="JI421" s="66"/>
      <c r="JJ421" s="66"/>
      <c r="JK421" s="8"/>
      <c r="JN421" s="252"/>
      <c r="JO421" s="252"/>
      <c r="JP421" s="252"/>
      <c r="JT421" s="252"/>
      <c r="JU421" s="252"/>
      <c r="JV421" s="252"/>
      <c r="JZ421" s="252"/>
      <c r="KA421" s="252"/>
      <c r="KB421" s="252"/>
      <c r="KF421" s="252"/>
      <c r="KG421" s="252"/>
      <c r="KH421" s="252"/>
      <c r="KO421" s="66"/>
      <c r="KP421" s="66"/>
      <c r="KQ421" s="66"/>
      <c r="KR421" s="66"/>
      <c r="KS421" s="66"/>
      <c r="KT421" s="66"/>
      <c r="KU421" s="66"/>
      <c r="KV421" s="66"/>
      <c r="KW421" s="66"/>
      <c r="KX421" s="66"/>
      <c r="KY421" s="66"/>
      <c r="KZ421" s="66"/>
      <c r="LA421" s="8"/>
      <c r="LD421" s="252"/>
      <c r="LE421" s="252"/>
      <c r="LF421" s="252"/>
      <c r="LJ421" s="252"/>
      <c r="LK421" s="252"/>
      <c r="LN421" s="252"/>
      <c r="LO421" s="252"/>
      <c r="LP421" s="252"/>
      <c r="LT421" s="271"/>
      <c r="LU421" s="250"/>
      <c r="LV421" s="250"/>
      <c r="LW421" s="250"/>
      <c r="LX421" s="250"/>
      <c r="LY421" s="250"/>
      <c r="LZ421" s="250"/>
      <c r="MA421" s="250"/>
      <c r="MB421" s="250"/>
      <c r="MC421" s="250"/>
      <c r="MD421" s="250"/>
      <c r="ME421" s="250"/>
      <c r="MF421" s="250"/>
      <c r="MG421" s="250"/>
      <c r="MH421" s="250"/>
      <c r="MI421" s="250"/>
      <c r="MJ421" s="250"/>
      <c r="MK421" s="424"/>
      <c r="ML421" s="640"/>
      <c r="MM421" s="251"/>
      <c r="MN421" s="252"/>
      <c r="MO421" s="252"/>
      <c r="MP421" s="252"/>
      <c r="MQ421" s="252"/>
      <c r="MR421" s="252"/>
      <c r="MS421" s="252"/>
      <c r="MT421" s="252"/>
      <c r="MU421" s="252"/>
      <c r="MV421" s="252"/>
      <c r="MW421" s="252"/>
      <c r="MX421" s="252"/>
      <c r="MY421" s="252"/>
      <c r="MZ421" s="252"/>
      <c r="NA421" s="252"/>
      <c r="NB421" s="252"/>
      <c r="NC421" s="251"/>
      <c r="ND421" s="250"/>
      <c r="NE421" s="250"/>
      <c r="NF421" s="250"/>
      <c r="NG421" s="250"/>
      <c r="NH421" s="250"/>
      <c r="NI421" s="250"/>
      <c r="NJ421" s="250"/>
      <c r="NK421" s="250"/>
      <c r="NL421" s="250"/>
      <c r="NM421" s="250"/>
      <c r="NN421" s="250"/>
      <c r="NO421" s="250"/>
      <c r="NP421" s="250"/>
      <c r="NQ421" s="250"/>
      <c r="NR421" s="250"/>
      <c r="NS421" s="250"/>
      <c r="NT421" s="250"/>
      <c r="NU421" s="250"/>
      <c r="NV421" s="250"/>
      <c r="NW421" s="251"/>
      <c r="OT421" s="8"/>
      <c r="QG421" s="8"/>
      <c r="RT421" s="8"/>
    </row>
    <row r="422" spans="1:488" s="282" customFormat="1" x14ac:dyDescent="0.25">
      <c r="A422" s="66"/>
      <c r="B422" s="8"/>
      <c r="C422" s="66"/>
      <c r="D422" s="66"/>
      <c r="E422" s="66"/>
      <c r="F422" s="66"/>
      <c r="G422" s="66"/>
      <c r="H422" s="66"/>
      <c r="I422" s="66"/>
      <c r="J422" s="66"/>
      <c r="K422" s="66"/>
      <c r="L422" s="66"/>
      <c r="M422" s="66"/>
      <c r="N422" s="66"/>
      <c r="O422" s="66"/>
      <c r="P422" s="66"/>
      <c r="Q422" s="66"/>
      <c r="R422" s="66"/>
      <c r="S422" s="66"/>
      <c r="T422" s="68"/>
      <c r="AC422" s="66"/>
      <c r="AD422" s="66"/>
      <c r="AE422" s="68"/>
      <c r="AN422" s="66"/>
      <c r="AO422" s="66"/>
      <c r="AP422" s="68"/>
      <c r="AW422" s="66"/>
      <c r="AX422" s="68"/>
      <c r="BD422" s="66"/>
      <c r="BE422" s="68"/>
      <c r="BF422" s="66"/>
      <c r="BG422" s="66"/>
      <c r="BH422" s="66"/>
      <c r="BI422" s="66"/>
      <c r="BJ422" s="66"/>
      <c r="BK422" s="66"/>
      <c r="BL422" s="68"/>
      <c r="BO422" s="66"/>
      <c r="BP422" s="68"/>
      <c r="BV422" s="66"/>
      <c r="BW422" s="68"/>
      <c r="CB422" s="8"/>
      <c r="CH422" s="8"/>
      <c r="CK422" s="299"/>
      <c r="CL422" s="299"/>
      <c r="CM422" s="66"/>
      <c r="CN422" s="66"/>
      <c r="CO422" s="68"/>
      <c r="CR422" s="8"/>
      <c r="CX422" s="66"/>
      <c r="CY422" s="532"/>
      <c r="DE422" s="66"/>
      <c r="DF422" s="66"/>
      <c r="DG422" s="68"/>
      <c r="DH422" s="68"/>
      <c r="DK422" s="66"/>
      <c r="DL422" s="66"/>
      <c r="DM422" s="66"/>
      <c r="DN422" s="66"/>
      <c r="DO422" s="66"/>
      <c r="DP422" s="66"/>
      <c r="DQ422" s="66"/>
      <c r="DR422" s="66"/>
      <c r="DS422" s="66"/>
      <c r="DT422" s="68"/>
      <c r="DU422" s="66"/>
      <c r="DV422" s="296"/>
      <c r="DW422" s="330"/>
      <c r="DX422" s="631"/>
      <c r="DY422" s="631"/>
      <c r="DZ422" s="631"/>
      <c r="EA422" s="330"/>
      <c r="EC422" s="66"/>
      <c r="ED422" s="68"/>
      <c r="EH422" s="66"/>
      <c r="EI422" s="66"/>
      <c r="EJ422" s="68"/>
      <c r="EK422" s="252"/>
      <c r="EL422" s="252"/>
      <c r="EM422" s="252"/>
      <c r="EO422" s="252"/>
      <c r="EP422" s="252"/>
      <c r="EQ422" s="252"/>
      <c r="ES422" s="252"/>
      <c r="ET422" s="252"/>
      <c r="EU422" s="252"/>
      <c r="EW422" s="252"/>
      <c r="EX422" s="252"/>
      <c r="EY422" s="252"/>
      <c r="FA422" s="250"/>
      <c r="FB422" s="250"/>
      <c r="FC422" s="250"/>
      <c r="FD422" s="250"/>
      <c r="FE422" s="250"/>
      <c r="FF422" s="250"/>
      <c r="FG422" s="250"/>
      <c r="FH422" s="424"/>
      <c r="FI422" s="250"/>
      <c r="FJ422" s="250"/>
      <c r="FK422" s="250"/>
      <c r="FL422" s="256"/>
      <c r="FM422" s="250"/>
      <c r="FN422" s="256"/>
      <c r="FO422" s="250"/>
      <c r="FP422" s="256"/>
      <c r="FQ422" s="250"/>
      <c r="FR422" s="256"/>
      <c r="FS422" s="250"/>
      <c r="FT422" s="256"/>
      <c r="FU422" s="256"/>
      <c r="FV422" s="256"/>
      <c r="FW422" s="250"/>
      <c r="FX422" s="424"/>
      <c r="FY422" s="251"/>
      <c r="GC422" s="252"/>
      <c r="GF422" s="252"/>
      <c r="GG422" s="252"/>
      <c r="GH422" s="252"/>
      <c r="GI422" s="252"/>
      <c r="GJ422" s="252"/>
      <c r="GK422" s="251"/>
      <c r="GL422" s="250"/>
      <c r="GM422" s="250"/>
      <c r="GN422" s="250"/>
      <c r="GO422" s="250"/>
      <c r="GP422" s="250"/>
      <c r="GQ422" s="250"/>
      <c r="GR422" s="250"/>
      <c r="GS422" s="250"/>
      <c r="GT422" s="250"/>
      <c r="GU422" s="251"/>
      <c r="GV422" s="250"/>
      <c r="GW422" s="250"/>
      <c r="GX422" s="250"/>
      <c r="GY422" s="250"/>
      <c r="GZ422" s="250"/>
      <c r="HA422" s="250"/>
      <c r="HB422" s="250"/>
      <c r="HC422" s="250"/>
      <c r="HD422" s="250"/>
      <c r="HE422" s="250"/>
      <c r="HF422" s="250"/>
      <c r="HG422" s="250"/>
      <c r="HH422" s="251"/>
      <c r="HI422" s="424"/>
      <c r="HJ422" s="255"/>
      <c r="HK422" s="255"/>
      <c r="HL422" s="250"/>
      <c r="HM422" s="255"/>
      <c r="HN422" s="255"/>
      <c r="HO422" s="255"/>
      <c r="HP422" s="250"/>
      <c r="HQ422" s="250"/>
      <c r="HR422" s="250"/>
      <c r="HS422" s="250"/>
      <c r="HT422" s="250"/>
      <c r="HU422" s="251"/>
      <c r="HX422" s="252"/>
      <c r="HY422" s="252"/>
      <c r="HZ422" s="252"/>
      <c r="ID422" s="252"/>
      <c r="IE422" s="252"/>
      <c r="IF422" s="252"/>
      <c r="IJ422" s="252"/>
      <c r="IK422" s="252"/>
      <c r="IL422" s="252"/>
      <c r="IP422" s="252"/>
      <c r="IQ422" s="252"/>
      <c r="IR422" s="252"/>
      <c r="IY422" s="66"/>
      <c r="IZ422" s="66"/>
      <c r="JA422" s="66"/>
      <c r="JB422" s="250"/>
      <c r="JC422" s="66"/>
      <c r="JD422" s="66"/>
      <c r="JE422" s="66"/>
      <c r="JF422" s="66"/>
      <c r="JG422" s="66"/>
      <c r="JH422" s="66"/>
      <c r="JI422" s="66"/>
      <c r="JJ422" s="66"/>
      <c r="JK422" s="8"/>
      <c r="JN422" s="252"/>
      <c r="JO422" s="252"/>
      <c r="JP422" s="252"/>
      <c r="JT422" s="252"/>
      <c r="JU422" s="252"/>
      <c r="JV422" s="252"/>
      <c r="JZ422" s="252"/>
      <c r="KA422" s="252"/>
      <c r="KB422" s="252"/>
      <c r="KF422" s="252"/>
      <c r="KG422" s="252"/>
      <c r="KH422" s="252"/>
      <c r="KO422" s="66"/>
      <c r="KP422" s="66"/>
      <c r="KQ422" s="66"/>
      <c r="KR422" s="66"/>
      <c r="KS422" s="66"/>
      <c r="KT422" s="66"/>
      <c r="KU422" s="66"/>
      <c r="KV422" s="66"/>
      <c r="KW422" s="66"/>
      <c r="KX422" s="66"/>
      <c r="KY422" s="66"/>
      <c r="KZ422" s="66"/>
      <c r="LA422" s="8"/>
      <c r="LD422" s="252"/>
      <c r="LE422" s="252"/>
      <c r="LF422" s="252"/>
      <c r="LJ422" s="252"/>
      <c r="LK422" s="252"/>
      <c r="LN422" s="252"/>
      <c r="LO422" s="252"/>
      <c r="LP422" s="252"/>
      <c r="LT422" s="271"/>
      <c r="LU422" s="250"/>
      <c r="LV422" s="250"/>
      <c r="LW422" s="250"/>
      <c r="LX422" s="250"/>
      <c r="LY422" s="250"/>
      <c r="LZ422" s="250"/>
      <c r="MA422" s="250"/>
      <c r="MB422" s="250"/>
      <c r="MC422" s="250"/>
      <c r="MD422" s="250"/>
      <c r="ME422" s="250"/>
      <c r="MF422" s="250"/>
      <c r="MG422" s="250"/>
      <c r="MH422" s="250"/>
      <c r="MI422" s="250"/>
      <c r="MJ422" s="250"/>
      <c r="MK422" s="424"/>
      <c r="ML422" s="640"/>
      <c r="MM422" s="251"/>
      <c r="MN422" s="252"/>
      <c r="MO422" s="252"/>
      <c r="MP422" s="252"/>
      <c r="MQ422" s="252"/>
      <c r="MR422" s="252"/>
      <c r="MS422" s="252"/>
      <c r="MT422" s="252"/>
      <c r="MU422" s="252"/>
      <c r="MV422" s="252"/>
      <c r="MW422" s="252"/>
      <c r="MX422" s="252"/>
      <c r="MY422" s="252"/>
      <c r="MZ422" s="252"/>
      <c r="NA422" s="252"/>
      <c r="NB422" s="252"/>
      <c r="NC422" s="251"/>
      <c r="ND422" s="250"/>
      <c r="NE422" s="250"/>
      <c r="NF422" s="250"/>
      <c r="NG422" s="250"/>
      <c r="NH422" s="250"/>
      <c r="NI422" s="250"/>
      <c r="NJ422" s="250"/>
      <c r="NK422" s="250"/>
      <c r="NL422" s="250"/>
      <c r="NM422" s="250"/>
      <c r="NN422" s="250"/>
      <c r="NO422" s="250"/>
      <c r="NP422" s="250"/>
      <c r="NQ422" s="250"/>
      <c r="NR422" s="250"/>
      <c r="NS422" s="250"/>
      <c r="NT422" s="250"/>
      <c r="NU422" s="250"/>
      <c r="NV422" s="250"/>
      <c r="NW422" s="251"/>
      <c r="OT422" s="8"/>
      <c r="QG422" s="8"/>
      <c r="RT422" s="8"/>
    </row>
    <row r="423" spans="1:488" s="282" customFormat="1" x14ac:dyDescent="0.25">
      <c r="A423" s="66"/>
      <c r="B423" s="8"/>
      <c r="C423" s="66"/>
      <c r="D423" s="66"/>
      <c r="E423" s="66"/>
      <c r="F423" s="66"/>
      <c r="G423" s="66"/>
      <c r="H423" s="66"/>
      <c r="I423" s="66"/>
      <c r="J423" s="66"/>
      <c r="K423" s="66"/>
      <c r="L423" s="66"/>
      <c r="M423" s="66"/>
      <c r="N423" s="66"/>
      <c r="O423" s="66"/>
      <c r="P423" s="66"/>
      <c r="Q423" s="66"/>
      <c r="R423" s="66"/>
      <c r="S423" s="66"/>
      <c r="T423" s="68"/>
      <c r="AC423" s="66"/>
      <c r="AD423" s="66"/>
      <c r="AE423" s="68"/>
      <c r="AN423" s="66"/>
      <c r="AO423" s="66"/>
      <c r="AP423" s="68"/>
      <c r="AW423" s="66"/>
      <c r="AX423" s="68"/>
      <c r="BD423" s="66"/>
      <c r="BE423" s="68"/>
      <c r="BF423" s="66"/>
      <c r="BG423" s="66"/>
      <c r="BH423" s="66"/>
      <c r="BI423" s="66"/>
      <c r="BJ423" s="66"/>
      <c r="BK423" s="66"/>
      <c r="BL423" s="68"/>
      <c r="BO423" s="66"/>
      <c r="BP423" s="68"/>
      <c r="BV423" s="66"/>
      <c r="BW423" s="68"/>
      <c r="CB423" s="8"/>
      <c r="CH423" s="8"/>
      <c r="CK423" s="299"/>
      <c r="CL423" s="299"/>
      <c r="CM423" s="66"/>
      <c r="CN423" s="66"/>
      <c r="CO423" s="68"/>
      <c r="CR423" s="8"/>
      <c r="CX423" s="66"/>
      <c r="CY423" s="532"/>
      <c r="DE423" s="66"/>
      <c r="DF423" s="66"/>
      <c r="DG423" s="68"/>
      <c r="DH423" s="68"/>
      <c r="DK423" s="66"/>
      <c r="DL423" s="66"/>
      <c r="DM423" s="66"/>
      <c r="DN423" s="66"/>
      <c r="DO423" s="66"/>
      <c r="DP423" s="66"/>
      <c r="DQ423" s="66"/>
      <c r="DR423" s="66"/>
      <c r="DS423" s="66"/>
      <c r="DT423" s="68"/>
      <c r="DU423" s="66"/>
      <c r="DV423" s="296"/>
      <c r="DW423" s="330"/>
      <c r="DX423" s="631"/>
      <c r="DY423" s="631"/>
      <c r="DZ423" s="631"/>
      <c r="EA423" s="330"/>
      <c r="EC423" s="66"/>
      <c r="ED423" s="68"/>
      <c r="EH423" s="66"/>
      <c r="EI423" s="66"/>
      <c r="EJ423" s="68"/>
      <c r="EK423" s="252"/>
      <c r="EL423" s="252"/>
      <c r="EM423" s="252"/>
      <c r="EO423" s="252"/>
      <c r="EP423" s="252"/>
      <c r="EQ423" s="252"/>
      <c r="ES423" s="252"/>
      <c r="ET423" s="252"/>
      <c r="EU423" s="252"/>
      <c r="EW423" s="252"/>
      <c r="EX423" s="252"/>
      <c r="EY423" s="252"/>
      <c r="FA423" s="250"/>
      <c r="FB423" s="250"/>
      <c r="FC423" s="250"/>
      <c r="FD423" s="250"/>
      <c r="FE423" s="250"/>
      <c r="FF423" s="250"/>
      <c r="FG423" s="250"/>
      <c r="FH423" s="424"/>
      <c r="FI423" s="250"/>
      <c r="FJ423" s="250"/>
      <c r="FK423" s="250"/>
      <c r="FL423" s="256"/>
      <c r="FM423" s="250"/>
      <c r="FN423" s="256"/>
      <c r="FO423" s="250"/>
      <c r="FP423" s="256"/>
      <c r="FQ423" s="250"/>
      <c r="FR423" s="256"/>
      <c r="FS423" s="250"/>
      <c r="FT423" s="256"/>
      <c r="FU423" s="256"/>
      <c r="FV423" s="256"/>
      <c r="FW423" s="250"/>
      <c r="FX423" s="424"/>
      <c r="FY423" s="251"/>
      <c r="GC423" s="252"/>
      <c r="GF423" s="252"/>
      <c r="GG423" s="252"/>
      <c r="GH423" s="252"/>
      <c r="GI423" s="252"/>
      <c r="GJ423" s="252"/>
      <c r="GK423" s="251"/>
      <c r="GL423" s="250"/>
      <c r="GM423" s="250"/>
      <c r="GN423" s="250"/>
      <c r="GO423" s="250"/>
      <c r="GP423" s="250"/>
      <c r="GQ423" s="250"/>
      <c r="GR423" s="250"/>
      <c r="GS423" s="250"/>
      <c r="GT423" s="250"/>
      <c r="GU423" s="251"/>
      <c r="GV423" s="250"/>
      <c r="GW423" s="250"/>
      <c r="GX423" s="250"/>
      <c r="GY423" s="250"/>
      <c r="GZ423" s="250"/>
      <c r="HA423" s="250"/>
      <c r="HB423" s="250"/>
      <c r="HC423" s="250"/>
      <c r="HD423" s="250"/>
      <c r="HE423" s="250"/>
      <c r="HF423" s="250"/>
      <c r="HG423" s="250"/>
      <c r="HH423" s="251"/>
      <c r="HI423" s="424"/>
      <c r="HJ423" s="255"/>
      <c r="HK423" s="255"/>
      <c r="HL423" s="250"/>
      <c r="HM423" s="255"/>
      <c r="HN423" s="255"/>
      <c r="HO423" s="255"/>
      <c r="HP423" s="250"/>
      <c r="HQ423" s="250"/>
      <c r="HR423" s="250"/>
      <c r="HS423" s="250"/>
      <c r="HT423" s="250"/>
      <c r="HU423" s="251"/>
      <c r="HX423" s="252"/>
      <c r="HY423" s="252"/>
      <c r="HZ423" s="252"/>
      <c r="ID423" s="252"/>
      <c r="IE423" s="252"/>
      <c r="IF423" s="252"/>
      <c r="IJ423" s="252"/>
      <c r="IK423" s="252"/>
      <c r="IL423" s="252"/>
      <c r="IP423" s="252"/>
      <c r="IQ423" s="252"/>
      <c r="IR423" s="252"/>
      <c r="IY423" s="66"/>
      <c r="IZ423" s="66"/>
      <c r="JA423" s="66"/>
      <c r="JB423" s="250"/>
      <c r="JC423" s="66"/>
      <c r="JD423" s="66"/>
      <c r="JE423" s="66"/>
      <c r="JF423" s="66"/>
      <c r="JG423" s="66"/>
      <c r="JH423" s="66"/>
      <c r="JI423" s="66"/>
      <c r="JJ423" s="66"/>
      <c r="JK423" s="8"/>
      <c r="JN423" s="252"/>
      <c r="JO423" s="252"/>
      <c r="JP423" s="252"/>
      <c r="JT423" s="252"/>
      <c r="JU423" s="252"/>
      <c r="JV423" s="252"/>
      <c r="JZ423" s="252"/>
      <c r="KA423" s="252"/>
      <c r="KB423" s="252"/>
      <c r="KF423" s="252"/>
      <c r="KG423" s="252"/>
      <c r="KH423" s="252"/>
      <c r="KO423" s="66"/>
      <c r="KP423" s="66"/>
      <c r="KQ423" s="66"/>
      <c r="KR423" s="66"/>
      <c r="KS423" s="66"/>
      <c r="KT423" s="66"/>
      <c r="KU423" s="66"/>
      <c r="KV423" s="66"/>
      <c r="KW423" s="66"/>
      <c r="KX423" s="66"/>
      <c r="KY423" s="66"/>
      <c r="KZ423" s="66"/>
      <c r="LA423" s="8"/>
      <c r="LD423" s="252"/>
      <c r="LE423" s="252"/>
      <c r="LF423" s="252"/>
      <c r="LJ423" s="252"/>
      <c r="LK423" s="252"/>
      <c r="LN423" s="252"/>
      <c r="LO423" s="252"/>
      <c r="LP423" s="252"/>
      <c r="LT423" s="271"/>
      <c r="LU423" s="250"/>
      <c r="LV423" s="250"/>
      <c r="LW423" s="250"/>
      <c r="LX423" s="250"/>
      <c r="LY423" s="250"/>
      <c r="LZ423" s="250"/>
      <c r="MA423" s="250"/>
      <c r="MB423" s="250"/>
      <c r="MC423" s="250"/>
      <c r="MD423" s="250"/>
      <c r="ME423" s="250"/>
      <c r="MF423" s="250"/>
      <c r="MG423" s="250"/>
      <c r="MH423" s="250"/>
      <c r="MI423" s="250"/>
      <c r="MJ423" s="250"/>
      <c r="MK423" s="424"/>
      <c r="ML423" s="640"/>
      <c r="MM423" s="251"/>
      <c r="MN423" s="252"/>
      <c r="MO423" s="252"/>
      <c r="MP423" s="252"/>
      <c r="MQ423" s="252"/>
      <c r="MR423" s="252"/>
      <c r="MS423" s="252"/>
      <c r="MT423" s="252"/>
      <c r="MU423" s="252"/>
      <c r="MV423" s="252"/>
      <c r="MW423" s="252"/>
      <c r="MX423" s="252"/>
      <c r="MY423" s="252"/>
      <c r="MZ423" s="252"/>
      <c r="NA423" s="252"/>
      <c r="NB423" s="252"/>
      <c r="NC423" s="251"/>
      <c r="ND423" s="250"/>
      <c r="NE423" s="250"/>
      <c r="NF423" s="250"/>
      <c r="NG423" s="250"/>
      <c r="NH423" s="250"/>
      <c r="NI423" s="250"/>
      <c r="NJ423" s="250"/>
      <c r="NK423" s="250"/>
      <c r="NL423" s="250"/>
      <c r="NM423" s="250"/>
      <c r="NN423" s="250"/>
      <c r="NO423" s="250"/>
      <c r="NP423" s="250"/>
      <c r="NQ423" s="250"/>
      <c r="NR423" s="250"/>
      <c r="NS423" s="250"/>
      <c r="NT423" s="250"/>
      <c r="NU423" s="250"/>
      <c r="NV423" s="250"/>
      <c r="NW423" s="251"/>
      <c r="OT423" s="8"/>
      <c r="QG423" s="8"/>
      <c r="RT423" s="8"/>
    </row>
    <row r="424" spans="1:488" s="282" customFormat="1" x14ac:dyDescent="0.25">
      <c r="A424" s="66"/>
      <c r="B424" s="8"/>
      <c r="C424" s="66"/>
      <c r="D424" s="66"/>
      <c r="E424" s="66"/>
      <c r="F424" s="66"/>
      <c r="G424" s="66"/>
      <c r="H424" s="66"/>
      <c r="I424" s="66"/>
      <c r="J424" s="66"/>
      <c r="K424" s="66"/>
      <c r="L424" s="66"/>
      <c r="M424" s="66"/>
      <c r="N424" s="66"/>
      <c r="O424" s="66"/>
      <c r="P424" s="66"/>
      <c r="Q424" s="66"/>
      <c r="R424" s="66"/>
      <c r="S424" s="66"/>
      <c r="T424" s="68"/>
      <c r="AC424" s="66"/>
      <c r="AD424" s="66"/>
      <c r="AE424" s="68"/>
      <c r="AN424" s="66"/>
      <c r="AO424" s="66"/>
      <c r="AP424" s="68"/>
      <c r="AW424" s="66"/>
      <c r="AX424" s="68"/>
      <c r="BD424" s="66"/>
      <c r="BE424" s="68"/>
      <c r="BF424" s="66"/>
      <c r="BG424" s="66"/>
      <c r="BH424" s="66"/>
      <c r="BI424" s="66"/>
      <c r="BJ424" s="66"/>
      <c r="BK424" s="66"/>
      <c r="BL424" s="68"/>
      <c r="BO424" s="66"/>
      <c r="BP424" s="68"/>
      <c r="BV424" s="66"/>
      <c r="BW424" s="68"/>
      <c r="CB424" s="8"/>
      <c r="CH424" s="8"/>
      <c r="CK424" s="299"/>
      <c r="CL424" s="299"/>
      <c r="CM424" s="66"/>
      <c r="CN424" s="66"/>
      <c r="CO424" s="68"/>
      <c r="CR424" s="8"/>
      <c r="CX424" s="66"/>
      <c r="CY424" s="532"/>
      <c r="DE424" s="66"/>
      <c r="DF424" s="66"/>
      <c r="DG424" s="68"/>
      <c r="DH424" s="68"/>
      <c r="DK424" s="66"/>
      <c r="DL424" s="66"/>
      <c r="DM424" s="66"/>
      <c r="DN424" s="66"/>
      <c r="DO424" s="66"/>
      <c r="DP424" s="66"/>
      <c r="DQ424" s="66"/>
      <c r="DR424" s="66"/>
      <c r="DS424" s="66"/>
      <c r="DT424" s="68"/>
      <c r="DU424" s="66"/>
      <c r="DV424" s="296"/>
      <c r="DW424" s="330"/>
      <c r="DX424" s="631"/>
      <c r="DY424" s="631"/>
      <c r="DZ424" s="631"/>
      <c r="EA424" s="330"/>
      <c r="EC424" s="66"/>
      <c r="ED424" s="68"/>
      <c r="EH424" s="66"/>
      <c r="EI424" s="66"/>
      <c r="EJ424" s="68"/>
      <c r="EK424" s="252"/>
      <c r="EL424" s="252"/>
      <c r="EM424" s="252"/>
      <c r="EO424" s="252"/>
      <c r="EP424" s="252"/>
      <c r="EQ424" s="252"/>
      <c r="ES424" s="252"/>
      <c r="ET424" s="252"/>
      <c r="EU424" s="252"/>
      <c r="EW424" s="252"/>
      <c r="EX424" s="252"/>
      <c r="EY424" s="252"/>
      <c r="FA424" s="250"/>
      <c r="FB424" s="250"/>
      <c r="FC424" s="250"/>
      <c r="FD424" s="250"/>
      <c r="FE424" s="250"/>
      <c r="FF424" s="250"/>
      <c r="FG424" s="250"/>
      <c r="FH424" s="424"/>
      <c r="FI424" s="250"/>
      <c r="FJ424" s="250"/>
      <c r="FK424" s="250"/>
      <c r="FL424" s="256"/>
      <c r="FM424" s="250"/>
      <c r="FN424" s="256"/>
      <c r="FO424" s="250"/>
      <c r="FP424" s="256"/>
      <c r="FQ424" s="250"/>
      <c r="FR424" s="256"/>
      <c r="FS424" s="250"/>
      <c r="FT424" s="256"/>
      <c r="FU424" s="256"/>
      <c r="FV424" s="256"/>
      <c r="FW424" s="250"/>
      <c r="FX424" s="424"/>
      <c r="FY424" s="251"/>
      <c r="GC424" s="252"/>
      <c r="GF424" s="252"/>
      <c r="GG424" s="252"/>
      <c r="GH424" s="252"/>
      <c r="GI424" s="252"/>
      <c r="GJ424" s="252"/>
      <c r="GK424" s="251"/>
      <c r="GL424" s="250"/>
      <c r="GM424" s="250"/>
      <c r="GN424" s="250"/>
      <c r="GO424" s="250"/>
      <c r="GP424" s="250"/>
      <c r="GQ424" s="250"/>
      <c r="GR424" s="250"/>
      <c r="GS424" s="250"/>
      <c r="GT424" s="250"/>
      <c r="GU424" s="251"/>
      <c r="GV424" s="250"/>
      <c r="GW424" s="250"/>
      <c r="GX424" s="250"/>
      <c r="GY424" s="250"/>
      <c r="GZ424" s="250"/>
      <c r="HA424" s="250"/>
      <c r="HB424" s="250"/>
      <c r="HC424" s="250"/>
      <c r="HD424" s="250"/>
      <c r="HE424" s="250"/>
      <c r="HF424" s="250"/>
      <c r="HG424" s="250"/>
      <c r="HH424" s="251"/>
      <c r="HI424" s="424"/>
      <c r="HJ424" s="255"/>
      <c r="HK424" s="255"/>
      <c r="HL424" s="250"/>
      <c r="HM424" s="255"/>
      <c r="HN424" s="255"/>
      <c r="HO424" s="255"/>
      <c r="HP424" s="250"/>
      <c r="HQ424" s="250"/>
      <c r="HR424" s="250"/>
      <c r="HS424" s="250"/>
      <c r="HT424" s="250"/>
      <c r="HU424" s="251"/>
      <c r="HX424" s="252"/>
      <c r="HY424" s="252"/>
      <c r="HZ424" s="252"/>
      <c r="ID424" s="252"/>
      <c r="IE424" s="252"/>
      <c r="IF424" s="252"/>
      <c r="IJ424" s="252"/>
      <c r="IK424" s="252"/>
      <c r="IL424" s="252"/>
      <c r="IP424" s="252"/>
      <c r="IQ424" s="252"/>
      <c r="IR424" s="252"/>
      <c r="IY424" s="66"/>
      <c r="IZ424" s="66"/>
      <c r="JA424" s="66"/>
      <c r="JB424" s="250"/>
      <c r="JC424" s="66"/>
      <c r="JD424" s="66"/>
      <c r="JE424" s="66"/>
      <c r="JF424" s="66"/>
      <c r="JG424" s="66"/>
      <c r="JH424" s="66"/>
      <c r="JI424" s="66"/>
      <c r="JJ424" s="66"/>
      <c r="JK424" s="8"/>
      <c r="JN424" s="252"/>
      <c r="JO424" s="252"/>
      <c r="JP424" s="252"/>
      <c r="JT424" s="252"/>
      <c r="JU424" s="252"/>
      <c r="JV424" s="252"/>
      <c r="JZ424" s="252"/>
      <c r="KA424" s="252"/>
      <c r="KB424" s="252"/>
      <c r="KF424" s="252"/>
      <c r="KG424" s="252"/>
      <c r="KH424" s="252"/>
      <c r="KO424" s="66"/>
      <c r="KP424" s="66"/>
      <c r="KQ424" s="66"/>
      <c r="KR424" s="66"/>
      <c r="KS424" s="66"/>
      <c r="KT424" s="66"/>
      <c r="KU424" s="66"/>
      <c r="KV424" s="66"/>
      <c r="KW424" s="66"/>
      <c r="KX424" s="66"/>
      <c r="KY424" s="66"/>
      <c r="KZ424" s="66"/>
      <c r="LA424" s="8"/>
      <c r="LD424" s="252"/>
      <c r="LE424" s="252"/>
      <c r="LF424" s="252"/>
      <c r="LJ424" s="252"/>
      <c r="LK424" s="252"/>
      <c r="LN424" s="252"/>
      <c r="LO424" s="252"/>
      <c r="LP424" s="252"/>
      <c r="LT424" s="271"/>
      <c r="LU424" s="250"/>
      <c r="LV424" s="250"/>
      <c r="LW424" s="250"/>
      <c r="LX424" s="250"/>
      <c r="LY424" s="250"/>
      <c r="LZ424" s="250"/>
      <c r="MA424" s="250"/>
      <c r="MB424" s="250"/>
      <c r="MC424" s="250"/>
      <c r="MD424" s="250"/>
      <c r="ME424" s="250"/>
      <c r="MF424" s="250"/>
      <c r="MG424" s="250"/>
      <c r="MH424" s="250"/>
      <c r="MI424" s="250"/>
      <c r="MJ424" s="250"/>
      <c r="MK424" s="424"/>
      <c r="ML424" s="640"/>
      <c r="MM424" s="251"/>
      <c r="MN424" s="252"/>
      <c r="MO424" s="252"/>
      <c r="MP424" s="252"/>
      <c r="MQ424" s="252"/>
      <c r="MR424" s="252"/>
      <c r="MS424" s="252"/>
      <c r="MT424" s="252"/>
      <c r="MU424" s="252"/>
      <c r="MV424" s="252"/>
      <c r="MW424" s="252"/>
      <c r="MX424" s="252"/>
      <c r="MY424" s="252"/>
      <c r="MZ424" s="252"/>
      <c r="NA424" s="252"/>
      <c r="NB424" s="252"/>
      <c r="NC424" s="251"/>
      <c r="ND424" s="250"/>
      <c r="NE424" s="250"/>
      <c r="NF424" s="250"/>
      <c r="NG424" s="250"/>
      <c r="NH424" s="250"/>
      <c r="NI424" s="250"/>
      <c r="NJ424" s="250"/>
      <c r="NK424" s="250"/>
      <c r="NL424" s="250"/>
      <c r="NM424" s="250"/>
      <c r="NN424" s="250"/>
      <c r="NO424" s="250"/>
      <c r="NP424" s="250"/>
      <c r="NQ424" s="250"/>
      <c r="NR424" s="250"/>
      <c r="NS424" s="250"/>
      <c r="NT424" s="250"/>
      <c r="NU424" s="250"/>
      <c r="NV424" s="250"/>
      <c r="NW424" s="251"/>
      <c r="OT424" s="8"/>
      <c r="QG424" s="8"/>
      <c r="RT424" s="8"/>
    </row>
    <row r="425" spans="1:488" s="282" customFormat="1" x14ac:dyDescent="0.25">
      <c r="A425" s="66"/>
      <c r="B425" s="8"/>
      <c r="C425" s="66"/>
      <c r="D425" s="66"/>
      <c r="E425" s="66"/>
      <c r="F425" s="66"/>
      <c r="G425" s="66"/>
      <c r="H425" s="66"/>
      <c r="I425" s="66"/>
      <c r="J425" s="66"/>
      <c r="K425" s="66"/>
      <c r="L425" s="66"/>
      <c r="M425" s="66"/>
      <c r="N425" s="66"/>
      <c r="O425" s="66"/>
      <c r="P425" s="66"/>
      <c r="Q425" s="66"/>
      <c r="R425" s="66"/>
      <c r="S425" s="66"/>
      <c r="T425" s="68"/>
      <c r="AC425" s="66"/>
      <c r="AD425" s="66"/>
      <c r="AE425" s="68"/>
      <c r="AN425" s="66"/>
      <c r="AO425" s="66"/>
      <c r="AP425" s="68"/>
      <c r="AW425" s="66"/>
      <c r="AX425" s="68"/>
      <c r="BD425" s="66"/>
      <c r="BE425" s="68"/>
      <c r="BF425" s="66"/>
      <c r="BG425" s="66"/>
      <c r="BH425" s="66"/>
      <c r="BI425" s="66"/>
      <c r="BJ425" s="66"/>
      <c r="BK425" s="66"/>
      <c r="BL425" s="68"/>
      <c r="BO425" s="66"/>
      <c r="BP425" s="68"/>
      <c r="BV425" s="66"/>
      <c r="BW425" s="68"/>
      <c r="CB425" s="8"/>
      <c r="CH425" s="8"/>
      <c r="CK425" s="299"/>
      <c r="CL425" s="299"/>
      <c r="CM425" s="66"/>
      <c r="CN425" s="66"/>
      <c r="CO425" s="68"/>
      <c r="CR425" s="8"/>
      <c r="CX425" s="66"/>
      <c r="CY425" s="532"/>
      <c r="DE425" s="66"/>
      <c r="DF425" s="66"/>
      <c r="DG425" s="68"/>
      <c r="DH425" s="68"/>
      <c r="DK425" s="66"/>
      <c r="DL425" s="66"/>
      <c r="DM425" s="66"/>
      <c r="DN425" s="66"/>
      <c r="DO425" s="66"/>
      <c r="DP425" s="66"/>
      <c r="DQ425" s="66"/>
      <c r="DR425" s="66"/>
      <c r="DS425" s="66"/>
      <c r="DT425" s="68"/>
      <c r="DU425" s="66"/>
      <c r="DV425" s="296"/>
      <c r="DW425" s="330"/>
      <c r="DX425" s="631"/>
      <c r="DY425" s="631"/>
      <c r="DZ425" s="631"/>
      <c r="EA425" s="330"/>
      <c r="EC425" s="66"/>
      <c r="ED425" s="68"/>
      <c r="EH425" s="66"/>
      <c r="EI425" s="66"/>
      <c r="EJ425" s="68"/>
      <c r="EK425" s="252"/>
      <c r="EL425" s="252"/>
      <c r="EM425" s="252"/>
      <c r="EO425" s="252"/>
      <c r="EP425" s="252"/>
      <c r="EQ425" s="252"/>
      <c r="ES425" s="252"/>
      <c r="ET425" s="252"/>
      <c r="EU425" s="252"/>
      <c r="EW425" s="252"/>
      <c r="EX425" s="252"/>
      <c r="EY425" s="252"/>
      <c r="FA425" s="250"/>
      <c r="FB425" s="250"/>
      <c r="FC425" s="250"/>
      <c r="FD425" s="250"/>
      <c r="FE425" s="250"/>
      <c r="FF425" s="250"/>
      <c r="FG425" s="250"/>
      <c r="FH425" s="424"/>
      <c r="FI425" s="250"/>
      <c r="FJ425" s="250"/>
      <c r="FK425" s="250"/>
      <c r="FL425" s="256"/>
      <c r="FM425" s="250"/>
      <c r="FN425" s="256"/>
      <c r="FO425" s="250"/>
      <c r="FP425" s="256"/>
      <c r="FQ425" s="250"/>
      <c r="FR425" s="256"/>
      <c r="FS425" s="250"/>
      <c r="FT425" s="256"/>
      <c r="FU425" s="256"/>
      <c r="FV425" s="256"/>
      <c r="FW425" s="250"/>
      <c r="FX425" s="424"/>
      <c r="FY425" s="251"/>
      <c r="GC425" s="252"/>
      <c r="GF425" s="252"/>
      <c r="GG425" s="252"/>
      <c r="GH425" s="252"/>
      <c r="GI425" s="252"/>
      <c r="GJ425" s="252"/>
      <c r="GK425" s="251"/>
      <c r="GL425" s="250"/>
      <c r="GM425" s="250"/>
      <c r="GN425" s="250"/>
      <c r="GO425" s="250"/>
      <c r="GP425" s="250"/>
      <c r="GQ425" s="250"/>
      <c r="GR425" s="250"/>
      <c r="GS425" s="250"/>
      <c r="GT425" s="250"/>
      <c r="GU425" s="251"/>
      <c r="GV425" s="250"/>
      <c r="GW425" s="250"/>
      <c r="GX425" s="250"/>
      <c r="GY425" s="250"/>
      <c r="GZ425" s="250"/>
      <c r="HA425" s="250"/>
      <c r="HB425" s="250"/>
      <c r="HC425" s="250"/>
      <c r="HD425" s="250"/>
      <c r="HE425" s="250"/>
      <c r="HF425" s="250"/>
      <c r="HG425" s="250"/>
      <c r="HH425" s="251"/>
      <c r="HI425" s="424"/>
      <c r="HJ425" s="255"/>
      <c r="HK425" s="255"/>
      <c r="HL425" s="250"/>
      <c r="HM425" s="255"/>
      <c r="HN425" s="255"/>
      <c r="HO425" s="255"/>
      <c r="HP425" s="250"/>
      <c r="HQ425" s="250"/>
      <c r="HR425" s="250"/>
      <c r="HS425" s="250"/>
      <c r="HT425" s="250"/>
      <c r="HU425" s="251"/>
      <c r="HX425" s="252"/>
      <c r="HY425" s="252"/>
      <c r="HZ425" s="252"/>
      <c r="ID425" s="252"/>
      <c r="IE425" s="252"/>
      <c r="IF425" s="252"/>
      <c r="IJ425" s="252"/>
      <c r="IK425" s="252"/>
      <c r="IL425" s="252"/>
      <c r="IP425" s="252"/>
      <c r="IQ425" s="252"/>
      <c r="IR425" s="252"/>
      <c r="IY425" s="66"/>
      <c r="IZ425" s="66"/>
      <c r="JA425" s="66"/>
      <c r="JB425" s="250"/>
      <c r="JC425" s="66"/>
      <c r="JD425" s="66"/>
      <c r="JE425" s="66"/>
      <c r="JF425" s="66"/>
      <c r="JG425" s="66"/>
      <c r="JH425" s="66"/>
      <c r="JI425" s="66"/>
      <c r="JJ425" s="66"/>
      <c r="JK425" s="8"/>
      <c r="JN425" s="252"/>
      <c r="JO425" s="252"/>
      <c r="JP425" s="252"/>
      <c r="JT425" s="252"/>
      <c r="JU425" s="252"/>
      <c r="JV425" s="252"/>
      <c r="JZ425" s="252"/>
      <c r="KA425" s="252"/>
      <c r="KB425" s="252"/>
      <c r="KF425" s="252"/>
      <c r="KG425" s="252"/>
      <c r="KH425" s="252"/>
      <c r="KO425" s="66"/>
      <c r="KP425" s="66"/>
      <c r="KQ425" s="66"/>
      <c r="KR425" s="66"/>
      <c r="KS425" s="66"/>
      <c r="KT425" s="66"/>
      <c r="KU425" s="66"/>
      <c r="KV425" s="66"/>
      <c r="KW425" s="66"/>
      <c r="KX425" s="66"/>
      <c r="KY425" s="66"/>
      <c r="KZ425" s="66"/>
      <c r="LA425" s="8"/>
      <c r="LD425" s="252"/>
      <c r="LE425" s="252"/>
      <c r="LF425" s="252"/>
      <c r="LJ425" s="252"/>
      <c r="LK425" s="252"/>
      <c r="LN425" s="252"/>
      <c r="LO425" s="252"/>
      <c r="LP425" s="252"/>
      <c r="LT425" s="271"/>
      <c r="LU425" s="250"/>
      <c r="LV425" s="250"/>
      <c r="LW425" s="250"/>
      <c r="LX425" s="250"/>
      <c r="LY425" s="250"/>
      <c r="LZ425" s="250"/>
      <c r="MA425" s="250"/>
      <c r="MB425" s="250"/>
      <c r="MC425" s="250"/>
      <c r="MD425" s="250"/>
      <c r="ME425" s="250"/>
      <c r="MF425" s="250"/>
      <c r="MG425" s="250"/>
      <c r="MH425" s="250"/>
      <c r="MI425" s="250"/>
      <c r="MJ425" s="250"/>
      <c r="MK425" s="424"/>
      <c r="ML425" s="640"/>
      <c r="MM425" s="251"/>
      <c r="MN425" s="252"/>
      <c r="MO425" s="252"/>
      <c r="MP425" s="252"/>
      <c r="MQ425" s="252"/>
      <c r="MR425" s="252"/>
      <c r="MS425" s="252"/>
      <c r="MT425" s="252"/>
      <c r="MU425" s="252"/>
      <c r="MV425" s="252"/>
      <c r="MW425" s="252"/>
      <c r="MX425" s="252"/>
      <c r="MY425" s="252"/>
      <c r="MZ425" s="252"/>
      <c r="NA425" s="252"/>
      <c r="NB425" s="252"/>
      <c r="NC425" s="251"/>
      <c r="ND425" s="250"/>
      <c r="NE425" s="250"/>
      <c r="NF425" s="250"/>
      <c r="NG425" s="250"/>
      <c r="NH425" s="250"/>
      <c r="NI425" s="250"/>
      <c r="NJ425" s="250"/>
      <c r="NK425" s="250"/>
      <c r="NL425" s="250"/>
      <c r="NM425" s="250"/>
      <c r="NN425" s="250"/>
      <c r="NO425" s="250"/>
      <c r="NP425" s="250"/>
      <c r="NQ425" s="250"/>
      <c r="NR425" s="250"/>
      <c r="NS425" s="250"/>
      <c r="NT425" s="250"/>
      <c r="NU425" s="250"/>
      <c r="NV425" s="250"/>
      <c r="NW425" s="251"/>
      <c r="OT425" s="8"/>
      <c r="QG425" s="8"/>
      <c r="RT425" s="8"/>
    </row>
    <row r="426" spans="1:488" s="282" customFormat="1" x14ac:dyDescent="0.25">
      <c r="A426" s="66"/>
      <c r="B426" s="8"/>
      <c r="C426" s="66"/>
      <c r="D426" s="66"/>
      <c r="E426" s="66"/>
      <c r="F426" s="66"/>
      <c r="G426" s="66"/>
      <c r="H426" s="66"/>
      <c r="I426" s="66"/>
      <c r="J426" s="66"/>
      <c r="K426" s="66"/>
      <c r="L426" s="66"/>
      <c r="M426" s="66"/>
      <c r="N426" s="66"/>
      <c r="O426" s="66"/>
      <c r="P426" s="66"/>
      <c r="Q426" s="66"/>
      <c r="R426" s="66"/>
      <c r="S426" s="66"/>
      <c r="T426" s="68"/>
      <c r="AC426" s="66"/>
      <c r="AD426" s="66"/>
      <c r="AE426" s="68"/>
      <c r="AN426" s="66"/>
      <c r="AO426" s="66"/>
      <c r="AP426" s="68"/>
      <c r="AW426" s="66"/>
      <c r="AX426" s="68"/>
      <c r="BD426" s="66"/>
      <c r="BE426" s="68"/>
      <c r="BF426" s="66"/>
      <c r="BG426" s="66"/>
      <c r="BH426" s="66"/>
      <c r="BI426" s="66"/>
      <c r="BJ426" s="66"/>
      <c r="BK426" s="66"/>
      <c r="BL426" s="68"/>
      <c r="BO426" s="66"/>
      <c r="BP426" s="68"/>
      <c r="BV426" s="66"/>
      <c r="BW426" s="68"/>
      <c r="CB426" s="8"/>
      <c r="CH426" s="8"/>
      <c r="CK426" s="299"/>
      <c r="CL426" s="299"/>
      <c r="CM426" s="66"/>
      <c r="CN426" s="66"/>
      <c r="CO426" s="68"/>
      <c r="CR426" s="8"/>
      <c r="CX426" s="66"/>
      <c r="CY426" s="532"/>
      <c r="DE426" s="66"/>
      <c r="DF426" s="66"/>
      <c r="DG426" s="68"/>
      <c r="DH426" s="68"/>
      <c r="DK426" s="66"/>
      <c r="DL426" s="66"/>
      <c r="DM426" s="66"/>
      <c r="DN426" s="66"/>
      <c r="DO426" s="66"/>
      <c r="DP426" s="66"/>
      <c r="DQ426" s="66"/>
      <c r="DR426" s="66"/>
      <c r="DS426" s="66"/>
      <c r="DT426" s="68"/>
      <c r="DU426" s="66"/>
      <c r="DV426" s="296"/>
      <c r="DW426" s="330"/>
      <c r="DX426" s="631"/>
      <c r="DY426" s="631"/>
      <c r="DZ426" s="631"/>
      <c r="EA426" s="330"/>
      <c r="EC426" s="66"/>
      <c r="ED426" s="68"/>
      <c r="EH426" s="66"/>
      <c r="EI426" s="66"/>
      <c r="EJ426" s="68"/>
      <c r="EK426" s="252"/>
      <c r="EL426" s="252"/>
      <c r="EM426" s="252"/>
      <c r="EO426" s="252"/>
      <c r="EP426" s="252"/>
      <c r="EQ426" s="252"/>
      <c r="ES426" s="252"/>
      <c r="ET426" s="252"/>
      <c r="EU426" s="252"/>
      <c r="EW426" s="252"/>
      <c r="EX426" s="252"/>
      <c r="EY426" s="252"/>
      <c r="FA426" s="250"/>
      <c r="FB426" s="250"/>
      <c r="FC426" s="250"/>
      <c r="FD426" s="250"/>
      <c r="FE426" s="250"/>
      <c r="FF426" s="250"/>
      <c r="FG426" s="250"/>
      <c r="FH426" s="424"/>
      <c r="FI426" s="250"/>
      <c r="FJ426" s="250"/>
      <c r="FK426" s="250"/>
      <c r="FL426" s="256"/>
      <c r="FM426" s="250"/>
      <c r="FN426" s="256"/>
      <c r="FO426" s="250"/>
      <c r="FP426" s="256"/>
      <c r="FQ426" s="250"/>
      <c r="FR426" s="256"/>
      <c r="FS426" s="250"/>
      <c r="FT426" s="256"/>
      <c r="FU426" s="256"/>
      <c r="FV426" s="256"/>
      <c r="FW426" s="250"/>
      <c r="FX426" s="424"/>
      <c r="FY426" s="251"/>
      <c r="GC426" s="252"/>
      <c r="GF426" s="252"/>
      <c r="GG426" s="252"/>
      <c r="GH426" s="252"/>
      <c r="GI426" s="252"/>
      <c r="GJ426" s="252"/>
      <c r="GK426" s="251"/>
      <c r="GL426" s="250"/>
      <c r="GM426" s="250"/>
      <c r="GN426" s="250"/>
      <c r="GO426" s="250"/>
      <c r="GP426" s="250"/>
      <c r="GQ426" s="250"/>
      <c r="GR426" s="250"/>
      <c r="GS426" s="250"/>
      <c r="GT426" s="250"/>
      <c r="GU426" s="251"/>
      <c r="GV426" s="250"/>
      <c r="GW426" s="250"/>
      <c r="GX426" s="250"/>
      <c r="GY426" s="250"/>
      <c r="GZ426" s="250"/>
      <c r="HA426" s="250"/>
      <c r="HB426" s="250"/>
      <c r="HC426" s="250"/>
      <c r="HD426" s="250"/>
      <c r="HE426" s="250"/>
      <c r="HF426" s="250"/>
      <c r="HG426" s="250"/>
      <c r="HH426" s="251"/>
      <c r="HI426" s="424"/>
      <c r="HJ426" s="255"/>
      <c r="HK426" s="255"/>
      <c r="HL426" s="250"/>
      <c r="HM426" s="255"/>
      <c r="HN426" s="255"/>
      <c r="HO426" s="255"/>
      <c r="HP426" s="250"/>
      <c r="HQ426" s="250"/>
      <c r="HR426" s="250"/>
      <c r="HS426" s="250"/>
      <c r="HT426" s="250"/>
      <c r="HU426" s="251"/>
      <c r="HX426" s="252"/>
      <c r="HY426" s="252"/>
      <c r="HZ426" s="252"/>
      <c r="ID426" s="252"/>
      <c r="IE426" s="252"/>
      <c r="IF426" s="252"/>
      <c r="IJ426" s="252"/>
      <c r="IK426" s="252"/>
      <c r="IL426" s="252"/>
      <c r="IP426" s="252"/>
      <c r="IQ426" s="252"/>
      <c r="IR426" s="252"/>
      <c r="IY426" s="66"/>
      <c r="IZ426" s="66"/>
      <c r="JA426" s="66"/>
      <c r="JB426" s="250"/>
      <c r="JC426" s="66"/>
      <c r="JD426" s="66"/>
      <c r="JE426" s="66"/>
      <c r="JF426" s="66"/>
      <c r="JG426" s="66"/>
      <c r="JH426" s="66"/>
      <c r="JI426" s="66"/>
      <c r="JJ426" s="66"/>
      <c r="JK426" s="8"/>
      <c r="JN426" s="252"/>
      <c r="JO426" s="252"/>
      <c r="JP426" s="252"/>
      <c r="JT426" s="252"/>
      <c r="JU426" s="252"/>
      <c r="JV426" s="252"/>
      <c r="JZ426" s="252"/>
      <c r="KA426" s="252"/>
      <c r="KB426" s="252"/>
      <c r="KF426" s="252"/>
      <c r="KG426" s="252"/>
      <c r="KH426" s="252"/>
      <c r="KO426" s="66"/>
      <c r="KP426" s="66"/>
      <c r="KQ426" s="66"/>
      <c r="KR426" s="66"/>
      <c r="KS426" s="66"/>
      <c r="KT426" s="66"/>
      <c r="KU426" s="66"/>
      <c r="KV426" s="66"/>
      <c r="KW426" s="66"/>
      <c r="KX426" s="66"/>
      <c r="KY426" s="66"/>
      <c r="KZ426" s="66"/>
      <c r="LA426" s="8"/>
      <c r="LD426" s="252"/>
      <c r="LE426" s="252"/>
      <c r="LF426" s="252"/>
      <c r="LJ426" s="252"/>
      <c r="LK426" s="252"/>
      <c r="LN426" s="252"/>
      <c r="LO426" s="252"/>
      <c r="LP426" s="252"/>
      <c r="LT426" s="271"/>
      <c r="LU426" s="250"/>
      <c r="LV426" s="250"/>
      <c r="LW426" s="250"/>
      <c r="LX426" s="250"/>
      <c r="LY426" s="250"/>
      <c r="LZ426" s="250"/>
      <c r="MA426" s="250"/>
      <c r="MB426" s="250"/>
      <c r="MC426" s="250"/>
      <c r="MD426" s="250"/>
      <c r="ME426" s="250"/>
      <c r="MF426" s="250"/>
      <c r="MG426" s="250"/>
      <c r="MH426" s="250"/>
      <c r="MI426" s="250"/>
      <c r="MJ426" s="250"/>
      <c r="MK426" s="424"/>
      <c r="ML426" s="640"/>
      <c r="MM426" s="251"/>
      <c r="MN426" s="252"/>
      <c r="MO426" s="252"/>
      <c r="MP426" s="252"/>
      <c r="MQ426" s="252"/>
      <c r="MR426" s="252"/>
      <c r="MS426" s="252"/>
      <c r="MT426" s="252"/>
      <c r="MU426" s="252"/>
      <c r="MV426" s="252"/>
      <c r="MW426" s="252"/>
      <c r="MX426" s="252"/>
      <c r="MY426" s="252"/>
      <c r="MZ426" s="252"/>
      <c r="NA426" s="252"/>
      <c r="NB426" s="252"/>
      <c r="NC426" s="251"/>
      <c r="ND426" s="250"/>
      <c r="NE426" s="250"/>
      <c r="NF426" s="250"/>
      <c r="NG426" s="250"/>
      <c r="NH426" s="250"/>
      <c r="NI426" s="250"/>
      <c r="NJ426" s="250"/>
      <c r="NK426" s="250"/>
      <c r="NL426" s="250"/>
      <c r="NM426" s="250"/>
      <c r="NN426" s="250"/>
      <c r="NO426" s="250"/>
      <c r="NP426" s="250"/>
      <c r="NQ426" s="250"/>
      <c r="NR426" s="250"/>
      <c r="NS426" s="250"/>
      <c r="NT426" s="250"/>
      <c r="NU426" s="250"/>
      <c r="NV426" s="250"/>
      <c r="NW426" s="251"/>
      <c r="OT426" s="8"/>
      <c r="QG426" s="8"/>
      <c r="RT426" s="8"/>
    </row>
    <row r="427" spans="1:488" s="282" customFormat="1" x14ac:dyDescent="0.25">
      <c r="A427" s="66"/>
      <c r="B427" s="8"/>
      <c r="C427" s="66"/>
      <c r="D427" s="66"/>
      <c r="E427" s="66"/>
      <c r="F427" s="66"/>
      <c r="G427" s="66"/>
      <c r="H427" s="66"/>
      <c r="I427" s="66"/>
      <c r="J427" s="66"/>
      <c r="K427" s="66"/>
      <c r="L427" s="66"/>
      <c r="M427" s="66"/>
      <c r="N427" s="66"/>
      <c r="O427" s="66"/>
      <c r="P427" s="66"/>
      <c r="Q427" s="66"/>
      <c r="R427" s="66"/>
      <c r="S427" s="66"/>
      <c r="T427" s="68"/>
      <c r="AC427" s="66"/>
      <c r="AD427" s="66"/>
      <c r="AE427" s="68"/>
      <c r="AN427" s="66"/>
      <c r="AO427" s="66"/>
      <c r="AP427" s="68"/>
      <c r="AW427" s="66"/>
      <c r="AX427" s="68"/>
      <c r="BD427" s="66"/>
      <c r="BE427" s="68"/>
      <c r="BF427" s="66"/>
      <c r="BG427" s="66"/>
      <c r="BH427" s="66"/>
      <c r="BI427" s="66"/>
      <c r="BJ427" s="66"/>
      <c r="BK427" s="66"/>
      <c r="BL427" s="68"/>
      <c r="BO427" s="66"/>
      <c r="BP427" s="68"/>
      <c r="BV427" s="66"/>
      <c r="BW427" s="68"/>
      <c r="CB427" s="8"/>
      <c r="CH427" s="8"/>
      <c r="CK427" s="299"/>
      <c r="CL427" s="299"/>
      <c r="CM427" s="66"/>
      <c r="CN427" s="66"/>
      <c r="CO427" s="68"/>
      <c r="CR427" s="8"/>
      <c r="CX427" s="66"/>
      <c r="CY427" s="532"/>
      <c r="DE427" s="66"/>
      <c r="DF427" s="66"/>
      <c r="DG427" s="68"/>
      <c r="DH427" s="68"/>
      <c r="DK427" s="66"/>
      <c r="DL427" s="66"/>
      <c r="DM427" s="66"/>
      <c r="DN427" s="66"/>
      <c r="DO427" s="66"/>
      <c r="DP427" s="66"/>
      <c r="DQ427" s="66"/>
      <c r="DR427" s="66"/>
      <c r="DS427" s="66"/>
      <c r="DT427" s="68"/>
      <c r="DU427" s="66"/>
      <c r="DV427" s="296"/>
      <c r="DW427" s="330"/>
      <c r="DX427" s="631"/>
      <c r="DY427" s="631"/>
      <c r="DZ427" s="631"/>
      <c r="EA427" s="330"/>
      <c r="EC427" s="66"/>
      <c r="ED427" s="68"/>
      <c r="EH427" s="66"/>
      <c r="EI427" s="66"/>
      <c r="EJ427" s="68"/>
      <c r="EK427" s="252"/>
      <c r="EL427" s="252"/>
      <c r="EM427" s="252"/>
      <c r="EO427" s="252"/>
      <c r="EP427" s="252"/>
      <c r="EQ427" s="252"/>
      <c r="ES427" s="252"/>
      <c r="ET427" s="252"/>
      <c r="EU427" s="252"/>
      <c r="EW427" s="252"/>
      <c r="EX427" s="252"/>
      <c r="EY427" s="252"/>
      <c r="FA427" s="250"/>
      <c r="FB427" s="250"/>
      <c r="FC427" s="250"/>
      <c r="FD427" s="250"/>
      <c r="FE427" s="250"/>
      <c r="FF427" s="250"/>
      <c r="FG427" s="250"/>
      <c r="FH427" s="424"/>
      <c r="FI427" s="250"/>
      <c r="FJ427" s="250"/>
      <c r="FK427" s="250"/>
      <c r="FL427" s="256"/>
      <c r="FM427" s="250"/>
      <c r="FN427" s="256"/>
      <c r="FO427" s="250"/>
      <c r="FP427" s="256"/>
      <c r="FQ427" s="250"/>
      <c r="FR427" s="256"/>
      <c r="FS427" s="250"/>
      <c r="FT427" s="256"/>
      <c r="FU427" s="256"/>
      <c r="FV427" s="256"/>
      <c r="FW427" s="250"/>
      <c r="FX427" s="424"/>
      <c r="FY427" s="251"/>
      <c r="GC427" s="252"/>
      <c r="GF427" s="252"/>
      <c r="GG427" s="252"/>
      <c r="GH427" s="252"/>
      <c r="GI427" s="252"/>
      <c r="GJ427" s="252"/>
      <c r="GK427" s="251"/>
      <c r="GL427" s="250"/>
      <c r="GM427" s="250"/>
      <c r="GN427" s="250"/>
      <c r="GO427" s="250"/>
      <c r="GP427" s="250"/>
      <c r="GQ427" s="250"/>
      <c r="GR427" s="250"/>
      <c r="GS427" s="250"/>
      <c r="GT427" s="250"/>
      <c r="GU427" s="251"/>
      <c r="GV427" s="250"/>
      <c r="GW427" s="250"/>
      <c r="GX427" s="250"/>
      <c r="GY427" s="250"/>
      <c r="GZ427" s="250"/>
      <c r="HA427" s="250"/>
      <c r="HB427" s="250"/>
      <c r="HC427" s="250"/>
      <c r="HD427" s="250"/>
      <c r="HE427" s="250"/>
      <c r="HF427" s="250"/>
      <c r="HG427" s="250"/>
      <c r="HH427" s="251"/>
      <c r="HI427" s="424"/>
      <c r="HJ427" s="255"/>
      <c r="HK427" s="255"/>
      <c r="HL427" s="250"/>
      <c r="HM427" s="255"/>
      <c r="HN427" s="255"/>
      <c r="HO427" s="255"/>
      <c r="HP427" s="250"/>
      <c r="HQ427" s="250"/>
      <c r="HR427" s="250"/>
      <c r="HS427" s="250"/>
      <c r="HT427" s="250"/>
      <c r="HU427" s="251"/>
      <c r="HX427" s="252"/>
      <c r="HY427" s="252"/>
      <c r="HZ427" s="252"/>
      <c r="ID427" s="252"/>
      <c r="IE427" s="252"/>
      <c r="IF427" s="252"/>
      <c r="IJ427" s="252"/>
      <c r="IK427" s="252"/>
      <c r="IL427" s="252"/>
      <c r="IP427" s="252"/>
      <c r="IQ427" s="252"/>
      <c r="IR427" s="252"/>
      <c r="IY427" s="66"/>
      <c r="IZ427" s="66"/>
      <c r="JA427" s="66"/>
      <c r="JB427" s="250"/>
      <c r="JC427" s="66"/>
      <c r="JD427" s="66"/>
      <c r="JE427" s="66"/>
      <c r="JF427" s="66"/>
      <c r="JG427" s="66"/>
      <c r="JH427" s="66"/>
      <c r="JI427" s="66"/>
      <c r="JJ427" s="66"/>
      <c r="JK427" s="8"/>
      <c r="JN427" s="252"/>
      <c r="JO427" s="252"/>
      <c r="JP427" s="252"/>
      <c r="JT427" s="252"/>
      <c r="JU427" s="252"/>
      <c r="JV427" s="252"/>
      <c r="JZ427" s="252"/>
      <c r="KA427" s="252"/>
      <c r="KB427" s="252"/>
      <c r="KF427" s="252"/>
      <c r="KG427" s="252"/>
      <c r="KH427" s="252"/>
      <c r="KO427" s="66"/>
      <c r="KP427" s="66"/>
      <c r="KQ427" s="66"/>
      <c r="KR427" s="66"/>
      <c r="KS427" s="66"/>
      <c r="KT427" s="66"/>
      <c r="KU427" s="66"/>
      <c r="KV427" s="66"/>
      <c r="KW427" s="66"/>
      <c r="KX427" s="66"/>
      <c r="KY427" s="66"/>
      <c r="KZ427" s="66"/>
      <c r="LA427" s="8"/>
      <c r="LD427" s="252"/>
      <c r="LE427" s="252"/>
      <c r="LF427" s="252"/>
      <c r="LJ427" s="252"/>
      <c r="LK427" s="252"/>
      <c r="LN427" s="252"/>
      <c r="LO427" s="252"/>
      <c r="LP427" s="252"/>
      <c r="LT427" s="271"/>
      <c r="LU427" s="250"/>
      <c r="LV427" s="250"/>
      <c r="LW427" s="250"/>
      <c r="LX427" s="250"/>
      <c r="LY427" s="250"/>
      <c r="LZ427" s="250"/>
      <c r="MA427" s="250"/>
      <c r="MB427" s="250"/>
      <c r="MC427" s="250"/>
      <c r="MD427" s="250"/>
      <c r="ME427" s="250"/>
      <c r="MF427" s="250"/>
      <c r="MG427" s="250"/>
      <c r="MH427" s="250"/>
      <c r="MI427" s="250"/>
      <c r="MJ427" s="250"/>
      <c r="MK427" s="424"/>
      <c r="ML427" s="640"/>
      <c r="MM427" s="251"/>
      <c r="MN427" s="252"/>
      <c r="MO427" s="252"/>
      <c r="MP427" s="252"/>
      <c r="MQ427" s="252"/>
      <c r="MR427" s="252"/>
      <c r="MS427" s="252"/>
      <c r="MT427" s="252"/>
      <c r="MU427" s="252"/>
      <c r="MV427" s="252"/>
      <c r="MW427" s="252"/>
      <c r="MX427" s="252"/>
      <c r="MY427" s="252"/>
      <c r="MZ427" s="252"/>
      <c r="NA427" s="252"/>
      <c r="NB427" s="252"/>
      <c r="NC427" s="251"/>
      <c r="ND427" s="250"/>
      <c r="NE427" s="250"/>
      <c r="NF427" s="250"/>
      <c r="NG427" s="250"/>
      <c r="NH427" s="250"/>
      <c r="NI427" s="250"/>
      <c r="NJ427" s="250"/>
      <c r="NK427" s="250"/>
      <c r="NL427" s="250"/>
      <c r="NM427" s="250"/>
      <c r="NN427" s="250"/>
      <c r="NO427" s="250"/>
      <c r="NP427" s="250"/>
      <c r="NQ427" s="250"/>
      <c r="NR427" s="250"/>
      <c r="NS427" s="250"/>
      <c r="NT427" s="250"/>
      <c r="NU427" s="250"/>
      <c r="NV427" s="250"/>
      <c r="NW427" s="251"/>
      <c r="OT427" s="8"/>
      <c r="QG427" s="8"/>
      <c r="RT427" s="8"/>
    </row>
    <row r="428" spans="1:488" s="282" customFormat="1" x14ac:dyDescent="0.25">
      <c r="A428" s="66"/>
      <c r="B428" s="8"/>
      <c r="C428" s="66"/>
      <c r="D428" s="66"/>
      <c r="E428" s="66"/>
      <c r="F428" s="66"/>
      <c r="G428" s="66"/>
      <c r="H428" s="66"/>
      <c r="I428" s="66"/>
      <c r="J428" s="66"/>
      <c r="K428" s="66"/>
      <c r="L428" s="66"/>
      <c r="M428" s="66"/>
      <c r="N428" s="66"/>
      <c r="O428" s="66"/>
      <c r="P428" s="66"/>
      <c r="Q428" s="66"/>
      <c r="R428" s="66"/>
      <c r="S428" s="66"/>
      <c r="T428" s="68"/>
      <c r="AC428" s="66"/>
      <c r="AD428" s="66"/>
      <c r="AE428" s="68"/>
      <c r="AN428" s="66"/>
      <c r="AO428" s="66"/>
      <c r="AP428" s="68"/>
      <c r="AW428" s="66"/>
      <c r="AX428" s="68"/>
      <c r="BD428" s="66"/>
      <c r="BE428" s="68"/>
      <c r="BF428" s="66"/>
      <c r="BG428" s="66"/>
      <c r="BH428" s="66"/>
      <c r="BI428" s="66"/>
      <c r="BJ428" s="66"/>
      <c r="BK428" s="66"/>
      <c r="BL428" s="68"/>
      <c r="BO428" s="66"/>
      <c r="BP428" s="68"/>
      <c r="BV428" s="66"/>
      <c r="BW428" s="68"/>
      <c r="CB428" s="8"/>
      <c r="CH428" s="8"/>
      <c r="CK428" s="299"/>
      <c r="CL428" s="299"/>
      <c r="CM428" s="66"/>
      <c r="CN428" s="66"/>
      <c r="CO428" s="68"/>
      <c r="CR428" s="8"/>
      <c r="CX428" s="66"/>
      <c r="CY428" s="532"/>
      <c r="DE428" s="66"/>
      <c r="DF428" s="66"/>
      <c r="DG428" s="68"/>
      <c r="DH428" s="68"/>
      <c r="DK428" s="66"/>
      <c r="DL428" s="66"/>
      <c r="DM428" s="66"/>
      <c r="DN428" s="66"/>
      <c r="DO428" s="66"/>
      <c r="DP428" s="66"/>
      <c r="DQ428" s="66"/>
      <c r="DR428" s="66"/>
      <c r="DS428" s="66"/>
      <c r="DT428" s="68"/>
      <c r="DU428" s="66"/>
      <c r="DV428" s="296"/>
      <c r="DW428" s="330"/>
      <c r="DX428" s="631"/>
      <c r="DY428" s="631"/>
      <c r="DZ428" s="631"/>
      <c r="EA428" s="330"/>
      <c r="EC428" s="66"/>
      <c r="ED428" s="68"/>
      <c r="EH428" s="66"/>
      <c r="EI428" s="66"/>
      <c r="EJ428" s="68"/>
      <c r="EK428" s="252"/>
      <c r="EL428" s="252"/>
      <c r="EM428" s="252"/>
      <c r="EO428" s="252"/>
      <c r="EP428" s="252"/>
      <c r="EQ428" s="252"/>
      <c r="ES428" s="252"/>
      <c r="ET428" s="252"/>
      <c r="EU428" s="252"/>
      <c r="EW428" s="252"/>
      <c r="EX428" s="252"/>
      <c r="EY428" s="252"/>
      <c r="FA428" s="250"/>
      <c r="FB428" s="250"/>
      <c r="FC428" s="250"/>
      <c r="FD428" s="250"/>
      <c r="FE428" s="250"/>
      <c r="FF428" s="250"/>
      <c r="FG428" s="250"/>
      <c r="FH428" s="424"/>
      <c r="FI428" s="250"/>
      <c r="FJ428" s="250"/>
      <c r="FK428" s="250"/>
      <c r="FL428" s="256"/>
      <c r="FM428" s="250"/>
      <c r="FN428" s="256"/>
      <c r="FO428" s="250"/>
      <c r="FP428" s="256"/>
      <c r="FQ428" s="250"/>
      <c r="FR428" s="256"/>
      <c r="FS428" s="250"/>
      <c r="FT428" s="256"/>
      <c r="FU428" s="256"/>
      <c r="FV428" s="256"/>
      <c r="FW428" s="250"/>
      <c r="FX428" s="424"/>
      <c r="FY428" s="251"/>
      <c r="GC428" s="252"/>
      <c r="GF428" s="252"/>
      <c r="GG428" s="252"/>
      <c r="GH428" s="252"/>
      <c r="GI428" s="252"/>
      <c r="GJ428" s="252"/>
      <c r="GK428" s="251"/>
      <c r="GL428" s="250"/>
      <c r="GM428" s="250"/>
      <c r="GN428" s="250"/>
      <c r="GO428" s="250"/>
      <c r="GP428" s="250"/>
      <c r="GQ428" s="250"/>
      <c r="GR428" s="250"/>
      <c r="GS428" s="250"/>
      <c r="GT428" s="250"/>
      <c r="GU428" s="251"/>
      <c r="GV428" s="250"/>
      <c r="GW428" s="250"/>
      <c r="GX428" s="250"/>
      <c r="GY428" s="250"/>
      <c r="GZ428" s="250"/>
      <c r="HA428" s="250"/>
      <c r="HB428" s="250"/>
      <c r="HC428" s="250"/>
      <c r="HD428" s="250"/>
      <c r="HE428" s="250"/>
      <c r="HF428" s="250"/>
      <c r="HG428" s="250"/>
      <c r="HH428" s="251"/>
      <c r="HI428" s="424"/>
      <c r="HJ428" s="255"/>
      <c r="HK428" s="255"/>
      <c r="HL428" s="250"/>
      <c r="HM428" s="255"/>
      <c r="HN428" s="255"/>
      <c r="HO428" s="255"/>
      <c r="HP428" s="250"/>
      <c r="HQ428" s="250"/>
      <c r="HR428" s="250"/>
      <c r="HS428" s="250"/>
      <c r="HT428" s="250"/>
      <c r="HU428" s="251"/>
      <c r="HX428" s="252"/>
      <c r="HY428" s="252"/>
      <c r="HZ428" s="252"/>
      <c r="ID428" s="252"/>
      <c r="IE428" s="252"/>
      <c r="IF428" s="252"/>
      <c r="IJ428" s="252"/>
      <c r="IK428" s="252"/>
      <c r="IL428" s="252"/>
      <c r="IP428" s="252"/>
      <c r="IQ428" s="252"/>
      <c r="IR428" s="252"/>
      <c r="IY428" s="66"/>
      <c r="IZ428" s="66"/>
      <c r="JA428" s="66"/>
      <c r="JB428" s="250"/>
      <c r="JC428" s="66"/>
      <c r="JD428" s="66"/>
      <c r="JE428" s="66"/>
      <c r="JF428" s="66"/>
      <c r="JG428" s="66"/>
      <c r="JH428" s="66"/>
      <c r="JI428" s="66"/>
      <c r="JJ428" s="66"/>
      <c r="JK428" s="8"/>
      <c r="JN428" s="252"/>
      <c r="JO428" s="252"/>
      <c r="JP428" s="252"/>
      <c r="JT428" s="252"/>
      <c r="JU428" s="252"/>
      <c r="JV428" s="252"/>
      <c r="JZ428" s="252"/>
      <c r="KA428" s="252"/>
      <c r="KB428" s="252"/>
      <c r="KF428" s="252"/>
      <c r="KG428" s="252"/>
      <c r="KH428" s="252"/>
      <c r="KO428" s="66"/>
      <c r="KP428" s="66"/>
      <c r="KQ428" s="66"/>
      <c r="KR428" s="66"/>
      <c r="KS428" s="66"/>
      <c r="KT428" s="66"/>
      <c r="KU428" s="66"/>
      <c r="KV428" s="66"/>
      <c r="KW428" s="66"/>
      <c r="KX428" s="66"/>
      <c r="KY428" s="66"/>
      <c r="KZ428" s="66"/>
      <c r="LA428" s="8"/>
      <c r="LD428" s="252"/>
      <c r="LE428" s="252"/>
      <c r="LF428" s="252"/>
      <c r="LJ428" s="252"/>
      <c r="LK428" s="252"/>
      <c r="LN428" s="252"/>
      <c r="LO428" s="252"/>
      <c r="LP428" s="252"/>
      <c r="LT428" s="271"/>
      <c r="LU428" s="250"/>
      <c r="LV428" s="250"/>
      <c r="LW428" s="250"/>
      <c r="LX428" s="250"/>
      <c r="LY428" s="250"/>
      <c r="LZ428" s="250"/>
      <c r="MA428" s="250"/>
      <c r="MB428" s="250"/>
      <c r="MC428" s="250"/>
      <c r="MD428" s="250"/>
      <c r="ME428" s="250"/>
      <c r="MF428" s="250"/>
      <c r="MG428" s="250"/>
      <c r="MH428" s="250"/>
      <c r="MI428" s="250"/>
      <c r="MJ428" s="250"/>
      <c r="MK428" s="424"/>
      <c r="ML428" s="640"/>
      <c r="MM428" s="251"/>
      <c r="MN428" s="252"/>
      <c r="MO428" s="252"/>
      <c r="MP428" s="252"/>
      <c r="MQ428" s="252"/>
      <c r="MR428" s="252"/>
      <c r="MS428" s="252"/>
      <c r="MT428" s="252"/>
      <c r="MU428" s="252"/>
      <c r="MV428" s="252"/>
      <c r="MW428" s="252"/>
      <c r="MX428" s="252"/>
      <c r="MY428" s="252"/>
      <c r="MZ428" s="252"/>
      <c r="NA428" s="252"/>
      <c r="NB428" s="252"/>
      <c r="NC428" s="251"/>
      <c r="ND428" s="250"/>
      <c r="NE428" s="250"/>
      <c r="NF428" s="250"/>
      <c r="NG428" s="250"/>
      <c r="NH428" s="250"/>
      <c r="NI428" s="250"/>
      <c r="NJ428" s="250"/>
      <c r="NK428" s="250"/>
      <c r="NL428" s="250"/>
      <c r="NM428" s="250"/>
      <c r="NN428" s="250"/>
      <c r="NO428" s="250"/>
      <c r="NP428" s="250"/>
      <c r="NQ428" s="250"/>
      <c r="NR428" s="250"/>
      <c r="NS428" s="250"/>
      <c r="NT428" s="250"/>
      <c r="NU428" s="250"/>
      <c r="NV428" s="250"/>
      <c r="NW428" s="251"/>
      <c r="OT428" s="8"/>
      <c r="QG428" s="8"/>
      <c r="RT428" s="8"/>
    </row>
    <row r="429" spans="1:488" s="282" customFormat="1" x14ac:dyDescent="0.25">
      <c r="A429" s="66"/>
      <c r="B429" s="8"/>
      <c r="C429" s="66"/>
      <c r="D429" s="66"/>
      <c r="E429" s="66"/>
      <c r="F429" s="66"/>
      <c r="G429" s="66"/>
      <c r="H429" s="66"/>
      <c r="I429" s="66"/>
      <c r="J429" s="66"/>
      <c r="K429" s="66"/>
      <c r="L429" s="66"/>
      <c r="M429" s="66"/>
      <c r="N429" s="66"/>
      <c r="O429" s="66"/>
      <c r="P429" s="66"/>
      <c r="Q429" s="66"/>
      <c r="R429" s="66"/>
      <c r="S429" s="66"/>
      <c r="T429" s="68"/>
      <c r="AC429" s="66"/>
      <c r="AD429" s="66"/>
      <c r="AE429" s="68"/>
      <c r="AN429" s="66"/>
      <c r="AO429" s="66"/>
      <c r="AP429" s="68"/>
      <c r="AW429" s="66"/>
      <c r="AX429" s="68"/>
      <c r="BD429" s="66"/>
      <c r="BE429" s="68"/>
      <c r="BF429" s="66"/>
      <c r="BG429" s="66"/>
      <c r="BH429" s="66"/>
      <c r="BI429" s="66"/>
      <c r="BJ429" s="66"/>
      <c r="BK429" s="66"/>
      <c r="BL429" s="68"/>
      <c r="BO429" s="66"/>
      <c r="BP429" s="68"/>
      <c r="BV429" s="66"/>
      <c r="BW429" s="68"/>
      <c r="CB429" s="8"/>
      <c r="CH429" s="8"/>
      <c r="CK429" s="299"/>
      <c r="CL429" s="299"/>
      <c r="CM429" s="66"/>
      <c r="CN429" s="66"/>
      <c r="CO429" s="68"/>
      <c r="CR429" s="8"/>
      <c r="CX429" s="66"/>
      <c r="CY429" s="532"/>
      <c r="DE429" s="66"/>
      <c r="DF429" s="66"/>
      <c r="DG429" s="68"/>
      <c r="DH429" s="68"/>
      <c r="DK429" s="66"/>
      <c r="DL429" s="66"/>
      <c r="DM429" s="66"/>
      <c r="DN429" s="66"/>
      <c r="DO429" s="66"/>
      <c r="DP429" s="66"/>
      <c r="DQ429" s="66"/>
      <c r="DR429" s="66"/>
      <c r="DS429" s="66"/>
      <c r="DT429" s="68"/>
      <c r="DU429" s="66"/>
      <c r="DV429" s="296"/>
      <c r="DW429" s="330"/>
      <c r="DX429" s="631"/>
      <c r="DY429" s="631"/>
      <c r="DZ429" s="631"/>
      <c r="EA429" s="330"/>
      <c r="EC429" s="66"/>
      <c r="ED429" s="68"/>
      <c r="EH429" s="66"/>
      <c r="EI429" s="66"/>
      <c r="EJ429" s="68"/>
      <c r="EK429" s="252"/>
      <c r="EL429" s="252"/>
      <c r="EM429" s="252"/>
      <c r="EO429" s="252"/>
      <c r="EP429" s="252"/>
      <c r="EQ429" s="252"/>
      <c r="ES429" s="252"/>
      <c r="ET429" s="252"/>
      <c r="EU429" s="252"/>
      <c r="EW429" s="252"/>
      <c r="EX429" s="252"/>
      <c r="EY429" s="252"/>
      <c r="FA429" s="250"/>
      <c r="FB429" s="250"/>
      <c r="FC429" s="250"/>
      <c r="FD429" s="250"/>
      <c r="FE429" s="250"/>
      <c r="FF429" s="250"/>
      <c r="FG429" s="250"/>
      <c r="FH429" s="424"/>
      <c r="FI429" s="250"/>
      <c r="FJ429" s="250"/>
      <c r="FK429" s="250"/>
      <c r="FL429" s="256"/>
      <c r="FM429" s="250"/>
      <c r="FN429" s="256"/>
      <c r="FO429" s="250"/>
      <c r="FP429" s="256"/>
      <c r="FQ429" s="250"/>
      <c r="FR429" s="256"/>
      <c r="FS429" s="250"/>
      <c r="FT429" s="256"/>
      <c r="FU429" s="256"/>
      <c r="FV429" s="256"/>
      <c r="FW429" s="250"/>
      <c r="FX429" s="424"/>
      <c r="FY429" s="251"/>
      <c r="GC429" s="252"/>
      <c r="GF429" s="252"/>
      <c r="GG429" s="252"/>
      <c r="GH429" s="252"/>
      <c r="GI429" s="252"/>
      <c r="GJ429" s="252"/>
      <c r="GK429" s="251"/>
      <c r="GL429" s="250"/>
      <c r="GM429" s="250"/>
      <c r="GN429" s="250"/>
      <c r="GO429" s="250"/>
      <c r="GP429" s="250"/>
      <c r="GQ429" s="250"/>
      <c r="GR429" s="250"/>
      <c r="GS429" s="250"/>
      <c r="GT429" s="250"/>
      <c r="GU429" s="251"/>
      <c r="GV429" s="250"/>
      <c r="GW429" s="250"/>
      <c r="GX429" s="250"/>
      <c r="GY429" s="250"/>
      <c r="GZ429" s="250"/>
      <c r="HA429" s="250"/>
      <c r="HB429" s="250"/>
      <c r="HC429" s="250"/>
      <c r="HD429" s="250"/>
      <c r="HE429" s="250"/>
      <c r="HF429" s="250"/>
      <c r="HG429" s="250"/>
      <c r="HH429" s="251"/>
      <c r="HI429" s="424"/>
      <c r="HJ429" s="255"/>
      <c r="HK429" s="255"/>
      <c r="HL429" s="250"/>
      <c r="HM429" s="255"/>
      <c r="HN429" s="255"/>
      <c r="HO429" s="255"/>
      <c r="HP429" s="250"/>
      <c r="HQ429" s="250"/>
      <c r="HR429" s="250"/>
      <c r="HS429" s="250"/>
      <c r="HT429" s="250"/>
      <c r="HU429" s="251"/>
      <c r="HX429" s="252"/>
      <c r="HY429" s="252"/>
      <c r="HZ429" s="252"/>
      <c r="ID429" s="252"/>
      <c r="IE429" s="252"/>
      <c r="IF429" s="252"/>
      <c r="IJ429" s="252"/>
      <c r="IK429" s="252"/>
      <c r="IL429" s="252"/>
      <c r="IP429" s="252"/>
      <c r="IQ429" s="252"/>
      <c r="IR429" s="252"/>
      <c r="IY429" s="66"/>
      <c r="IZ429" s="66"/>
      <c r="JA429" s="66"/>
      <c r="JB429" s="250"/>
      <c r="JC429" s="66"/>
      <c r="JD429" s="66"/>
      <c r="JE429" s="66"/>
      <c r="JF429" s="66"/>
      <c r="JG429" s="66"/>
      <c r="JH429" s="66"/>
      <c r="JI429" s="66"/>
      <c r="JJ429" s="66"/>
      <c r="JK429" s="8"/>
      <c r="JN429" s="252"/>
      <c r="JO429" s="252"/>
      <c r="JP429" s="252"/>
      <c r="JT429" s="252"/>
      <c r="JU429" s="252"/>
      <c r="JV429" s="252"/>
      <c r="JZ429" s="252"/>
      <c r="KA429" s="252"/>
      <c r="KB429" s="252"/>
      <c r="KF429" s="252"/>
      <c r="KG429" s="252"/>
      <c r="KH429" s="252"/>
      <c r="KO429" s="66"/>
      <c r="KP429" s="66"/>
      <c r="KQ429" s="66"/>
      <c r="KR429" s="66"/>
      <c r="KS429" s="66"/>
      <c r="KT429" s="66"/>
      <c r="KU429" s="66"/>
      <c r="KV429" s="66"/>
      <c r="KW429" s="66"/>
      <c r="KX429" s="66"/>
      <c r="KY429" s="66"/>
      <c r="KZ429" s="66"/>
      <c r="LA429" s="8"/>
      <c r="LD429" s="252"/>
      <c r="LE429" s="252"/>
      <c r="LF429" s="252"/>
      <c r="LJ429" s="252"/>
      <c r="LK429" s="252"/>
      <c r="LN429" s="252"/>
      <c r="LO429" s="252"/>
      <c r="LP429" s="252"/>
      <c r="LT429" s="271"/>
      <c r="LU429" s="250"/>
      <c r="LV429" s="250"/>
      <c r="LW429" s="250"/>
      <c r="LX429" s="250"/>
      <c r="LY429" s="250"/>
      <c r="LZ429" s="250"/>
      <c r="MA429" s="250"/>
      <c r="MB429" s="250"/>
      <c r="MC429" s="250"/>
      <c r="MD429" s="250"/>
      <c r="ME429" s="250"/>
      <c r="MF429" s="250"/>
      <c r="MG429" s="250"/>
      <c r="MH429" s="250"/>
      <c r="MI429" s="250"/>
      <c r="MJ429" s="250"/>
      <c r="MK429" s="424"/>
      <c r="ML429" s="640"/>
      <c r="MM429" s="251"/>
      <c r="MN429" s="252"/>
      <c r="MO429" s="252"/>
      <c r="MP429" s="252"/>
      <c r="MQ429" s="252"/>
      <c r="MR429" s="252"/>
      <c r="MS429" s="252"/>
      <c r="MT429" s="252"/>
      <c r="MU429" s="252"/>
      <c r="MV429" s="252"/>
      <c r="MW429" s="252"/>
      <c r="MX429" s="252"/>
      <c r="MY429" s="252"/>
      <c r="MZ429" s="252"/>
      <c r="NA429" s="252"/>
      <c r="NB429" s="252"/>
      <c r="NC429" s="251"/>
      <c r="ND429" s="250"/>
      <c r="NE429" s="250"/>
      <c r="NF429" s="250"/>
      <c r="NG429" s="250"/>
      <c r="NH429" s="250"/>
      <c r="NI429" s="250"/>
      <c r="NJ429" s="250"/>
      <c r="NK429" s="250"/>
      <c r="NL429" s="250"/>
      <c r="NM429" s="250"/>
      <c r="NN429" s="250"/>
      <c r="NO429" s="250"/>
      <c r="NP429" s="250"/>
      <c r="NQ429" s="250"/>
      <c r="NR429" s="250"/>
      <c r="NS429" s="250"/>
      <c r="NT429" s="250"/>
      <c r="NU429" s="250"/>
      <c r="NV429" s="250"/>
      <c r="NW429" s="251"/>
      <c r="OT429" s="8"/>
      <c r="QG429" s="8"/>
      <c r="RT429" s="8"/>
    </row>
    <row r="430" spans="1:488" s="282" customFormat="1" x14ac:dyDescent="0.25">
      <c r="A430" s="66"/>
      <c r="B430" s="8"/>
      <c r="C430" s="66"/>
      <c r="D430" s="66"/>
      <c r="E430" s="66"/>
      <c r="F430" s="66"/>
      <c r="G430" s="66"/>
      <c r="H430" s="66"/>
      <c r="I430" s="66"/>
      <c r="J430" s="66"/>
      <c r="K430" s="66"/>
      <c r="L430" s="66"/>
      <c r="M430" s="66"/>
      <c r="N430" s="66"/>
      <c r="O430" s="66"/>
      <c r="P430" s="66"/>
      <c r="Q430" s="66"/>
      <c r="R430" s="66"/>
      <c r="S430" s="66"/>
      <c r="T430" s="68"/>
      <c r="AC430" s="66"/>
      <c r="AD430" s="66"/>
      <c r="AE430" s="68"/>
      <c r="AN430" s="66"/>
      <c r="AO430" s="66"/>
      <c r="AP430" s="68"/>
      <c r="AW430" s="66"/>
      <c r="AX430" s="68"/>
      <c r="BD430" s="66"/>
      <c r="BE430" s="68"/>
      <c r="BF430" s="66"/>
      <c r="BG430" s="66"/>
      <c r="BH430" s="66"/>
      <c r="BI430" s="66"/>
      <c r="BJ430" s="66"/>
      <c r="BK430" s="66"/>
      <c r="BL430" s="68"/>
      <c r="BO430" s="66"/>
      <c r="BP430" s="68"/>
      <c r="BV430" s="66"/>
      <c r="BW430" s="68"/>
      <c r="CB430" s="8"/>
      <c r="CH430" s="8"/>
      <c r="CK430" s="299"/>
      <c r="CL430" s="299"/>
      <c r="CM430" s="66"/>
      <c r="CN430" s="66"/>
      <c r="CO430" s="68"/>
      <c r="CR430" s="8"/>
      <c r="CX430" s="66"/>
      <c r="CY430" s="532"/>
      <c r="DE430" s="66"/>
      <c r="DF430" s="66"/>
      <c r="DG430" s="68"/>
      <c r="DH430" s="68"/>
      <c r="DK430" s="66"/>
      <c r="DL430" s="66"/>
      <c r="DM430" s="66"/>
      <c r="DN430" s="66"/>
      <c r="DO430" s="66"/>
      <c r="DP430" s="66"/>
      <c r="DQ430" s="66"/>
      <c r="DR430" s="66"/>
      <c r="DS430" s="66"/>
      <c r="DT430" s="68"/>
      <c r="DU430" s="66"/>
      <c r="DV430" s="296"/>
      <c r="DW430" s="330"/>
      <c r="DX430" s="631"/>
      <c r="DY430" s="631"/>
      <c r="DZ430" s="631"/>
      <c r="EA430" s="330"/>
      <c r="EC430" s="66"/>
      <c r="ED430" s="68"/>
      <c r="EH430" s="66"/>
      <c r="EI430" s="66"/>
      <c r="EJ430" s="68"/>
      <c r="EK430" s="252"/>
      <c r="EL430" s="252"/>
      <c r="EM430" s="252"/>
      <c r="EO430" s="252"/>
      <c r="EP430" s="252"/>
      <c r="EQ430" s="252"/>
      <c r="ES430" s="252"/>
      <c r="ET430" s="252"/>
      <c r="EU430" s="252"/>
      <c r="EW430" s="252"/>
      <c r="EX430" s="252"/>
      <c r="EY430" s="252"/>
      <c r="FA430" s="250"/>
      <c r="FB430" s="250"/>
      <c r="FC430" s="250"/>
      <c r="FD430" s="250"/>
      <c r="FE430" s="250"/>
      <c r="FF430" s="250"/>
      <c r="FG430" s="250"/>
      <c r="FH430" s="424"/>
      <c r="FI430" s="250"/>
      <c r="FJ430" s="250"/>
      <c r="FK430" s="250"/>
      <c r="FL430" s="256"/>
      <c r="FM430" s="250"/>
      <c r="FN430" s="256"/>
      <c r="FO430" s="250"/>
      <c r="FP430" s="256"/>
      <c r="FQ430" s="250"/>
      <c r="FR430" s="256"/>
      <c r="FS430" s="250"/>
      <c r="FT430" s="256"/>
      <c r="FU430" s="256"/>
      <c r="FV430" s="256"/>
      <c r="FW430" s="250"/>
      <c r="FX430" s="424"/>
      <c r="FY430" s="251"/>
      <c r="GC430" s="252"/>
      <c r="GF430" s="252"/>
      <c r="GG430" s="252"/>
      <c r="GH430" s="252"/>
      <c r="GI430" s="252"/>
      <c r="GJ430" s="252"/>
      <c r="GK430" s="251"/>
      <c r="GL430" s="250"/>
      <c r="GM430" s="250"/>
      <c r="GN430" s="250"/>
      <c r="GO430" s="250"/>
      <c r="GP430" s="250"/>
      <c r="GQ430" s="250"/>
      <c r="GR430" s="250"/>
      <c r="GS430" s="250"/>
      <c r="GT430" s="250"/>
      <c r="GU430" s="251"/>
      <c r="GV430" s="250"/>
      <c r="GW430" s="250"/>
      <c r="GX430" s="250"/>
      <c r="GY430" s="250"/>
      <c r="GZ430" s="250"/>
      <c r="HA430" s="250"/>
      <c r="HB430" s="250"/>
      <c r="HC430" s="250"/>
      <c r="HD430" s="250"/>
      <c r="HE430" s="250"/>
      <c r="HF430" s="250"/>
      <c r="HG430" s="250"/>
      <c r="HH430" s="251"/>
      <c r="HI430" s="424"/>
      <c r="HJ430" s="255"/>
      <c r="HK430" s="255"/>
      <c r="HL430" s="250"/>
      <c r="HM430" s="255"/>
      <c r="HN430" s="255"/>
      <c r="HO430" s="255"/>
      <c r="HP430" s="250"/>
      <c r="HQ430" s="250"/>
      <c r="HR430" s="250"/>
      <c r="HS430" s="250"/>
      <c r="HT430" s="250"/>
      <c r="HU430" s="251"/>
      <c r="HX430" s="252"/>
      <c r="HY430" s="252"/>
      <c r="HZ430" s="252"/>
      <c r="ID430" s="252"/>
      <c r="IE430" s="252"/>
      <c r="IF430" s="252"/>
      <c r="IJ430" s="252"/>
      <c r="IK430" s="252"/>
      <c r="IL430" s="252"/>
      <c r="IP430" s="252"/>
      <c r="IQ430" s="252"/>
      <c r="IR430" s="252"/>
      <c r="IY430" s="66"/>
      <c r="IZ430" s="66"/>
      <c r="JA430" s="66"/>
      <c r="JB430" s="250"/>
      <c r="JC430" s="66"/>
      <c r="JD430" s="66"/>
      <c r="JE430" s="66"/>
      <c r="JF430" s="66"/>
      <c r="JG430" s="66"/>
      <c r="JH430" s="66"/>
      <c r="JI430" s="66"/>
      <c r="JJ430" s="66"/>
      <c r="JK430" s="8"/>
      <c r="JN430" s="252"/>
      <c r="JO430" s="252"/>
      <c r="JP430" s="252"/>
      <c r="JT430" s="252"/>
      <c r="JU430" s="252"/>
      <c r="JV430" s="252"/>
      <c r="JZ430" s="252"/>
      <c r="KA430" s="252"/>
      <c r="KB430" s="252"/>
      <c r="KF430" s="252"/>
      <c r="KG430" s="252"/>
      <c r="KH430" s="252"/>
      <c r="KO430" s="66"/>
      <c r="KP430" s="66"/>
      <c r="KQ430" s="66"/>
      <c r="KR430" s="66"/>
      <c r="KS430" s="66"/>
      <c r="KT430" s="66"/>
      <c r="KU430" s="66"/>
      <c r="KV430" s="66"/>
      <c r="KW430" s="66"/>
      <c r="KX430" s="66"/>
      <c r="KY430" s="66"/>
      <c r="KZ430" s="66"/>
      <c r="LA430" s="8"/>
      <c r="LD430" s="252"/>
      <c r="LE430" s="252"/>
      <c r="LF430" s="252"/>
      <c r="LJ430" s="252"/>
      <c r="LK430" s="252"/>
      <c r="LN430" s="252"/>
      <c r="LO430" s="252"/>
      <c r="LP430" s="252"/>
      <c r="LT430" s="271"/>
      <c r="LU430" s="250"/>
      <c r="LV430" s="250"/>
      <c r="LW430" s="250"/>
      <c r="LX430" s="250"/>
      <c r="LY430" s="250"/>
      <c r="LZ430" s="250"/>
      <c r="MA430" s="250"/>
      <c r="MB430" s="250"/>
      <c r="MC430" s="250"/>
      <c r="MD430" s="250"/>
      <c r="ME430" s="250"/>
      <c r="MF430" s="250"/>
      <c r="MG430" s="250"/>
      <c r="MH430" s="250"/>
      <c r="MI430" s="250"/>
      <c r="MJ430" s="250"/>
      <c r="MK430" s="424"/>
      <c r="ML430" s="640"/>
      <c r="MM430" s="251"/>
      <c r="MN430" s="252"/>
      <c r="MO430" s="252"/>
      <c r="MP430" s="252"/>
      <c r="MQ430" s="252"/>
      <c r="MR430" s="252"/>
      <c r="MS430" s="252"/>
      <c r="MT430" s="252"/>
      <c r="MU430" s="252"/>
      <c r="MV430" s="252"/>
      <c r="MW430" s="252"/>
      <c r="MX430" s="252"/>
      <c r="MY430" s="252"/>
      <c r="MZ430" s="252"/>
      <c r="NA430" s="252"/>
      <c r="NB430" s="252"/>
      <c r="NC430" s="251"/>
      <c r="ND430" s="250"/>
      <c r="NE430" s="250"/>
      <c r="NF430" s="250"/>
      <c r="NG430" s="250"/>
      <c r="NH430" s="250"/>
      <c r="NI430" s="250"/>
      <c r="NJ430" s="250"/>
      <c r="NK430" s="250"/>
      <c r="NL430" s="250"/>
      <c r="NM430" s="250"/>
      <c r="NN430" s="250"/>
      <c r="NO430" s="250"/>
      <c r="NP430" s="250"/>
      <c r="NQ430" s="250"/>
      <c r="NR430" s="250"/>
      <c r="NS430" s="250"/>
      <c r="NT430" s="250"/>
      <c r="NU430" s="250"/>
      <c r="NV430" s="250"/>
      <c r="NW430" s="251"/>
      <c r="OT430" s="8"/>
      <c r="QG430" s="8"/>
      <c r="RT430" s="8"/>
    </row>
    <row r="431" spans="1:488" s="282" customFormat="1" x14ac:dyDescent="0.25">
      <c r="A431" s="66"/>
      <c r="B431" s="8"/>
      <c r="C431" s="66"/>
      <c r="D431" s="66"/>
      <c r="E431" s="66"/>
      <c r="F431" s="66"/>
      <c r="G431" s="66"/>
      <c r="H431" s="66"/>
      <c r="I431" s="66"/>
      <c r="J431" s="66"/>
      <c r="K431" s="66"/>
      <c r="L431" s="66"/>
      <c r="M431" s="66"/>
      <c r="N431" s="66"/>
      <c r="O431" s="66"/>
      <c r="P431" s="66"/>
      <c r="Q431" s="66"/>
      <c r="R431" s="66"/>
      <c r="S431" s="66"/>
      <c r="T431" s="68"/>
      <c r="AC431" s="66"/>
      <c r="AD431" s="66"/>
      <c r="AE431" s="68"/>
      <c r="AN431" s="66"/>
      <c r="AO431" s="66"/>
      <c r="AP431" s="68"/>
      <c r="AW431" s="66"/>
      <c r="AX431" s="68"/>
      <c r="BD431" s="66"/>
      <c r="BE431" s="68"/>
      <c r="BF431" s="66"/>
      <c r="BG431" s="66"/>
      <c r="BH431" s="66"/>
      <c r="BI431" s="66"/>
      <c r="BJ431" s="66"/>
      <c r="BK431" s="66"/>
      <c r="BL431" s="68"/>
      <c r="BO431" s="66"/>
      <c r="BP431" s="68"/>
      <c r="BV431" s="66"/>
      <c r="BW431" s="68"/>
      <c r="CB431" s="8"/>
      <c r="CH431" s="8"/>
      <c r="CK431" s="299"/>
      <c r="CL431" s="299"/>
      <c r="CM431" s="66"/>
      <c r="CN431" s="66"/>
      <c r="CO431" s="68"/>
      <c r="CR431" s="8"/>
      <c r="CX431" s="66"/>
      <c r="CY431" s="532"/>
      <c r="DE431" s="66"/>
      <c r="DF431" s="66"/>
      <c r="DG431" s="68"/>
      <c r="DH431" s="68"/>
      <c r="DK431" s="66"/>
      <c r="DL431" s="66"/>
      <c r="DM431" s="66"/>
      <c r="DN431" s="66"/>
      <c r="DO431" s="66"/>
      <c r="DP431" s="66"/>
      <c r="DQ431" s="66"/>
      <c r="DR431" s="66"/>
      <c r="DS431" s="66"/>
      <c r="DT431" s="68"/>
      <c r="DU431" s="66"/>
      <c r="DV431" s="296"/>
      <c r="DW431" s="330"/>
      <c r="DX431" s="631"/>
      <c r="DY431" s="631"/>
      <c r="DZ431" s="631"/>
      <c r="EA431" s="330"/>
      <c r="EC431" s="66"/>
      <c r="ED431" s="68"/>
      <c r="EH431" s="66"/>
      <c r="EI431" s="66"/>
      <c r="EJ431" s="68"/>
      <c r="EK431" s="252"/>
      <c r="EL431" s="252"/>
      <c r="EM431" s="252"/>
      <c r="EO431" s="252"/>
      <c r="EP431" s="252"/>
      <c r="EQ431" s="252"/>
      <c r="ES431" s="252"/>
      <c r="ET431" s="252"/>
      <c r="EU431" s="252"/>
      <c r="EW431" s="252"/>
      <c r="EX431" s="252"/>
      <c r="EY431" s="252"/>
      <c r="FA431" s="250"/>
      <c r="FB431" s="250"/>
      <c r="FC431" s="250"/>
      <c r="FD431" s="250"/>
      <c r="FE431" s="250"/>
      <c r="FF431" s="250"/>
      <c r="FG431" s="250"/>
      <c r="FH431" s="424"/>
      <c r="FI431" s="250"/>
      <c r="FJ431" s="250"/>
      <c r="FK431" s="250"/>
      <c r="FL431" s="256"/>
      <c r="FM431" s="250"/>
      <c r="FN431" s="256"/>
      <c r="FO431" s="250"/>
      <c r="FP431" s="256"/>
      <c r="FQ431" s="250"/>
      <c r="FR431" s="256"/>
      <c r="FS431" s="250"/>
      <c r="FT431" s="256"/>
      <c r="FU431" s="256"/>
      <c r="FV431" s="256"/>
      <c r="FW431" s="250"/>
      <c r="FX431" s="424"/>
      <c r="FY431" s="251"/>
      <c r="GC431" s="252"/>
      <c r="GF431" s="252"/>
      <c r="GG431" s="252"/>
      <c r="GH431" s="252"/>
      <c r="GI431" s="252"/>
      <c r="GJ431" s="252"/>
      <c r="GK431" s="251"/>
      <c r="GL431" s="250"/>
      <c r="GM431" s="250"/>
      <c r="GN431" s="250"/>
      <c r="GO431" s="250"/>
      <c r="GP431" s="250"/>
      <c r="GQ431" s="250"/>
      <c r="GR431" s="250"/>
      <c r="GS431" s="250"/>
      <c r="GT431" s="250"/>
      <c r="GU431" s="251"/>
      <c r="GV431" s="250"/>
      <c r="GW431" s="250"/>
      <c r="GX431" s="250"/>
      <c r="GY431" s="250"/>
      <c r="GZ431" s="250"/>
      <c r="HA431" s="250"/>
      <c r="HB431" s="250"/>
      <c r="HC431" s="250"/>
      <c r="HD431" s="250"/>
      <c r="HE431" s="250"/>
      <c r="HF431" s="250"/>
      <c r="HG431" s="250"/>
      <c r="HH431" s="251"/>
      <c r="HI431" s="424"/>
      <c r="HJ431" s="255"/>
      <c r="HK431" s="255"/>
      <c r="HL431" s="250"/>
      <c r="HM431" s="255"/>
      <c r="HN431" s="255"/>
      <c r="HO431" s="255"/>
      <c r="HP431" s="250"/>
      <c r="HQ431" s="250"/>
      <c r="HR431" s="250"/>
      <c r="HS431" s="250"/>
      <c r="HT431" s="250"/>
      <c r="HU431" s="251"/>
      <c r="HX431" s="252"/>
      <c r="HY431" s="252"/>
      <c r="HZ431" s="252"/>
      <c r="ID431" s="252"/>
      <c r="IE431" s="252"/>
      <c r="IF431" s="252"/>
      <c r="IJ431" s="252"/>
      <c r="IK431" s="252"/>
      <c r="IL431" s="252"/>
      <c r="IP431" s="252"/>
      <c r="IQ431" s="252"/>
      <c r="IR431" s="252"/>
      <c r="IY431" s="66"/>
      <c r="IZ431" s="66"/>
      <c r="JA431" s="66"/>
      <c r="JB431" s="250"/>
      <c r="JC431" s="66"/>
      <c r="JD431" s="66"/>
      <c r="JE431" s="66"/>
      <c r="JF431" s="66"/>
      <c r="JG431" s="66"/>
      <c r="JH431" s="66"/>
      <c r="JI431" s="66"/>
      <c r="JJ431" s="66"/>
      <c r="JK431" s="8"/>
      <c r="JN431" s="252"/>
      <c r="JO431" s="252"/>
      <c r="JP431" s="252"/>
      <c r="JT431" s="252"/>
      <c r="JU431" s="252"/>
      <c r="JV431" s="252"/>
      <c r="JZ431" s="252"/>
      <c r="KA431" s="252"/>
      <c r="KB431" s="252"/>
      <c r="KF431" s="252"/>
      <c r="KG431" s="252"/>
      <c r="KH431" s="252"/>
      <c r="KO431" s="66"/>
      <c r="KP431" s="66"/>
      <c r="KQ431" s="66"/>
      <c r="KR431" s="66"/>
      <c r="KS431" s="66"/>
      <c r="KT431" s="66"/>
      <c r="KU431" s="66"/>
      <c r="KV431" s="66"/>
      <c r="KW431" s="66"/>
      <c r="KX431" s="66"/>
      <c r="KY431" s="66"/>
      <c r="KZ431" s="66"/>
      <c r="LA431" s="8"/>
      <c r="LD431" s="252"/>
      <c r="LE431" s="252"/>
      <c r="LF431" s="252"/>
      <c r="LJ431" s="252"/>
      <c r="LK431" s="252"/>
      <c r="LN431" s="252"/>
      <c r="LO431" s="252"/>
      <c r="LP431" s="252"/>
      <c r="LT431" s="271"/>
      <c r="LU431" s="250"/>
      <c r="LV431" s="250"/>
      <c r="LW431" s="250"/>
      <c r="LX431" s="250"/>
      <c r="LY431" s="250"/>
      <c r="LZ431" s="250"/>
      <c r="MA431" s="250"/>
      <c r="MB431" s="250"/>
      <c r="MC431" s="250"/>
      <c r="MD431" s="250"/>
      <c r="ME431" s="250"/>
      <c r="MF431" s="250"/>
      <c r="MG431" s="250"/>
      <c r="MH431" s="250"/>
      <c r="MI431" s="250"/>
      <c r="MJ431" s="250"/>
      <c r="MK431" s="424"/>
      <c r="ML431" s="640"/>
      <c r="MM431" s="251"/>
      <c r="MN431" s="252"/>
      <c r="MO431" s="252"/>
      <c r="MP431" s="252"/>
      <c r="MQ431" s="252"/>
      <c r="MR431" s="252"/>
      <c r="MS431" s="252"/>
      <c r="MT431" s="252"/>
      <c r="MU431" s="252"/>
      <c r="MV431" s="252"/>
      <c r="MW431" s="252"/>
      <c r="MX431" s="252"/>
      <c r="MY431" s="252"/>
      <c r="MZ431" s="252"/>
      <c r="NA431" s="252"/>
      <c r="NB431" s="252"/>
      <c r="NC431" s="251"/>
      <c r="ND431" s="250"/>
      <c r="NE431" s="250"/>
      <c r="NF431" s="250"/>
      <c r="NG431" s="250"/>
      <c r="NH431" s="250"/>
      <c r="NI431" s="250"/>
      <c r="NJ431" s="250"/>
      <c r="NK431" s="250"/>
      <c r="NL431" s="250"/>
      <c r="NM431" s="250"/>
      <c r="NN431" s="250"/>
      <c r="NO431" s="250"/>
      <c r="NP431" s="250"/>
      <c r="NQ431" s="250"/>
      <c r="NR431" s="250"/>
      <c r="NS431" s="250"/>
      <c r="NT431" s="250"/>
      <c r="NU431" s="250"/>
      <c r="NV431" s="250"/>
      <c r="NW431" s="251"/>
      <c r="OT431" s="8"/>
      <c r="QG431" s="8"/>
      <c r="RT431" s="8"/>
    </row>
    <row r="432" spans="1:488" s="282" customFormat="1" x14ac:dyDescent="0.25">
      <c r="A432" s="66"/>
      <c r="B432" s="8"/>
      <c r="C432" s="66"/>
      <c r="D432" s="66"/>
      <c r="E432" s="66"/>
      <c r="F432" s="66"/>
      <c r="G432" s="66"/>
      <c r="H432" s="66"/>
      <c r="I432" s="66"/>
      <c r="J432" s="66"/>
      <c r="K432" s="66"/>
      <c r="L432" s="66"/>
      <c r="M432" s="66"/>
      <c r="N432" s="66"/>
      <c r="O432" s="66"/>
      <c r="P432" s="66"/>
      <c r="Q432" s="66"/>
      <c r="R432" s="66"/>
      <c r="S432" s="66"/>
      <c r="T432" s="68"/>
      <c r="AC432" s="66"/>
      <c r="AD432" s="66"/>
      <c r="AE432" s="68"/>
      <c r="AN432" s="66"/>
      <c r="AO432" s="66"/>
      <c r="AP432" s="68"/>
      <c r="AW432" s="66"/>
      <c r="AX432" s="68"/>
      <c r="BD432" s="66"/>
      <c r="BE432" s="68"/>
      <c r="BF432" s="66"/>
      <c r="BG432" s="66"/>
      <c r="BH432" s="66"/>
      <c r="BI432" s="66"/>
      <c r="BJ432" s="66"/>
      <c r="BK432" s="66"/>
      <c r="BL432" s="68"/>
      <c r="BO432" s="66"/>
      <c r="BP432" s="68"/>
      <c r="BV432" s="66"/>
      <c r="BW432" s="68"/>
      <c r="CB432" s="8"/>
      <c r="CH432" s="8"/>
      <c r="CK432" s="299"/>
      <c r="CL432" s="299"/>
      <c r="CM432" s="66"/>
      <c r="CN432" s="66"/>
      <c r="CO432" s="68"/>
      <c r="CR432" s="8"/>
      <c r="CX432" s="66"/>
      <c r="CY432" s="532"/>
      <c r="DE432" s="66"/>
      <c r="DF432" s="66"/>
      <c r="DG432" s="68"/>
      <c r="DH432" s="68"/>
      <c r="DK432" s="66"/>
      <c r="DL432" s="66"/>
      <c r="DM432" s="66"/>
      <c r="DN432" s="66"/>
      <c r="DO432" s="66"/>
      <c r="DP432" s="66"/>
      <c r="DQ432" s="66"/>
      <c r="DR432" s="66"/>
      <c r="DS432" s="66"/>
      <c r="DT432" s="68"/>
      <c r="DU432" s="66"/>
      <c r="DV432" s="296"/>
      <c r="DW432" s="330"/>
      <c r="DX432" s="631"/>
      <c r="DY432" s="631"/>
      <c r="DZ432" s="631"/>
      <c r="EA432" s="330"/>
      <c r="EC432" s="66"/>
      <c r="ED432" s="68"/>
      <c r="EH432" s="66"/>
      <c r="EI432" s="66"/>
      <c r="EJ432" s="68"/>
      <c r="EK432" s="252"/>
      <c r="EL432" s="252"/>
      <c r="EM432" s="252"/>
      <c r="EO432" s="252"/>
      <c r="EP432" s="252"/>
      <c r="EQ432" s="252"/>
      <c r="ES432" s="252"/>
      <c r="ET432" s="252"/>
      <c r="EU432" s="252"/>
      <c r="EW432" s="252"/>
      <c r="EX432" s="252"/>
      <c r="EY432" s="252"/>
      <c r="FA432" s="250"/>
      <c r="FB432" s="250"/>
      <c r="FC432" s="250"/>
      <c r="FD432" s="250"/>
      <c r="FE432" s="250"/>
      <c r="FF432" s="250"/>
      <c r="FG432" s="250"/>
      <c r="FH432" s="424"/>
      <c r="FI432" s="250"/>
      <c r="FJ432" s="250"/>
      <c r="FK432" s="250"/>
      <c r="FL432" s="256"/>
      <c r="FM432" s="250"/>
      <c r="FN432" s="256"/>
      <c r="FO432" s="250"/>
      <c r="FP432" s="256"/>
      <c r="FQ432" s="250"/>
      <c r="FR432" s="256"/>
      <c r="FS432" s="250"/>
      <c r="FT432" s="256"/>
      <c r="FU432" s="256"/>
      <c r="FV432" s="256"/>
      <c r="FW432" s="250"/>
      <c r="FX432" s="424"/>
      <c r="FY432" s="251"/>
      <c r="GC432" s="252"/>
      <c r="GF432" s="252"/>
      <c r="GG432" s="252"/>
      <c r="GH432" s="252"/>
      <c r="GI432" s="252"/>
      <c r="GJ432" s="252"/>
      <c r="GK432" s="251"/>
      <c r="GL432" s="250"/>
      <c r="GM432" s="250"/>
      <c r="GN432" s="250"/>
      <c r="GO432" s="250"/>
      <c r="GP432" s="250"/>
      <c r="GQ432" s="250"/>
      <c r="GR432" s="250"/>
      <c r="GS432" s="250"/>
      <c r="GT432" s="250"/>
      <c r="GU432" s="251"/>
      <c r="GV432" s="250"/>
      <c r="GW432" s="250"/>
      <c r="GX432" s="250"/>
      <c r="GY432" s="250"/>
      <c r="GZ432" s="250"/>
      <c r="HA432" s="250"/>
      <c r="HB432" s="250"/>
      <c r="HC432" s="250"/>
      <c r="HD432" s="250"/>
      <c r="HE432" s="250"/>
      <c r="HF432" s="250"/>
      <c r="HG432" s="250"/>
      <c r="HH432" s="251"/>
      <c r="HI432" s="424"/>
      <c r="HJ432" s="255"/>
      <c r="HK432" s="255"/>
      <c r="HL432" s="250"/>
      <c r="HM432" s="255"/>
      <c r="HN432" s="255"/>
      <c r="HO432" s="255"/>
      <c r="HP432" s="250"/>
      <c r="HQ432" s="250"/>
      <c r="HR432" s="250"/>
      <c r="HS432" s="250"/>
      <c r="HT432" s="250"/>
      <c r="HU432" s="251"/>
      <c r="HX432" s="252"/>
      <c r="HY432" s="252"/>
      <c r="HZ432" s="252"/>
      <c r="ID432" s="252"/>
      <c r="IE432" s="252"/>
      <c r="IF432" s="252"/>
      <c r="IJ432" s="252"/>
      <c r="IK432" s="252"/>
      <c r="IL432" s="252"/>
      <c r="IP432" s="252"/>
      <c r="IQ432" s="252"/>
      <c r="IR432" s="252"/>
      <c r="IY432" s="66"/>
      <c r="IZ432" s="66"/>
      <c r="JA432" s="66"/>
      <c r="JB432" s="250"/>
      <c r="JC432" s="66"/>
      <c r="JD432" s="66"/>
      <c r="JE432" s="66"/>
      <c r="JF432" s="66"/>
      <c r="JG432" s="66"/>
      <c r="JH432" s="66"/>
      <c r="JI432" s="66"/>
      <c r="JJ432" s="66"/>
      <c r="JK432" s="8"/>
      <c r="JN432" s="252"/>
      <c r="JO432" s="252"/>
      <c r="JP432" s="252"/>
      <c r="JT432" s="252"/>
      <c r="JU432" s="252"/>
      <c r="JV432" s="252"/>
      <c r="JZ432" s="252"/>
      <c r="KA432" s="252"/>
      <c r="KB432" s="252"/>
      <c r="KF432" s="252"/>
      <c r="KG432" s="252"/>
      <c r="KH432" s="252"/>
      <c r="KO432" s="66"/>
      <c r="KP432" s="66"/>
      <c r="KQ432" s="66"/>
      <c r="KR432" s="66"/>
      <c r="KS432" s="66"/>
      <c r="KT432" s="66"/>
      <c r="KU432" s="66"/>
      <c r="KV432" s="66"/>
      <c r="KW432" s="66"/>
      <c r="KX432" s="66"/>
      <c r="KY432" s="66"/>
      <c r="KZ432" s="66"/>
      <c r="LA432" s="8"/>
      <c r="LD432" s="252"/>
      <c r="LE432" s="252"/>
      <c r="LF432" s="252"/>
      <c r="LJ432" s="252"/>
      <c r="LK432" s="252"/>
      <c r="LN432" s="252"/>
      <c r="LO432" s="252"/>
      <c r="LP432" s="252"/>
      <c r="LT432" s="271"/>
      <c r="LU432" s="250"/>
      <c r="LV432" s="250"/>
      <c r="LW432" s="250"/>
      <c r="LX432" s="250"/>
      <c r="LY432" s="250"/>
      <c r="LZ432" s="250"/>
      <c r="MA432" s="250"/>
      <c r="MB432" s="250"/>
      <c r="MC432" s="250"/>
      <c r="MD432" s="250"/>
      <c r="ME432" s="250"/>
      <c r="MF432" s="250"/>
      <c r="MG432" s="250"/>
      <c r="MH432" s="250"/>
      <c r="MI432" s="250"/>
      <c r="MJ432" s="250"/>
      <c r="MK432" s="424"/>
      <c r="ML432" s="640"/>
      <c r="MM432" s="251"/>
      <c r="MN432" s="252"/>
      <c r="MO432" s="252"/>
      <c r="MP432" s="252"/>
      <c r="MQ432" s="252"/>
      <c r="MR432" s="252"/>
      <c r="MS432" s="252"/>
      <c r="MT432" s="252"/>
      <c r="MU432" s="252"/>
      <c r="MV432" s="252"/>
      <c r="MW432" s="252"/>
      <c r="MX432" s="252"/>
      <c r="MY432" s="252"/>
      <c r="MZ432" s="252"/>
      <c r="NA432" s="252"/>
      <c r="NB432" s="252"/>
      <c r="NC432" s="251"/>
      <c r="ND432" s="250"/>
      <c r="NE432" s="250"/>
      <c r="NF432" s="250"/>
      <c r="NG432" s="250"/>
      <c r="NH432" s="250"/>
      <c r="NI432" s="250"/>
      <c r="NJ432" s="250"/>
      <c r="NK432" s="250"/>
      <c r="NL432" s="250"/>
      <c r="NM432" s="250"/>
      <c r="NN432" s="250"/>
      <c r="NO432" s="250"/>
      <c r="NP432" s="250"/>
      <c r="NQ432" s="250"/>
      <c r="NR432" s="250"/>
      <c r="NS432" s="250"/>
      <c r="NT432" s="250"/>
      <c r="NU432" s="250"/>
      <c r="NV432" s="250"/>
      <c r="NW432" s="251"/>
      <c r="OT432" s="8"/>
      <c r="QG432" s="8"/>
      <c r="RT432" s="8"/>
    </row>
    <row r="433" spans="1:488" s="282" customFormat="1" x14ac:dyDescent="0.25">
      <c r="A433" s="66"/>
      <c r="B433" s="8"/>
      <c r="C433" s="66"/>
      <c r="D433" s="66"/>
      <c r="E433" s="66"/>
      <c r="F433" s="66"/>
      <c r="G433" s="66"/>
      <c r="H433" s="66"/>
      <c r="I433" s="66"/>
      <c r="J433" s="66"/>
      <c r="K433" s="66"/>
      <c r="L433" s="66"/>
      <c r="M433" s="66"/>
      <c r="N433" s="66"/>
      <c r="O433" s="66"/>
      <c r="P433" s="66"/>
      <c r="Q433" s="66"/>
      <c r="R433" s="66"/>
      <c r="S433" s="66"/>
      <c r="T433" s="68"/>
      <c r="AC433" s="66"/>
      <c r="AD433" s="66"/>
      <c r="AE433" s="68"/>
      <c r="AN433" s="66"/>
      <c r="AO433" s="66"/>
      <c r="AP433" s="68"/>
      <c r="AW433" s="66"/>
      <c r="AX433" s="68"/>
      <c r="BD433" s="66"/>
      <c r="BE433" s="68"/>
      <c r="BF433" s="66"/>
      <c r="BG433" s="66"/>
      <c r="BH433" s="66"/>
      <c r="BI433" s="66"/>
      <c r="BJ433" s="66"/>
      <c r="BK433" s="66"/>
      <c r="BL433" s="68"/>
      <c r="BO433" s="66"/>
      <c r="BP433" s="68"/>
      <c r="BV433" s="66"/>
      <c r="BW433" s="68"/>
      <c r="CB433" s="8"/>
      <c r="CH433" s="8"/>
      <c r="CK433" s="299"/>
      <c r="CL433" s="299"/>
      <c r="CM433" s="66"/>
      <c r="CN433" s="66"/>
      <c r="CO433" s="68"/>
      <c r="CR433" s="8"/>
      <c r="CX433" s="66"/>
      <c r="CY433" s="532"/>
      <c r="DE433" s="66"/>
      <c r="DF433" s="66"/>
      <c r="DG433" s="68"/>
      <c r="DH433" s="68"/>
      <c r="DK433" s="66"/>
      <c r="DL433" s="66"/>
      <c r="DM433" s="66"/>
      <c r="DN433" s="66"/>
      <c r="DO433" s="66"/>
      <c r="DP433" s="66"/>
      <c r="DQ433" s="66"/>
      <c r="DR433" s="66"/>
      <c r="DS433" s="66"/>
      <c r="DT433" s="68"/>
      <c r="DU433" s="66"/>
      <c r="DV433" s="296"/>
      <c r="DW433" s="330"/>
      <c r="DX433" s="631"/>
      <c r="DY433" s="631"/>
      <c r="DZ433" s="631"/>
      <c r="EA433" s="330"/>
      <c r="EC433" s="66"/>
      <c r="ED433" s="68"/>
      <c r="EH433" s="66"/>
      <c r="EI433" s="66"/>
      <c r="EJ433" s="68"/>
      <c r="EK433" s="252"/>
      <c r="EL433" s="252"/>
      <c r="EM433" s="252"/>
      <c r="EO433" s="252"/>
      <c r="EP433" s="252"/>
      <c r="EQ433" s="252"/>
      <c r="ES433" s="252"/>
      <c r="ET433" s="252"/>
      <c r="EU433" s="252"/>
      <c r="EW433" s="252"/>
      <c r="EX433" s="252"/>
      <c r="EY433" s="252"/>
      <c r="FA433" s="250"/>
      <c r="FB433" s="250"/>
      <c r="FC433" s="250"/>
      <c r="FD433" s="250"/>
      <c r="FE433" s="250"/>
      <c r="FF433" s="250"/>
      <c r="FG433" s="250"/>
      <c r="FH433" s="424"/>
      <c r="FI433" s="250"/>
      <c r="FJ433" s="250"/>
      <c r="FK433" s="250"/>
      <c r="FL433" s="256"/>
      <c r="FM433" s="250"/>
      <c r="FN433" s="256"/>
      <c r="FO433" s="250"/>
      <c r="FP433" s="256"/>
      <c r="FQ433" s="250"/>
      <c r="FR433" s="256"/>
      <c r="FS433" s="250"/>
      <c r="FT433" s="256"/>
      <c r="FU433" s="256"/>
      <c r="FV433" s="256"/>
      <c r="FW433" s="250"/>
      <c r="FX433" s="424"/>
      <c r="FY433" s="251"/>
      <c r="GC433" s="252"/>
      <c r="GF433" s="252"/>
      <c r="GG433" s="252"/>
      <c r="GH433" s="252"/>
      <c r="GI433" s="252"/>
      <c r="GJ433" s="252"/>
      <c r="GK433" s="251"/>
      <c r="GL433" s="250"/>
      <c r="GM433" s="250"/>
      <c r="GN433" s="250"/>
      <c r="GO433" s="250"/>
      <c r="GP433" s="250"/>
      <c r="GQ433" s="250"/>
      <c r="GR433" s="250"/>
      <c r="GS433" s="250"/>
      <c r="GT433" s="250"/>
      <c r="GU433" s="251"/>
      <c r="GV433" s="250"/>
      <c r="GW433" s="250"/>
      <c r="GX433" s="250"/>
      <c r="GY433" s="250"/>
      <c r="GZ433" s="250"/>
      <c r="HA433" s="250"/>
      <c r="HB433" s="250"/>
      <c r="HC433" s="250"/>
      <c r="HD433" s="250"/>
      <c r="HE433" s="250"/>
      <c r="HF433" s="250"/>
      <c r="HG433" s="250"/>
      <c r="HH433" s="251"/>
      <c r="HI433" s="424"/>
      <c r="HJ433" s="255"/>
      <c r="HK433" s="255"/>
      <c r="HL433" s="250"/>
      <c r="HM433" s="255"/>
      <c r="HN433" s="255"/>
      <c r="HO433" s="255"/>
      <c r="HP433" s="250"/>
      <c r="HQ433" s="250"/>
      <c r="HR433" s="250"/>
      <c r="HS433" s="250"/>
      <c r="HT433" s="250"/>
      <c r="HU433" s="251"/>
      <c r="HX433" s="252"/>
      <c r="HY433" s="252"/>
      <c r="HZ433" s="252"/>
      <c r="ID433" s="252"/>
      <c r="IE433" s="252"/>
      <c r="IF433" s="252"/>
      <c r="IJ433" s="252"/>
      <c r="IK433" s="252"/>
      <c r="IL433" s="252"/>
      <c r="IP433" s="252"/>
      <c r="IQ433" s="252"/>
      <c r="IR433" s="252"/>
      <c r="IY433" s="66"/>
      <c r="IZ433" s="66"/>
      <c r="JA433" s="66"/>
      <c r="JB433" s="250"/>
      <c r="JC433" s="66"/>
      <c r="JD433" s="66"/>
      <c r="JE433" s="66"/>
      <c r="JF433" s="66"/>
      <c r="JG433" s="66"/>
      <c r="JH433" s="66"/>
      <c r="JI433" s="66"/>
      <c r="JJ433" s="66"/>
      <c r="JK433" s="8"/>
      <c r="JN433" s="252"/>
      <c r="JO433" s="252"/>
      <c r="JP433" s="252"/>
      <c r="JT433" s="252"/>
      <c r="JU433" s="252"/>
      <c r="JV433" s="252"/>
      <c r="JZ433" s="252"/>
      <c r="KA433" s="252"/>
      <c r="KB433" s="252"/>
      <c r="KF433" s="252"/>
      <c r="KG433" s="252"/>
      <c r="KH433" s="252"/>
      <c r="KO433" s="66"/>
      <c r="KP433" s="66"/>
      <c r="KQ433" s="66"/>
      <c r="KR433" s="66"/>
      <c r="KS433" s="66"/>
      <c r="KT433" s="66"/>
      <c r="KU433" s="66"/>
      <c r="KV433" s="66"/>
      <c r="KW433" s="66"/>
      <c r="KX433" s="66"/>
      <c r="KY433" s="66"/>
      <c r="KZ433" s="66"/>
      <c r="LA433" s="8"/>
      <c r="LD433" s="252"/>
      <c r="LE433" s="252"/>
      <c r="LF433" s="252"/>
      <c r="LJ433" s="252"/>
      <c r="LK433" s="252"/>
      <c r="LN433" s="252"/>
      <c r="LO433" s="252"/>
      <c r="LP433" s="252"/>
      <c r="LT433" s="271"/>
      <c r="LU433" s="250"/>
      <c r="LV433" s="250"/>
      <c r="LW433" s="250"/>
      <c r="LX433" s="250"/>
      <c r="LY433" s="250"/>
      <c r="LZ433" s="250"/>
      <c r="MA433" s="250"/>
      <c r="MB433" s="250"/>
      <c r="MC433" s="250"/>
      <c r="MD433" s="250"/>
      <c r="ME433" s="250"/>
      <c r="MF433" s="250"/>
      <c r="MG433" s="250"/>
      <c r="MH433" s="250"/>
      <c r="MI433" s="250"/>
      <c r="MJ433" s="250"/>
      <c r="MK433" s="424"/>
      <c r="ML433" s="640"/>
      <c r="MM433" s="251"/>
      <c r="MN433" s="252"/>
      <c r="MO433" s="252"/>
      <c r="MP433" s="252"/>
      <c r="MQ433" s="252"/>
      <c r="MR433" s="252"/>
      <c r="MS433" s="252"/>
      <c r="MT433" s="252"/>
      <c r="MU433" s="252"/>
      <c r="MV433" s="252"/>
      <c r="MW433" s="252"/>
      <c r="MX433" s="252"/>
      <c r="MY433" s="252"/>
      <c r="MZ433" s="252"/>
      <c r="NA433" s="252"/>
      <c r="NB433" s="252"/>
      <c r="NC433" s="251"/>
      <c r="ND433" s="250"/>
      <c r="NE433" s="250"/>
      <c r="NF433" s="250"/>
      <c r="NG433" s="250"/>
      <c r="NH433" s="250"/>
      <c r="NI433" s="250"/>
      <c r="NJ433" s="250"/>
      <c r="NK433" s="250"/>
      <c r="NL433" s="250"/>
      <c r="NM433" s="250"/>
      <c r="NN433" s="250"/>
      <c r="NO433" s="250"/>
      <c r="NP433" s="250"/>
      <c r="NQ433" s="250"/>
      <c r="NR433" s="250"/>
      <c r="NS433" s="250"/>
      <c r="NT433" s="250"/>
      <c r="NU433" s="250"/>
      <c r="NV433" s="250"/>
      <c r="NW433" s="251"/>
      <c r="OT433" s="8"/>
      <c r="QG433" s="8"/>
      <c r="RT433" s="8"/>
    </row>
    <row r="434" spans="1:488" s="282" customFormat="1" x14ac:dyDescent="0.25">
      <c r="A434" s="66"/>
      <c r="B434" s="8"/>
      <c r="C434" s="66"/>
      <c r="D434" s="66"/>
      <c r="E434" s="66"/>
      <c r="F434" s="66"/>
      <c r="G434" s="66"/>
      <c r="H434" s="66"/>
      <c r="I434" s="66"/>
      <c r="J434" s="66"/>
      <c r="K434" s="66"/>
      <c r="L434" s="66"/>
      <c r="M434" s="66"/>
      <c r="N434" s="66"/>
      <c r="O434" s="66"/>
      <c r="P434" s="66"/>
      <c r="Q434" s="66"/>
      <c r="R434" s="66"/>
      <c r="S434" s="66"/>
      <c r="T434" s="68"/>
      <c r="AC434" s="66"/>
      <c r="AD434" s="66"/>
      <c r="AE434" s="68"/>
      <c r="AN434" s="66"/>
      <c r="AO434" s="66"/>
      <c r="AP434" s="68"/>
      <c r="AW434" s="66"/>
      <c r="AX434" s="68"/>
      <c r="BD434" s="66"/>
      <c r="BE434" s="68"/>
      <c r="BF434" s="66"/>
      <c r="BG434" s="66"/>
      <c r="BH434" s="66"/>
      <c r="BI434" s="66"/>
      <c r="BJ434" s="66"/>
      <c r="BK434" s="66"/>
      <c r="BL434" s="68"/>
      <c r="BO434" s="66"/>
      <c r="BP434" s="68"/>
      <c r="BV434" s="66"/>
      <c r="BW434" s="68"/>
      <c r="CB434" s="8"/>
      <c r="CH434" s="8"/>
      <c r="CK434" s="299"/>
      <c r="CL434" s="299"/>
      <c r="CM434" s="66"/>
      <c r="CN434" s="66"/>
      <c r="CO434" s="68"/>
      <c r="CR434" s="8"/>
      <c r="CX434" s="66"/>
      <c r="CY434" s="532"/>
      <c r="DE434" s="66"/>
      <c r="DF434" s="66"/>
      <c r="DG434" s="68"/>
      <c r="DH434" s="68"/>
      <c r="DK434" s="66"/>
      <c r="DL434" s="66"/>
      <c r="DM434" s="66"/>
      <c r="DN434" s="66"/>
      <c r="DO434" s="66"/>
      <c r="DP434" s="66"/>
      <c r="DQ434" s="66"/>
      <c r="DR434" s="66"/>
      <c r="DS434" s="66"/>
      <c r="DT434" s="68"/>
      <c r="DU434" s="66"/>
      <c r="DV434" s="296"/>
      <c r="DW434" s="330"/>
      <c r="DX434" s="631"/>
      <c r="DY434" s="631"/>
      <c r="DZ434" s="631"/>
      <c r="EA434" s="330"/>
      <c r="EC434" s="66"/>
      <c r="ED434" s="68"/>
      <c r="EH434" s="66"/>
      <c r="EI434" s="66"/>
      <c r="EJ434" s="68"/>
      <c r="EK434" s="252"/>
      <c r="EL434" s="252"/>
      <c r="EM434" s="252"/>
      <c r="EO434" s="252"/>
      <c r="EP434" s="252"/>
      <c r="EQ434" s="252"/>
      <c r="ES434" s="252"/>
      <c r="ET434" s="252"/>
      <c r="EU434" s="252"/>
      <c r="EW434" s="252"/>
      <c r="EX434" s="252"/>
      <c r="EY434" s="252"/>
      <c r="FA434" s="250"/>
      <c r="FB434" s="250"/>
      <c r="FC434" s="250"/>
      <c r="FD434" s="250"/>
      <c r="FE434" s="250"/>
      <c r="FF434" s="250"/>
      <c r="FG434" s="250"/>
      <c r="FH434" s="424"/>
      <c r="FI434" s="250"/>
      <c r="FJ434" s="250"/>
      <c r="FK434" s="250"/>
      <c r="FL434" s="256"/>
      <c r="FM434" s="250"/>
      <c r="FN434" s="256"/>
      <c r="FO434" s="250"/>
      <c r="FP434" s="256"/>
      <c r="FQ434" s="250"/>
      <c r="FR434" s="256"/>
      <c r="FS434" s="250"/>
      <c r="FT434" s="256"/>
      <c r="FU434" s="256"/>
      <c r="FV434" s="256"/>
      <c r="FW434" s="250"/>
      <c r="FX434" s="424"/>
      <c r="FY434" s="251"/>
      <c r="GC434" s="252"/>
      <c r="GF434" s="252"/>
      <c r="GG434" s="252"/>
      <c r="GH434" s="252"/>
      <c r="GI434" s="252"/>
      <c r="GJ434" s="252"/>
      <c r="GK434" s="251"/>
      <c r="GL434" s="250"/>
      <c r="GM434" s="250"/>
      <c r="GN434" s="250"/>
      <c r="GO434" s="250"/>
      <c r="GP434" s="250"/>
      <c r="GQ434" s="250"/>
      <c r="GR434" s="250"/>
      <c r="GS434" s="250"/>
      <c r="GT434" s="250"/>
      <c r="GU434" s="251"/>
      <c r="GV434" s="250"/>
      <c r="GW434" s="250"/>
      <c r="GX434" s="250"/>
      <c r="GY434" s="250"/>
      <c r="GZ434" s="250"/>
      <c r="HA434" s="250"/>
      <c r="HB434" s="250"/>
      <c r="HC434" s="250"/>
      <c r="HD434" s="250"/>
      <c r="HE434" s="250"/>
      <c r="HF434" s="250"/>
      <c r="HG434" s="250"/>
      <c r="HH434" s="251"/>
      <c r="HI434" s="424"/>
      <c r="HJ434" s="255"/>
      <c r="HK434" s="255"/>
      <c r="HL434" s="250"/>
      <c r="HM434" s="255"/>
      <c r="HN434" s="255"/>
      <c r="HO434" s="255"/>
      <c r="HP434" s="250"/>
      <c r="HQ434" s="250"/>
      <c r="HR434" s="250"/>
      <c r="HS434" s="250"/>
      <c r="HT434" s="250"/>
      <c r="HU434" s="251"/>
      <c r="HX434" s="252"/>
      <c r="HY434" s="252"/>
      <c r="HZ434" s="252"/>
      <c r="ID434" s="252"/>
      <c r="IE434" s="252"/>
      <c r="IF434" s="252"/>
      <c r="IJ434" s="252"/>
      <c r="IK434" s="252"/>
      <c r="IL434" s="252"/>
      <c r="IP434" s="252"/>
      <c r="IQ434" s="252"/>
      <c r="IR434" s="252"/>
      <c r="IY434" s="66"/>
      <c r="IZ434" s="66"/>
      <c r="JA434" s="66"/>
      <c r="JB434" s="250"/>
      <c r="JC434" s="66"/>
      <c r="JD434" s="66"/>
      <c r="JE434" s="66"/>
      <c r="JF434" s="66"/>
      <c r="JG434" s="66"/>
      <c r="JH434" s="66"/>
      <c r="JI434" s="66"/>
      <c r="JJ434" s="66"/>
      <c r="JK434" s="8"/>
      <c r="JN434" s="252"/>
      <c r="JO434" s="252"/>
      <c r="JP434" s="252"/>
      <c r="JT434" s="252"/>
      <c r="JU434" s="252"/>
      <c r="JV434" s="252"/>
      <c r="JZ434" s="252"/>
      <c r="KA434" s="252"/>
      <c r="KB434" s="252"/>
      <c r="KF434" s="252"/>
      <c r="KG434" s="252"/>
      <c r="KH434" s="252"/>
      <c r="KO434" s="66"/>
      <c r="KP434" s="66"/>
      <c r="KQ434" s="66"/>
      <c r="KR434" s="66"/>
      <c r="KS434" s="66"/>
      <c r="KT434" s="66"/>
      <c r="KU434" s="66"/>
      <c r="KV434" s="66"/>
      <c r="KW434" s="66"/>
      <c r="KX434" s="66"/>
      <c r="KY434" s="66"/>
      <c r="KZ434" s="66"/>
      <c r="LA434" s="8"/>
      <c r="LD434" s="252"/>
      <c r="LE434" s="252"/>
      <c r="LF434" s="252"/>
      <c r="LJ434" s="252"/>
      <c r="LK434" s="252"/>
      <c r="LN434" s="252"/>
      <c r="LO434" s="252"/>
      <c r="LP434" s="252"/>
      <c r="LT434" s="271"/>
      <c r="LU434" s="250"/>
      <c r="LV434" s="250"/>
      <c r="LW434" s="250"/>
      <c r="LX434" s="250"/>
      <c r="LY434" s="250"/>
      <c r="LZ434" s="250"/>
      <c r="MA434" s="250"/>
      <c r="MB434" s="250"/>
      <c r="MC434" s="250"/>
      <c r="MD434" s="250"/>
      <c r="ME434" s="250"/>
      <c r="MF434" s="250"/>
      <c r="MG434" s="250"/>
      <c r="MH434" s="250"/>
      <c r="MI434" s="250"/>
      <c r="MJ434" s="250"/>
      <c r="MK434" s="424"/>
      <c r="ML434" s="640"/>
      <c r="MM434" s="251"/>
      <c r="MN434" s="252"/>
      <c r="MO434" s="252"/>
      <c r="MP434" s="252"/>
      <c r="MQ434" s="252"/>
      <c r="MR434" s="252"/>
      <c r="MS434" s="252"/>
      <c r="MT434" s="252"/>
      <c r="MU434" s="252"/>
      <c r="MV434" s="252"/>
      <c r="MW434" s="252"/>
      <c r="MX434" s="252"/>
      <c r="MY434" s="252"/>
      <c r="MZ434" s="252"/>
      <c r="NA434" s="252"/>
      <c r="NB434" s="252"/>
      <c r="NC434" s="251"/>
      <c r="ND434" s="250"/>
      <c r="NE434" s="250"/>
      <c r="NF434" s="250"/>
      <c r="NG434" s="250"/>
      <c r="NH434" s="250"/>
      <c r="NI434" s="250"/>
      <c r="NJ434" s="250"/>
      <c r="NK434" s="250"/>
      <c r="NL434" s="250"/>
      <c r="NM434" s="250"/>
      <c r="NN434" s="250"/>
      <c r="NO434" s="250"/>
      <c r="NP434" s="250"/>
      <c r="NQ434" s="250"/>
      <c r="NR434" s="250"/>
      <c r="NS434" s="250"/>
      <c r="NT434" s="250"/>
      <c r="NU434" s="250"/>
      <c r="NV434" s="250"/>
      <c r="NW434" s="251"/>
      <c r="OT434" s="8"/>
      <c r="QG434" s="8"/>
      <c r="RT434" s="8"/>
    </row>
    <row r="435" spans="1:488" s="282" customFormat="1" x14ac:dyDescent="0.25">
      <c r="A435" s="66"/>
      <c r="B435" s="8"/>
      <c r="C435" s="66"/>
      <c r="D435" s="66"/>
      <c r="E435" s="66"/>
      <c r="F435" s="66"/>
      <c r="G435" s="66"/>
      <c r="H435" s="66"/>
      <c r="I435" s="66"/>
      <c r="J435" s="66"/>
      <c r="K435" s="66"/>
      <c r="L435" s="66"/>
      <c r="M435" s="66"/>
      <c r="N435" s="66"/>
      <c r="O435" s="66"/>
      <c r="P435" s="66"/>
      <c r="Q435" s="66"/>
      <c r="R435" s="66"/>
      <c r="S435" s="66"/>
      <c r="T435" s="68"/>
      <c r="AC435" s="66"/>
      <c r="AD435" s="66"/>
      <c r="AE435" s="68"/>
      <c r="AN435" s="66"/>
      <c r="AO435" s="66"/>
      <c r="AP435" s="68"/>
      <c r="AW435" s="66"/>
      <c r="AX435" s="68"/>
      <c r="BD435" s="66"/>
      <c r="BE435" s="68"/>
      <c r="BF435" s="66"/>
      <c r="BG435" s="66"/>
      <c r="BH435" s="66"/>
      <c r="BI435" s="66"/>
      <c r="BJ435" s="66"/>
      <c r="BK435" s="66"/>
      <c r="BL435" s="68"/>
      <c r="BO435" s="66"/>
      <c r="BP435" s="68"/>
      <c r="BV435" s="66"/>
      <c r="BW435" s="68"/>
      <c r="CB435" s="8"/>
      <c r="CH435" s="8"/>
      <c r="CK435" s="299"/>
      <c r="CL435" s="299"/>
      <c r="CM435" s="66"/>
      <c r="CN435" s="66"/>
      <c r="CO435" s="68"/>
      <c r="CR435" s="8"/>
      <c r="CX435" s="66"/>
      <c r="CY435" s="532"/>
      <c r="DE435" s="66"/>
      <c r="DF435" s="66"/>
      <c r="DG435" s="68"/>
      <c r="DH435" s="68"/>
      <c r="DK435" s="66"/>
      <c r="DL435" s="66"/>
      <c r="DM435" s="66"/>
      <c r="DN435" s="66"/>
      <c r="DO435" s="66"/>
      <c r="DP435" s="66"/>
      <c r="DQ435" s="66"/>
      <c r="DR435" s="66"/>
      <c r="DS435" s="66"/>
      <c r="DT435" s="68"/>
      <c r="DU435" s="66"/>
      <c r="DV435" s="296"/>
      <c r="DW435" s="330"/>
      <c r="DX435" s="631"/>
      <c r="DY435" s="631"/>
      <c r="DZ435" s="631"/>
      <c r="EA435" s="330"/>
      <c r="EC435" s="66"/>
      <c r="ED435" s="68"/>
      <c r="EH435" s="66"/>
      <c r="EI435" s="66"/>
      <c r="EJ435" s="68"/>
      <c r="EK435" s="252"/>
      <c r="EL435" s="252"/>
      <c r="EM435" s="252"/>
      <c r="EO435" s="252"/>
      <c r="EP435" s="252"/>
      <c r="EQ435" s="252"/>
      <c r="ES435" s="252"/>
      <c r="ET435" s="252"/>
      <c r="EU435" s="252"/>
      <c r="EW435" s="252"/>
      <c r="EX435" s="252"/>
      <c r="EY435" s="252"/>
      <c r="FA435" s="250"/>
      <c r="FB435" s="250"/>
      <c r="FC435" s="250"/>
      <c r="FD435" s="250"/>
      <c r="FE435" s="250"/>
      <c r="FF435" s="250"/>
      <c r="FG435" s="250"/>
      <c r="FH435" s="424"/>
      <c r="FI435" s="250"/>
      <c r="FJ435" s="250"/>
      <c r="FK435" s="250"/>
      <c r="FL435" s="256"/>
      <c r="FM435" s="250"/>
      <c r="FN435" s="256"/>
      <c r="FO435" s="250"/>
      <c r="FP435" s="256"/>
      <c r="FQ435" s="250"/>
      <c r="FR435" s="256"/>
      <c r="FS435" s="250"/>
      <c r="FT435" s="256"/>
      <c r="FU435" s="256"/>
      <c r="FV435" s="256"/>
      <c r="FW435" s="250"/>
      <c r="FX435" s="424"/>
      <c r="FY435" s="251"/>
      <c r="GC435" s="252"/>
      <c r="GF435" s="252"/>
      <c r="GG435" s="252"/>
      <c r="GH435" s="252"/>
      <c r="GI435" s="252"/>
      <c r="GJ435" s="252"/>
      <c r="GK435" s="251"/>
      <c r="GL435" s="250"/>
      <c r="GM435" s="250"/>
      <c r="GN435" s="250"/>
      <c r="GO435" s="250"/>
      <c r="GP435" s="250"/>
      <c r="GQ435" s="250"/>
      <c r="GR435" s="250"/>
      <c r="GS435" s="250"/>
      <c r="GT435" s="250"/>
      <c r="GU435" s="251"/>
      <c r="GV435" s="250"/>
      <c r="GW435" s="250"/>
      <c r="GX435" s="250"/>
      <c r="GY435" s="250"/>
      <c r="GZ435" s="250"/>
      <c r="HA435" s="250"/>
      <c r="HB435" s="250"/>
      <c r="HC435" s="250"/>
      <c r="HD435" s="250"/>
      <c r="HE435" s="250"/>
      <c r="HF435" s="250"/>
      <c r="HG435" s="250"/>
      <c r="HH435" s="251"/>
      <c r="HI435" s="424"/>
      <c r="HJ435" s="255"/>
      <c r="HK435" s="255"/>
      <c r="HL435" s="250"/>
      <c r="HM435" s="255"/>
      <c r="HN435" s="255"/>
      <c r="HO435" s="255"/>
      <c r="HP435" s="250"/>
      <c r="HQ435" s="250"/>
      <c r="HR435" s="250"/>
      <c r="HS435" s="250"/>
      <c r="HT435" s="250"/>
      <c r="HU435" s="251"/>
      <c r="HX435" s="252"/>
      <c r="HY435" s="252"/>
      <c r="HZ435" s="252"/>
      <c r="ID435" s="252"/>
      <c r="IE435" s="252"/>
      <c r="IF435" s="252"/>
      <c r="IJ435" s="252"/>
      <c r="IK435" s="252"/>
      <c r="IL435" s="252"/>
      <c r="IP435" s="252"/>
      <c r="IQ435" s="252"/>
      <c r="IR435" s="252"/>
      <c r="IY435" s="66"/>
      <c r="IZ435" s="66"/>
      <c r="JA435" s="66"/>
      <c r="JB435" s="250"/>
      <c r="JC435" s="66"/>
      <c r="JD435" s="66"/>
      <c r="JE435" s="66"/>
      <c r="JF435" s="66"/>
      <c r="JG435" s="66"/>
      <c r="JH435" s="66"/>
      <c r="JI435" s="66"/>
      <c r="JJ435" s="66"/>
      <c r="JK435" s="8"/>
      <c r="JN435" s="252"/>
      <c r="JO435" s="252"/>
      <c r="JP435" s="252"/>
      <c r="JT435" s="252"/>
      <c r="JU435" s="252"/>
      <c r="JV435" s="252"/>
      <c r="JZ435" s="252"/>
      <c r="KA435" s="252"/>
      <c r="KB435" s="252"/>
      <c r="KF435" s="252"/>
      <c r="KG435" s="252"/>
      <c r="KH435" s="252"/>
      <c r="KO435" s="66"/>
      <c r="KP435" s="66"/>
      <c r="KQ435" s="66"/>
      <c r="KR435" s="66"/>
      <c r="KS435" s="66"/>
      <c r="KT435" s="66"/>
      <c r="KU435" s="66"/>
      <c r="KV435" s="66"/>
      <c r="KW435" s="66"/>
      <c r="KX435" s="66"/>
      <c r="KY435" s="66"/>
      <c r="KZ435" s="66"/>
      <c r="LA435" s="8"/>
      <c r="LD435" s="252"/>
      <c r="LE435" s="252"/>
      <c r="LF435" s="252"/>
      <c r="LJ435" s="252"/>
      <c r="LK435" s="252"/>
      <c r="LN435" s="252"/>
      <c r="LO435" s="252"/>
      <c r="LP435" s="252"/>
      <c r="LT435" s="271"/>
      <c r="LU435" s="250"/>
      <c r="LV435" s="250"/>
      <c r="LW435" s="250"/>
      <c r="LX435" s="250"/>
      <c r="LY435" s="250"/>
      <c r="LZ435" s="250"/>
      <c r="MA435" s="250"/>
      <c r="MB435" s="250"/>
      <c r="MC435" s="250"/>
      <c r="MD435" s="250"/>
      <c r="ME435" s="250"/>
      <c r="MF435" s="250"/>
      <c r="MG435" s="250"/>
      <c r="MH435" s="250"/>
      <c r="MI435" s="250"/>
      <c r="MJ435" s="250"/>
      <c r="MK435" s="424"/>
      <c r="ML435" s="640"/>
      <c r="MM435" s="251"/>
      <c r="MN435" s="252"/>
      <c r="MO435" s="252"/>
      <c r="MP435" s="252"/>
      <c r="MQ435" s="252"/>
      <c r="MR435" s="252"/>
      <c r="MS435" s="252"/>
      <c r="MT435" s="252"/>
      <c r="MU435" s="252"/>
      <c r="MV435" s="252"/>
      <c r="MW435" s="252"/>
      <c r="MX435" s="252"/>
      <c r="MY435" s="252"/>
      <c r="MZ435" s="252"/>
      <c r="NA435" s="252"/>
      <c r="NB435" s="252"/>
      <c r="NC435" s="251"/>
      <c r="ND435" s="250"/>
      <c r="NE435" s="250"/>
      <c r="NF435" s="250"/>
      <c r="NG435" s="250"/>
      <c r="NH435" s="250"/>
      <c r="NI435" s="250"/>
      <c r="NJ435" s="250"/>
      <c r="NK435" s="250"/>
      <c r="NL435" s="250"/>
      <c r="NM435" s="250"/>
      <c r="NN435" s="250"/>
      <c r="NO435" s="250"/>
      <c r="NP435" s="250"/>
      <c r="NQ435" s="250"/>
      <c r="NR435" s="250"/>
      <c r="NS435" s="250"/>
      <c r="NT435" s="250"/>
      <c r="NU435" s="250"/>
      <c r="NV435" s="250"/>
      <c r="NW435" s="251"/>
      <c r="OT435" s="8"/>
      <c r="QG435" s="8"/>
      <c r="RT435" s="8"/>
    </row>
    <row r="436" spans="1:488" s="282" customFormat="1" x14ac:dyDescent="0.25">
      <c r="A436" s="66"/>
      <c r="B436" s="8"/>
      <c r="C436" s="66"/>
      <c r="D436" s="66"/>
      <c r="E436" s="66"/>
      <c r="F436" s="66"/>
      <c r="G436" s="66"/>
      <c r="H436" s="66"/>
      <c r="I436" s="66"/>
      <c r="J436" s="66"/>
      <c r="K436" s="66"/>
      <c r="L436" s="66"/>
      <c r="M436" s="66"/>
      <c r="N436" s="66"/>
      <c r="O436" s="66"/>
      <c r="P436" s="66"/>
      <c r="Q436" s="66"/>
      <c r="R436" s="66"/>
      <c r="S436" s="66"/>
      <c r="T436" s="68"/>
      <c r="AC436" s="66"/>
      <c r="AD436" s="66"/>
      <c r="AE436" s="68"/>
      <c r="AN436" s="66"/>
      <c r="AO436" s="66"/>
      <c r="AP436" s="68"/>
      <c r="AW436" s="66"/>
      <c r="AX436" s="68"/>
      <c r="BD436" s="66"/>
      <c r="BE436" s="68"/>
      <c r="BF436" s="66"/>
      <c r="BG436" s="66"/>
      <c r="BH436" s="66"/>
      <c r="BI436" s="66"/>
      <c r="BJ436" s="66"/>
      <c r="BK436" s="66"/>
      <c r="BL436" s="68"/>
      <c r="BO436" s="66"/>
      <c r="BP436" s="68"/>
      <c r="BV436" s="66"/>
      <c r="BW436" s="68"/>
      <c r="CB436" s="8"/>
      <c r="CH436" s="8"/>
      <c r="CK436" s="299"/>
      <c r="CL436" s="299"/>
      <c r="CM436" s="66"/>
      <c r="CN436" s="66"/>
      <c r="CO436" s="68"/>
      <c r="CR436" s="8"/>
      <c r="CX436" s="66"/>
      <c r="CY436" s="532"/>
      <c r="DE436" s="66"/>
      <c r="DF436" s="66"/>
      <c r="DG436" s="68"/>
      <c r="DH436" s="68"/>
      <c r="DK436" s="66"/>
      <c r="DL436" s="66"/>
      <c r="DM436" s="66"/>
      <c r="DN436" s="66"/>
      <c r="DO436" s="66"/>
      <c r="DP436" s="66"/>
      <c r="DQ436" s="66"/>
      <c r="DR436" s="66"/>
      <c r="DS436" s="66"/>
      <c r="DT436" s="68"/>
      <c r="DU436" s="66"/>
      <c r="DV436" s="296"/>
      <c r="DW436" s="330"/>
      <c r="DX436" s="631"/>
      <c r="DY436" s="631"/>
      <c r="DZ436" s="631"/>
      <c r="EA436" s="330"/>
      <c r="EC436" s="66"/>
      <c r="ED436" s="68"/>
      <c r="EH436" s="66"/>
      <c r="EI436" s="66"/>
      <c r="EJ436" s="68"/>
      <c r="EK436" s="252"/>
      <c r="EL436" s="252"/>
      <c r="EM436" s="252"/>
      <c r="EO436" s="252"/>
      <c r="EP436" s="252"/>
      <c r="EQ436" s="252"/>
      <c r="ES436" s="252"/>
      <c r="ET436" s="252"/>
      <c r="EU436" s="252"/>
      <c r="EW436" s="252"/>
      <c r="EX436" s="252"/>
      <c r="EY436" s="252"/>
      <c r="FA436" s="250"/>
      <c r="FB436" s="250"/>
      <c r="FC436" s="250"/>
      <c r="FD436" s="250"/>
      <c r="FE436" s="250"/>
      <c r="FF436" s="250"/>
      <c r="FG436" s="250"/>
      <c r="FH436" s="424"/>
      <c r="FI436" s="250"/>
      <c r="FJ436" s="250"/>
      <c r="FK436" s="250"/>
      <c r="FL436" s="256"/>
      <c r="FM436" s="250"/>
      <c r="FN436" s="256"/>
      <c r="FO436" s="250"/>
      <c r="FP436" s="256"/>
      <c r="FQ436" s="250"/>
      <c r="FR436" s="256"/>
      <c r="FS436" s="250"/>
      <c r="FT436" s="256"/>
      <c r="FU436" s="256"/>
      <c r="FV436" s="256"/>
      <c r="FW436" s="250"/>
      <c r="FX436" s="424"/>
      <c r="FY436" s="251"/>
      <c r="GC436" s="252"/>
      <c r="GF436" s="252"/>
      <c r="GG436" s="252"/>
      <c r="GH436" s="252"/>
      <c r="GI436" s="252"/>
      <c r="GJ436" s="252"/>
      <c r="GK436" s="251"/>
      <c r="GL436" s="250"/>
      <c r="GM436" s="250"/>
      <c r="GN436" s="250"/>
      <c r="GO436" s="250"/>
      <c r="GP436" s="250"/>
      <c r="GQ436" s="250"/>
      <c r="GR436" s="250"/>
      <c r="GS436" s="250"/>
      <c r="GT436" s="250"/>
      <c r="GU436" s="251"/>
      <c r="GV436" s="250"/>
      <c r="GW436" s="250"/>
      <c r="GX436" s="250"/>
      <c r="GY436" s="250"/>
      <c r="GZ436" s="250"/>
      <c r="HA436" s="250"/>
      <c r="HB436" s="250"/>
      <c r="HC436" s="250"/>
      <c r="HD436" s="250"/>
      <c r="HE436" s="250"/>
      <c r="HF436" s="250"/>
      <c r="HG436" s="250"/>
      <c r="HH436" s="251"/>
      <c r="HI436" s="424"/>
      <c r="HJ436" s="255"/>
      <c r="HK436" s="255"/>
      <c r="HL436" s="250"/>
      <c r="HM436" s="255"/>
      <c r="HN436" s="255"/>
      <c r="HO436" s="255"/>
      <c r="HP436" s="250"/>
      <c r="HQ436" s="250"/>
      <c r="HR436" s="250"/>
      <c r="HS436" s="250"/>
      <c r="HT436" s="250"/>
      <c r="HU436" s="251"/>
      <c r="HX436" s="252"/>
      <c r="HY436" s="252"/>
      <c r="HZ436" s="252"/>
      <c r="ID436" s="252"/>
      <c r="IE436" s="252"/>
      <c r="IF436" s="252"/>
      <c r="IJ436" s="252"/>
      <c r="IK436" s="252"/>
      <c r="IL436" s="252"/>
      <c r="IP436" s="252"/>
      <c r="IQ436" s="252"/>
      <c r="IR436" s="252"/>
      <c r="IY436" s="66"/>
      <c r="IZ436" s="66"/>
      <c r="JA436" s="66"/>
      <c r="JB436" s="250"/>
      <c r="JC436" s="66"/>
      <c r="JD436" s="66"/>
      <c r="JE436" s="66"/>
      <c r="JF436" s="66"/>
      <c r="JG436" s="66"/>
      <c r="JH436" s="66"/>
      <c r="JI436" s="66"/>
      <c r="JJ436" s="66"/>
      <c r="JK436" s="8"/>
      <c r="JN436" s="252"/>
      <c r="JO436" s="252"/>
      <c r="JP436" s="252"/>
      <c r="JT436" s="252"/>
      <c r="JU436" s="252"/>
      <c r="JV436" s="252"/>
      <c r="JZ436" s="252"/>
      <c r="KA436" s="252"/>
      <c r="KB436" s="252"/>
      <c r="KF436" s="252"/>
      <c r="KG436" s="252"/>
      <c r="KH436" s="252"/>
      <c r="KO436" s="66"/>
      <c r="KP436" s="66"/>
      <c r="KQ436" s="66"/>
      <c r="KR436" s="66"/>
      <c r="KS436" s="66"/>
      <c r="KT436" s="66"/>
      <c r="KU436" s="66"/>
      <c r="KV436" s="66"/>
      <c r="KW436" s="66"/>
      <c r="KX436" s="66"/>
      <c r="KY436" s="66"/>
      <c r="KZ436" s="66"/>
      <c r="LA436" s="8"/>
      <c r="LD436" s="252"/>
      <c r="LE436" s="252"/>
      <c r="LF436" s="252"/>
      <c r="LJ436" s="252"/>
      <c r="LK436" s="252"/>
      <c r="LN436" s="252"/>
      <c r="LO436" s="252"/>
      <c r="LP436" s="252"/>
      <c r="LT436" s="271"/>
      <c r="LU436" s="250"/>
      <c r="LV436" s="250"/>
      <c r="LW436" s="250"/>
      <c r="LX436" s="250"/>
      <c r="LY436" s="250"/>
      <c r="LZ436" s="250"/>
      <c r="MA436" s="250"/>
      <c r="MB436" s="250"/>
      <c r="MC436" s="250"/>
      <c r="MD436" s="250"/>
      <c r="ME436" s="250"/>
      <c r="MF436" s="250"/>
      <c r="MG436" s="250"/>
      <c r="MH436" s="250"/>
      <c r="MI436" s="250"/>
      <c r="MJ436" s="250"/>
      <c r="MK436" s="424"/>
      <c r="ML436" s="640"/>
      <c r="MM436" s="251"/>
      <c r="MN436" s="252"/>
      <c r="MO436" s="252"/>
      <c r="MP436" s="252"/>
      <c r="MQ436" s="252"/>
      <c r="MR436" s="252"/>
      <c r="MS436" s="252"/>
      <c r="MT436" s="252"/>
      <c r="MU436" s="252"/>
      <c r="MV436" s="252"/>
      <c r="MW436" s="252"/>
      <c r="MX436" s="252"/>
      <c r="MY436" s="252"/>
      <c r="MZ436" s="252"/>
      <c r="NA436" s="252"/>
      <c r="NB436" s="252"/>
      <c r="NC436" s="251"/>
      <c r="ND436" s="250"/>
      <c r="NE436" s="250"/>
      <c r="NF436" s="250"/>
      <c r="NG436" s="250"/>
      <c r="NH436" s="250"/>
      <c r="NI436" s="250"/>
      <c r="NJ436" s="250"/>
      <c r="NK436" s="250"/>
      <c r="NL436" s="250"/>
      <c r="NM436" s="250"/>
      <c r="NN436" s="250"/>
      <c r="NO436" s="250"/>
      <c r="NP436" s="250"/>
      <c r="NQ436" s="250"/>
      <c r="NR436" s="250"/>
      <c r="NS436" s="250"/>
      <c r="NT436" s="250"/>
      <c r="NU436" s="250"/>
      <c r="NV436" s="250"/>
      <c r="NW436" s="251"/>
      <c r="OT436" s="8"/>
      <c r="QG436" s="8"/>
      <c r="RT436" s="8"/>
    </row>
    <row r="437" spans="1:488" s="282" customFormat="1" x14ac:dyDescent="0.25">
      <c r="A437" s="66"/>
      <c r="B437" s="8"/>
      <c r="C437" s="66"/>
      <c r="D437" s="66"/>
      <c r="E437" s="66"/>
      <c r="F437" s="66"/>
      <c r="G437" s="66"/>
      <c r="H437" s="66"/>
      <c r="I437" s="66"/>
      <c r="J437" s="66"/>
      <c r="K437" s="66"/>
      <c r="L437" s="66"/>
      <c r="M437" s="66"/>
      <c r="N437" s="66"/>
      <c r="O437" s="66"/>
      <c r="P437" s="66"/>
      <c r="Q437" s="66"/>
      <c r="R437" s="66"/>
      <c r="S437" s="66"/>
      <c r="T437" s="68"/>
      <c r="AC437" s="66"/>
      <c r="AD437" s="66"/>
      <c r="AE437" s="68"/>
      <c r="AN437" s="66"/>
      <c r="AO437" s="66"/>
      <c r="AP437" s="68"/>
      <c r="AW437" s="66"/>
      <c r="AX437" s="68"/>
      <c r="BD437" s="66"/>
      <c r="BE437" s="68"/>
      <c r="BF437" s="66"/>
      <c r="BG437" s="66"/>
      <c r="BH437" s="66"/>
      <c r="BI437" s="66"/>
      <c r="BJ437" s="66"/>
      <c r="BK437" s="66"/>
      <c r="BL437" s="68"/>
      <c r="BO437" s="66"/>
      <c r="BP437" s="68"/>
      <c r="BV437" s="66"/>
      <c r="BW437" s="68"/>
      <c r="CB437" s="8"/>
      <c r="CH437" s="8"/>
      <c r="CK437" s="299"/>
      <c r="CL437" s="299"/>
      <c r="CM437" s="66"/>
      <c r="CN437" s="66"/>
      <c r="CO437" s="68"/>
      <c r="CR437" s="8"/>
      <c r="CX437" s="66"/>
      <c r="CY437" s="532"/>
      <c r="DE437" s="66"/>
      <c r="DF437" s="66"/>
      <c r="DG437" s="68"/>
      <c r="DH437" s="68"/>
      <c r="DK437" s="66"/>
      <c r="DL437" s="66"/>
      <c r="DM437" s="66"/>
      <c r="DN437" s="66"/>
      <c r="DO437" s="66"/>
      <c r="DP437" s="66"/>
      <c r="DQ437" s="66"/>
      <c r="DR437" s="66"/>
      <c r="DS437" s="66"/>
      <c r="DT437" s="68"/>
      <c r="DU437" s="66"/>
      <c r="DV437" s="296"/>
      <c r="DW437" s="330"/>
      <c r="DX437" s="631"/>
      <c r="DY437" s="631"/>
      <c r="DZ437" s="631"/>
      <c r="EA437" s="330"/>
      <c r="EC437" s="66"/>
      <c r="ED437" s="68"/>
      <c r="EH437" s="66"/>
      <c r="EI437" s="66"/>
      <c r="EJ437" s="68"/>
      <c r="EK437" s="252"/>
      <c r="EL437" s="252"/>
      <c r="EM437" s="252"/>
      <c r="EO437" s="252"/>
      <c r="EP437" s="252"/>
      <c r="EQ437" s="252"/>
      <c r="ES437" s="252"/>
      <c r="ET437" s="252"/>
      <c r="EU437" s="252"/>
      <c r="EW437" s="252"/>
      <c r="EX437" s="252"/>
      <c r="EY437" s="252"/>
      <c r="FA437" s="250"/>
      <c r="FB437" s="250"/>
      <c r="FC437" s="250"/>
      <c r="FD437" s="250"/>
      <c r="FE437" s="250"/>
      <c r="FF437" s="250"/>
      <c r="FG437" s="250"/>
      <c r="FH437" s="424"/>
      <c r="FI437" s="250"/>
      <c r="FJ437" s="250"/>
      <c r="FK437" s="250"/>
      <c r="FL437" s="256"/>
      <c r="FM437" s="250"/>
      <c r="FN437" s="256"/>
      <c r="FO437" s="250"/>
      <c r="FP437" s="256"/>
      <c r="FQ437" s="250"/>
      <c r="FR437" s="256"/>
      <c r="FS437" s="250"/>
      <c r="FT437" s="256"/>
      <c r="FU437" s="256"/>
      <c r="FV437" s="256"/>
      <c r="FW437" s="250"/>
      <c r="FX437" s="424"/>
      <c r="FY437" s="251"/>
      <c r="GC437" s="252"/>
      <c r="GF437" s="252"/>
      <c r="GG437" s="252"/>
      <c r="GH437" s="252"/>
      <c r="GI437" s="252"/>
      <c r="GJ437" s="252"/>
      <c r="GK437" s="251"/>
      <c r="GL437" s="250"/>
      <c r="GM437" s="250"/>
      <c r="GN437" s="250"/>
      <c r="GO437" s="250"/>
      <c r="GP437" s="250"/>
      <c r="GQ437" s="250"/>
      <c r="GR437" s="250"/>
      <c r="GS437" s="250"/>
      <c r="GT437" s="250"/>
      <c r="GU437" s="251"/>
      <c r="GV437" s="250"/>
      <c r="GW437" s="250"/>
      <c r="GX437" s="250"/>
      <c r="GY437" s="250"/>
      <c r="GZ437" s="250"/>
      <c r="HA437" s="250"/>
      <c r="HB437" s="250"/>
      <c r="HC437" s="250"/>
      <c r="HD437" s="250"/>
      <c r="HE437" s="250"/>
      <c r="HF437" s="250"/>
      <c r="HG437" s="250"/>
      <c r="HH437" s="251"/>
      <c r="HI437" s="424"/>
      <c r="HJ437" s="255"/>
      <c r="HK437" s="255"/>
      <c r="HL437" s="250"/>
      <c r="HM437" s="255"/>
      <c r="HN437" s="255"/>
      <c r="HO437" s="255"/>
      <c r="HP437" s="250"/>
      <c r="HQ437" s="250"/>
      <c r="HR437" s="250"/>
      <c r="HS437" s="250"/>
      <c r="HT437" s="250"/>
      <c r="HU437" s="251"/>
      <c r="HX437" s="252"/>
      <c r="HY437" s="252"/>
      <c r="HZ437" s="252"/>
      <c r="ID437" s="252"/>
      <c r="IE437" s="252"/>
      <c r="IF437" s="252"/>
      <c r="IJ437" s="252"/>
      <c r="IK437" s="252"/>
      <c r="IL437" s="252"/>
      <c r="IP437" s="252"/>
      <c r="IQ437" s="252"/>
      <c r="IR437" s="252"/>
      <c r="IY437" s="66"/>
      <c r="IZ437" s="66"/>
      <c r="JA437" s="66"/>
      <c r="JB437" s="250"/>
      <c r="JC437" s="66"/>
      <c r="JD437" s="66"/>
      <c r="JE437" s="66"/>
      <c r="JF437" s="66"/>
      <c r="JG437" s="66"/>
      <c r="JH437" s="66"/>
      <c r="JI437" s="66"/>
      <c r="JJ437" s="66"/>
      <c r="JK437" s="8"/>
      <c r="JN437" s="252"/>
      <c r="JO437" s="252"/>
      <c r="JP437" s="252"/>
      <c r="JT437" s="252"/>
      <c r="JU437" s="252"/>
      <c r="JV437" s="252"/>
      <c r="JZ437" s="252"/>
      <c r="KA437" s="252"/>
      <c r="KB437" s="252"/>
      <c r="KF437" s="252"/>
      <c r="KG437" s="252"/>
      <c r="KH437" s="252"/>
      <c r="KO437" s="66"/>
      <c r="KP437" s="66"/>
      <c r="KQ437" s="66"/>
      <c r="KR437" s="66"/>
      <c r="KS437" s="66"/>
      <c r="KT437" s="66"/>
      <c r="KU437" s="66"/>
      <c r="KV437" s="66"/>
      <c r="KW437" s="66"/>
      <c r="KX437" s="66"/>
      <c r="KY437" s="66"/>
      <c r="KZ437" s="66"/>
      <c r="LA437" s="8"/>
      <c r="LD437" s="252"/>
      <c r="LE437" s="252"/>
      <c r="LF437" s="252"/>
      <c r="LJ437" s="252"/>
      <c r="LK437" s="252"/>
      <c r="LN437" s="252"/>
      <c r="LO437" s="252"/>
      <c r="LP437" s="252"/>
      <c r="LT437" s="271"/>
      <c r="LU437" s="250"/>
      <c r="LV437" s="250"/>
      <c r="LW437" s="250"/>
      <c r="LX437" s="250"/>
      <c r="LY437" s="250"/>
      <c r="LZ437" s="250"/>
      <c r="MA437" s="250"/>
      <c r="MB437" s="250"/>
      <c r="MC437" s="250"/>
      <c r="MD437" s="250"/>
      <c r="ME437" s="250"/>
      <c r="MF437" s="250"/>
      <c r="MG437" s="250"/>
      <c r="MH437" s="250"/>
      <c r="MI437" s="250"/>
      <c r="MJ437" s="250"/>
      <c r="MK437" s="424"/>
      <c r="ML437" s="640"/>
      <c r="MM437" s="251"/>
      <c r="MN437" s="252"/>
      <c r="MO437" s="252"/>
      <c r="MP437" s="252"/>
      <c r="MQ437" s="252"/>
      <c r="MR437" s="252"/>
      <c r="MS437" s="252"/>
      <c r="MT437" s="252"/>
      <c r="MU437" s="252"/>
      <c r="MV437" s="252"/>
      <c r="MW437" s="252"/>
      <c r="MX437" s="252"/>
      <c r="MY437" s="252"/>
      <c r="MZ437" s="252"/>
      <c r="NA437" s="252"/>
      <c r="NB437" s="252"/>
      <c r="NC437" s="251"/>
      <c r="ND437" s="250"/>
      <c r="NE437" s="250"/>
      <c r="NF437" s="250"/>
      <c r="NG437" s="250"/>
      <c r="NH437" s="250"/>
      <c r="NI437" s="250"/>
      <c r="NJ437" s="250"/>
      <c r="NK437" s="250"/>
      <c r="NL437" s="250"/>
      <c r="NM437" s="250"/>
      <c r="NN437" s="250"/>
      <c r="NO437" s="250"/>
      <c r="NP437" s="250"/>
      <c r="NQ437" s="250"/>
      <c r="NR437" s="250"/>
      <c r="NS437" s="250"/>
      <c r="NT437" s="250"/>
      <c r="NU437" s="250"/>
      <c r="NV437" s="250"/>
      <c r="NW437" s="251"/>
      <c r="OT437" s="8"/>
      <c r="QG437" s="8"/>
      <c r="RT437" s="8"/>
    </row>
    <row r="438" spans="1:488" s="282" customFormat="1" x14ac:dyDescent="0.25">
      <c r="A438" s="66"/>
      <c r="B438" s="8"/>
      <c r="C438" s="66"/>
      <c r="D438" s="66"/>
      <c r="E438" s="66"/>
      <c r="F438" s="66"/>
      <c r="G438" s="66"/>
      <c r="H438" s="66"/>
      <c r="I438" s="66"/>
      <c r="J438" s="66"/>
      <c r="K438" s="66"/>
      <c r="L438" s="66"/>
      <c r="M438" s="66"/>
      <c r="N438" s="66"/>
      <c r="O438" s="66"/>
      <c r="P438" s="66"/>
      <c r="Q438" s="66"/>
      <c r="R438" s="66"/>
      <c r="S438" s="66"/>
      <c r="T438" s="68"/>
      <c r="AC438" s="66"/>
      <c r="AD438" s="66"/>
      <c r="AE438" s="68"/>
      <c r="AN438" s="66"/>
      <c r="AO438" s="66"/>
      <c r="AP438" s="68"/>
      <c r="AW438" s="66"/>
      <c r="AX438" s="68"/>
      <c r="BD438" s="66"/>
      <c r="BE438" s="68"/>
      <c r="BF438" s="66"/>
      <c r="BG438" s="66"/>
      <c r="BH438" s="66"/>
      <c r="BI438" s="66"/>
      <c r="BJ438" s="66"/>
      <c r="BK438" s="66"/>
      <c r="BL438" s="68"/>
      <c r="BO438" s="66"/>
      <c r="BP438" s="68"/>
      <c r="BV438" s="66"/>
      <c r="BW438" s="68"/>
      <c r="CB438" s="8"/>
      <c r="CH438" s="8"/>
      <c r="CK438" s="299"/>
      <c r="CL438" s="299"/>
      <c r="CM438" s="66"/>
      <c r="CN438" s="66"/>
      <c r="CO438" s="68"/>
      <c r="CR438" s="8"/>
      <c r="CX438" s="66"/>
      <c r="CY438" s="532"/>
      <c r="DE438" s="66"/>
      <c r="DF438" s="66"/>
      <c r="DG438" s="68"/>
      <c r="DH438" s="68"/>
      <c r="DK438" s="66"/>
      <c r="DL438" s="66"/>
      <c r="DM438" s="66"/>
      <c r="DN438" s="66"/>
      <c r="DO438" s="66"/>
      <c r="DP438" s="66"/>
      <c r="DQ438" s="66"/>
      <c r="DR438" s="66"/>
      <c r="DS438" s="66"/>
      <c r="DT438" s="68"/>
      <c r="DU438" s="66"/>
      <c r="DV438" s="296"/>
      <c r="DW438" s="330"/>
      <c r="DX438" s="631"/>
      <c r="DY438" s="631"/>
      <c r="DZ438" s="631"/>
      <c r="EA438" s="330"/>
      <c r="EC438" s="66"/>
      <c r="ED438" s="68"/>
      <c r="EH438" s="66"/>
      <c r="EI438" s="66"/>
      <c r="EJ438" s="68"/>
      <c r="EK438" s="252"/>
      <c r="EL438" s="252"/>
      <c r="EM438" s="252"/>
      <c r="EO438" s="252"/>
      <c r="EP438" s="252"/>
      <c r="EQ438" s="252"/>
      <c r="ES438" s="252"/>
      <c r="ET438" s="252"/>
      <c r="EU438" s="252"/>
      <c r="EW438" s="252"/>
      <c r="EX438" s="252"/>
      <c r="EY438" s="252"/>
      <c r="FA438" s="250"/>
      <c r="FB438" s="250"/>
      <c r="FC438" s="250"/>
      <c r="FD438" s="250"/>
      <c r="FE438" s="250"/>
      <c r="FF438" s="250"/>
      <c r="FG438" s="250"/>
      <c r="FH438" s="424"/>
      <c r="FI438" s="250"/>
      <c r="FJ438" s="250"/>
      <c r="FK438" s="250"/>
      <c r="FL438" s="256"/>
      <c r="FM438" s="250"/>
      <c r="FN438" s="256"/>
      <c r="FO438" s="250"/>
      <c r="FP438" s="256"/>
      <c r="FQ438" s="250"/>
      <c r="FR438" s="256"/>
      <c r="FS438" s="250"/>
      <c r="FT438" s="256"/>
      <c r="FU438" s="256"/>
      <c r="FV438" s="256"/>
      <c r="FW438" s="250"/>
      <c r="FX438" s="424"/>
      <c r="FY438" s="251"/>
      <c r="GC438" s="252"/>
      <c r="GF438" s="252"/>
      <c r="GG438" s="252"/>
      <c r="GH438" s="252"/>
      <c r="GI438" s="252"/>
      <c r="GJ438" s="252"/>
      <c r="GK438" s="251"/>
      <c r="GL438" s="250"/>
      <c r="GM438" s="250"/>
      <c r="GN438" s="250"/>
      <c r="GO438" s="250"/>
      <c r="GP438" s="250"/>
      <c r="GQ438" s="250"/>
      <c r="GR438" s="250"/>
      <c r="GS438" s="250"/>
      <c r="GT438" s="250"/>
      <c r="GU438" s="251"/>
      <c r="GV438" s="250"/>
      <c r="GW438" s="250"/>
      <c r="GX438" s="250"/>
      <c r="GY438" s="250"/>
      <c r="GZ438" s="250"/>
      <c r="HA438" s="250"/>
      <c r="HB438" s="250"/>
      <c r="HC438" s="250"/>
      <c r="HD438" s="250"/>
      <c r="HE438" s="250"/>
      <c r="HF438" s="250"/>
      <c r="HG438" s="250"/>
      <c r="HH438" s="251"/>
      <c r="HI438" s="424"/>
      <c r="HJ438" s="255"/>
      <c r="HK438" s="255"/>
      <c r="HL438" s="250"/>
      <c r="HM438" s="255"/>
      <c r="HN438" s="255"/>
      <c r="HO438" s="255"/>
      <c r="HP438" s="250"/>
      <c r="HQ438" s="250"/>
      <c r="HR438" s="250"/>
      <c r="HS438" s="250"/>
      <c r="HT438" s="250"/>
      <c r="HU438" s="251"/>
      <c r="HX438" s="252"/>
      <c r="HY438" s="252"/>
      <c r="HZ438" s="252"/>
      <c r="ID438" s="252"/>
      <c r="IE438" s="252"/>
      <c r="IF438" s="252"/>
      <c r="IJ438" s="252"/>
      <c r="IK438" s="252"/>
      <c r="IL438" s="252"/>
      <c r="IP438" s="252"/>
      <c r="IQ438" s="252"/>
      <c r="IR438" s="252"/>
      <c r="IY438" s="66"/>
      <c r="IZ438" s="66"/>
      <c r="JA438" s="66"/>
      <c r="JB438" s="250"/>
      <c r="JC438" s="66"/>
      <c r="JD438" s="66"/>
      <c r="JE438" s="66"/>
      <c r="JF438" s="66"/>
      <c r="JG438" s="66"/>
      <c r="JH438" s="66"/>
      <c r="JI438" s="66"/>
      <c r="JJ438" s="66"/>
      <c r="JK438" s="8"/>
      <c r="JN438" s="252"/>
      <c r="JO438" s="252"/>
      <c r="JP438" s="252"/>
      <c r="JT438" s="252"/>
      <c r="JU438" s="252"/>
      <c r="JV438" s="252"/>
      <c r="JZ438" s="252"/>
      <c r="KA438" s="252"/>
      <c r="KB438" s="252"/>
      <c r="KF438" s="252"/>
      <c r="KG438" s="252"/>
      <c r="KH438" s="252"/>
      <c r="KO438" s="66"/>
      <c r="KP438" s="66"/>
      <c r="KQ438" s="66"/>
      <c r="KR438" s="66"/>
      <c r="KS438" s="66"/>
      <c r="KT438" s="66"/>
      <c r="KU438" s="66"/>
      <c r="KV438" s="66"/>
      <c r="KW438" s="66"/>
      <c r="KX438" s="66"/>
      <c r="KY438" s="66"/>
      <c r="KZ438" s="66"/>
      <c r="LA438" s="8"/>
      <c r="LD438" s="252"/>
      <c r="LE438" s="252"/>
      <c r="LF438" s="252"/>
      <c r="LJ438" s="252"/>
      <c r="LK438" s="252"/>
      <c r="LN438" s="252"/>
      <c r="LO438" s="252"/>
      <c r="LP438" s="252"/>
      <c r="LT438" s="271"/>
      <c r="LU438" s="250"/>
      <c r="LV438" s="250"/>
      <c r="LW438" s="250"/>
      <c r="LX438" s="250"/>
      <c r="LY438" s="250"/>
      <c r="LZ438" s="250"/>
      <c r="MA438" s="250"/>
      <c r="MB438" s="250"/>
      <c r="MC438" s="250"/>
      <c r="MD438" s="250"/>
      <c r="ME438" s="250"/>
      <c r="MF438" s="250"/>
      <c r="MG438" s="250"/>
      <c r="MH438" s="250"/>
      <c r="MI438" s="250"/>
      <c r="MJ438" s="250"/>
      <c r="MK438" s="424"/>
      <c r="ML438" s="640"/>
      <c r="MM438" s="251"/>
      <c r="MN438" s="252"/>
      <c r="MO438" s="252"/>
      <c r="MP438" s="252"/>
      <c r="MQ438" s="252"/>
      <c r="MR438" s="252"/>
      <c r="MS438" s="252"/>
      <c r="MT438" s="252"/>
      <c r="MU438" s="252"/>
      <c r="MV438" s="252"/>
      <c r="MW438" s="252"/>
      <c r="MX438" s="252"/>
      <c r="MY438" s="252"/>
      <c r="MZ438" s="252"/>
      <c r="NA438" s="252"/>
      <c r="NB438" s="252"/>
      <c r="NC438" s="251"/>
      <c r="ND438" s="250"/>
      <c r="NE438" s="250"/>
      <c r="NF438" s="250"/>
      <c r="NG438" s="250"/>
      <c r="NH438" s="250"/>
      <c r="NI438" s="250"/>
      <c r="NJ438" s="250"/>
      <c r="NK438" s="250"/>
      <c r="NL438" s="250"/>
      <c r="NM438" s="250"/>
      <c r="NN438" s="250"/>
      <c r="NO438" s="250"/>
      <c r="NP438" s="250"/>
      <c r="NQ438" s="250"/>
      <c r="NR438" s="250"/>
      <c r="NS438" s="250"/>
      <c r="NT438" s="250"/>
      <c r="NU438" s="250"/>
      <c r="NV438" s="250"/>
      <c r="NW438" s="251"/>
      <c r="OT438" s="8"/>
      <c r="QG438" s="8"/>
      <c r="RT438" s="8"/>
    </row>
    <row r="439" spans="1:488" s="282" customFormat="1" x14ac:dyDescent="0.25">
      <c r="A439" s="66"/>
      <c r="B439" s="8"/>
      <c r="C439" s="66"/>
      <c r="D439" s="66"/>
      <c r="E439" s="66"/>
      <c r="F439" s="66"/>
      <c r="G439" s="66"/>
      <c r="H439" s="66"/>
      <c r="I439" s="66"/>
      <c r="J439" s="66"/>
      <c r="K439" s="66"/>
      <c r="L439" s="66"/>
      <c r="M439" s="66"/>
      <c r="N439" s="66"/>
      <c r="O439" s="66"/>
      <c r="P439" s="66"/>
      <c r="Q439" s="66"/>
      <c r="R439" s="66"/>
      <c r="S439" s="66"/>
      <c r="T439" s="68"/>
      <c r="AC439" s="66"/>
      <c r="AD439" s="66"/>
      <c r="AE439" s="68"/>
      <c r="AN439" s="66"/>
      <c r="AO439" s="66"/>
      <c r="AP439" s="68"/>
      <c r="AW439" s="66"/>
      <c r="AX439" s="68"/>
      <c r="BD439" s="66"/>
      <c r="BE439" s="68"/>
      <c r="BF439" s="66"/>
      <c r="BG439" s="66"/>
      <c r="BH439" s="66"/>
      <c r="BI439" s="66"/>
      <c r="BJ439" s="66"/>
      <c r="BK439" s="66"/>
      <c r="BL439" s="68"/>
      <c r="BO439" s="66"/>
      <c r="BP439" s="68"/>
      <c r="BV439" s="66"/>
      <c r="BW439" s="68"/>
      <c r="CB439" s="8"/>
      <c r="CH439" s="8"/>
      <c r="CK439" s="299"/>
      <c r="CL439" s="299"/>
      <c r="CM439" s="66"/>
      <c r="CN439" s="66"/>
      <c r="CO439" s="68"/>
      <c r="CR439" s="8"/>
      <c r="CX439" s="66"/>
      <c r="CY439" s="532"/>
      <c r="DE439" s="66"/>
      <c r="DF439" s="66"/>
      <c r="DG439" s="68"/>
      <c r="DH439" s="68"/>
      <c r="DK439" s="66"/>
      <c r="DL439" s="66"/>
      <c r="DM439" s="66"/>
      <c r="DN439" s="66"/>
      <c r="DO439" s="66"/>
      <c r="DP439" s="66"/>
      <c r="DQ439" s="66"/>
      <c r="DR439" s="66"/>
      <c r="DS439" s="66"/>
      <c r="DT439" s="68"/>
      <c r="DU439" s="66"/>
      <c r="DV439" s="296"/>
      <c r="DW439" s="330"/>
      <c r="DX439" s="631"/>
      <c r="DY439" s="631"/>
      <c r="DZ439" s="631"/>
      <c r="EA439" s="330"/>
      <c r="EC439" s="66"/>
      <c r="ED439" s="68"/>
      <c r="EH439" s="66"/>
      <c r="EI439" s="66"/>
      <c r="EJ439" s="68"/>
      <c r="EK439" s="252"/>
      <c r="EL439" s="252"/>
      <c r="EM439" s="252"/>
      <c r="EO439" s="252"/>
      <c r="EP439" s="252"/>
      <c r="EQ439" s="252"/>
      <c r="ES439" s="252"/>
      <c r="ET439" s="252"/>
      <c r="EU439" s="252"/>
      <c r="EW439" s="252"/>
      <c r="EX439" s="252"/>
      <c r="EY439" s="252"/>
      <c r="FA439" s="250"/>
      <c r="FB439" s="250"/>
      <c r="FC439" s="250"/>
      <c r="FD439" s="250"/>
      <c r="FE439" s="250"/>
      <c r="FF439" s="250"/>
      <c r="FG439" s="250"/>
      <c r="FH439" s="424"/>
      <c r="FI439" s="250"/>
      <c r="FJ439" s="250"/>
      <c r="FK439" s="250"/>
      <c r="FL439" s="256"/>
      <c r="FM439" s="250"/>
      <c r="FN439" s="256"/>
      <c r="FO439" s="250"/>
      <c r="FP439" s="256"/>
      <c r="FQ439" s="250"/>
      <c r="FR439" s="256"/>
      <c r="FS439" s="250"/>
      <c r="FT439" s="256"/>
      <c r="FU439" s="256"/>
      <c r="FV439" s="256"/>
      <c r="FW439" s="250"/>
      <c r="FX439" s="424"/>
      <c r="FY439" s="251"/>
      <c r="GC439" s="252"/>
      <c r="GF439" s="252"/>
      <c r="GG439" s="252"/>
      <c r="GH439" s="252"/>
      <c r="GI439" s="252"/>
      <c r="GJ439" s="252"/>
      <c r="GK439" s="251"/>
      <c r="GL439" s="250"/>
      <c r="GM439" s="250"/>
      <c r="GN439" s="250"/>
      <c r="GO439" s="250"/>
      <c r="GP439" s="250"/>
      <c r="GQ439" s="250"/>
      <c r="GR439" s="250"/>
      <c r="GS439" s="250"/>
      <c r="GT439" s="250"/>
      <c r="GU439" s="251"/>
      <c r="GV439" s="250"/>
      <c r="GW439" s="250"/>
      <c r="GX439" s="250"/>
      <c r="GY439" s="250"/>
      <c r="GZ439" s="250"/>
      <c r="HA439" s="250"/>
      <c r="HB439" s="250"/>
      <c r="HC439" s="250"/>
      <c r="HD439" s="250"/>
      <c r="HE439" s="250"/>
      <c r="HF439" s="250"/>
      <c r="HG439" s="250"/>
      <c r="HH439" s="251"/>
      <c r="HI439" s="424"/>
      <c r="HJ439" s="255"/>
      <c r="HK439" s="255"/>
      <c r="HL439" s="250"/>
      <c r="HM439" s="255"/>
      <c r="HN439" s="255"/>
      <c r="HO439" s="255"/>
      <c r="HP439" s="250"/>
      <c r="HQ439" s="250"/>
      <c r="HR439" s="250"/>
      <c r="HS439" s="250"/>
      <c r="HT439" s="250"/>
      <c r="HU439" s="251"/>
      <c r="HX439" s="252"/>
      <c r="HY439" s="252"/>
      <c r="HZ439" s="252"/>
      <c r="ID439" s="252"/>
      <c r="IE439" s="252"/>
      <c r="IF439" s="252"/>
      <c r="IJ439" s="252"/>
      <c r="IK439" s="252"/>
      <c r="IL439" s="252"/>
      <c r="IP439" s="252"/>
      <c r="IQ439" s="252"/>
      <c r="IR439" s="252"/>
      <c r="IY439" s="66"/>
      <c r="IZ439" s="66"/>
      <c r="JA439" s="66"/>
      <c r="JB439" s="250"/>
      <c r="JC439" s="66"/>
      <c r="JD439" s="66"/>
      <c r="JE439" s="66"/>
      <c r="JF439" s="66"/>
      <c r="JG439" s="66"/>
      <c r="JH439" s="66"/>
      <c r="JI439" s="66"/>
      <c r="JJ439" s="66"/>
      <c r="JK439" s="8"/>
      <c r="JN439" s="252"/>
      <c r="JO439" s="252"/>
      <c r="JP439" s="252"/>
      <c r="JT439" s="252"/>
      <c r="JU439" s="252"/>
      <c r="JV439" s="252"/>
      <c r="JZ439" s="252"/>
      <c r="KA439" s="252"/>
      <c r="KB439" s="252"/>
      <c r="KF439" s="252"/>
      <c r="KG439" s="252"/>
      <c r="KH439" s="252"/>
      <c r="KO439" s="66"/>
      <c r="KP439" s="66"/>
      <c r="KQ439" s="66"/>
      <c r="KR439" s="66"/>
      <c r="KS439" s="66"/>
      <c r="KT439" s="66"/>
      <c r="KU439" s="66"/>
      <c r="KV439" s="66"/>
      <c r="KW439" s="66"/>
      <c r="KX439" s="66"/>
      <c r="KY439" s="66"/>
      <c r="KZ439" s="66"/>
      <c r="LA439" s="8"/>
      <c r="LD439" s="252"/>
      <c r="LE439" s="252"/>
      <c r="LF439" s="252"/>
      <c r="LJ439" s="252"/>
      <c r="LK439" s="252"/>
      <c r="LN439" s="252"/>
      <c r="LO439" s="252"/>
      <c r="LP439" s="252"/>
      <c r="LT439" s="271"/>
      <c r="LU439" s="250"/>
      <c r="LV439" s="250"/>
      <c r="LW439" s="250"/>
      <c r="LX439" s="250"/>
      <c r="LY439" s="250"/>
      <c r="LZ439" s="250"/>
      <c r="MA439" s="250"/>
      <c r="MB439" s="250"/>
      <c r="MC439" s="250"/>
      <c r="MD439" s="250"/>
      <c r="ME439" s="250"/>
      <c r="MF439" s="250"/>
      <c r="MG439" s="250"/>
      <c r="MH439" s="250"/>
      <c r="MI439" s="250"/>
      <c r="MJ439" s="250"/>
      <c r="MK439" s="424"/>
      <c r="ML439" s="640"/>
      <c r="MM439" s="251"/>
      <c r="MN439" s="252"/>
      <c r="MO439" s="252"/>
      <c r="MP439" s="252"/>
      <c r="MQ439" s="252"/>
      <c r="MR439" s="252"/>
      <c r="MS439" s="252"/>
      <c r="MT439" s="252"/>
      <c r="MU439" s="252"/>
      <c r="MV439" s="252"/>
      <c r="MW439" s="252"/>
      <c r="MX439" s="252"/>
      <c r="MY439" s="252"/>
      <c r="MZ439" s="252"/>
      <c r="NA439" s="252"/>
      <c r="NB439" s="252"/>
      <c r="NC439" s="251"/>
      <c r="ND439" s="250"/>
      <c r="NE439" s="250"/>
      <c r="NF439" s="250"/>
      <c r="NG439" s="250"/>
      <c r="NH439" s="250"/>
      <c r="NI439" s="250"/>
      <c r="NJ439" s="250"/>
      <c r="NK439" s="250"/>
      <c r="NL439" s="250"/>
      <c r="NM439" s="250"/>
      <c r="NN439" s="250"/>
      <c r="NO439" s="250"/>
      <c r="NP439" s="250"/>
      <c r="NQ439" s="250"/>
      <c r="NR439" s="250"/>
      <c r="NS439" s="250"/>
      <c r="NT439" s="250"/>
      <c r="NU439" s="250"/>
      <c r="NV439" s="250"/>
      <c r="NW439" s="251"/>
      <c r="OT439" s="8"/>
      <c r="QG439" s="8"/>
      <c r="RT439" s="8"/>
    </row>
    <row r="440" spans="1:488" s="282" customFormat="1" x14ac:dyDescent="0.25">
      <c r="A440" s="66"/>
      <c r="B440" s="8"/>
      <c r="C440" s="66"/>
      <c r="D440" s="66"/>
      <c r="E440" s="66"/>
      <c r="F440" s="66"/>
      <c r="G440" s="66"/>
      <c r="H440" s="66"/>
      <c r="I440" s="66"/>
      <c r="J440" s="66"/>
      <c r="K440" s="66"/>
      <c r="L440" s="66"/>
      <c r="M440" s="66"/>
      <c r="N440" s="66"/>
      <c r="O440" s="66"/>
      <c r="P440" s="66"/>
      <c r="Q440" s="66"/>
      <c r="R440" s="66"/>
      <c r="S440" s="66"/>
      <c r="T440" s="68"/>
      <c r="AC440" s="66"/>
      <c r="AD440" s="66"/>
      <c r="AE440" s="68"/>
      <c r="AN440" s="66"/>
      <c r="AO440" s="66"/>
      <c r="AP440" s="68"/>
      <c r="AW440" s="66"/>
      <c r="AX440" s="68"/>
      <c r="BD440" s="66"/>
      <c r="BE440" s="68"/>
      <c r="BF440" s="66"/>
      <c r="BG440" s="66"/>
      <c r="BH440" s="66"/>
      <c r="BI440" s="66"/>
      <c r="BJ440" s="66"/>
      <c r="BK440" s="66"/>
      <c r="BL440" s="68"/>
      <c r="BO440" s="66"/>
      <c r="BP440" s="68"/>
      <c r="BV440" s="66"/>
      <c r="BW440" s="68"/>
      <c r="CB440" s="8"/>
      <c r="CH440" s="8"/>
      <c r="CK440" s="299"/>
      <c r="CL440" s="299"/>
      <c r="CM440" s="66"/>
      <c r="CN440" s="66"/>
      <c r="CO440" s="68"/>
      <c r="CR440" s="8"/>
      <c r="CX440" s="66"/>
      <c r="CY440" s="532"/>
      <c r="DE440" s="66"/>
      <c r="DF440" s="66"/>
      <c r="DG440" s="68"/>
      <c r="DH440" s="68"/>
      <c r="DK440" s="66"/>
      <c r="DL440" s="66"/>
      <c r="DM440" s="66"/>
      <c r="DN440" s="66"/>
      <c r="DO440" s="66"/>
      <c r="DP440" s="66"/>
      <c r="DQ440" s="66"/>
      <c r="DR440" s="66"/>
      <c r="DS440" s="66"/>
      <c r="DT440" s="68"/>
      <c r="DU440" s="66"/>
      <c r="DV440" s="296"/>
      <c r="DW440" s="330"/>
      <c r="DX440" s="631"/>
      <c r="DY440" s="631"/>
      <c r="DZ440" s="631"/>
      <c r="EA440" s="330"/>
      <c r="EC440" s="66"/>
      <c r="ED440" s="68"/>
      <c r="EH440" s="66"/>
      <c r="EI440" s="66"/>
      <c r="EJ440" s="68"/>
      <c r="EK440" s="252"/>
      <c r="EL440" s="252"/>
      <c r="EM440" s="252"/>
      <c r="EO440" s="252"/>
      <c r="EP440" s="252"/>
      <c r="EQ440" s="252"/>
      <c r="ES440" s="252"/>
      <c r="ET440" s="252"/>
      <c r="EU440" s="252"/>
      <c r="EW440" s="252"/>
      <c r="EX440" s="252"/>
      <c r="EY440" s="252"/>
      <c r="FA440" s="250"/>
      <c r="FB440" s="250"/>
      <c r="FC440" s="250"/>
      <c r="FD440" s="250"/>
      <c r="FE440" s="250"/>
      <c r="FF440" s="250"/>
      <c r="FG440" s="250"/>
      <c r="FH440" s="424"/>
      <c r="FI440" s="250"/>
      <c r="FJ440" s="250"/>
      <c r="FK440" s="250"/>
      <c r="FL440" s="256"/>
      <c r="FM440" s="250"/>
      <c r="FN440" s="256"/>
      <c r="FO440" s="250"/>
      <c r="FP440" s="256"/>
      <c r="FQ440" s="250"/>
      <c r="FR440" s="256"/>
      <c r="FS440" s="250"/>
      <c r="FT440" s="256"/>
      <c r="FU440" s="256"/>
      <c r="FV440" s="256"/>
      <c r="FW440" s="250"/>
      <c r="FX440" s="424"/>
      <c r="FY440" s="251"/>
      <c r="GC440" s="252"/>
      <c r="GF440" s="252"/>
      <c r="GG440" s="252"/>
      <c r="GH440" s="252"/>
      <c r="GI440" s="252"/>
      <c r="GJ440" s="252"/>
      <c r="GK440" s="251"/>
      <c r="GL440" s="250"/>
      <c r="GM440" s="250"/>
      <c r="GN440" s="250"/>
      <c r="GO440" s="250"/>
      <c r="GP440" s="250"/>
      <c r="GQ440" s="250"/>
      <c r="GR440" s="250"/>
      <c r="GS440" s="250"/>
      <c r="GT440" s="250"/>
      <c r="GU440" s="251"/>
      <c r="GV440" s="250"/>
      <c r="GW440" s="250"/>
      <c r="GX440" s="250"/>
      <c r="GY440" s="250"/>
      <c r="GZ440" s="250"/>
      <c r="HA440" s="250"/>
      <c r="HB440" s="250"/>
      <c r="HC440" s="250"/>
      <c r="HD440" s="250"/>
      <c r="HE440" s="250"/>
      <c r="HF440" s="250"/>
      <c r="HG440" s="250"/>
      <c r="HH440" s="251"/>
      <c r="HI440" s="424"/>
      <c r="HJ440" s="255"/>
      <c r="HK440" s="255"/>
      <c r="HL440" s="250"/>
      <c r="HM440" s="255"/>
      <c r="HN440" s="255"/>
      <c r="HO440" s="255"/>
      <c r="HP440" s="250"/>
      <c r="HQ440" s="250"/>
      <c r="HR440" s="250"/>
      <c r="HS440" s="250"/>
      <c r="HT440" s="250"/>
      <c r="HU440" s="251"/>
      <c r="HX440" s="252"/>
      <c r="HY440" s="252"/>
      <c r="HZ440" s="252"/>
      <c r="ID440" s="252"/>
      <c r="IE440" s="252"/>
      <c r="IF440" s="252"/>
      <c r="IJ440" s="252"/>
      <c r="IK440" s="252"/>
      <c r="IL440" s="252"/>
      <c r="IP440" s="252"/>
      <c r="IQ440" s="252"/>
      <c r="IR440" s="252"/>
      <c r="IY440" s="66"/>
      <c r="IZ440" s="66"/>
      <c r="JA440" s="66"/>
      <c r="JB440" s="250"/>
      <c r="JC440" s="66"/>
      <c r="JD440" s="66"/>
      <c r="JE440" s="66"/>
      <c r="JF440" s="66"/>
      <c r="JG440" s="66"/>
      <c r="JH440" s="66"/>
      <c r="JI440" s="66"/>
      <c r="JJ440" s="66"/>
      <c r="JK440" s="8"/>
      <c r="JN440" s="252"/>
      <c r="JO440" s="252"/>
      <c r="JP440" s="252"/>
      <c r="JT440" s="252"/>
      <c r="JU440" s="252"/>
      <c r="JV440" s="252"/>
      <c r="JZ440" s="252"/>
      <c r="KA440" s="252"/>
      <c r="KB440" s="252"/>
      <c r="KF440" s="252"/>
      <c r="KG440" s="252"/>
      <c r="KH440" s="252"/>
      <c r="KO440" s="66"/>
      <c r="KP440" s="66"/>
      <c r="KQ440" s="66"/>
      <c r="KR440" s="66"/>
      <c r="KS440" s="66"/>
      <c r="KT440" s="66"/>
      <c r="KU440" s="66"/>
      <c r="KV440" s="66"/>
      <c r="KW440" s="66"/>
      <c r="KX440" s="66"/>
      <c r="KY440" s="66"/>
      <c r="KZ440" s="66"/>
      <c r="LA440" s="8"/>
      <c r="LD440" s="252"/>
      <c r="LE440" s="252"/>
      <c r="LF440" s="252"/>
      <c r="LJ440" s="252"/>
      <c r="LK440" s="252"/>
      <c r="LN440" s="252"/>
      <c r="LO440" s="252"/>
      <c r="LP440" s="252"/>
      <c r="LT440" s="271"/>
      <c r="LU440" s="250"/>
      <c r="LV440" s="250"/>
      <c r="LW440" s="250"/>
      <c r="LX440" s="250"/>
      <c r="LY440" s="250"/>
      <c r="LZ440" s="250"/>
      <c r="MA440" s="250"/>
      <c r="MB440" s="250"/>
      <c r="MC440" s="250"/>
      <c r="MD440" s="250"/>
      <c r="ME440" s="250"/>
      <c r="MF440" s="250"/>
      <c r="MG440" s="250"/>
      <c r="MH440" s="250"/>
      <c r="MI440" s="250"/>
      <c r="MJ440" s="250"/>
      <c r="MK440" s="424"/>
      <c r="ML440" s="640"/>
      <c r="MM440" s="251"/>
      <c r="MN440" s="252"/>
      <c r="MO440" s="252"/>
      <c r="MP440" s="252"/>
      <c r="MQ440" s="252"/>
      <c r="MR440" s="252"/>
      <c r="MS440" s="252"/>
      <c r="MT440" s="252"/>
      <c r="MU440" s="252"/>
      <c r="MV440" s="252"/>
      <c r="MW440" s="252"/>
      <c r="MX440" s="252"/>
      <c r="MY440" s="252"/>
      <c r="MZ440" s="252"/>
      <c r="NA440" s="252"/>
      <c r="NB440" s="252"/>
      <c r="NC440" s="251"/>
      <c r="ND440" s="250"/>
      <c r="NE440" s="250"/>
      <c r="NF440" s="250"/>
      <c r="NG440" s="250"/>
      <c r="NH440" s="250"/>
      <c r="NI440" s="250"/>
      <c r="NJ440" s="250"/>
      <c r="NK440" s="250"/>
      <c r="NL440" s="250"/>
      <c r="NM440" s="250"/>
      <c r="NN440" s="250"/>
      <c r="NO440" s="250"/>
      <c r="NP440" s="250"/>
      <c r="NQ440" s="250"/>
      <c r="NR440" s="250"/>
      <c r="NS440" s="250"/>
      <c r="NT440" s="250"/>
      <c r="NU440" s="250"/>
      <c r="NV440" s="250"/>
      <c r="NW440" s="251"/>
      <c r="OT440" s="8"/>
      <c r="QG440" s="8"/>
      <c r="RT440" s="8"/>
    </row>
    <row r="441" spans="1:488" s="282" customFormat="1" x14ac:dyDescent="0.25">
      <c r="A441" s="66"/>
      <c r="B441" s="8"/>
      <c r="C441" s="66"/>
      <c r="D441" s="66"/>
      <c r="E441" s="66"/>
      <c r="F441" s="66"/>
      <c r="G441" s="66"/>
      <c r="H441" s="66"/>
      <c r="I441" s="66"/>
      <c r="J441" s="66"/>
      <c r="K441" s="66"/>
      <c r="L441" s="66"/>
      <c r="M441" s="66"/>
      <c r="N441" s="66"/>
      <c r="O441" s="66"/>
      <c r="P441" s="66"/>
      <c r="Q441" s="66"/>
      <c r="R441" s="66"/>
      <c r="S441" s="66"/>
      <c r="T441" s="68"/>
      <c r="AC441" s="66"/>
      <c r="AD441" s="66"/>
      <c r="AE441" s="68"/>
      <c r="AN441" s="66"/>
      <c r="AO441" s="66"/>
      <c r="AP441" s="68"/>
      <c r="AW441" s="66"/>
      <c r="AX441" s="68"/>
      <c r="BD441" s="66"/>
      <c r="BE441" s="68"/>
      <c r="BF441" s="66"/>
      <c r="BG441" s="66"/>
      <c r="BH441" s="66"/>
      <c r="BI441" s="66"/>
      <c r="BJ441" s="66"/>
      <c r="BK441" s="66"/>
      <c r="BL441" s="68"/>
      <c r="BO441" s="66"/>
      <c r="BP441" s="68"/>
      <c r="BV441" s="66"/>
      <c r="BW441" s="68"/>
      <c r="CB441" s="8"/>
      <c r="CH441" s="8"/>
      <c r="CK441" s="299"/>
      <c r="CL441" s="299"/>
      <c r="CM441" s="66"/>
      <c r="CN441" s="66"/>
      <c r="CO441" s="68"/>
      <c r="CR441" s="8"/>
      <c r="CX441" s="66"/>
      <c r="CY441" s="532"/>
      <c r="DE441" s="66"/>
      <c r="DF441" s="66"/>
      <c r="DG441" s="68"/>
      <c r="DH441" s="68"/>
      <c r="DK441" s="66"/>
      <c r="DL441" s="66"/>
      <c r="DM441" s="66"/>
      <c r="DN441" s="66"/>
      <c r="DO441" s="66"/>
      <c r="DP441" s="66"/>
      <c r="DQ441" s="66"/>
      <c r="DR441" s="66"/>
      <c r="DS441" s="66"/>
      <c r="DT441" s="68"/>
      <c r="DU441" s="66"/>
      <c r="DV441" s="296"/>
      <c r="DW441" s="330"/>
      <c r="DX441" s="631"/>
      <c r="DY441" s="631"/>
      <c r="DZ441" s="631"/>
      <c r="EA441" s="330"/>
      <c r="EC441" s="66"/>
      <c r="ED441" s="68"/>
      <c r="EH441" s="66"/>
      <c r="EI441" s="66"/>
      <c r="EJ441" s="68"/>
      <c r="EK441" s="252"/>
      <c r="EL441" s="252"/>
      <c r="EM441" s="252"/>
      <c r="EO441" s="252"/>
      <c r="EP441" s="252"/>
      <c r="EQ441" s="252"/>
      <c r="ES441" s="252"/>
      <c r="ET441" s="252"/>
      <c r="EU441" s="252"/>
      <c r="EW441" s="252"/>
      <c r="EX441" s="252"/>
      <c r="EY441" s="252"/>
      <c r="FA441" s="250"/>
      <c r="FB441" s="250"/>
      <c r="FC441" s="250"/>
      <c r="FD441" s="250"/>
      <c r="FE441" s="250"/>
      <c r="FF441" s="250"/>
      <c r="FG441" s="250"/>
      <c r="FH441" s="424"/>
      <c r="FI441" s="250"/>
      <c r="FJ441" s="250"/>
      <c r="FK441" s="250"/>
      <c r="FL441" s="256"/>
      <c r="FM441" s="250"/>
      <c r="FN441" s="256"/>
      <c r="FO441" s="250"/>
      <c r="FP441" s="256"/>
      <c r="FQ441" s="250"/>
      <c r="FR441" s="256"/>
      <c r="FS441" s="250"/>
      <c r="FT441" s="256"/>
      <c r="FU441" s="256"/>
      <c r="FV441" s="256"/>
      <c r="FW441" s="250"/>
      <c r="FX441" s="424"/>
      <c r="FY441" s="251"/>
      <c r="GC441" s="252"/>
      <c r="GF441" s="252"/>
      <c r="GG441" s="252"/>
      <c r="GH441" s="252"/>
      <c r="GI441" s="252"/>
      <c r="GJ441" s="252"/>
      <c r="GK441" s="251"/>
      <c r="GL441" s="250"/>
      <c r="GM441" s="250"/>
      <c r="GN441" s="250"/>
      <c r="GO441" s="250"/>
      <c r="GP441" s="250"/>
      <c r="GQ441" s="250"/>
      <c r="GR441" s="250"/>
      <c r="GS441" s="250"/>
      <c r="GT441" s="250"/>
      <c r="GU441" s="251"/>
      <c r="GV441" s="250"/>
      <c r="GW441" s="250"/>
      <c r="GX441" s="250"/>
      <c r="GY441" s="250"/>
      <c r="GZ441" s="250"/>
      <c r="HA441" s="250"/>
      <c r="HB441" s="250"/>
      <c r="HC441" s="250"/>
      <c r="HD441" s="250"/>
      <c r="HE441" s="250"/>
      <c r="HF441" s="250"/>
      <c r="HG441" s="250"/>
      <c r="HH441" s="251"/>
      <c r="HI441" s="424"/>
      <c r="HJ441" s="255"/>
      <c r="HK441" s="255"/>
      <c r="HL441" s="250"/>
      <c r="HM441" s="255"/>
      <c r="HN441" s="255"/>
      <c r="HO441" s="255"/>
      <c r="HP441" s="250"/>
      <c r="HQ441" s="250"/>
      <c r="HR441" s="250"/>
      <c r="HS441" s="250"/>
      <c r="HT441" s="250"/>
      <c r="HU441" s="251"/>
      <c r="HX441" s="252"/>
      <c r="HY441" s="252"/>
      <c r="HZ441" s="252"/>
      <c r="ID441" s="252"/>
      <c r="IE441" s="252"/>
      <c r="IF441" s="252"/>
      <c r="IJ441" s="252"/>
      <c r="IK441" s="252"/>
      <c r="IL441" s="252"/>
      <c r="IP441" s="252"/>
      <c r="IQ441" s="252"/>
      <c r="IR441" s="252"/>
      <c r="IY441" s="66"/>
      <c r="IZ441" s="66"/>
      <c r="JA441" s="66"/>
      <c r="JB441" s="250"/>
      <c r="JC441" s="66"/>
      <c r="JD441" s="66"/>
      <c r="JE441" s="66"/>
      <c r="JF441" s="66"/>
      <c r="JG441" s="66"/>
      <c r="JH441" s="66"/>
      <c r="JI441" s="66"/>
      <c r="JJ441" s="66"/>
      <c r="JK441" s="8"/>
      <c r="JN441" s="252"/>
      <c r="JO441" s="252"/>
      <c r="JP441" s="252"/>
      <c r="JT441" s="252"/>
      <c r="JU441" s="252"/>
      <c r="JV441" s="252"/>
      <c r="JZ441" s="252"/>
      <c r="KA441" s="252"/>
      <c r="KB441" s="252"/>
      <c r="KF441" s="252"/>
      <c r="KG441" s="252"/>
      <c r="KH441" s="252"/>
      <c r="KO441" s="66"/>
      <c r="KP441" s="66"/>
      <c r="KQ441" s="66"/>
      <c r="KR441" s="66"/>
      <c r="KS441" s="66"/>
      <c r="KT441" s="66"/>
      <c r="KU441" s="66"/>
      <c r="KV441" s="66"/>
      <c r="KW441" s="66"/>
      <c r="KX441" s="66"/>
      <c r="KY441" s="66"/>
      <c r="KZ441" s="66"/>
      <c r="LA441" s="8"/>
      <c r="LD441" s="252"/>
      <c r="LE441" s="252"/>
      <c r="LF441" s="252"/>
      <c r="LJ441" s="252"/>
      <c r="LK441" s="252"/>
      <c r="LN441" s="252"/>
      <c r="LO441" s="252"/>
      <c r="LP441" s="252"/>
      <c r="LT441" s="271"/>
      <c r="LU441" s="250"/>
      <c r="LV441" s="250"/>
      <c r="LW441" s="250"/>
      <c r="LX441" s="250"/>
      <c r="LY441" s="250"/>
      <c r="LZ441" s="250"/>
      <c r="MA441" s="250"/>
      <c r="MB441" s="250"/>
      <c r="MC441" s="250"/>
      <c r="MD441" s="250"/>
      <c r="ME441" s="250"/>
      <c r="MF441" s="250"/>
      <c r="MG441" s="250"/>
      <c r="MH441" s="250"/>
      <c r="MI441" s="250"/>
      <c r="MJ441" s="250"/>
      <c r="MK441" s="424"/>
      <c r="ML441" s="640"/>
      <c r="MM441" s="251"/>
      <c r="MN441" s="252"/>
      <c r="MO441" s="252"/>
      <c r="MP441" s="252"/>
      <c r="MQ441" s="252"/>
      <c r="MR441" s="252"/>
      <c r="MS441" s="252"/>
      <c r="MT441" s="252"/>
      <c r="MU441" s="252"/>
      <c r="MV441" s="252"/>
      <c r="MW441" s="252"/>
      <c r="MX441" s="252"/>
      <c r="MY441" s="252"/>
      <c r="MZ441" s="252"/>
      <c r="NA441" s="252"/>
      <c r="NB441" s="252"/>
      <c r="NC441" s="251"/>
      <c r="ND441" s="250"/>
      <c r="NE441" s="250"/>
      <c r="NF441" s="250"/>
      <c r="NG441" s="250"/>
      <c r="NH441" s="250"/>
      <c r="NI441" s="250"/>
      <c r="NJ441" s="250"/>
      <c r="NK441" s="250"/>
      <c r="NL441" s="250"/>
      <c r="NM441" s="250"/>
      <c r="NN441" s="250"/>
      <c r="NO441" s="250"/>
      <c r="NP441" s="250"/>
      <c r="NQ441" s="250"/>
      <c r="NR441" s="250"/>
      <c r="NS441" s="250"/>
      <c r="NT441" s="250"/>
      <c r="NU441" s="250"/>
      <c r="NV441" s="250"/>
      <c r="NW441" s="251"/>
      <c r="OT441" s="8"/>
      <c r="QG441" s="8"/>
      <c r="RT441" s="8"/>
    </row>
    <row r="442" spans="1:488" s="282" customFormat="1" x14ac:dyDescent="0.25">
      <c r="A442" s="66"/>
      <c r="B442" s="8"/>
      <c r="C442" s="66"/>
      <c r="D442" s="66"/>
      <c r="E442" s="66"/>
      <c r="F442" s="66"/>
      <c r="G442" s="66"/>
      <c r="H442" s="66"/>
      <c r="I442" s="66"/>
      <c r="J442" s="66"/>
      <c r="K442" s="66"/>
      <c r="L442" s="66"/>
      <c r="M442" s="66"/>
      <c r="N442" s="66"/>
      <c r="O442" s="66"/>
      <c r="P442" s="66"/>
      <c r="Q442" s="66"/>
      <c r="R442" s="66"/>
      <c r="S442" s="66"/>
      <c r="T442" s="68"/>
      <c r="AC442" s="66"/>
      <c r="AD442" s="66"/>
      <c r="AE442" s="68"/>
      <c r="AN442" s="66"/>
      <c r="AO442" s="66"/>
      <c r="AP442" s="68"/>
      <c r="AW442" s="66"/>
      <c r="AX442" s="68"/>
      <c r="BD442" s="66"/>
      <c r="BE442" s="68"/>
      <c r="BF442" s="66"/>
      <c r="BG442" s="66"/>
      <c r="BH442" s="66"/>
      <c r="BI442" s="66"/>
      <c r="BJ442" s="66"/>
      <c r="BK442" s="66"/>
      <c r="BL442" s="68"/>
      <c r="BO442" s="66"/>
      <c r="BP442" s="68"/>
      <c r="BV442" s="66"/>
      <c r="BW442" s="68"/>
      <c r="CB442" s="8"/>
      <c r="CH442" s="8"/>
      <c r="CK442" s="299"/>
      <c r="CL442" s="299"/>
      <c r="CM442" s="66"/>
      <c r="CN442" s="66"/>
      <c r="CO442" s="68"/>
      <c r="CR442" s="8"/>
      <c r="CX442" s="66"/>
      <c r="CY442" s="532"/>
      <c r="DE442" s="66"/>
      <c r="DF442" s="66"/>
      <c r="DG442" s="68"/>
      <c r="DH442" s="68"/>
      <c r="DK442" s="66"/>
      <c r="DL442" s="66"/>
      <c r="DM442" s="66"/>
      <c r="DN442" s="66"/>
      <c r="DO442" s="66"/>
      <c r="DP442" s="66"/>
      <c r="DQ442" s="66"/>
      <c r="DR442" s="66"/>
      <c r="DS442" s="66"/>
      <c r="DT442" s="68"/>
      <c r="DU442" s="66"/>
      <c r="DV442" s="296"/>
      <c r="DW442" s="330"/>
      <c r="DX442" s="631"/>
      <c r="DY442" s="631"/>
      <c r="DZ442" s="631"/>
      <c r="EA442" s="330"/>
      <c r="EC442" s="66"/>
      <c r="ED442" s="68"/>
      <c r="EH442" s="66"/>
      <c r="EI442" s="66"/>
      <c r="EJ442" s="68"/>
      <c r="EK442" s="252"/>
      <c r="EL442" s="252"/>
      <c r="EM442" s="252"/>
      <c r="EO442" s="252"/>
      <c r="EP442" s="252"/>
      <c r="EQ442" s="252"/>
      <c r="ES442" s="252"/>
      <c r="ET442" s="252"/>
      <c r="EU442" s="252"/>
      <c r="EW442" s="252"/>
      <c r="EX442" s="252"/>
      <c r="EY442" s="252"/>
      <c r="FA442" s="250"/>
      <c r="FB442" s="250"/>
      <c r="FC442" s="250"/>
      <c r="FD442" s="250"/>
      <c r="FE442" s="250"/>
      <c r="FF442" s="250"/>
      <c r="FG442" s="250"/>
      <c r="FH442" s="424"/>
      <c r="FI442" s="250"/>
      <c r="FJ442" s="250"/>
      <c r="FK442" s="250"/>
      <c r="FL442" s="256"/>
      <c r="FM442" s="250"/>
      <c r="FN442" s="256"/>
      <c r="FO442" s="250"/>
      <c r="FP442" s="256"/>
      <c r="FQ442" s="250"/>
      <c r="FR442" s="256"/>
      <c r="FS442" s="250"/>
      <c r="FT442" s="256"/>
      <c r="FU442" s="256"/>
      <c r="FV442" s="256"/>
      <c r="FW442" s="250"/>
      <c r="FX442" s="424"/>
      <c r="FY442" s="251"/>
      <c r="GC442" s="252"/>
      <c r="GF442" s="252"/>
      <c r="GG442" s="252"/>
      <c r="GH442" s="252"/>
      <c r="GI442" s="252"/>
      <c r="GJ442" s="252"/>
      <c r="GK442" s="251"/>
      <c r="GL442" s="250"/>
      <c r="GM442" s="250"/>
      <c r="GN442" s="250"/>
      <c r="GO442" s="250"/>
      <c r="GP442" s="250"/>
      <c r="GQ442" s="250"/>
      <c r="GR442" s="250"/>
      <c r="GS442" s="250"/>
      <c r="GT442" s="250"/>
      <c r="GU442" s="251"/>
      <c r="GV442" s="250"/>
      <c r="GW442" s="250"/>
      <c r="GX442" s="250"/>
      <c r="GY442" s="250"/>
      <c r="GZ442" s="250"/>
      <c r="HA442" s="250"/>
      <c r="HB442" s="250"/>
      <c r="HC442" s="250"/>
      <c r="HD442" s="250"/>
      <c r="HE442" s="250"/>
      <c r="HF442" s="250"/>
      <c r="HG442" s="250"/>
      <c r="HH442" s="251"/>
      <c r="HI442" s="424"/>
      <c r="HJ442" s="255"/>
      <c r="HK442" s="255"/>
      <c r="HL442" s="250"/>
      <c r="HM442" s="255"/>
      <c r="HN442" s="255"/>
      <c r="HO442" s="255"/>
      <c r="HP442" s="250"/>
      <c r="HQ442" s="250"/>
      <c r="HR442" s="250"/>
      <c r="HS442" s="250"/>
      <c r="HT442" s="250"/>
      <c r="HU442" s="251"/>
      <c r="HX442" s="252"/>
      <c r="HY442" s="252"/>
      <c r="HZ442" s="252"/>
      <c r="ID442" s="252"/>
      <c r="IE442" s="252"/>
      <c r="IF442" s="252"/>
      <c r="IJ442" s="252"/>
      <c r="IK442" s="252"/>
      <c r="IL442" s="252"/>
      <c r="IP442" s="252"/>
      <c r="IQ442" s="252"/>
      <c r="IR442" s="252"/>
      <c r="IY442" s="66"/>
      <c r="IZ442" s="66"/>
      <c r="JA442" s="66"/>
      <c r="JB442" s="250"/>
      <c r="JC442" s="66"/>
      <c r="JD442" s="66"/>
      <c r="JE442" s="66"/>
      <c r="JF442" s="66"/>
      <c r="JG442" s="66"/>
      <c r="JH442" s="66"/>
      <c r="JI442" s="66"/>
      <c r="JJ442" s="66"/>
      <c r="JK442" s="8"/>
      <c r="JN442" s="252"/>
      <c r="JO442" s="252"/>
      <c r="JP442" s="252"/>
      <c r="JT442" s="252"/>
      <c r="JU442" s="252"/>
      <c r="JV442" s="252"/>
      <c r="JZ442" s="252"/>
      <c r="KA442" s="252"/>
      <c r="KB442" s="252"/>
      <c r="KF442" s="252"/>
      <c r="KG442" s="252"/>
      <c r="KH442" s="252"/>
      <c r="KO442" s="66"/>
      <c r="KP442" s="66"/>
      <c r="KQ442" s="66"/>
      <c r="KR442" s="66"/>
      <c r="KS442" s="66"/>
      <c r="KT442" s="66"/>
      <c r="KU442" s="66"/>
      <c r="KV442" s="66"/>
      <c r="KW442" s="66"/>
      <c r="KX442" s="66"/>
      <c r="KY442" s="66"/>
      <c r="KZ442" s="66"/>
      <c r="LA442" s="8"/>
      <c r="LD442" s="252"/>
      <c r="LE442" s="252"/>
      <c r="LF442" s="252"/>
      <c r="LJ442" s="252"/>
      <c r="LK442" s="252"/>
      <c r="LN442" s="252"/>
      <c r="LO442" s="252"/>
      <c r="LP442" s="252"/>
      <c r="LT442" s="271"/>
      <c r="LU442" s="250"/>
      <c r="LV442" s="250"/>
      <c r="LW442" s="250"/>
      <c r="LX442" s="250"/>
      <c r="LY442" s="250"/>
      <c r="LZ442" s="250"/>
      <c r="MA442" s="250"/>
      <c r="MB442" s="250"/>
      <c r="MC442" s="250"/>
      <c r="MD442" s="250"/>
      <c r="ME442" s="250"/>
      <c r="MF442" s="250"/>
      <c r="MG442" s="250"/>
      <c r="MH442" s="250"/>
      <c r="MI442" s="250"/>
      <c r="MJ442" s="250"/>
      <c r="MK442" s="424"/>
      <c r="ML442" s="640"/>
      <c r="MM442" s="251"/>
      <c r="MN442" s="252"/>
      <c r="MO442" s="252"/>
      <c r="MP442" s="252"/>
      <c r="MQ442" s="252"/>
      <c r="MR442" s="252"/>
      <c r="MS442" s="252"/>
      <c r="MT442" s="252"/>
      <c r="MU442" s="252"/>
      <c r="MV442" s="252"/>
      <c r="MW442" s="252"/>
      <c r="MX442" s="252"/>
      <c r="MY442" s="252"/>
      <c r="MZ442" s="252"/>
      <c r="NA442" s="252"/>
      <c r="NB442" s="252"/>
      <c r="NC442" s="251"/>
      <c r="ND442" s="250"/>
      <c r="NE442" s="250"/>
      <c r="NF442" s="250"/>
      <c r="NG442" s="250"/>
      <c r="NH442" s="250"/>
      <c r="NI442" s="250"/>
      <c r="NJ442" s="250"/>
      <c r="NK442" s="250"/>
      <c r="NL442" s="250"/>
      <c r="NM442" s="250"/>
      <c r="NN442" s="250"/>
      <c r="NO442" s="250"/>
      <c r="NP442" s="250"/>
      <c r="NQ442" s="250"/>
      <c r="NR442" s="250"/>
      <c r="NS442" s="250"/>
      <c r="NT442" s="250"/>
      <c r="NU442" s="250"/>
      <c r="NV442" s="250"/>
      <c r="NW442" s="251"/>
      <c r="OT442" s="8"/>
      <c r="QG442" s="8"/>
      <c r="RT442" s="8"/>
    </row>
    <row r="443" spans="1:488" s="282" customFormat="1" x14ac:dyDescent="0.25">
      <c r="A443" s="66"/>
      <c r="B443" s="8"/>
      <c r="C443" s="66"/>
      <c r="D443" s="66"/>
      <c r="E443" s="66"/>
      <c r="F443" s="66"/>
      <c r="G443" s="66"/>
      <c r="H443" s="66"/>
      <c r="I443" s="66"/>
      <c r="J443" s="66"/>
      <c r="K443" s="66"/>
      <c r="L443" s="66"/>
      <c r="M443" s="66"/>
      <c r="N443" s="66"/>
      <c r="O443" s="66"/>
      <c r="P443" s="66"/>
      <c r="Q443" s="66"/>
      <c r="R443" s="66"/>
      <c r="S443" s="66"/>
      <c r="T443" s="68"/>
      <c r="AC443" s="66"/>
      <c r="AD443" s="66"/>
      <c r="AE443" s="68"/>
      <c r="AN443" s="66"/>
      <c r="AO443" s="66"/>
      <c r="AP443" s="68"/>
      <c r="AW443" s="66"/>
      <c r="AX443" s="68"/>
      <c r="BD443" s="66"/>
      <c r="BE443" s="68"/>
      <c r="BF443" s="66"/>
      <c r="BG443" s="66"/>
      <c r="BH443" s="66"/>
      <c r="BI443" s="66"/>
      <c r="BJ443" s="66"/>
      <c r="BK443" s="66"/>
      <c r="BL443" s="68"/>
      <c r="BO443" s="66"/>
      <c r="BP443" s="68"/>
      <c r="BV443" s="66"/>
      <c r="BW443" s="68"/>
      <c r="CB443" s="8"/>
      <c r="CH443" s="8"/>
      <c r="CK443" s="299"/>
      <c r="CL443" s="299"/>
      <c r="CM443" s="66"/>
      <c r="CN443" s="66"/>
      <c r="CO443" s="68"/>
      <c r="CR443" s="8"/>
      <c r="CX443" s="66"/>
      <c r="CY443" s="532"/>
      <c r="DE443" s="66"/>
      <c r="DF443" s="66"/>
      <c r="DG443" s="68"/>
      <c r="DH443" s="68"/>
      <c r="DK443" s="66"/>
      <c r="DL443" s="66"/>
      <c r="DM443" s="66"/>
      <c r="DN443" s="66"/>
      <c r="DO443" s="66"/>
      <c r="DP443" s="66"/>
      <c r="DQ443" s="66"/>
      <c r="DR443" s="66"/>
      <c r="DS443" s="66"/>
      <c r="DT443" s="68"/>
      <c r="DU443" s="66"/>
      <c r="DV443" s="296"/>
      <c r="DW443" s="330"/>
      <c r="DX443" s="631"/>
      <c r="DY443" s="631"/>
      <c r="DZ443" s="631"/>
      <c r="EA443" s="330"/>
      <c r="EC443" s="66"/>
      <c r="ED443" s="68"/>
      <c r="EH443" s="66"/>
      <c r="EI443" s="66"/>
      <c r="EJ443" s="68"/>
      <c r="EK443" s="252"/>
      <c r="EL443" s="252"/>
      <c r="EM443" s="252"/>
      <c r="EO443" s="252"/>
      <c r="EP443" s="252"/>
      <c r="EQ443" s="252"/>
      <c r="ES443" s="252"/>
      <c r="ET443" s="252"/>
      <c r="EU443" s="252"/>
      <c r="EW443" s="252"/>
      <c r="EX443" s="252"/>
      <c r="EY443" s="252"/>
      <c r="FA443" s="250"/>
      <c r="FB443" s="250"/>
      <c r="FC443" s="250"/>
      <c r="FD443" s="250"/>
      <c r="FE443" s="250"/>
      <c r="FF443" s="250"/>
      <c r="FG443" s="250"/>
      <c r="FH443" s="424"/>
      <c r="FI443" s="250"/>
      <c r="FJ443" s="250"/>
      <c r="FK443" s="250"/>
      <c r="FL443" s="256"/>
      <c r="FM443" s="250"/>
      <c r="FN443" s="256"/>
      <c r="FO443" s="250"/>
      <c r="FP443" s="256"/>
      <c r="FQ443" s="250"/>
      <c r="FR443" s="256"/>
      <c r="FS443" s="250"/>
      <c r="FT443" s="256"/>
      <c r="FU443" s="256"/>
      <c r="FV443" s="256"/>
      <c r="FW443" s="250"/>
      <c r="FX443" s="424"/>
      <c r="FY443" s="251"/>
      <c r="GC443" s="252"/>
      <c r="GF443" s="252"/>
      <c r="GG443" s="252"/>
      <c r="GH443" s="252"/>
      <c r="GI443" s="252"/>
      <c r="GJ443" s="252"/>
      <c r="GK443" s="251"/>
      <c r="GL443" s="250"/>
      <c r="GM443" s="250"/>
      <c r="GN443" s="250"/>
      <c r="GO443" s="250"/>
      <c r="GP443" s="250"/>
      <c r="GQ443" s="250"/>
      <c r="GR443" s="250"/>
      <c r="GS443" s="250"/>
      <c r="GT443" s="250"/>
      <c r="GU443" s="251"/>
      <c r="GV443" s="250"/>
      <c r="GW443" s="250"/>
      <c r="GX443" s="250"/>
      <c r="GY443" s="250"/>
      <c r="GZ443" s="250"/>
      <c r="HA443" s="250"/>
      <c r="HB443" s="250"/>
      <c r="HC443" s="250"/>
      <c r="HD443" s="250"/>
      <c r="HE443" s="250"/>
      <c r="HF443" s="250"/>
      <c r="HG443" s="250"/>
      <c r="HH443" s="251"/>
      <c r="HI443" s="424"/>
      <c r="HJ443" s="255"/>
      <c r="HK443" s="255"/>
      <c r="HL443" s="250"/>
      <c r="HM443" s="255"/>
      <c r="HN443" s="255"/>
      <c r="HO443" s="255"/>
      <c r="HP443" s="250"/>
      <c r="HQ443" s="250"/>
      <c r="HR443" s="250"/>
      <c r="HS443" s="250"/>
      <c r="HT443" s="250"/>
      <c r="HU443" s="251"/>
      <c r="HX443" s="252"/>
      <c r="HY443" s="252"/>
      <c r="HZ443" s="252"/>
      <c r="ID443" s="252"/>
      <c r="IE443" s="252"/>
      <c r="IF443" s="252"/>
      <c r="IJ443" s="252"/>
      <c r="IK443" s="252"/>
      <c r="IL443" s="252"/>
      <c r="IP443" s="252"/>
      <c r="IQ443" s="252"/>
      <c r="IR443" s="252"/>
      <c r="IY443" s="66"/>
      <c r="IZ443" s="66"/>
      <c r="JA443" s="66"/>
      <c r="JB443" s="250"/>
      <c r="JC443" s="66"/>
      <c r="JD443" s="66"/>
      <c r="JE443" s="66"/>
      <c r="JF443" s="66"/>
      <c r="JG443" s="66"/>
      <c r="JH443" s="66"/>
      <c r="JI443" s="66"/>
      <c r="JJ443" s="66"/>
      <c r="JK443" s="8"/>
      <c r="JN443" s="252"/>
      <c r="JO443" s="252"/>
      <c r="JP443" s="252"/>
      <c r="JT443" s="252"/>
      <c r="JU443" s="252"/>
      <c r="JV443" s="252"/>
      <c r="JZ443" s="252"/>
      <c r="KA443" s="252"/>
      <c r="KB443" s="252"/>
      <c r="KF443" s="252"/>
      <c r="KG443" s="252"/>
      <c r="KH443" s="252"/>
      <c r="KO443" s="66"/>
      <c r="KP443" s="66"/>
      <c r="KQ443" s="66"/>
      <c r="KR443" s="66"/>
      <c r="KS443" s="66"/>
      <c r="KT443" s="66"/>
      <c r="KU443" s="66"/>
      <c r="KV443" s="66"/>
      <c r="KW443" s="66"/>
      <c r="KX443" s="66"/>
      <c r="KY443" s="66"/>
      <c r="KZ443" s="66"/>
      <c r="LA443" s="8"/>
      <c r="LD443" s="252"/>
      <c r="LE443" s="252"/>
      <c r="LF443" s="252"/>
      <c r="LJ443" s="252"/>
      <c r="LK443" s="252"/>
      <c r="LN443" s="252"/>
      <c r="LO443" s="252"/>
      <c r="LP443" s="252"/>
      <c r="LT443" s="271"/>
      <c r="LU443" s="250"/>
      <c r="LV443" s="250"/>
      <c r="LW443" s="250"/>
      <c r="LX443" s="250"/>
      <c r="LY443" s="250"/>
      <c r="LZ443" s="250"/>
      <c r="MA443" s="250"/>
      <c r="MB443" s="250"/>
      <c r="MC443" s="250"/>
      <c r="MD443" s="250"/>
      <c r="ME443" s="250"/>
      <c r="MF443" s="250"/>
      <c r="MG443" s="250"/>
      <c r="MH443" s="250"/>
      <c r="MI443" s="250"/>
      <c r="MJ443" s="250"/>
      <c r="MK443" s="424"/>
      <c r="ML443" s="640"/>
      <c r="MM443" s="251"/>
      <c r="MN443" s="252"/>
      <c r="MO443" s="252"/>
      <c r="MP443" s="252"/>
      <c r="MQ443" s="252"/>
      <c r="MR443" s="252"/>
      <c r="MS443" s="252"/>
      <c r="MT443" s="252"/>
      <c r="MU443" s="252"/>
      <c r="MV443" s="252"/>
      <c r="MW443" s="252"/>
      <c r="MX443" s="252"/>
      <c r="MY443" s="252"/>
      <c r="MZ443" s="252"/>
      <c r="NA443" s="252"/>
      <c r="NB443" s="252"/>
      <c r="NC443" s="251"/>
      <c r="ND443" s="250"/>
      <c r="NE443" s="250"/>
      <c r="NF443" s="250"/>
      <c r="NG443" s="250"/>
      <c r="NH443" s="250"/>
      <c r="NI443" s="250"/>
      <c r="NJ443" s="250"/>
      <c r="NK443" s="250"/>
      <c r="NL443" s="250"/>
      <c r="NM443" s="250"/>
      <c r="NN443" s="250"/>
      <c r="NO443" s="250"/>
      <c r="NP443" s="250"/>
      <c r="NQ443" s="250"/>
      <c r="NR443" s="250"/>
      <c r="NS443" s="250"/>
      <c r="NT443" s="250"/>
      <c r="NU443" s="250"/>
      <c r="NV443" s="250"/>
      <c r="NW443" s="251"/>
      <c r="OT443" s="8"/>
      <c r="QG443" s="8"/>
      <c r="RT443" s="8"/>
    </row>
    <row r="444" spans="1:488" s="282" customFormat="1" x14ac:dyDescent="0.25">
      <c r="A444" s="66"/>
      <c r="B444" s="8"/>
      <c r="C444" s="66"/>
      <c r="D444" s="66"/>
      <c r="E444" s="66"/>
      <c r="F444" s="66"/>
      <c r="G444" s="66"/>
      <c r="H444" s="66"/>
      <c r="I444" s="66"/>
      <c r="J444" s="66"/>
      <c r="K444" s="66"/>
      <c r="L444" s="66"/>
      <c r="M444" s="66"/>
      <c r="N444" s="66"/>
      <c r="O444" s="66"/>
      <c r="P444" s="66"/>
      <c r="Q444" s="66"/>
      <c r="R444" s="66"/>
      <c r="S444" s="66"/>
      <c r="T444" s="68"/>
      <c r="AC444" s="66"/>
      <c r="AD444" s="66"/>
      <c r="AE444" s="68"/>
      <c r="AN444" s="66"/>
      <c r="AO444" s="66"/>
      <c r="AP444" s="68"/>
      <c r="AW444" s="66"/>
      <c r="AX444" s="68"/>
      <c r="BD444" s="66"/>
      <c r="BE444" s="68"/>
      <c r="BF444" s="66"/>
      <c r="BG444" s="66"/>
      <c r="BH444" s="66"/>
      <c r="BI444" s="66"/>
      <c r="BJ444" s="66"/>
      <c r="BK444" s="66"/>
      <c r="BL444" s="68"/>
      <c r="BO444" s="66"/>
      <c r="BP444" s="68"/>
      <c r="BV444" s="66"/>
      <c r="BW444" s="68"/>
      <c r="CB444" s="8"/>
      <c r="CH444" s="8"/>
      <c r="CK444" s="299"/>
      <c r="CL444" s="299"/>
      <c r="CM444" s="66"/>
      <c r="CN444" s="66"/>
      <c r="CO444" s="68"/>
      <c r="CR444" s="8"/>
      <c r="CX444" s="66"/>
      <c r="CY444" s="532"/>
      <c r="DE444" s="66"/>
      <c r="DF444" s="66"/>
      <c r="DG444" s="68"/>
      <c r="DH444" s="68"/>
      <c r="DK444" s="66"/>
      <c r="DL444" s="66"/>
      <c r="DM444" s="66"/>
      <c r="DN444" s="66"/>
      <c r="DO444" s="66"/>
      <c r="DP444" s="66"/>
      <c r="DQ444" s="66"/>
      <c r="DR444" s="66"/>
      <c r="DS444" s="66"/>
      <c r="DT444" s="68"/>
      <c r="DU444" s="66"/>
      <c r="DV444" s="296"/>
      <c r="DW444" s="330"/>
      <c r="DX444" s="631"/>
      <c r="DY444" s="631"/>
      <c r="DZ444" s="631"/>
      <c r="EA444" s="330"/>
      <c r="EC444" s="66"/>
      <c r="ED444" s="68"/>
      <c r="EH444" s="66"/>
      <c r="EI444" s="66"/>
      <c r="EJ444" s="68"/>
      <c r="EK444" s="252"/>
      <c r="EL444" s="252"/>
      <c r="EM444" s="252"/>
      <c r="EO444" s="252"/>
      <c r="EP444" s="252"/>
      <c r="EQ444" s="252"/>
      <c r="ES444" s="252"/>
      <c r="ET444" s="252"/>
      <c r="EU444" s="252"/>
      <c r="EW444" s="252"/>
      <c r="EX444" s="252"/>
      <c r="EY444" s="252"/>
      <c r="FA444" s="250"/>
      <c r="FB444" s="250"/>
      <c r="FC444" s="250"/>
      <c r="FD444" s="250"/>
      <c r="FE444" s="250"/>
      <c r="FF444" s="250"/>
      <c r="FG444" s="250"/>
      <c r="FH444" s="424"/>
      <c r="FI444" s="250"/>
      <c r="FJ444" s="250"/>
      <c r="FK444" s="250"/>
      <c r="FL444" s="256"/>
      <c r="FM444" s="250"/>
      <c r="FN444" s="256"/>
      <c r="FO444" s="250"/>
      <c r="FP444" s="256"/>
      <c r="FQ444" s="250"/>
      <c r="FR444" s="256"/>
      <c r="FS444" s="250"/>
      <c r="FT444" s="256"/>
      <c r="FU444" s="256"/>
      <c r="FV444" s="256"/>
      <c r="FW444" s="250"/>
      <c r="FX444" s="424"/>
      <c r="FY444" s="251"/>
      <c r="GC444" s="252"/>
      <c r="GF444" s="252"/>
      <c r="GG444" s="252"/>
      <c r="GH444" s="252"/>
      <c r="GI444" s="252"/>
      <c r="GJ444" s="252"/>
      <c r="GK444" s="251"/>
      <c r="GL444" s="250"/>
      <c r="GM444" s="250"/>
      <c r="GN444" s="250"/>
      <c r="GO444" s="250"/>
      <c r="GP444" s="250"/>
      <c r="GQ444" s="250"/>
      <c r="GR444" s="250"/>
      <c r="GS444" s="250"/>
      <c r="GT444" s="250"/>
      <c r="GU444" s="251"/>
      <c r="GV444" s="250"/>
      <c r="GW444" s="250"/>
      <c r="GX444" s="250"/>
      <c r="GY444" s="250"/>
      <c r="GZ444" s="250"/>
      <c r="HA444" s="250"/>
      <c r="HB444" s="250"/>
      <c r="HC444" s="250"/>
      <c r="HD444" s="250"/>
      <c r="HE444" s="250"/>
      <c r="HF444" s="250"/>
      <c r="HG444" s="250"/>
      <c r="HH444" s="251"/>
      <c r="HI444" s="424"/>
      <c r="HJ444" s="255"/>
      <c r="HK444" s="255"/>
      <c r="HL444" s="250"/>
      <c r="HM444" s="255"/>
      <c r="HN444" s="255"/>
      <c r="HO444" s="255"/>
      <c r="HP444" s="250"/>
      <c r="HQ444" s="250"/>
      <c r="HR444" s="250"/>
      <c r="HS444" s="250"/>
      <c r="HT444" s="250"/>
      <c r="HU444" s="251"/>
      <c r="HX444" s="252"/>
      <c r="HY444" s="252"/>
      <c r="HZ444" s="252"/>
      <c r="ID444" s="252"/>
      <c r="IE444" s="252"/>
      <c r="IF444" s="252"/>
      <c r="IJ444" s="252"/>
      <c r="IK444" s="252"/>
      <c r="IL444" s="252"/>
      <c r="IP444" s="252"/>
      <c r="IQ444" s="252"/>
      <c r="IR444" s="252"/>
      <c r="IY444" s="66"/>
      <c r="IZ444" s="66"/>
      <c r="JA444" s="66"/>
      <c r="JB444" s="250"/>
      <c r="JC444" s="66"/>
      <c r="JD444" s="66"/>
      <c r="JE444" s="66"/>
      <c r="JF444" s="66"/>
      <c r="JG444" s="66"/>
      <c r="JH444" s="66"/>
      <c r="JI444" s="66"/>
      <c r="JJ444" s="66"/>
      <c r="JK444" s="8"/>
      <c r="JN444" s="252"/>
      <c r="JO444" s="252"/>
      <c r="JP444" s="252"/>
      <c r="JT444" s="252"/>
      <c r="JU444" s="252"/>
      <c r="JV444" s="252"/>
      <c r="JZ444" s="252"/>
      <c r="KA444" s="252"/>
      <c r="KB444" s="252"/>
      <c r="KF444" s="252"/>
      <c r="KG444" s="252"/>
      <c r="KH444" s="252"/>
      <c r="KO444" s="66"/>
      <c r="KP444" s="66"/>
      <c r="KQ444" s="66"/>
      <c r="KR444" s="66"/>
      <c r="KS444" s="66"/>
      <c r="KT444" s="66"/>
      <c r="KU444" s="66"/>
      <c r="KV444" s="66"/>
      <c r="KW444" s="66"/>
      <c r="KX444" s="66"/>
      <c r="KY444" s="66"/>
      <c r="KZ444" s="66"/>
      <c r="LA444" s="8"/>
      <c r="LD444" s="252"/>
      <c r="LE444" s="252"/>
      <c r="LF444" s="252"/>
      <c r="LJ444" s="252"/>
      <c r="LK444" s="252"/>
      <c r="LN444" s="252"/>
      <c r="LO444" s="252"/>
      <c r="LP444" s="252"/>
      <c r="LT444" s="271"/>
      <c r="LU444" s="250"/>
      <c r="LV444" s="250"/>
      <c r="LW444" s="250"/>
      <c r="LX444" s="250"/>
      <c r="LY444" s="250"/>
      <c r="LZ444" s="250"/>
      <c r="MA444" s="250"/>
      <c r="MB444" s="250"/>
      <c r="MC444" s="250"/>
      <c r="MD444" s="250"/>
      <c r="ME444" s="250"/>
      <c r="MF444" s="250"/>
      <c r="MG444" s="250"/>
      <c r="MH444" s="250"/>
      <c r="MI444" s="250"/>
      <c r="MJ444" s="250"/>
      <c r="MK444" s="424"/>
      <c r="ML444" s="640"/>
      <c r="MM444" s="251"/>
      <c r="MN444" s="252"/>
      <c r="MO444" s="252"/>
      <c r="MP444" s="252"/>
      <c r="MQ444" s="252"/>
      <c r="MR444" s="252"/>
      <c r="MS444" s="252"/>
      <c r="MT444" s="252"/>
      <c r="MU444" s="252"/>
      <c r="MV444" s="252"/>
      <c r="MW444" s="252"/>
      <c r="MX444" s="252"/>
      <c r="MY444" s="252"/>
      <c r="MZ444" s="252"/>
      <c r="NA444" s="252"/>
      <c r="NB444" s="252"/>
      <c r="NC444" s="251"/>
      <c r="ND444" s="250"/>
      <c r="NE444" s="250"/>
      <c r="NF444" s="250"/>
      <c r="NG444" s="250"/>
      <c r="NH444" s="250"/>
      <c r="NI444" s="250"/>
      <c r="NJ444" s="250"/>
      <c r="NK444" s="250"/>
      <c r="NL444" s="250"/>
      <c r="NM444" s="250"/>
      <c r="NN444" s="250"/>
      <c r="NO444" s="250"/>
      <c r="NP444" s="250"/>
      <c r="NQ444" s="250"/>
      <c r="NR444" s="250"/>
      <c r="NS444" s="250"/>
      <c r="NT444" s="250"/>
      <c r="NU444" s="250"/>
      <c r="NV444" s="250"/>
      <c r="NW444" s="251"/>
      <c r="OT444" s="8"/>
      <c r="QG444" s="8"/>
      <c r="RT444" s="8"/>
    </row>
    <row r="445" spans="1:488" s="282" customFormat="1" x14ac:dyDescent="0.25">
      <c r="A445" s="66"/>
      <c r="B445" s="8"/>
      <c r="C445" s="66"/>
      <c r="D445" s="66"/>
      <c r="E445" s="66"/>
      <c r="F445" s="66"/>
      <c r="G445" s="66"/>
      <c r="H445" s="66"/>
      <c r="I445" s="66"/>
      <c r="J445" s="66"/>
      <c r="K445" s="66"/>
      <c r="L445" s="66"/>
      <c r="M445" s="66"/>
      <c r="N445" s="66"/>
      <c r="O445" s="66"/>
      <c r="P445" s="66"/>
      <c r="Q445" s="66"/>
      <c r="R445" s="66"/>
      <c r="S445" s="66"/>
      <c r="T445" s="68"/>
      <c r="AC445" s="66"/>
      <c r="AD445" s="66"/>
      <c r="AE445" s="68"/>
      <c r="AN445" s="66"/>
      <c r="AO445" s="66"/>
      <c r="AP445" s="68"/>
      <c r="AW445" s="66"/>
      <c r="AX445" s="68"/>
      <c r="BD445" s="66"/>
      <c r="BE445" s="68"/>
      <c r="BF445" s="66"/>
      <c r="BG445" s="66"/>
      <c r="BH445" s="66"/>
      <c r="BI445" s="66"/>
      <c r="BJ445" s="66"/>
      <c r="BK445" s="66"/>
      <c r="BL445" s="68"/>
      <c r="BO445" s="66"/>
      <c r="BP445" s="68"/>
      <c r="BV445" s="66"/>
      <c r="BW445" s="68"/>
      <c r="CB445" s="8"/>
      <c r="CH445" s="8"/>
      <c r="CK445" s="299"/>
      <c r="CL445" s="299"/>
      <c r="CM445" s="66"/>
      <c r="CN445" s="66"/>
      <c r="CO445" s="68"/>
      <c r="CR445" s="8"/>
      <c r="CX445" s="66"/>
      <c r="CY445" s="532"/>
      <c r="DE445" s="66"/>
      <c r="DF445" s="66"/>
      <c r="DG445" s="68"/>
      <c r="DH445" s="68"/>
      <c r="DK445" s="66"/>
      <c r="DL445" s="66"/>
      <c r="DM445" s="66"/>
      <c r="DN445" s="66"/>
      <c r="DO445" s="66"/>
      <c r="DP445" s="66"/>
      <c r="DQ445" s="66"/>
      <c r="DR445" s="66"/>
      <c r="DS445" s="66"/>
      <c r="DT445" s="68"/>
      <c r="DU445" s="66"/>
      <c r="DV445" s="296"/>
      <c r="DW445" s="330"/>
      <c r="DX445" s="631"/>
      <c r="DY445" s="631"/>
      <c r="DZ445" s="631"/>
      <c r="EA445" s="330"/>
      <c r="EC445" s="66"/>
      <c r="ED445" s="68"/>
      <c r="EH445" s="66"/>
      <c r="EI445" s="66"/>
      <c r="EJ445" s="68"/>
      <c r="EK445" s="252"/>
      <c r="EL445" s="252"/>
      <c r="EM445" s="252"/>
      <c r="EO445" s="252"/>
      <c r="EP445" s="252"/>
      <c r="EQ445" s="252"/>
      <c r="ES445" s="252"/>
      <c r="ET445" s="252"/>
      <c r="EU445" s="252"/>
      <c r="EW445" s="252"/>
      <c r="EX445" s="252"/>
      <c r="EY445" s="252"/>
      <c r="FA445" s="250"/>
      <c r="FB445" s="250"/>
      <c r="FC445" s="250"/>
      <c r="FD445" s="250"/>
      <c r="FE445" s="250"/>
      <c r="FF445" s="250"/>
      <c r="FG445" s="250"/>
      <c r="FH445" s="424"/>
      <c r="FI445" s="250"/>
      <c r="FJ445" s="250"/>
      <c r="FK445" s="250"/>
      <c r="FL445" s="256"/>
      <c r="FM445" s="250"/>
      <c r="FN445" s="256"/>
      <c r="FO445" s="250"/>
      <c r="FP445" s="256"/>
      <c r="FQ445" s="250"/>
      <c r="FR445" s="256"/>
      <c r="FS445" s="250"/>
      <c r="FT445" s="256"/>
      <c r="FU445" s="256"/>
      <c r="FV445" s="256"/>
      <c r="FW445" s="250"/>
      <c r="FX445" s="424"/>
      <c r="FY445" s="251"/>
      <c r="GC445" s="252"/>
      <c r="GF445" s="252"/>
      <c r="GG445" s="252"/>
      <c r="GH445" s="252"/>
      <c r="GI445" s="252"/>
      <c r="GJ445" s="252"/>
      <c r="GK445" s="251"/>
      <c r="GL445" s="250"/>
      <c r="GM445" s="250"/>
      <c r="GN445" s="250"/>
      <c r="GO445" s="250"/>
      <c r="GP445" s="250"/>
      <c r="GQ445" s="250"/>
      <c r="GR445" s="250"/>
      <c r="GS445" s="250"/>
      <c r="GT445" s="250"/>
      <c r="GU445" s="251"/>
      <c r="GV445" s="250"/>
      <c r="GW445" s="250"/>
      <c r="GX445" s="250"/>
      <c r="GY445" s="250"/>
      <c r="GZ445" s="250"/>
      <c r="HA445" s="250"/>
      <c r="HB445" s="250"/>
      <c r="HC445" s="250"/>
      <c r="HD445" s="250"/>
      <c r="HE445" s="250"/>
      <c r="HF445" s="250"/>
      <c r="HG445" s="250"/>
      <c r="HH445" s="251"/>
      <c r="HI445" s="424"/>
      <c r="HJ445" s="255"/>
      <c r="HK445" s="255"/>
      <c r="HL445" s="250"/>
      <c r="HM445" s="255"/>
      <c r="HN445" s="255"/>
      <c r="HO445" s="255"/>
      <c r="HP445" s="250"/>
      <c r="HQ445" s="250"/>
      <c r="HR445" s="250"/>
      <c r="HS445" s="250"/>
      <c r="HT445" s="250"/>
      <c r="HU445" s="251"/>
      <c r="HX445" s="252"/>
      <c r="HY445" s="252"/>
      <c r="HZ445" s="252"/>
      <c r="ID445" s="252"/>
      <c r="IE445" s="252"/>
      <c r="IF445" s="252"/>
      <c r="IJ445" s="252"/>
      <c r="IK445" s="252"/>
      <c r="IL445" s="252"/>
      <c r="IP445" s="252"/>
      <c r="IQ445" s="252"/>
      <c r="IR445" s="252"/>
      <c r="IY445" s="66"/>
      <c r="IZ445" s="66"/>
      <c r="JA445" s="66"/>
      <c r="JB445" s="250"/>
      <c r="JC445" s="66"/>
      <c r="JD445" s="66"/>
      <c r="JE445" s="66"/>
      <c r="JF445" s="66"/>
      <c r="JG445" s="66"/>
      <c r="JH445" s="66"/>
      <c r="JI445" s="66"/>
      <c r="JJ445" s="66"/>
      <c r="JK445" s="8"/>
      <c r="JN445" s="252"/>
      <c r="JO445" s="252"/>
      <c r="JP445" s="252"/>
      <c r="JT445" s="252"/>
      <c r="JU445" s="252"/>
      <c r="JV445" s="252"/>
      <c r="JZ445" s="252"/>
      <c r="KA445" s="252"/>
      <c r="KB445" s="252"/>
      <c r="KF445" s="252"/>
      <c r="KG445" s="252"/>
      <c r="KH445" s="252"/>
      <c r="KO445" s="66"/>
      <c r="KP445" s="66"/>
      <c r="KQ445" s="66"/>
      <c r="KR445" s="66"/>
      <c r="KS445" s="66"/>
      <c r="KT445" s="66"/>
      <c r="KU445" s="66"/>
      <c r="KV445" s="66"/>
      <c r="KW445" s="66"/>
      <c r="KX445" s="66"/>
      <c r="KY445" s="66"/>
      <c r="KZ445" s="66"/>
      <c r="LA445" s="8"/>
      <c r="LD445" s="252"/>
      <c r="LE445" s="252"/>
      <c r="LF445" s="252"/>
      <c r="LJ445" s="252"/>
      <c r="LK445" s="252"/>
      <c r="LN445" s="252"/>
      <c r="LO445" s="252"/>
      <c r="LP445" s="252"/>
      <c r="LT445" s="271"/>
      <c r="LU445" s="250"/>
      <c r="LV445" s="250"/>
      <c r="LW445" s="250"/>
      <c r="LX445" s="250"/>
      <c r="LY445" s="250"/>
      <c r="LZ445" s="250"/>
      <c r="MA445" s="250"/>
      <c r="MB445" s="250"/>
      <c r="MC445" s="250"/>
      <c r="MD445" s="250"/>
      <c r="ME445" s="250"/>
      <c r="MF445" s="250"/>
      <c r="MG445" s="250"/>
      <c r="MH445" s="250"/>
      <c r="MI445" s="250"/>
      <c r="MJ445" s="250"/>
      <c r="MK445" s="424"/>
      <c r="ML445" s="640"/>
      <c r="MM445" s="251"/>
      <c r="MN445" s="252"/>
      <c r="MO445" s="252"/>
      <c r="MP445" s="252"/>
      <c r="MQ445" s="252"/>
      <c r="MR445" s="252"/>
      <c r="MS445" s="252"/>
      <c r="MT445" s="252"/>
      <c r="MU445" s="252"/>
      <c r="MV445" s="252"/>
      <c r="MW445" s="252"/>
      <c r="MX445" s="252"/>
      <c r="MY445" s="252"/>
      <c r="MZ445" s="252"/>
      <c r="NA445" s="252"/>
      <c r="NB445" s="252"/>
      <c r="NC445" s="251"/>
      <c r="ND445" s="250"/>
      <c r="NE445" s="250"/>
      <c r="NF445" s="250"/>
      <c r="NG445" s="250"/>
      <c r="NH445" s="250"/>
      <c r="NI445" s="250"/>
      <c r="NJ445" s="250"/>
      <c r="NK445" s="250"/>
      <c r="NL445" s="250"/>
      <c r="NM445" s="250"/>
      <c r="NN445" s="250"/>
      <c r="NO445" s="250"/>
      <c r="NP445" s="250"/>
      <c r="NQ445" s="250"/>
      <c r="NR445" s="250"/>
      <c r="NS445" s="250"/>
      <c r="NT445" s="250"/>
      <c r="NU445" s="250"/>
      <c r="NV445" s="250"/>
      <c r="NW445" s="251"/>
      <c r="OT445" s="8"/>
      <c r="QG445" s="8"/>
      <c r="RT445" s="8"/>
    </row>
    <row r="446" spans="1:488" s="282" customFormat="1" x14ac:dyDescent="0.25">
      <c r="A446" s="66"/>
      <c r="B446" s="8"/>
      <c r="C446" s="66"/>
      <c r="D446" s="66"/>
      <c r="E446" s="66"/>
      <c r="F446" s="66"/>
      <c r="G446" s="66"/>
      <c r="H446" s="66"/>
      <c r="I446" s="66"/>
      <c r="J446" s="66"/>
      <c r="K446" s="66"/>
      <c r="L446" s="66"/>
      <c r="M446" s="66"/>
      <c r="N446" s="66"/>
      <c r="O446" s="66"/>
      <c r="P446" s="66"/>
      <c r="Q446" s="66"/>
      <c r="R446" s="66"/>
      <c r="S446" s="66"/>
      <c r="T446" s="68"/>
      <c r="AC446" s="66"/>
      <c r="AD446" s="66"/>
      <c r="AE446" s="68"/>
      <c r="AN446" s="66"/>
      <c r="AO446" s="66"/>
      <c r="AP446" s="68"/>
      <c r="AW446" s="66"/>
      <c r="AX446" s="68"/>
      <c r="BD446" s="66"/>
      <c r="BE446" s="68"/>
      <c r="BF446" s="66"/>
      <c r="BG446" s="66"/>
      <c r="BH446" s="66"/>
      <c r="BI446" s="66"/>
      <c r="BJ446" s="66"/>
      <c r="BK446" s="66"/>
      <c r="BL446" s="68"/>
      <c r="BO446" s="66"/>
      <c r="BP446" s="68"/>
      <c r="BV446" s="66"/>
      <c r="BW446" s="68"/>
      <c r="CB446" s="8"/>
      <c r="CH446" s="8"/>
      <c r="CK446" s="299"/>
      <c r="CL446" s="299"/>
      <c r="CM446" s="66"/>
      <c r="CN446" s="66"/>
      <c r="CO446" s="68"/>
      <c r="CR446" s="8"/>
      <c r="CX446" s="66"/>
      <c r="CY446" s="532"/>
      <c r="DE446" s="66"/>
      <c r="DF446" s="66"/>
      <c r="DG446" s="68"/>
      <c r="DH446" s="68"/>
      <c r="DK446" s="66"/>
      <c r="DL446" s="66"/>
      <c r="DM446" s="66"/>
      <c r="DN446" s="66"/>
      <c r="DO446" s="66"/>
      <c r="DP446" s="66"/>
      <c r="DQ446" s="66"/>
      <c r="DR446" s="66"/>
      <c r="DS446" s="66"/>
      <c r="DT446" s="68"/>
      <c r="DU446" s="66"/>
      <c r="DV446" s="296"/>
      <c r="DW446" s="330"/>
      <c r="DX446" s="631"/>
      <c r="DY446" s="631"/>
      <c r="DZ446" s="631"/>
      <c r="EA446" s="330"/>
      <c r="EC446" s="66"/>
      <c r="ED446" s="68"/>
      <c r="EH446" s="66"/>
      <c r="EI446" s="66"/>
      <c r="EJ446" s="68"/>
      <c r="EK446" s="252"/>
      <c r="EL446" s="252"/>
      <c r="EM446" s="252"/>
      <c r="EO446" s="252"/>
      <c r="EP446" s="252"/>
      <c r="EQ446" s="252"/>
      <c r="ES446" s="252"/>
      <c r="ET446" s="252"/>
      <c r="EU446" s="252"/>
      <c r="EW446" s="252"/>
      <c r="EX446" s="252"/>
      <c r="EY446" s="252"/>
      <c r="FA446" s="250"/>
      <c r="FB446" s="250"/>
      <c r="FC446" s="250"/>
      <c r="FD446" s="250"/>
      <c r="FE446" s="250"/>
      <c r="FF446" s="250"/>
      <c r="FG446" s="250"/>
      <c r="FH446" s="424"/>
      <c r="FI446" s="250"/>
      <c r="FJ446" s="250"/>
      <c r="FK446" s="250"/>
      <c r="FL446" s="256"/>
      <c r="FM446" s="250"/>
      <c r="FN446" s="256"/>
      <c r="FO446" s="250"/>
      <c r="FP446" s="256"/>
      <c r="FQ446" s="250"/>
      <c r="FR446" s="256"/>
      <c r="FS446" s="250"/>
      <c r="FT446" s="256"/>
      <c r="FU446" s="256"/>
      <c r="FV446" s="256"/>
      <c r="FW446" s="250"/>
      <c r="FX446" s="424"/>
      <c r="FY446" s="251"/>
      <c r="GC446" s="252"/>
      <c r="GF446" s="252"/>
      <c r="GG446" s="252"/>
      <c r="GH446" s="252"/>
      <c r="GI446" s="252"/>
      <c r="GJ446" s="252"/>
      <c r="GK446" s="251"/>
      <c r="GL446" s="250"/>
      <c r="GM446" s="250"/>
      <c r="GN446" s="250"/>
      <c r="GO446" s="250"/>
      <c r="GP446" s="250"/>
      <c r="GQ446" s="250"/>
      <c r="GR446" s="250"/>
      <c r="GS446" s="250"/>
      <c r="GT446" s="250"/>
      <c r="GU446" s="251"/>
      <c r="GV446" s="250"/>
      <c r="GW446" s="250"/>
      <c r="GX446" s="250"/>
      <c r="GY446" s="250"/>
      <c r="GZ446" s="250"/>
      <c r="HA446" s="250"/>
      <c r="HB446" s="250"/>
      <c r="HC446" s="250"/>
      <c r="HD446" s="250"/>
      <c r="HE446" s="250"/>
      <c r="HF446" s="250"/>
      <c r="HG446" s="250"/>
      <c r="HH446" s="251"/>
      <c r="HI446" s="424"/>
      <c r="HJ446" s="255"/>
      <c r="HK446" s="255"/>
      <c r="HL446" s="250"/>
      <c r="HM446" s="255"/>
      <c r="HN446" s="255"/>
      <c r="HO446" s="255"/>
      <c r="HP446" s="250"/>
      <c r="HQ446" s="250"/>
      <c r="HR446" s="250"/>
      <c r="HS446" s="250"/>
      <c r="HT446" s="250"/>
      <c r="HU446" s="251"/>
      <c r="HX446" s="252"/>
      <c r="HY446" s="252"/>
      <c r="HZ446" s="252"/>
      <c r="ID446" s="252"/>
      <c r="IE446" s="252"/>
      <c r="IF446" s="252"/>
      <c r="IJ446" s="252"/>
      <c r="IK446" s="252"/>
      <c r="IL446" s="252"/>
      <c r="IP446" s="252"/>
      <c r="IQ446" s="252"/>
      <c r="IR446" s="252"/>
      <c r="IY446" s="66"/>
      <c r="IZ446" s="66"/>
      <c r="JA446" s="66"/>
      <c r="JB446" s="250"/>
      <c r="JC446" s="66"/>
      <c r="JD446" s="66"/>
      <c r="JE446" s="66"/>
      <c r="JF446" s="66"/>
      <c r="JG446" s="66"/>
      <c r="JH446" s="66"/>
      <c r="JI446" s="66"/>
      <c r="JJ446" s="66"/>
      <c r="JK446" s="8"/>
      <c r="JN446" s="252"/>
      <c r="JO446" s="252"/>
      <c r="JP446" s="252"/>
      <c r="JT446" s="252"/>
      <c r="JU446" s="252"/>
      <c r="JV446" s="252"/>
      <c r="JZ446" s="252"/>
      <c r="KA446" s="252"/>
      <c r="KB446" s="252"/>
      <c r="KF446" s="252"/>
      <c r="KG446" s="252"/>
      <c r="KH446" s="252"/>
      <c r="KO446" s="66"/>
      <c r="KP446" s="66"/>
      <c r="KQ446" s="66"/>
      <c r="KR446" s="66"/>
      <c r="KS446" s="66"/>
      <c r="KT446" s="66"/>
      <c r="KU446" s="66"/>
      <c r="KV446" s="66"/>
      <c r="KW446" s="66"/>
      <c r="KX446" s="66"/>
      <c r="KY446" s="66"/>
      <c r="KZ446" s="66"/>
      <c r="LA446" s="8"/>
      <c r="LD446" s="252"/>
      <c r="LE446" s="252"/>
      <c r="LF446" s="252"/>
      <c r="LJ446" s="252"/>
      <c r="LK446" s="252"/>
      <c r="LN446" s="252"/>
      <c r="LO446" s="252"/>
      <c r="LP446" s="252"/>
      <c r="LT446" s="271"/>
      <c r="LU446" s="250"/>
      <c r="LV446" s="250"/>
      <c r="LW446" s="250"/>
      <c r="LX446" s="250"/>
      <c r="LY446" s="250"/>
      <c r="LZ446" s="250"/>
      <c r="MA446" s="250"/>
      <c r="MB446" s="250"/>
      <c r="MC446" s="250"/>
      <c r="MD446" s="250"/>
      <c r="ME446" s="250"/>
      <c r="MF446" s="250"/>
      <c r="MG446" s="250"/>
      <c r="MH446" s="250"/>
      <c r="MI446" s="250"/>
      <c r="MJ446" s="250"/>
      <c r="MK446" s="424"/>
      <c r="ML446" s="640"/>
      <c r="MM446" s="251"/>
      <c r="MN446" s="252"/>
      <c r="MO446" s="252"/>
      <c r="MP446" s="252"/>
      <c r="MQ446" s="252"/>
      <c r="MR446" s="252"/>
      <c r="MS446" s="252"/>
      <c r="MT446" s="252"/>
      <c r="MU446" s="252"/>
      <c r="MV446" s="252"/>
      <c r="MW446" s="252"/>
      <c r="MX446" s="252"/>
      <c r="MY446" s="252"/>
      <c r="MZ446" s="252"/>
      <c r="NA446" s="252"/>
      <c r="NB446" s="252"/>
      <c r="NC446" s="251"/>
      <c r="ND446" s="250"/>
      <c r="NE446" s="250"/>
      <c r="NF446" s="250"/>
      <c r="NG446" s="250"/>
      <c r="NH446" s="250"/>
      <c r="NI446" s="250"/>
      <c r="NJ446" s="250"/>
      <c r="NK446" s="250"/>
      <c r="NL446" s="250"/>
      <c r="NM446" s="250"/>
      <c r="NN446" s="250"/>
      <c r="NO446" s="250"/>
      <c r="NP446" s="250"/>
      <c r="NQ446" s="250"/>
      <c r="NR446" s="250"/>
      <c r="NS446" s="250"/>
      <c r="NT446" s="250"/>
      <c r="NU446" s="250"/>
      <c r="NV446" s="250"/>
      <c r="NW446" s="251"/>
      <c r="OT446" s="8"/>
      <c r="QG446" s="8"/>
      <c r="RT446" s="8"/>
    </row>
    <row r="447" spans="1:488" s="282" customFormat="1" x14ac:dyDescent="0.25">
      <c r="A447" s="66"/>
      <c r="B447" s="8"/>
      <c r="C447" s="66"/>
      <c r="D447" s="66"/>
      <c r="E447" s="66"/>
      <c r="F447" s="66"/>
      <c r="G447" s="66"/>
      <c r="H447" s="66"/>
      <c r="I447" s="66"/>
      <c r="J447" s="66"/>
      <c r="K447" s="66"/>
      <c r="L447" s="66"/>
      <c r="M447" s="66"/>
      <c r="N447" s="66"/>
      <c r="O447" s="66"/>
      <c r="P447" s="66"/>
      <c r="Q447" s="66"/>
      <c r="R447" s="66"/>
      <c r="S447" s="66"/>
      <c r="T447" s="68"/>
      <c r="AC447" s="66"/>
      <c r="AD447" s="66"/>
      <c r="AE447" s="68"/>
      <c r="AN447" s="66"/>
      <c r="AO447" s="66"/>
      <c r="AP447" s="68"/>
      <c r="AW447" s="66"/>
      <c r="AX447" s="68"/>
      <c r="BD447" s="66"/>
      <c r="BE447" s="68"/>
      <c r="BF447" s="66"/>
      <c r="BG447" s="66"/>
      <c r="BH447" s="66"/>
      <c r="BI447" s="66"/>
      <c r="BJ447" s="66"/>
      <c r="BK447" s="66"/>
      <c r="BL447" s="68"/>
      <c r="BO447" s="66"/>
      <c r="BP447" s="68"/>
      <c r="BV447" s="66"/>
      <c r="BW447" s="68"/>
      <c r="CB447" s="8"/>
      <c r="CH447" s="8"/>
      <c r="CK447" s="299"/>
      <c r="CL447" s="299"/>
      <c r="CM447" s="66"/>
      <c r="CN447" s="66"/>
      <c r="CO447" s="68"/>
      <c r="CR447" s="8"/>
      <c r="CX447" s="66"/>
      <c r="CY447" s="532"/>
      <c r="DE447" s="66"/>
      <c r="DF447" s="66"/>
      <c r="DG447" s="68"/>
      <c r="DH447" s="68"/>
      <c r="DK447" s="66"/>
      <c r="DL447" s="66"/>
      <c r="DM447" s="66"/>
      <c r="DN447" s="66"/>
      <c r="DO447" s="66"/>
      <c r="DP447" s="66"/>
      <c r="DQ447" s="66"/>
      <c r="DR447" s="66"/>
      <c r="DS447" s="66"/>
      <c r="DT447" s="68"/>
      <c r="DU447" s="66"/>
      <c r="DV447" s="296"/>
      <c r="DW447" s="330"/>
      <c r="DX447" s="631"/>
      <c r="DY447" s="631"/>
      <c r="DZ447" s="631"/>
      <c r="EA447" s="330"/>
      <c r="EC447" s="66"/>
      <c r="ED447" s="68"/>
      <c r="EH447" s="66"/>
      <c r="EI447" s="66"/>
      <c r="EJ447" s="68"/>
      <c r="EK447" s="252"/>
      <c r="EL447" s="252"/>
      <c r="EM447" s="252"/>
      <c r="EO447" s="252"/>
      <c r="EP447" s="252"/>
      <c r="EQ447" s="252"/>
      <c r="ES447" s="252"/>
      <c r="ET447" s="252"/>
      <c r="EU447" s="252"/>
      <c r="EW447" s="252"/>
      <c r="EX447" s="252"/>
      <c r="EY447" s="252"/>
      <c r="FA447" s="250"/>
      <c r="FB447" s="250"/>
      <c r="FC447" s="250"/>
      <c r="FD447" s="250"/>
      <c r="FE447" s="250"/>
      <c r="FF447" s="250"/>
      <c r="FG447" s="250"/>
      <c r="FH447" s="424"/>
      <c r="FI447" s="250"/>
      <c r="FJ447" s="250"/>
      <c r="FK447" s="250"/>
      <c r="FL447" s="256"/>
      <c r="FM447" s="250"/>
      <c r="FN447" s="256"/>
      <c r="FO447" s="250"/>
      <c r="FP447" s="256"/>
      <c r="FQ447" s="250"/>
      <c r="FR447" s="256"/>
      <c r="FS447" s="250"/>
      <c r="FT447" s="256"/>
      <c r="FU447" s="256"/>
      <c r="FV447" s="256"/>
      <c r="FW447" s="250"/>
      <c r="FX447" s="424"/>
      <c r="FY447" s="251"/>
      <c r="GC447" s="252"/>
      <c r="GF447" s="252"/>
      <c r="GG447" s="252"/>
      <c r="GH447" s="252"/>
      <c r="GI447" s="252"/>
      <c r="GJ447" s="252"/>
      <c r="GK447" s="251"/>
      <c r="GL447" s="250"/>
      <c r="GM447" s="250"/>
      <c r="GN447" s="250"/>
      <c r="GO447" s="250"/>
      <c r="GP447" s="250"/>
      <c r="GQ447" s="250"/>
      <c r="GR447" s="250"/>
      <c r="GS447" s="250"/>
      <c r="GT447" s="250"/>
      <c r="GU447" s="251"/>
      <c r="GV447" s="250"/>
      <c r="GW447" s="250"/>
      <c r="GX447" s="250"/>
      <c r="GY447" s="250"/>
      <c r="GZ447" s="250"/>
      <c r="HA447" s="250"/>
      <c r="HB447" s="250"/>
      <c r="HC447" s="250"/>
      <c r="HD447" s="250"/>
      <c r="HE447" s="250"/>
      <c r="HF447" s="250"/>
      <c r="HG447" s="250"/>
      <c r="HH447" s="251"/>
      <c r="HI447" s="424"/>
      <c r="HJ447" s="255"/>
      <c r="HK447" s="255"/>
      <c r="HL447" s="250"/>
      <c r="HM447" s="255"/>
      <c r="HN447" s="255"/>
      <c r="HO447" s="255"/>
      <c r="HP447" s="250"/>
      <c r="HQ447" s="250"/>
      <c r="HR447" s="250"/>
      <c r="HS447" s="250"/>
      <c r="HT447" s="250"/>
      <c r="HU447" s="251"/>
      <c r="HX447" s="252"/>
      <c r="HY447" s="252"/>
      <c r="HZ447" s="252"/>
      <c r="ID447" s="252"/>
      <c r="IE447" s="252"/>
      <c r="IF447" s="252"/>
      <c r="IJ447" s="252"/>
      <c r="IK447" s="252"/>
      <c r="IL447" s="252"/>
      <c r="IP447" s="252"/>
      <c r="IQ447" s="252"/>
      <c r="IR447" s="252"/>
      <c r="IY447" s="66"/>
      <c r="IZ447" s="66"/>
      <c r="JA447" s="66"/>
      <c r="JB447" s="250"/>
      <c r="JC447" s="66"/>
      <c r="JD447" s="66"/>
      <c r="JE447" s="66"/>
      <c r="JF447" s="66"/>
      <c r="JG447" s="66"/>
      <c r="JH447" s="66"/>
      <c r="JI447" s="66"/>
      <c r="JJ447" s="66"/>
      <c r="JK447" s="8"/>
      <c r="JN447" s="252"/>
      <c r="JO447" s="252"/>
      <c r="JP447" s="252"/>
      <c r="JT447" s="252"/>
      <c r="JU447" s="252"/>
      <c r="JV447" s="252"/>
      <c r="JZ447" s="252"/>
      <c r="KA447" s="252"/>
      <c r="KB447" s="252"/>
      <c r="KF447" s="252"/>
      <c r="KG447" s="252"/>
      <c r="KH447" s="252"/>
      <c r="KO447" s="66"/>
      <c r="KP447" s="66"/>
      <c r="KQ447" s="66"/>
      <c r="KR447" s="66"/>
      <c r="KS447" s="66"/>
      <c r="KT447" s="66"/>
      <c r="KU447" s="66"/>
      <c r="KV447" s="66"/>
      <c r="KW447" s="66"/>
      <c r="KX447" s="66"/>
      <c r="KY447" s="66"/>
      <c r="KZ447" s="66"/>
      <c r="LA447" s="8"/>
      <c r="LD447" s="252"/>
      <c r="LE447" s="252"/>
      <c r="LF447" s="252"/>
      <c r="LJ447" s="252"/>
      <c r="LK447" s="252"/>
      <c r="LN447" s="252"/>
      <c r="LO447" s="252"/>
      <c r="LP447" s="252"/>
      <c r="LT447" s="271"/>
      <c r="LU447" s="250"/>
      <c r="LV447" s="250"/>
      <c r="LW447" s="250"/>
      <c r="LX447" s="250"/>
      <c r="LY447" s="250"/>
      <c r="LZ447" s="250"/>
      <c r="MA447" s="250"/>
      <c r="MB447" s="250"/>
      <c r="MC447" s="250"/>
      <c r="MD447" s="250"/>
      <c r="ME447" s="250"/>
      <c r="MF447" s="250"/>
      <c r="MG447" s="250"/>
      <c r="MH447" s="250"/>
      <c r="MI447" s="250"/>
      <c r="MJ447" s="250"/>
      <c r="MK447" s="424"/>
      <c r="ML447" s="640"/>
      <c r="MM447" s="251"/>
      <c r="MN447" s="252"/>
      <c r="MO447" s="252"/>
      <c r="MP447" s="252"/>
      <c r="MQ447" s="252"/>
      <c r="MR447" s="252"/>
      <c r="MS447" s="252"/>
      <c r="MT447" s="252"/>
      <c r="MU447" s="252"/>
      <c r="MV447" s="252"/>
      <c r="MW447" s="252"/>
      <c r="MX447" s="252"/>
      <c r="MY447" s="252"/>
      <c r="MZ447" s="252"/>
      <c r="NA447" s="252"/>
      <c r="NB447" s="252"/>
      <c r="NC447" s="251"/>
      <c r="ND447" s="250"/>
      <c r="NE447" s="250"/>
      <c r="NF447" s="250"/>
      <c r="NG447" s="250"/>
      <c r="NH447" s="250"/>
      <c r="NI447" s="250"/>
      <c r="NJ447" s="250"/>
      <c r="NK447" s="250"/>
      <c r="NL447" s="250"/>
      <c r="NM447" s="250"/>
      <c r="NN447" s="250"/>
      <c r="NO447" s="250"/>
      <c r="NP447" s="250"/>
      <c r="NQ447" s="250"/>
      <c r="NR447" s="250"/>
      <c r="NS447" s="250"/>
      <c r="NT447" s="250"/>
      <c r="NU447" s="250"/>
      <c r="NV447" s="250"/>
      <c r="NW447" s="251"/>
      <c r="OT447" s="8"/>
      <c r="QG447" s="8"/>
      <c r="RT447" s="8"/>
    </row>
    <row r="448" spans="1:488" s="282" customFormat="1" x14ac:dyDescent="0.25">
      <c r="A448" s="66"/>
      <c r="B448" s="8"/>
      <c r="C448" s="66"/>
      <c r="D448" s="66"/>
      <c r="E448" s="66"/>
      <c r="F448" s="66"/>
      <c r="G448" s="66"/>
      <c r="H448" s="66"/>
      <c r="I448" s="66"/>
      <c r="J448" s="66"/>
      <c r="K448" s="66"/>
      <c r="L448" s="66"/>
      <c r="M448" s="66"/>
      <c r="N448" s="66"/>
      <c r="O448" s="66"/>
      <c r="P448" s="66"/>
      <c r="Q448" s="66"/>
      <c r="R448" s="66"/>
      <c r="S448" s="66"/>
      <c r="T448" s="68"/>
      <c r="AC448" s="66"/>
      <c r="AD448" s="66"/>
      <c r="AE448" s="68"/>
      <c r="AN448" s="66"/>
      <c r="AO448" s="66"/>
      <c r="AP448" s="68"/>
      <c r="AW448" s="66"/>
      <c r="AX448" s="68"/>
      <c r="BD448" s="66"/>
      <c r="BE448" s="68"/>
      <c r="BF448" s="66"/>
      <c r="BG448" s="66"/>
      <c r="BH448" s="66"/>
      <c r="BI448" s="66"/>
      <c r="BJ448" s="66"/>
      <c r="BK448" s="66"/>
      <c r="BL448" s="68"/>
      <c r="BO448" s="66"/>
      <c r="BP448" s="68"/>
      <c r="BV448" s="66"/>
      <c r="BW448" s="68"/>
      <c r="CB448" s="8"/>
      <c r="CH448" s="8"/>
      <c r="CK448" s="299"/>
      <c r="CL448" s="299"/>
      <c r="CM448" s="66"/>
      <c r="CN448" s="66"/>
      <c r="CO448" s="68"/>
      <c r="CR448" s="8"/>
      <c r="CX448" s="66"/>
      <c r="CY448" s="532"/>
      <c r="DE448" s="66"/>
      <c r="DF448" s="66"/>
      <c r="DG448" s="68"/>
      <c r="DH448" s="68"/>
      <c r="DK448" s="66"/>
      <c r="DL448" s="66"/>
      <c r="DM448" s="66"/>
      <c r="DN448" s="66"/>
      <c r="DO448" s="66"/>
      <c r="DP448" s="66"/>
      <c r="DQ448" s="66"/>
      <c r="DR448" s="66"/>
      <c r="DS448" s="66"/>
      <c r="DT448" s="68"/>
      <c r="DU448" s="66"/>
      <c r="DV448" s="296"/>
      <c r="DW448" s="330"/>
      <c r="DX448" s="631"/>
      <c r="DY448" s="631"/>
      <c r="DZ448" s="631"/>
      <c r="EA448" s="330"/>
      <c r="EC448" s="66"/>
      <c r="ED448" s="68"/>
      <c r="EH448" s="66"/>
      <c r="EI448" s="66"/>
      <c r="EJ448" s="68"/>
      <c r="EK448" s="252"/>
      <c r="EL448" s="252"/>
      <c r="EM448" s="252"/>
      <c r="EO448" s="252"/>
      <c r="EP448" s="252"/>
      <c r="EQ448" s="252"/>
      <c r="ES448" s="252"/>
      <c r="ET448" s="252"/>
      <c r="EU448" s="252"/>
      <c r="EW448" s="252"/>
      <c r="EX448" s="252"/>
      <c r="EY448" s="252"/>
      <c r="FA448" s="250"/>
      <c r="FB448" s="250"/>
      <c r="FC448" s="250"/>
      <c r="FD448" s="250"/>
      <c r="FE448" s="250"/>
      <c r="FF448" s="250"/>
      <c r="FG448" s="250"/>
      <c r="FH448" s="424"/>
      <c r="FI448" s="250"/>
      <c r="FJ448" s="250"/>
      <c r="FK448" s="250"/>
      <c r="FL448" s="256"/>
      <c r="FM448" s="250"/>
      <c r="FN448" s="256"/>
      <c r="FO448" s="250"/>
      <c r="FP448" s="256"/>
      <c r="FQ448" s="250"/>
      <c r="FR448" s="256"/>
      <c r="FS448" s="250"/>
      <c r="FT448" s="256"/>
      <c r="FU448" s="256"/>
      <c r="FV448" s="256"/>
      <c r="FW448" s="250"/>
      <c r="FX448" s="424"/>
      <c r="FY448" s="251"/>
      <c r="GC448" s="252"/>
      <c r="GF448" s="252"/>
      <c r="GG448" s="252"/>
      <c r="GH448" s="252"/>
      <c r="GI448" s="252"/>
      <c r="GJ448" s="252"/>
      <c r="GK448" s="251"/>
      <c r="GL448" s="250"/>
      <c r="GM448" s="250"/>
      <c r="GN448" s="250"/>
      <c r="GO448" s="250"/>
      <c r="GP448" s="250"/>
      <c r="GQ448" s="250"/>
      <c r="GR448" s="250"/>
      <c r="GS448" s="250"/>
      <c r="GT448" s="250"/>
      <c r="GU448" s="251"/>
      <c r="GV448" s="250"/>
      <c r="GW448" s="250"/>
      <c r="GX448" s="250"/>
      <c r="GY448" s="250"/>
      <c r="GZ448" s="250"/>
      <c r="HA448" s="250"/>
      <c r="HB448" s="250"/>
      <c r="HC448" s="250"/>
      <c r="HD448" s="250"/>
      <c r="HE448" s="250"/>
      <c r="HF448" s="250"/>
      <c r="HG448" s="250"/>
      <c r="HH448" s="251"/>
      <c r="HI448" s="424"/>
      <c r="HJ448" s="255"/>
      <c r="HK448" s="255"/>
      <c r="HL448" s="250"/>
      <c r="HM448" s="255"/>
      <c r="HN448" s="255"/>
      <c r="HO448" s="255"/>
      <c r="HP448" s="250"/>
      <c r="HQ448" s="250"/>
      <c r="HR448" s="250"/>
      <c r="HS448" s="250"/>
      <c r="HT448" s="250"/>
      <c r="HU448" s="251"/>
      <c r="HX448" s="252"/>
      <c r="HY448" s="252"/>
      <c r="HZ448" s="252"/>
      <c r="ID448" s="252"/>
      <c r="IE448" s="252"/>
      <c r="IF448" s="252"/>
      <c r="IJ448" s="252"/>
      <c r="IK448" s="252"/>
      <c r="IL448" s="252"/>
      <c r="IP448" s="252"/>
      <c r="IQ448" s="252"/>
      <c r="IR448" s="252"/>
      <c r="IY448" s="66"/>
      <c r="IZ448" s="66"/>
      <c r="JA448" s="66"/>
      <c r="JB448" s="250"/>
      <c r="JC448" s="66"/>
      <c r="JD448" s="66"/>
      <c r="JE448" s="66"/>
      <c r="JF448" s="66"/>
      <c r="JG448" s="66"/>
      <c r="JH448" s="66"/>
      <c r="JI448" s="66"/>
      <c r="JJ448" s="66"/>
      <c r="JK448" s="8"/>
      <c r="JN448" s="252"/>
      <c r="JO448" s="252"/>
      <c r="JP448" s="252"/>
      <c r="JT448" s="252"/>
      <c r="JU448" s="252"/>
      <c r="JV448" s="252"/>
      <c r="JZ448" s="252"/>
      <c r="KA448" s="252"/>
      <c r="KB448" s="252"/>
      <c r="KF448" s="252"/>
      <c r="KG448" s="252"/>
      <c r="KH448" s="252"/>
      <c r="KO448" s="66"/>
      <c r="KP448" s="66"/>
      <c r="KQ448" s="66"/>
      <c r="KR448" s="66"/>
      <c r="KS448" s="66"/>
      <c r="KT448" s="66"/>
      <c r="KU448" s="66"/>
      <c r="KV448" s="66"/>
      <c r="KW448" s="66"/>
      <c r="KX448" s="66"/>
      <c r="KY448" s="66"/>
      <c r="KZ448" s="66"/>
      <c r="LA448" s="8"/>
      <c r="LD448" s="252"/>
      <c r="LE448" s="252"/>
      <c r="LF448" s="252"/>
      <c r="LJ448" s="252"/>
      <c r="LK448" s="252"/>
      <c r="LN448" s="252"/>
      <c r="LO448" s="252"/>
      <c r="LP448" s="252"/>
      <c r="LT448" s="271"/>
      <c r="LU448" s="250"/>
      <c r="LV448" s="250"/>
      <c r="LW448" s="250"/>
      <c r="LX448" s="250"/>
      <c r="LY448" s="250"/>
      <c r="LZ448" s="250"/>
      <c r="MA448" s="250"/>
      <c r="MB448" s="250"/>
      <c r="MC448" s="250"/>
      <c r="MD448" s="250"/>
      <c r="ME448" s="250"/>
      <c r="MF448" s="250"/>
      <c r="MG448" s="250"/>
      <c r="MH448" s="250"/>
      <c r="MI448" s="250"/>
      <c r="MJ448" s="250"/>
      <c r="MK448" s="424"/>
      <c r="ML448" s="640"/>
      <c r="MM448" s="251"/>
      <c r="MN448" s="252"/>
      <c r="MO448" s="252"/>
      <c r="MP448" s="252"/>
      <c r="MQ448" s="252"/>
      <c r="MR448" s="252"/>
      <c r="MS448" s="252"/>
      <c r="MT448" s="252"/>
      <c r="MU448" s="252"/>
      <c r="MV448" s="252"/>
      <c r="MW448" s="252"/>
      <c r="MX448" s="252"/>
      <c r="MY448" s="252"/>
      <c r="MZ448" s="252"/>
      <c r="NA448" s="252"/>
      <c r="NB448" s="252"/>
      <c r="NC448" s="251"/>
      <c r="ND448" s="250"/>
      <c r="NE448" s="250"/>
      <c r="NF448" s="250"/>
      <c r="NG448" s="250"/>
      <c r="NH448" s="250"/>
      <c r="NI448" s="250"/>
      <c r="NJ448" s="250"/>
      <c r="NK448" s="250"/>
      <c r="NL448" s="250"/>
      <c r="NM448" s="250"/>
      <c r="NN448" s="250"/>
      <c r="NO448" s="250"/>
      <c r="NP448" s="250"/>
      <c r="NQ448" s="250"/>
      <c r="NR448" s="250"/>
      <c r="NS448" s="250"/>
      <c r="NT448" s="250"/>
      <c r="NU448" s="250"/>
      <c r="NV448" s="250"/>
      <c r="NW448" s="251"/>
      <c r="OT448" s="8"/>
      <c r="QG448" s="8"/>
      <c r="RT448" s="8"/>
    </row>
    <row r="449" spans="1:488" s="282" customFormat="1" x14ac:dyDescent="0.25">
      <c r="A449" s="66"/>
      <c r="B449" s="8"/>
      <c r="C449" s="66"/>
      <c r="D449" s="66"/>
      <c r="E449" s="66"/>
      <c r="F449" s="66"/>
      <c r="G449" s="66"/>
      <c r="H449" s="66"/>
      <c r="I449" s="66"/>
      <c r="J449" s="66"/>
      <c r="K449" s="66"/>
      <c r="L449" s="66"/>
      <c r="M449" s="66"/>
      <c r="N449" s="66"/>
      <c r="O449" s="66"/>
      <c r="P449" s="66"/>
      <c r="Q449" s="66"/>
      <c r="R449" s="66"/>
      <c r="S449" s="66"/>
      <c r="T449" s="68"/>
      <c r="AC449" s="66"/>
      <c r="AD449" s="66"/>
      <c r="AE449" s="68"/>
      <c r="AN449" s="66"/>
      <c r="AO449" s="66"/>
      <c r="AP449" s="68"/>
      <c r="AW449" s="66"/>
      <c r="AX449" s="68"/>
      <c r="BD449" s="66"/>
      <c r="BE449" s="68"/>
      <c r="BF449" s="66"/>
      <c r="BG449" s="66"/>
      <c r="BH449" s="66"/>
      <c r="BI449" s="66"/>
      <c r="BJ449" s="66"/>
      <c r="BK449" s="66"/>
      <c r="BL449" s="68"/>
      <c r="BO449" s="66"/>
      <c r="BP449" s="68"/>
      <c r="BV449" s="66"/>
      <c r="BW449" s="68"/>
      <c r="CB449" s="8"/>
      <c r="CH449" s="8"/>
      <c r="CK449" s="299"/>
      <c r="CL449" s="299"/>
      <c r="CM449" s="66"/>
      <c r="CN449" s="66"/>
      <c r="CO449" s="68"/>
      <c r="CR449" s="8"/>
      <c r="CX449" s="66"/>
      <c r="CY449" s="532"/>
      <c r="DE449" s="66"/>
      <c r="DF449" s="66"/>
      <c r="DG449" s="68"/>
      <c r="DH449" s="68"/>
      <c r="DK449" s="66"/>
      <c r="DL449" s="66"/>
      <c r="DM449" s="66"/>
      <c r="DN449" s="66"/>
      <c r="DO449" s="66"/>
      <c r="DP449" s="66"/>
      <c r="DQ449" s="66"/>
      <c r="DR449" s="66"/>
      <c r="DS449" s="66"/>
      <c r="DT449" s="68"/>
      <c r="DU449" s="66"/>
      <c r="DV449" s="296"/>
      <c r="DW449" s="330"/>
      <c r="DX449" s="631"/>
      <c r="DY449" s="631"/>
      <c r="DZ449" s="631"/>
      <c r="EA449" s="330"/>
      <c r="EC449" s="66"/>
      <c r="ED449" s="68"/>
      <c r="EH449" s="66"/>
      <c r="EI449" s="66"/>
      <c r="EJ449" s="68"/>
      <c r="EK449" s="252"/>
      <c r="EL449" s="252"/>
      <c r="EM449" s="252"/>
      <c r="EO449" s="252"/>
      <c r="EP449" s="252"/>
      <c r="EQ449" s="252"/>
      <c r="ES449" s="252"/>
      <c r="ET449" s="252"/>
      <c r="EU449" s="252"/>
      <c r="EW449" s="252"/>
      <c r="EX449" s="252"/>
      <c r="EY449" s="252"/>
      <c r="FA449" s="250"/>
      <c r="FB449" s="250"/>
      <c r="FC449" s="250"/>
      <c r="FD449" s="250"/>
      <c r="FE449" s="250"/>
      <c r="FF449" s="250"/>
      <c r="FG449" s="250"/>
      <c r="FH449" s="424"/>
      <c r="FI449" s="250"/>
      <c r="FJ449" s="250"/>
      <c r="FK449" s="250"/>
      <c r="FL449" s="256"/>
      <c r="FM449" s="250"/>
      <c r="FN449" s="256"/>
      <c r="FO449" s="250"/>
      <c r="FP449" s="256"/>
      <c r="FQ449" s="250"/>
      <c r="FR449" s="256"/>
      <c r="FS449" s="250"/>
      <c r="FT449" s="256"/>
      <c r="FU449" s="256"/>
      <c r="FV449" s="256"/>
      <c r="FW449" s="250"/>
      <c r="FX449" s="424"/>
      <c r="FY449" s="251"/>
      <c r="GC449" s="252"/>
      <c r="GF449" s="252"/>
      <c r="GG449" s="252"/>
      <c r="GH449" s="252"/>
      <c r="GI449" s="252"/>
      <c r="GJ449" s="252"/>
      <c r="GK449" s="251"/>
      <c r="GL449" s="250"/>
      <c r="GM449" s="250"/>
      <c r="GN449" s="250"/>
      <c r="GO449" s="250"/>
      <c r="GP449" s="250"/>
      <c r="GQ449" s="250"/>
      <c r="GR449" s="250"/>
      <c r="GS449" s="250"/>
      <c r="GT449" s="250"/>
      <c r="GU449" s="251"/>
      <c r="GV449" s="250"/>
      <c r="GW449" s="250"/>
      <c r="GX449" s="250"/>
      <c r="GY449" s="250"/>
      <c r="GZ449" s="250"/>
      <c r="HA449" s="250"/>
      <c r="HB449" s="250"/>
      <c r="HC449" s="250"/>
      <c r="HD449" s="250"/>
      <c r="HE449" s="250"/>
      <c r="HF449" s="250"/>
      <c r="HG449" s="250"/>
      <c r="HH449" s="251"/>
      <c r="HI449" s="424"/>
      <c r="HJ449" s="255"/>
      <c r="HK449" s="255"/>
      <c r="HL449" s="250"/>
      <c r="HM449" s="255"/>
      <c r="HN449" s="255"/>
      <c r="HO449" s="255"/>
      <c r="HP449" s="250"/>
      <c r="HQ449" s="250"/>
      <c r="HR449" s="250"/>
      <c r="HS449" s="250"/>
      <c r="HT449" s="250"/>
      <c r="HU449" s="251"/>
      <c r="HX449" s="252"/>
      <c r="HY449" s="252"/>
      <c r="HZ449" s="252"/>
      <c r="ID449" s="252"/>
      <c r="IE449" s="252"/>
      <c r="IF449" s="252"/>
      <c r="IJ449" s="252"/>
      <c r="IK449" s="252"/>
      <c r="IL449" s="252"/>
      <c r="IP449" s="252"/>
      <c r="IQ449" s="252"/>
      <c r="IR449" s="252"/>
      <c r="IY449" s="66"/>
      <c r="IZ449" s="66"/>
      <c r="JA449" s="66"/>
      <c r="JB449" s="250"/>
      <c r="JC449" s="66"/>
      <c r="JD449" s="66"/>
      <c r="JE449" s="66"/>
      <c r="JF449" s="66"/>
      <c r="JG449" s="66"/>
      <c r="JH449" s="66"/>
      <c r="JI449" s="66"/>
      <c r="JJ449" s="66"/>
      <c r="JK449" s="8"/>
      <c r="JN449" s="252"/>
      <c r="JO449" s="252"/>
      <c r="JP449" s="252"/>
      <c r="JT449" s="252"/>
      <c r="JU449" s="252"/>
      <c r="JV449" s="252"/>
      <c r="JZ449" s="252"/>
      <c r="KA449" s="252"/>
      <c r="KB449" s="252"/>
      <c r="KF449" s="252"/>
      <c r="KG449" s="252"/>
      <c r="KH449" s="252"/>
      <c r="KO449" s="66"/>
      <c r="KP449" s="66"/>
      <c r="KQ449" s="66"/>
      <c r="KR449" s="66"/>
      <c r="KS449" s="66"/>
      <c r="KT449" s="66"/>
      <c r="KU449" s="66"/>
      <c r="KV449" s="66"/>
      <c r="KW449" s="66"/>
      <c r="KX449" s="66"/>
      <c r="KY449" s="66"/>
      <c r="KZ449" s="66"/>
      <c r="LA449" s="8"/>
      <c r="LD449" s="252"/>
      <c r="LE449" s="252"/>
      <c r="LF449" s="252"/>
      <c r="LJ449" s="252"/>
      <c r="LK449" s="252"/>
      <c r="LN449" s="252"/>
      <c r="LO449" s="252"/>
      <c r="LP449" s="252"/>
      <c r="LT449" s="271"/>
      <c r="LU449" s="250"/>
      <c r="LV449" s="250"/>
      <c r="LW449" s="250"/>
      <c r="LX449" s="250"/>
      <c r="LY449" s="250"/>
      <c r="LZ449" s="250"/>
      <c r="MA449" s="250"/>
      <c r="MB449" s="250"/>
      <c r="MC449" s="250"/>
      <c r="MD449" s="250"/>
      <c r="ME449" s="250"/>
      <c r="MF449" s="250"/>
      <c r="MG449" s="250"/>
      <c r="MH449" s="250"/>
      <c r="MI449" s="250"/>
      <c r="MJ449" s="250"/>
      <c r="MK449" s="424"/>
      <c r="ML449" s="640"/>
      <c r="MM449" s="251"/>
      <c r="MN449" s="252"/>
      <c r="MO449" s="252"/>
      <c r="MP449" s="252"/>
      <c r="MQ449" s="252"/>
      <c r="MR449" s="252"/>
      <c r="MS449" s="252"/>
      <c r="MT449" s="252"/>
      <c r="MU449" s="252"/>
      <c r="MV449" s="252"/>
      <c r="MW449" s="252"/>
      <c r="MX449" s="252"/>
      <c r="MY449" s="252"/>
      <c r="MZ449" s="252"/>
      <c r="NA449" s="252"/>
      <c r="NB449" s="252"/>
      <c r="NC449" s="251"/>
      <c r="ND449" s="250"/>
      <c r="NE449" s="250"/>
      <c r="NF449" s="250"/>
      <c r="NG449" s="250"/>
      <c r="NH449" s="250"/>
      <c r="NI449" s="250"/>
      <c r="NJ449" s="250"/>
      <c r="NK449" s="250"/>
      <c r="NL449" s="250"/>
      <c r="NM449" s="250"/>
      <c r="NN449" s="250"/>
      <c r="NO449" s="250"/>
      <c r="NP449" s="250"/>
      <c r="NQ449" s="250"/>
      <c r="NR449" s="250"/>
      <c r="NS449" s="250"/>
      <c r="NT449" s="250"/>
      <c r="NU449" s="250"/>
      <c r="NV449" s="250"/>
      <c r="NW449" s="251"/>
      <c r="OT449" s="8"/>
      <c r="QG449" s="8"/>
      <c r="RT449" s="8"/>
    </row>
    <row r="450" spans="1:488" s="282" customFormat="1" x14ac:dyDescent="0.25">
      <c r="A450" s="66"/>
      <c r="B450" s="8"/>
      <c r="C450" s="66"/>
      <c r="D450" s="66"/>
      <c r="E450" s="66"/>
      <c r="F450" s="66"/>
      <c r="G450" s="66"/>
      <c r="H450" s="66"/>
      <c r="I450" s="66"/>
      <c r="J450" s="66"/>
      <c r="K450" s="66"/>
      <c r="L450" s="66"/>
      <c r="M450" s="66"/>
      <c r="N450" s="66"/>
      <c r="O450" s="66"/>
      <c r="P450" s="66"/>
      <c r="Q450" s="66"/>
      <c r="R450" s="66"/>
      <c r="S450" s="66"/>
      <c r="T450" s="68"/>
      <c r="AC450" s="66"/>
      <c r="AD450" s="66"/>
      <c r="AE450" s="68"/>
      <c r="AN450" s="66"/>
      <c r="AO450" s="66"/>
      <c r="AP450" s="68"/>
      <c r="AW450" s="66"/>
      <c r="AX450" s="68"/>
      <c r="BD450" s="66"/>
      <c r="BE450" s="68"/>
      <c r="BF450" s="66"/>
      <c r="BG450" s="66"/>
      <c r="BH450" s="66"/>
      <c r="BI450" s="66"/>
      <c r="BJ450" s="66"/>
      <c r="BK450" s="66"/>
      <c r="BL450" s="68"/>
      <c r="BO450" s="66"/>
      <c r="BP450" s="68"/>
      <c r="BV450" s="66"/>
      <c r="BW450" s="68"/>
      <c r="CB450" s="8"/>
      <c r="CH450" s="8"/>
      <c r="CK450" s="299"/>
      <c r="CL450" s="299"/>
      <c r="CM450" s="66"/>
      <c r="CN450" s="66"/>
      <c r="CO450" s="68"/>
      <c r="CR450" s="8"/>
      <c r="CX450" s="66"/>
      <c r="CY450" s="532"/>
      <c r="DE450" s="66"/>
      <c r="DF450" s="66"/>
      <c r="DG450" s="68"/>
      <c r="DH450" s="68"/>
      <c r="DK450" s="66"/>
      <c r="DL450" s="66"/>
      <c r="DM450" s="66"/>
      <c r="DN450" s="66"/>
      <c r="DO450" s="66"/>
      <c r="DP450" s="66"/>
      <c r="DQ450" s="66"/>
      <c r="DR450" s="66"/>
      <c r="DS450" s="66"/>
      <c r="DT450" s="68"/>
      <c r="DU450" s="66"/>
      <c r="DV450" s="296"/>
      <c r="DW450" s="330"/>
      <c r="DX450" s="631"/>
      <c r="DY450" s="631"/>
      <c r="DZ450" s="631"/>
      <c r="EA450" s="330"/>
      <c r="EC450" s="66"/>
      <c r="ED450" s="68"/>
      <c r="EH450" s="66"/>
      <c r="EI450" s="66"/>
      <c r="EJ450" s="68"/>
      <c r="EK450" s="252"/>
      <c r="EL450" s="252"/>
      <c r="EM450" s="252"/>
      <c r="EO450" s="252"/>
      <c r="EP450" s="252"/>
      <c r="EQ450" s="252"/>
      <c r="ES450" s="252"/>
      <c r="ET450" s="252"/>
      <c r="EU450" s="252"/>
      <c r="EW450" s="252"/>
      <c r="EX450" s="252"/>
      <c r="EY450" s="252"/>
      <c r="FA450" s="250"/>
      <c r="FB450" s="250"/>
      <c r="FC450" s="250"/>
      <c r="FD450" s="250"/>
      <c r="FE450" s="250"/>
      <c r="FF450" s="250"/>
      <c r="FG450" s="250"/>
      <c r="FH450" s="424"/>
      <c r="FI450" s="250"/>
      <c r="FJ450" s="250"/>
      <c r="FK450" s="250"/>
      <c r="FL450" s="256"/>
      <c r="FM450" s="250"/>
      <c r="FN450" s="256"/>
      <c r="FO450" s="250"/>
      <c r="FP450" s="256"/>
      <c r="FQ450" s="250"/>
      <c r="FR450" s="256"/>
      <c r="FS450" s="250"/>
      <c r="FT450" s="256"/>
      <c r="FU450" s="256"/>
      <c r="FV450" s="256"/>
      <c r="FW450" s="250"/>
      <c r="FX450" s="424"/>
      <c r="FY450" s="251"/>
      <c r="GC450" s="252"/>
      <c r="GF450" s="252"/>
      <c r="GG450" s="252"/>
      <c r="GH450" s="252"/>
      <c r="GI450" s="252"/>
      <c r="GJ450" s="252"/>
      <c r="GK450" s="251"/>
      <c r="GL450" s="250"/>
      <c r="GM450" s="250"/>
      <c r="GN450" s="250"/>
      <c r="GO450" s="250"/>
      <c r="GP450" s="250"/>
      <c r="GQ450" s="250"/>
      <c r="GR450" s="250"/>
      <c r="GS450" s="250"/>
      <c r="GT450" s="250"/>
      <c r="GU450" s="251"/>
      <c r="GV450" s="250"/>
      <c r="GW450" s="250"/>
      <c r="GX450" s="250"/>
      <c r="GY450" s="250"/>
      <c r="GZ450" s="250"/>
      <c r="HA450" s="250"/>
      <c r="HB450" s="250"/>
      <c r="HC450" s="250"/>
      <c r="HD450" s="250"/>
      <c r="HE450" s="250"/>
      <c r="HF450" s="250"/>
      <c r="HG450" s="250"/>
      <c r="HH450" s="251"/>
      <c r="HI450" s="424"/>
      <c r="HJ450" s="255"/>
      <c r="HK450" s="255"/>
      <c r="HL450" s="250"/>
      <c r="HM450" s="255"/>
      <c r="HN450" s="255"/>
      <c r="HO450" s="255"/>
      <c r="HP450" s="250"/>
      <c r="HQ450" s="250"/>
      <c r="HR450" s="250"/>
      <c r="HS450" s="250"/>
      <c r="HT450" s="250"/>
      <c r="HU450" s="251"/>
      <c r="HX450" s="252"/>
      <c r="HY450" s="252"/>
      <c r="HZ450" s="252"/>
      <c r="ID450" s="252"/>
      <c r="IE450" s="252"/>
      <c r="IF450" s="252"/>
      <c r="IJ450" s="252"/>
      <c r="IK450" s="252"/>
      <c r="IL450" s="252"/>
      <c r="IP450" s="252"/>
      <c r="IQ450" s="252"/>
      <c r="IR450" s="252"/>
      <c r="IY450" s="66"/>
      <c r="IZ450" s="66"/>
      <c r="JA450" s="66"/>
      <c r="JB450" s="250"/>
      <c r="JC450" s="66"/>
      <c r="JD450" s="66"/>
      <c r="JE450" s="66"/>
      <c r="JF450" s="66"/>
      <c r="JG450" s="66"/>
      <c r="JH450" s="66"/>
      <c r="JI450" s="66"/>
      <c r="JJ450" s="66"/>
      <c r="JK450" s="8"/>
      <c r="JN450" s="252"/>
      <c r="JO450" s="252"/>
      <c r="JP450" s="252"/>
      <c r="JT450" s="252"/>
      <c r="JU450" s="252"/>
      <c r="JV450" s="252"/>
      <c r="JZ450" s="252"/>
      <c r="KA450" s="252"/>
      <c r="KB450" s="252"/>
      <c r="KF450" s="252"/>
      <c r="KG450" s="252"/>
      <c r="KH450" s="252"/>
      <c r="KO450" s="66"/>
      <c r="KP450" s="66"/>
      <c r="KQ450" s="66"/>
      <c r="KR450" s="66"/>
      <c r="KS450" s="66"/>
      <c r="KT450" s="66"/>
      <c r="KU450" s="66"/>
      <c r="KV450" s="66"/>
      <c r="KW450" s="66"/>
      <c r="KX450" s="66"/>
      <c r="KY450" s="66"/>
      <c r="KZ450" s="66"/>
      <c r="LA450" s="8"/>
      <c r="LD450" s="252"/>
      <c r="LE450" s="252"/>
      <c r="LF450" s="252"/>
      <c r="LJ450" s="252"/>
      <c r="LK450" s="252"/>
      <c r="LN450" s="252"/>
      <c r="LO450" s="252"/>
      <c r="LP450" s="252"/>
      <c r="LT450" s="271"/>
      <c r="LU450" s="250"/>
      <c r="LV450" s="250"/>
      <c r="LW450" s="250"/>
      <c r="LX450" s="250"/>
      <c r="LY450" s="250"/>
      <c r="LZ450" s="250"/>
      <c r="MA450" s="250"/>
      <c r="MB450" s="250"/>
      <c r="MC450" s="250"/>
      <c r="MD450" s="250"/>
      <c r="ME450" s="250"/>
      <c r="MF450" s="250"/>
      <c r="MG450" s="250"/>
      <c r="MH450" s="250"/>
      <c r="MI450" s="250"/>
      <c r="MJ450" s="250"/>
      <c r="MK450" s="424"/>
      <c r="ML450" s="640"/>
      <c r="MM450" s="251"/>
      <c r="MN450" s="252"/>
      <c r="MO450" s="252"/>
      <c r="MP450" s="252"/>
      <c r="MQ450" s="252"/>
      <c r="MR450" s="252"/>
      <c r="MS450" s="252"/>
      <c r="MT450" s="252"/>
      <c r="MU450" s="252"/>
      <c r="MV450" s="252"/>
      <c r="MW450" s="252"/>
      <c r="MX450" s="252"/>
      <c r="MY450" s="252"/>
      <c r="MZ450" s="252"/>
      <c r="NA450" s="252"/>
      <c r="NB450" s="252"/>
      <c r="NC450" s="251"/>
      <c r="ND450" s="250"/>
      <c r="NE450" s="250"/>
      <c r="NF450" s="250"/>
      <c r="NG450" s="250"/>
      <c r="NH450" s="250"/>
      <c r="NI450" s="250"/>
      <c r="NJ450" s="250"/>
      <c r="NK450" s="250"/>
      <c r="NL450" s="250"/>
      <c r="NM450" s="250"/>
      <c r="NN450" s="250"/>
      <c r="NO450" s="250"/>
      <c r="NP450" s="250"/>
      <c r="NQ450" s="250"/>
      <c r="NR450" s="250"/>
      <c r="NS450" s="250"/>
      <c r="NT450" s="250"/>
      <c r="NU450" s="250"/>
      <c r="NV450" s="250"/>
      <c r="NW450" s="251"/>
      <c r="OT450" s="8"/>
      <c r="QG450" s="8"/>
      <c r="RT450" s="8"/>
    </row>
    <row r="451" spans="1:488" s="282" customFormat="1" x14ac:dyDescent="0.25">
      <c r="A451" s="66"/>
      <c r="B451" s="8"/>
      <c r="C451" s="66"/>
      <c r="D451" s="66"/>
      <c r="E451" s="66"/>
      <c r="F451" s="66"/>
      <c r="G451" s="66"/>
      <c r="H451" s="66"/>
      <c r="I451" s="66"/>
      <c r="J451" s="66"/>
      <c r="K451" s="66"/>
      <c r="L451" s="66"/>
      <c r="M451" s="66"/>
      <c r="N451" s="66"/>
      <c r="O451" s="66"/>
      <c r="P451" s="66"/>
      <c r="Q451" s="66"/>
      <c r="R451" s="66"/>
      <c r="S451" s="66"/>
      <c r="T451" s="68"/>
      <c r="AC451" s="66"/>
      <c r="AD451" s="66"/>
      <c r="AE451" s="68"/>
      <c r="AN451" s="66"/>
      <c r="AO451" s="66"/>
      <c r="AP451" s="68"/>
      <c r="AW451" s="66"/>
      <c r="AX451" s="68"/>
      <c r="BD451" s="66"/>
      <c r="BE451" s="68"/>
      <c r="BF451" s="66"/>
      <c r="BG451" s="66"/>
      <c r="BH451" s="66"/>
      <c r="BI451" s="66"/>
      <c r="BJ451" s="66"/>
      <c r="BK451" s="66"/>
      <c r="BL451" s="68"/>
      <c r="BO451" s="66"/>
      <c r="BP451" s="68"/>
      <c r="BV451" s="66"/>
      <c r="BW451" s="68"/>
      <c r="CB451" s="8"/>
      <c r="CH451" s="8"/>
      <c r="CK451" s="299"/>
      <c r="CL451" s="299"/>
      <c r="CM451" s="66"/>
      <c r="CN451" s="66"/>
      <c r="CO451" s="68"/>
      <c r="CR451" s="8"/>
      <c r="CX451" s="66"/>
      <c r="CY451" s="532"/>
      <c r="DE451" s="66"/>
      <c r="DF451" s="66"/>
      <c r="DG451" s="68"/>
      <c r="DH451" s="68"/>
      <c r="DK451" s="66"/>
      <c r="DL451" s="66"/>
      <c r="DM451" s="66"/>
      <c r="DN451" s="66"/>
      <c r="DO451" s="66"/>
      <c r="DP451" s="66"/>
      <c r="DQ451" s="66"/>
      <c r="DR451" s="66"/>
      <c r="DS451" s="66"/>
      <c r="DT451" s="68"/>
      <c r="DU451" s="66"/>
      <c r="DV451" s="296"/>
      <c r="DW451" s="330"/>
      <c r="DX451" s="631"/>
      <c r="DY451" s="631"/>
      <c r="DZ451" s="631"/>
      <c r="EA451" s="330"/>
      <c r="EC451" s="66"/>
      <c r="ED451" s="68"/>
      <c r="EH451" s="66"/>
      <c r="EI451" s="66"/>
      <c r="EJ451" s="68"/>
      <c r="EK451" s="252"/>
      <c r="EL451" s="252"/>
      <c r="EM451" s="252"/>
      <c r="EO451" s="252"/>
      <c r="EP451" s="252"/>
      <c r="EQ451" s="252"/>
      <c r="ES451" s="252"/>
      <c r="ET451" s="252"/>
      <c r="EU451" s="252"/>
      <c r="EW451" s="252"/>
      <c r="EX451" s="252"/>
      <c r="EY451" s="252"/>
      <c r="FA451" s="250"/>
      <c r="FB451" s="250"/>
      <c r="FC451" s="250"/>
      <c r="FD451" s="250"/>
      <c r="FE451" s="250"/>
      <c r="FF451" s="250"/>
      <c r="FG451" s="250"/>
      <c r="FH451" s="424"/>
      <c r="FI451" s="250"/>
      <c r="FJ451" s="250"/>
      <c r="FK451" s="250"/>
      <c r="FL451" s="256"/>
      <c r="FM451" s="250"/>
      <c r="FN451" s="256"/>
      <c r="FO451" s="250"/>
      <c r="FP451" s="256"/>
      <c r="FQ451" s="250"/>
      <c r="FR451" s="256"/>
      <c r="FS451" s="250"/>
      <c r="FT451" s="256"/>
      <c r="FU451" s="256"/>
      <c r="FV451" s="256"/>
      <c r="FW451" s="250"/>
      <c r="FX451" s="424"/>
      <c r="FY451" s="251"/>
      <c r="GC451" s="252"/>
      <c r="GF451" s="252"/>
      <c r="GG451" s="252"/>
      <c r="GH451" s="252"/>
      <c r="GI451" s="252"/>
      <c r="GJ451" s="252"/>
      <c r="GK451" s="251"/>
      <c r="GL451" s="250"/>
      <c r="GM451" s="250"/>
      <c r="GN451" s="250"/>
      <c r="GO451" s="250"/>
      <c r="GP451" s="250"/>
      <c r="GQ451" s="250"/>
      <c r="GR451" s="250"/>
      <c r="GS451" s="250"/>
      <c r="GT451" s="250"/>
      <c r="GU451" s="251"/>
      <c r="GV451" s="250"/>
      <c r="GW451" s="250"/>
      <c r="GX451" s="250"/>
      <c r="GY451" s="250"/>
      <c r="GZ451" s="250"/>
      <c r="HA451" s="250"/>
      <c r="HB451" s="250"/>
      <c r="HC451" s="250"/>
      <c r="HD451" s="250"/>
      <c r="HE451" s="250"/>
      <c r="HF451" s="250"/>
      <c r="HG451" s="250"/>
      <c r="HH451" s="251"/>
      <c r="HI451" s="424"/>
      <c r="HJ451" s="255"/>
      <c r="HK451" s="255"/>
      <c r="HL451" s="250"/>
      <c r="HM451" s="255"/>
      <c r="HN451" s="255"/>
      <c r="HO451" s="255"/>
      <c r="HP451" s="250"/>
      <c r="HQ451" s="250"/>
      <c r="HR451" s="250"/>
      <c r="HS451" s="250"/>
      <c r="HT451" s="250"/>
      <c r="HU451" s="251"/>
      <c r="HX451" s="252"/>
      <c r="HY451" s="252"/>
      <c r="HZ451" s="252"/>
      <c r="ID451" s="252"/>
      <c r="IE451" s="252"/>
      <c r="IF451" s="252"/>
      <c r="IJ451" s="252"/>
      <c r="IK451" s="252"/>
      <c r="IL451" s="252"/>
      <c r="IP451" s="252"/>
      <c r="IQ451" s="252"/>
      <c r="IR451" s="252"/>
      <c r="IY451" s="66"/>
      <c r="IZ451" s="66"/>
      <c r="JA451" s="66"/>
      <c r="JB451" s="250"/>
      <c r="JC451" s="66"/>
      <c r="JD451" s="66"/>
      <c r="JE451" s="66"/>
      <c r="JF451" s="66"/>
      <c r="JG451" s="66"/>
      <c r="JH451" s="66"/>
      <c r="JI451" s="66"/>
      <c r="JJ451" s="66"/>
      <c r="JK451" s="8"/>
      <c r="JN451" s="252"/>
      <c r="JO451" s="252"/>
      <c r="JP451" s="252"/>
      <c r="JT451" s="252"/>
      <c r="JU451" s="252"/>
      <c r="JV451" s="252"/>
      <c r="JZ451" s="252"/>
      <c r="KA451" s="252"/>
      <c r="KB451" s="252"/>
      <c r="KF451" s="252"/>
      <c r="KG451" s="252"/>
      <c r="KH451" s="252"/>
      <c r="KO451" s="66"/>
      <c r="KP451" s="66"/>
      <c r="KQ451" s="66"/>
      <c r="KR451" s="66"/>
      <c r="KS451" s="66"/>
      <c r="KT451" s="66"/>
      <c r="KU451" s="66"/>
      <c r="KV451" s="66"/>
      <c r="KW451" s="66"/>
      <c r="KX451" s="66"/>
      <c r="KY451" s="66"/>
      <c r="KZ451" s="66"/>
      <c r="LA451" s="8"/>
      <c r="LD451" s="252"/>
      <c r="LE451" s="252"/>
      <c r="LF451" s="252"/>
      <c r="LJ451" s="252"/>
      <c r="LK451" s="252"/>
      <c r="LN451" s="252"/>
      <c r="LO451" s="252"/>
      <c r="LP451" s="252"/>
      <c r="LT451" s="271"/>
      <c r="LU451" s="250"/>
      <c r="LV451" s="250"/>
      <c r="LW451" s="250"/>
      <c r="LX451" s="250"/>
      <c r="LY451" s="250"/>
      <c r="LZ451" s="250"/>
      <c r="MA451" s="250"/>
      <c r="MB451" s="250"/>
      <c r="MC451" s="250"/>
      <c r="MD451" s="250"/>
      <c r="ME451" s="250"/>
      <c r="MF451" s="250"/>
      <c r="MG451" s="250"/>
      <c r="MH451" s="250"/>
      <c r="MI451" s="250"/>
      <c r="MJ451" s="250"/>
      <c r="MK451" s="424"/>
      <c r="ML451" s="640"/>
      <c r="MM451" s="251"/>
      <c r="MN451" s="252"/>
      <c r="MO451" s="252"/>
      <c r="MP451" s="252"/>
      <c r="MQ451" s="252"/>
      <c r="MR451" s="252"/>
      <c r="MS451" s="252"/>
      <c r="MT451" s="252"/>
      <c r="MU451" s="252"/>
      <c r="MV451" s="252"/>
      <c r="MW451" s="252"/>
      <c r="MX451" s="252"/>
      <c r="MY451" s="252"/>
      <c r="MZ451" s="252"/>
      <c r="NA451" s="252"/>
      <c r="NB451" s="252"/>
      <c r="NC451" s="251"/>
      <c r="ND451" s="250"/>
      <c r="NE451" s="250"/>
      <c r="NF451" s="250"/>
      <c r="NG451" s="250"/>
      <c r="NH451" s="250"/>
      <c r="NI451" s="250"/>
      <c r="NJ451" s="250"/>
      <c r="NK451" s="250"/>
      <c r="NL451" s="250"/>
      <c r="NM451" s="250"/>
      <c r="NN451" s="250"/>
      <c r="NO451" s="250"/>
      <c r="NP451" s="250"/>
      <c r="NQ451" s="250"/>
      <c r="NR451" s="250"/>
      <c r="NS451" s="250"/>
      <c r="NT451" s="250"/>
      <c r="NU451" s="250"/>
      <c r="NV451" s="250"/>
      <c r="NW451" s="251"/>
      <c r="OT451" s="8"/>
      <c r="QG451" s="8"/>
      <c r="RT451" s="8"/>
    </row>
    <row r="452" spans="1:488" s="282" customFormat="1" x14ac:dyDescent="0.25">
      <c r="A452" s="66"/>
      <c r="B452" s="8"/>
      <c r="C452" s="66"/>
      <c r="D452" s="66"/>
      <c r="E452" s="66"/>
      <c r="F452" s="66"/>
      <c r="G452" s="66"/>
      <c r="H452" s="66"/>
      <c r="I452" s="66"/>
      <c r="J452" s="66"/>
      <c r="K452" s="66"/>
      <c r="L452" s="66"/>
      <c r="M452" s="66"/>
      <c r="N452" s="66"/>
      <c r="O452" s="66"/>
      <c r="P452" s="66"/>
      <c r="Q452" s="66"/>
      <c r="R452" s="66"/>
      <c r="S452" s="66"/>
      <c r="T452" s="68"/>
      <c r="AC452" s="66"/>
      <c r="AD452" s="66"/>
      <c r="AE452" s="68"/>
      <c r="AN452" s="66"/>
      <c r="AO452" s="66"/>
      <c r="AP452" s="68"/>
      <c r="AW452" s="66"/>
      <c r="AX452" s="68"/>
      <c r="BD452" s="66"/>
      <c r="BE452" s="68"/>
      <c r="BF452" s="66"/>
      <c r="BG452" s="66"/>
      <c r="BH452" s="66"/>
      <c r="BI452" s="66"/>
      <c r="BJ452" s="66"/>
      <c r="BK452" s="66"/>
      <c r="BL452" s="68"/>
      <c r="BO452" s="66"/>
      <c r="BP452" s="68"/>
      <c r="BV452" s="66"/>
      <c r="BW452" s="68"/>
      <c r="CB452" s="8"/>
      <c r="CH452" s="8"/>
      <c r="CK452" s="299"/>
      <c r="CL452" s="299"/>
      <c r="CM452" s="66"/>
      <c r="CN452" s="66"/>
      <c r="CO452" s="68"/>
      <c r="CR452" s="8"/>
      <c r="CX452" s="66"/>
      <c r="CY452" s="532"/>
      <c r="DE452" s="66"/>
      <c r="DF452" s="66"/>
      <c r="DG452" s="68"/>
      <c r="DH452" s="68"/>
      <c r="DK452" s="66"/>
      <c r="DL452" s="66"/>
      <c r="DM452" s="66"/>
      <c r="DN452" s="66"/>
      <c r="DO452" s="66"/>
      <c r="DP452" s="66"/>
      <c r="DQ452" s="66"/>
      <c r="DR452" s="66"/>
      <c r="DS452" s="66"/>
      <c r="DT452" s="68"/>
      <c r="DU452" s="66"/>
      <c r="DV452" s="296"/>
      <c r="DW452" s="330"/>
      <c r="DX452" s="631"/>
      <c r="DY452" s="631"/>
      <c r="DZ452" s="631"/>
      <c r="EA452" s="330"/>
      <c r="EC452" s="66"/>
      <c r="ED452" s="68"/>
      <c r="EH452" s="66"/>
      <c r="EI452" s="66"/>
      <c r="EJ452" s="68"/>
      <c r="EK452" s="252"/>
      <c r="EL452" s="252"/>
      <c r="EM452" s="252"/>
      <c r="EO452" s="252"/>
      <c r="EP452" s="252"/>
      <c r="EQ452" s="252"/>
      <c r="ES452" s="252"/>
      <c r="ET452" s="252"/>
      <c r="EU452" s="252"/>
      <c r="EW452" s="252"/>
      <c r="EX452" s="252"/>
      <c r="EY452" s="252"/>
      <c r="FA452" s="250"/>
      <c r="FB452" s="250"/>
      <c r="FC452" s="250"/>
      <c r="FD452" s="250"/>
      <c r="FE452" s="250"/>
      <c r="FF452" s="250"/>
      <c r="FG452" s="250"/>
      <c r="FH452" s="424"/>
      <c r="FI452" s="250"/>
      <c r="FJ452" s="250"/>
      <c r="FK452" s="250"/>
      <c r="FL452" s="256"/>
      <c r="FM452" s="250"/>
      <c r="FN452" s="256"/>
      <c r="FO452" s="250"/>
      <c r="FP452" s="256"/>
      <c r="FQ452" s="250"/>
      <c r="FR452" s="256"/>
      <c r="FS452" s="250"/>
      <c r="FT452" s="256"/>
      <c r="FU452" s="256"/>
      <c r="FV452" s="256"/>
      <c r="FW452" s="250"/>
      <c r="FX452" s="424"/>
      <c r="FY452" s="251"/>
      <c r="GC452" s="252"/>
      <c r="GF452" s="252"/>
      <c r="GG452" s="252"/>
      <c r="GH452" s="252"/>
      <c r="GI452" s="252"/>
      <c r="GJ452" s="252"/>
      <c r="GK452" s="251"/>
      <c r="GL452" s="250"/>
      <c r="GM452" s="250"/>
      <c r="GN452" s="250"/>
      <c r="GO452" s="250"/>
      <c r="GP452" s="250"/>
      <c r="GQ452" s="250"/>
      <c r="GR452" s="250"/>
      <c r="GS452" s="250"/>
      <c r="GT452" s="250"/>
      <c r="GU452" s="251"/>
      <c r="GV452" s="250"/>
      <c r="GW452" s="250"/>
      <c r="GX452" s="250"/>
      <c r="GY452" s="250"/>
      <c r="GZ452" s="250"/>
      <c r="HA452" s="250"/>
      <c r="HB452" s="250"/>
      <c r="HC452" s="250"/>
      <c r="HD452" s="250"/>
      <c r="HE452" s="250"/>
      <c r="HF452" s="250"/>
      <c r="HG452" s="250"/>
      <c r="HH452" s="251"/>
      <c r="HI452" s="424"/>
      <c r="HJ452" s="255"/>
      <c r="HK452" s="255"/>
      <c r="HL452" s="250"/>
      <c r="HM452" s="255"/>
      <c r="HN452" s="255"/>
      <c r="HO452" s="255"/>
      <c r="HP452" s="250"/>
      <c r="HQ452" s="250"/>
      <c r="HR452" s="250"/>
      <c r="HS452" s="250"/>
      <c r="HT452" s="250"/>
      <c r="HU452" s="251"/>
      <c r="HX452" s="252"/>
      <c r="HY452" s="252"/>
      <c r="HZ452" s="252"/>
      <c r="ID452" s="252"/>
      <c r="IE452" s="252"/>
      <c r="IF452" s="252"/>
      <c r="IJ452" s="252"/>
      <c r="IK452" s="252"/>
      <c r="IL452" s="252"/>
      <c r="IP452" s="252"/>
      <c r="IQ452" s="252"/>
      <c r="IR452" s="252"/>
      <c r="IY452" s="66"/>
      <c r="IZ452" s="66"/>
      <c r="JA452" s="66"/>
      <c r="JB452" s="250"/>
      <c r="JC452" s="66"/>
      <c r="JD452" s="66"/>
      <c r="JE452" s="66"/>
      <c r="JF452" s="66"/>
      <c r="JG452" s="66"/>
      <c r="JH452" s="66"/>
      <c r="JI452" s="66"/>
      <c r="JJ452" s="66"/>
      <c r="JK452" s="8"/>
      <c r="JN452" s="252"/>
      <c r="JO452" s="252"/>
      <c r="JP452" s="252"/>
      <c r="JT452" s="252"/>
      <c r="JU452" s="252"/>
      <c r="JV452" s="252"/>
      <c r="JZ452" s="252"/>
      <c r="KA452" s="252"/>
      <c r="KB452" s="252"/>
      <c r="KF452" s="252"/>
      <c r="KG452" s="252"/>
      <c r="KH452" s="252"/>
      <c r="KO452" s="66"/>
      <c r="KP452" s="66"/>
      <c r="KQ452" s="66"/>
      <c r="KR452" s="66"/>
      <c r="KS452" s="66"/>
      <c r="KT452" s="66"/>
      <c r="KU452" s="66"/>
      <c r="KV452" s="66"/>
      <c r="KW452" s="66"/>
      <c r="KX452" s="66"/>
      <c r="KY452" s="66"/>
      <c r="KZ452" s="66"/>
      <c r="LA452" s="8"/>
      <c r="LD452" s="252"/>
      <c r="LE452" s="252"/>
      <c r="LF452" s="252"/>
      <c r="LJ452" s="252"/>
      <c r="LK452" s="252"/>
      <c r="LN452" s="252"/>
      <c r="LO452" s="252"/>
      <c r="LP452" s="252"/>
      <c r="LT452" s="271"/>
      <c r="LU452" s="250"/>
      <c r="LV452" s="250"/>
      <c r="LW452" s="250"/>
      <c r="LX452" s="250"/>
      <c r="LY452" s="250"/>
      <c r="LZ452" s="250"/>
      <c r="MA452" s="250"/>
      <c r="MB452" s="250"/>
      <c r="MC452" s="250"/>
      <c r="MD452" s="250"/>
      <c r="ME452" s="250"/>
      <c r="MF452" s="250"/>
      <c r="MG452" s="250"/>
      <c r="MH452" s="250"/>
      <c r="MI452" s="250"/>
      <c r="MJ452" s="250"/>
      <c r="MK452" s="424"/>
      <c r="ML452" s="640"/>
      <c r="MM452" s="251"/>
      <c r="MN452" s="252"/>
      <c r="MO452" s="252"/>
      <c r="MP452" s="252"/>
      <c r="MQ452" s="252"/>
      <c r="MR452" s="252"/>
      <c r="MS452" s="252"/>
      <c r="MT452" s="252"/>
      <c r="MU452" s="252"/>
      <c r="MV452" s="252"/>
      <c r="MW452" s="252"/>
      <c r="MX452" s="252"/>
      <c r="MY452" s="252"/>
      <c r="MZ452" s="252"/>
      <c r="NA452" s="252"/>
      <c r="NB452" s="252"/>
      <c r="NC452" s="251"/>
      <c r="ND452" s="250"/>
      <c r="NE452" s="250"/>
      <c r="NF452" s="250"/>
      <c r="NG452" s="250"/>
      <c r="NH452" s="250"/>
      <c r="NI452" s="250"/>
      <c r="NJ452" s="250"/>
      <c r="NK452" s="250"/>
      <c r="NL452" s="250"/>
      <c r="NM452" s="250"/>
      <c r="NN452" s="250"/>
      <c r="NO452" s="250"/>
      <c r="NP452" s="250"/>
      <c r="NQ452" s="250"/>
      <c r="NR452" s="250"/>
      <c r="NS452" s="250"/>
      <c r="NT452" s="250"/>
      <c r="NU452" s="250"/>
      <c r="NV452" s="250"/>
      <c r="NW452" s="251"/>
      <c r="OT452" s="8"/>
      <c r="QG452" s="8"/>
      <c r="RT452" s="8"/>
    </row>
    <row r="453" spans="1:488" s="282" customFormat="1" x14ac:dyDescent="0.25">
      <c r="A453" s="66"/>
      <c r="B453" s="8"/>
      <c r="C453" s="66"/>
      <c r="D453" s="66"/>
      <c r="E453" s="66"/>
      <c r="F453" s="66"/>
      <c r="G453" s="66"/>
      <c r="H453" s="66"/>
      <c r="I453" s="66"/>
      <c r="J453" s="66"/>
      <c r="K453" s="66"/>
      <c r="L453" s="66"/>
      <c r="M453" s="66"/>
      <c r="N453" s="66"/>
      <c r="O453" s="66"/>
      <c r="P453" s="66"/>
      <c r="Q453" s="66"/>
      <c r="R453" s="66"/>
      <c r="S453" s="66"/>
      <c r="T453" s="68"/>
      <c r="AC453" s="66"/>
      <c r="AD453" s="66"/>
      <c r="AE453" s="68"/>
      <c r="AN453" s="66"/>
      <c r="AO453" s="66"/>
      <c r="AP453" s="68"/>
      <c r="AW453" s="66"/>
      <c r="AX453" s="68"/>
      <c r="BD453" s="66"/>
      <c r="BE453" s="68"/>
      <c r="BF453" s="66"/>
      <c r="BG453" s="66"/>
      <c r="BH453" s="66"/>
      <c r="BI453" s="66"/>
      <c r="BJ453" s="66"/>
      <c r="BK453" s="66"/>
      <c r="BL453" s="68"/>
      <c r="BO453" s="66"/>
      <c r="BP453" s="68"/>
      <c r="BV453" s="66"/>
      <c r="BW453" s="68"/>
      <c r="CB453" s="8"/>
      <c r="CH453" s="8"/>
      <c r="CK453" s="299"/>
      <c r="CL453" s="299"/>
      <c r="CM453" s="66"/>
      <c r="CN453" s="66"/>
      <c r="CO453" s="68"/>
      <c r="CR453" s="8"/>
      <c r="CX453" s="66"/>
      <c r="CY453" s="532"/>
      <c r="DE453" s="66"/>
      <c r="DF453" s="66"/>
      <c r="DG453" s="68"/>
      <c r="DH453" s="68"/>
      <c r="DK453" s="66"/>
      <c r="DL453" s="66"/>
      <c r="DM453" s="66"/>
      <c r="DN453" s="66"/>
      <c r="DO453" s="66"/>
      <c r="DP453" s="66"/>
      <c r="DQ453" s="66"/>
      <c r="DR453" s="66"/>
      <c r="DS453" s="66"/>
      <c r="DT453" s="68"/>
      <c r="DU453" s="66"/>
      <c r="DV453" s="296"/>
      <c r="DW453" s="330"/>
      <c r="DX453" s="631"/>
      <c r="DY453" s="631"/>
      <c r="DZ453" s="631"/>
      <c r="EA453" s="330"/>
      <c r="EC453" s="66"/>
      <c r="ED453" s="68"/>
      <c r="EH453" s="66"/>
      <c r="EI453" s="66"/>
      <c r="EJ453" s="68"/>
      <c r="EK453" s="252"/>
      <c r="EL453" s="252"/>
      <c r="EM453" s="252"/>
      <c r="EO453" s="252"/>
      <c r="EP453" s="252"/>
      <c r="EQ453" s="252"/>
      <c r="ES453" s="252"/>
      <c r="ET453" s="252"/>
      <c r="EU453" s="252"/>
      <c r="EW453" s="252"/>
      <c r="EX453" s="252"/>
      <c r="EY453" s="252"/>
      <c r="FA453" s="250"/>
      <c r="FB453" s="250"/>
      <c r="FC453" s="250"/>
      <c r="FD453" s="250"/>
      <c r="FE453" s="250"/>
      <c r="FF453" s="250"/>
      <c r="FG453" s="250"/>
      <c r="FH453" s="424"/>
      <c r="FI453" s="250"/>
      <c r="FJ453" s="250"/>
      <c r="FK453" s="250"/>
      <c r="FL453" s="256"/>
      <c r="FM453" s="250"/>
      <c r="FN453" s="256"/>
      <c r="FO453" s="250"/>
      <c r="FP453" s="256"/>
      <c r="FQ453" s="250"/>
      <c r="FR453" s="256"/>
      <c r="FS453" s="250"/>
      <c r="FT453" s="256"/>
      <c r="FU453" s="256"/>
      <c r="FV453" s="256"/>
      <c r="FW453" s="250"/>
      <c r="FX453" s="424"/>
      <c r="FY453" s="251"/>
      <c r="GC453" s="252"/>
      <c r="GF453" s="252"/>
      <c r="GG453" s="252"/>
      <c r="GH453" s="252"/>
      <c r="GI453" s="252"/>
      <c r="GJ453" s="252"/>
      <c r="GK453" s="251"/>
      <c r="GL453" s="250"/>
      <c r="GM453" s="250"/>
      <c r="GN453" s="250"/>
      <c r="GO453" s="250"/>
      <c r="GP453" s="250"/>
      <c r="GQ453" s="250"/>
      <c r="GR453" s="250"/>
      <c r="GS453" s="250"/>
      <c r="GT453" s="250"/>
      <c r="GU453" s="251"/>
      <c r="GV453" s="250"/>
      <c r="GW453" s="250"/>
      <c r="GX453" s="250"/>
      <c r="GY453" s="250"/>
      <c r="GZ453" s="250"/>
      <c r="HA453" s="250"/>
      <c r="HB453" s="250"/>
      <c r="HC453" s="250"/>
      <c r="HD453" s="250"/>
      <c r="HE453" s="250"/>
      <c r="HF453" s="250"/>
      <c r="HG453" s="250"/>
      <c r="HH453" s="251"/>
      <c r="HI453" s="424"/>
      <c r="HJ453" s="255"/>
      <c r="HK453" s="255"/>
      <c r="HL453" s="250"/>
      <c r="HM453" s="255"/>
      <c r="HN453" s="255"/>
      <c r="HO453" s="255"/>
      <c r="HP453" s="250"/>
      <c r="HQ453" s="250"/>
      <c r="HR453" s="250"/>
      <c r="HS453" s="250"/>
      <c r="HT453" s="250"/>
      <c r="HU453" s="251"/>
      <c r="HX453" s="252"/>
      <c r="HY453" s="252"/>
      <c r="HZ453" s="252"/>
      <c r="ID453" s="252"/>
      <c r="IE453" s="252"/>
      <c r="IF453" s="252"/>
      <c r="IJ453" s="252"/>
      <c r="IK453" s="252"/>
      <c r="IL453" s="252"/>
      <c r="IP453" s="252"/>
      <c r="IQ453" s="252"/>
      <c r="IR453" s="252"/>
      <c r="IY453" s="66"/>
      <c r="IZ453" s="66"/>
      <c r="JA453" s="66"/>
      <c r="JB453" s="250"/>
      <c r="JC453" s="66"/>
      <c r="JD453" s="66"/>
      <c r="JE453" s="66"/>
      <c r="JF453" s="66"/>
      <c r="JG453" s="66"/>
      <c r="JH453" s="66"/>
      <c r="JI453" s="66"/>
      <c r="JJ453" s="66"/>
      <c r="JK453" s="8"/>
      <c r="JN453" s="252"/>
      <c r="JO453" s="252"/>
      <c r="JP453" s="252"/>
      <c r="JT453" s="252"/>
      <c r="JU453" s="252"/>
      <c r="JV453" s="252"/>
      <c r="JZ453" s="252"/>
      <c r="KA453" s="252"/>
      <c r="KB453" s="252"/>
      <c r="KF453" s="252"/>
      <c r="KG453" s="252"/>
      <c r="KH453" s="252"/>
      <c r="KO453" s="66"/>
      <c r="KP453" s="66"/>
      <c r="KQ453" s="66"/>
      <c r="KR453" s="66"/>
      <c r="KS453" s="66"/>
      <c r="KT453" s="66"/>
      <c r="KU453" s="66"/>
      <c r="KV453" s="66"/>
      <c r="KW453" s="66"/>
      <c r="KX453" s="66"/>
      <c r="KY453" s="66"/>
      <c r="KZ453" s="66"/>
      <c r="LA453" s="8"/>
      <c r="LD453" s="252"/>
      <c r="LE453" s="252"/>
      <c r="LF453" s="252"/>
      <c r="LJ453" s="252"/>
      <c r="LK453" s="252"/>
      <c r="LN453" s="252"/>
      <c r="LO453" s="252"/>
      <c r="LP453" s="252"/>
      <c r="LT453" s="271"/>
      <c r="LU453" s="250"/>
      <c r="LV453" s="250"/>
      <c r="LW453" s="250"/>
      <c r="LX453" s="250"/>
      <c r="LY453" s="250"/>
      <c r="LZ453" s="250"/>
      <c r="MA453" s="250"/>
      <c r="MB453" s="250"/>
      <c r="MC453" s="250"/>
      <c r="MD453" s="250"/>
      <c r="ME453" s="250"/>
      <c r="MF453" s="250"/>
      <c r="MG453" s="250"/>
      <c r="MH453" s="250"/>
      <c r="MI453" s="250"/>
      <c r="MJ453" s="250"/>
      <c r="MK453" s="424"/>
      <c r="ML453" s="640"/>
      <c r="MM453" s="251"/>
      <c r="MN453" s="252"/>
      <c r="MO453" s="252"/>
      <c r="MP453" s="252"/>
      <c r="MQ453" s="252"/>
      <c r="MR453" s="252"/>
      <c r="MS453" s="252"/>
      <c r="MT453" s="252"/>
      <c r="MU453" s="252"/>
      <c r="MV453" s="252"/>
      <c r="MW453" s="252"/>
      <c r="MX453" s="252"/>
      <c r="MY453" s="252"/>
      <c r="MZ453" s="252"/>
      <c r="NA453" s="252"/>
      <c r="NB453" s="252"/>
      <c r="NC453" s="251"/>
      <c r="ND453" s="250"/>
      <c r="NE453" s="250"/>
      <c r="NF453" s="250"/>
      <c r="NG453" s="250"/>
      <c r="NH453" s="250"/>
      <c r="NI453" s="250"/>
      <c r="NJ453" s="250"/>
      <c r="NK453" s="250"/>
      <c r="NL453" s="250"/>
      <c r="NM453" s="250"/>
      <c r="NN453" s="250"/>
      <c r="NO453" s="250"/>
      <c r="NP453" s="250"/>
      <c r="NQ453" s="250"/>
      <c r="NR453" s="250"/>
      <c r="NS453" s="250"/>
      <c r="NT453" s="250"/>
      <c r="NU453" s="250"/>
      <c r="NV453" s="250"/>
      <c r="NW453" s="251"/>
      <c r="OT453" s="8"/>
      <c r="QG453" s="8"/>
      <c r="RT453" s="8"/>
    </row>
    <row r="454" spans="1:488" s="282" customFormat="1" x14ac:dyDescent="0.25">
      <c r="A454" s="66"/>
      <c r="B454" s="8"/>
      <c r="C454" s="66"/>
      <c r="D454" s="66"/>
      <c r="E454" s="66"/>
      <c r="F454" s="66"/>
      <c r="G454" s="66"/>
      <c r="H454" s="66"/>
      <c r="I454" s="66"/>
      <c r="J454" s="66"/>
      <c r="K454" s="66"/>
      <c r="L454" s="66"/>
      <c r="M454" s="66"/>
      <c r="N454" s="66"/>
      <c r="O454" s="66"/>
      <c r="P454" s="66"/>
      <c r="Q454" s="66"/>
      <c r="R454" s="66"/>
      <c r="S454" s="66"/>
      <c r="T454" s="68"/>
      <c r="AC454" s="66"/>
      <c r="AD454" s="66"/>
      <c r="AE454" s="68"/>
      <c r="AN454" s="66"/>
      <c r="AO454" s="66"/>
      <c r="AP454" s="68"/>
      <c r="AW454" s="66"/>
      <c r="AX454" s="68"/>
      <c r="BD454" s="66"/>
      <c r="BE454" s="68"/>
      <c r="BF454" s="66"/>
      <c r="BG454" s="66"/>
      <c r="BH454" s="66"/>
      <c r="BI454" s="66"/>
      <c r="BJ454" s="66"/>
      <c r="BK454" s="66"/>
      <c r="BL454" s="68"/>
      <c r="BO454" s="66"/>
      <c r="BP454" s="68"/>
      <c r="BV454" s="66"/>
      <c r="BW454" s="68"/>
      <c r="CB454" s="8"/>
      <c r="CH454" s="8"/>
      <c r="CK454" s="299"/>
      <c r="CL454" s="299"/>
      <c r="CM454" s="66"/>
      <c r="CN454" s="66"/>
      <c r="CO454" s="68"/>
      <c r="CR454" s="8"/>
      <c r="CX454" s="66"/>
      <c r="CY454" s="532"/>
      <c r="DE454" s="66"/>
      <c r="DF454" s="66"/>
      <c r="DG454" s="68"/>
      <c r="DH454" s="68"/>
      <c r="DK454" s="66"/>
      <c r="DL454" s="66"/>
      <c r="DM454" s="66"/>
      <c r="DN454" s="66"/>
      <c r="DO454" s="66"/>
      <c r="DP454" s="66"/>
      <c r="DQ454" s="66"/>
      <c r="DR454" s="66"/>
      <c r="DS454" s="66"/>
      <c r="DT454" s="68"/>
      <c r="DU454" s="66"/>
      <c r="DV454" s="296"/>
      <c r="DW454" s="330"/>
      <c r="DX454" s="631"/>
      <c r="DY454" s="631"/>
      <c r="DZ454" s="631"/>
      <c r="EA454" s="330"/>
      <c r="EC454" s="66"/>
      <c r="ED454" s="68"/>
      <c r="EH454" s="66"/>
      <c r="EI454" s="66"/>
      <c r="EJ454" s="68"/>
      <c r="EK454" s="252"/>
      <c r="EL454" s="252"/>
      <c r="EM454" s="252"/>
      <c r="EO454" s="252"/>
      <c r="EP454" s="252"/>
      <c r="EQ454" s="252"/>
      <c r="ES454" s="252"/>
      <c r="ET454" s="252"/>
      <c r="EU454" s="252"/>
      <c r="EW454" s="252"/>
      <c r="EX454" s="252"/>
      <c r="EY454" s="252"/>
      <c r="FA454" s="250"/>
      <c r="FB454" s="250"/>
      <c r="FC454" s="250"/>
      <c r="FD454" s="250"/>
      <c r="FE454" s="250"/>
      <c r="FF454" s="250"/>
      <c r="FG454" s="250"/>
      <c r="FH454" s="424"/>
      <c r="FI454" s="250"/>
      <c r="FJ454" s="250"/>
      <c r="FK454" s="250"/>
      <c r="FL454" s="256"/>
      <c r="FM454" s="250"/>
      <c r="FN454" s="256"/>
      <c r="FO454" s="250"/>
      <c r="FP454" s="256"/>
      <c r="FQ454" s="250"/>
      <c r="FR454" s="256"/>
      <c r="FS454" s="250"/>
      <c r="FT454" s="256"/>
      <c r="FU454" s="256"/>
      <c r="FV454" s="256"/>
      <c r="FW454" s="250"/>
      <c r="FX454" s="424"/>
      <c r="FY454" s="251"/>
      <c r="GC454" s="252"/>
      <c r="GF454" s="252"/>
      <c r="GG454" s="252"/>
      <c r="GH454" s="252"/>
      <c r="GI454" s="252"/>
      <c r="GJ454" s="252"/>
      <c r="GK454" s="251"/>
      <c r="GL454" s="250"/>
      <c r="GM454" s="250"/>
      <c r="GN454" s="250"/>
      <c r="GO454" s="250"/>
      <c r="GP454" s="250"/>
      <c r="GQ454" s="250"/>
      <c r="GR454" s="250"/>
      <c r="GS454" s="250"/>
      <c r="GT454" s="250"/>
      <c r="GU454" s="251"/>
      <c r="GV454" s="250"/>
      <c r="GW454" s="250"/>
      <c r="GX454" s="250"/>
      <c r="GY454" s="250"/>
      <c r="GZ454" s="250"/>
      <c r="HA454" s="250"/>
      <c r="HB454" s="250"/>
      <c r="HC454" s="250"/>
      <c r="HD454" s="250"/>
      <c r="HE454" s="250"/>
      <c r="HF454" s="250"/>
      <c r="HG454" s="250"/>
      <c r="HH454" s="251"/>
      <c r="HI454" s="424"/>
      <c r="HJ454" s="255"/>
      <c r="HK454" s="255"/>
      <c r="HL454" s="250"/>
      <c r="HM454" s="255"/>
      <c r="HN454" s="255"/>
      <c r="HO454" s="255"/>
      <c r="HP454" s="250"/>
      <c r="HQ454" s="250"/>
      <c r="HR454" s="250"/>
      <c r="HS454" s="250"/>
      <c r="HT454" s="250"/>
      <c r="HU454" s="251"/>
      <c r="HX454" s="252"/>
      <c r="HY454" s="252"/>
      <c r="HZ454" s="252"/>
      <c r="ID454" s="252"/>
      <c r="IE454" s="252"/>
      <c r="IF454" s="252"/>
      <c r="IJ454" s="252"/>
      <c r="IK454" s="252"/>
      <c r="IL454" s="252"/>
      <c r="IP454" s="252"/>
      <c r="IQ454" s="252"/>
      <c r="IR454" s="252"/>
      <c r="IY454" s="66"/>
      <c r="IZ454" s="66"/>
      <c r="JA454" s="66"/>
      <c r="JB454" s="250"/>
      <c r="JC454" s="66"/>
      <c r="JD454" s="66"/>
      <c r="JE454" s="66"/>
      <c r="JF454" s="66"/>
      <c r="JG454" s="66"/>
      <c r="JH454" s="66"/>
      <c r="JI454" s="66"/>
      <c r="JJ454" s="66"/>
      <c r="JK454" s="8"/>
      <c r="JN454" s="252"/>
      <c r="JO454" s="252"/>
      <c r="JP454" s="252"/>
      <c r="JT454" s="252"/>
      <c r="JU454" s="252"/>
      <c r="JV454" s="252"/>
      <c r="JZ454" s="252"/>
      <c r="KA454" s="252"/>
      <c r="KB454" s="252"/>
      <c r="KF454" s="252"/>
      <c r="KG454" s="252"/>
      <c r="KH454" s="252"/>
      <c r="KO454" s="66"/>
      <c r="KP454" s="66"/>
      <c r="KQ454" s="66"/>
      <c r="KR454" s="66"/>
      <c r="KS454" s="66"/>
      <c r="KT454" s="66"/>
      <c r="KU454" s="66"/>
      <c r="KV454" s="66"/>
      <c r="KW454" s="66"/>
      <c r="KX454" s="66"/>
      <c r="KY454" s="66"/>
      <c r="KZ454" s="66"/>
      <c r="LA454" s="8"/>
      <c r="LD454" s="252"/>
      <c r="LE454" s="252"/>
      <c r="LF454" s="252"/>
      <c r="LJ454" s="252"/>
      <c r="LK454" s="252"/>
      <c r="LN454" s="252"/>
      <c r="LO454" s="252"/>
      <c r="LP454" s="252"/>
      <c r="LT454" s="271"/>
      <c r="LU454" s="250"/>
      <c r="LV454" s="250"/>
      <c r="LW454" s="250"/>
      <c r="LX454" s="250"/>
      <c r="LY454" s="250"/>
      <c r="LZ454" s="250"/>
      <c r="MA454" s="250"/>
      <c r="MB454" s="250"/>
      <c r="MC454" s="250"/>
      <c r="MD454" s="250"/>
      <c r="ME454" s="250"/>
      <c r="MF454" s="250"/>
      <c r="MG454" s="250"/>
      <c r="MH454" s="250"/>
      <c r="MI454" s="250"/>
      <c r="MJ454" s="250"/>
      <c r="MK454" s="424"/>
      <c r="ML454" s="640"/>
      <c r="MM454" s="251"/>
      <c r="MN454" s="252"/>
      <c r="MO454" s="252"/>
      <c r="MP454" s="252"/>
      <c r="MQ454" s="252"/>
      <c r="MR454" s="252"/>
      <c r="MS454" s="252"/>
      <c r="MT454" s="252"/>
      <c r="MU454" s="252"/>
      <c r="MV454" s="252"/>
      <c r="MW454" s="252"/>
      <c r="MX454" s="252"/>
      <c r="MY454" s="252"/>
      <c r="MZ454" s="252"/>
      <c r="NA454" s="252"/>
      <c r="NB454" s="252"/>
      <c r="NC454" s="251"/>
      <c r="ND454" s="250"/>
      <c r="NE454" s="250"/>
      <c r="NF454" s="250"/>
      <c r="NG454" s="250"/>
      <c r="NH454" s="250"/>
      <c r="NI454" s="250"/>
      <c r="NJ454" s="250"/>
      <c r="NK454" s="250"/>
      <c r="NL454" s="250"/>
      <c r="NM454" s="250"/>
      <c r="NN454" s="250"/>
      <c r="NO454" s="250"/>
      <c r="NP454" s="250"/>
      <c r="NQ454" s="250"/>
      <c r="NR454" s="250"/>
      <c r="NS454" s="250"/>
      <c r="NT454" s="250"/>
      <c r="NU454" s="250"/>
      <c r="NV454" s="250"/>
      <c r="NW454" s="251"/>
      <c r="OT454" s="8"/>
      <c r="QG454" s="8"/>
      <c r="RT454" s="8"/>
    </row>
    <row r="455" spans="1:488" s="282" customFormat="1" x14ac:dyDescent="0.25">
      <c r="A455" s="66"/>
      <c r="B455" s="8"/>
      <c r="C455" s="66"/>
      <c r="D455" s="66"/>
      <c r="E455" s="66"/>
      <c r="F455" s="66"/>
      <c r="G455" s="66"/>
      <c r="H455" s="66"/>
      <c r="I455" s="66"/>
      <c r="J455" s="66"/>
      <c r="K455" s="66"/>
      <c r="L455" s="66"/>
      <c r="M455" s="66"/>
      <c r="N455" s="66"/>
      <c r="O455" s="66"/>
      <c r="P455" s="66"/>
      <c r="Q455" s="66"/>
      <c r="R455" s="66"/>
      <c r="S455" s="66"/>
      <c r="T455" s="68"/>
      <c r="AC455" s="66"/>
      <c r="AD455" s="66"/>
      <c r="AE455" s="68"/>
      <c r="AN455" s="66"/>
      <c r="AO455" s="66"/>
      <c r="AP455" s="68"/>
      <c r="AW455" s="66"/>
      <c r="AX455" s="68"/>
      <c r="BD455" s="66"/>
      <c r="BE455" s="68"/>
      <c r="BF455" s="66"/>
      <c r="BG455" s="66"/>
      <c r="BH455" s="66"/>
      <c r="BI455" s="66"/>
      <c r="BJ455" s="66"/>
      <c r="BK455" s="66"/>
      <c r="BL455" s="68"/>
      <c r="BO455" s="66"/>
      <c r="BP455" s="68"/>
      <c r="BV455" s="66"/>
      <c r="BW455" s="68"/>
      <c r="CB455" s="8"/>
      <c r="CH455" s="8"/>
      <c r="CK455" s="299"/>
      <c r="CL455" s="299"/>
      <c r="CM455" s="66"/>
      <c r="CN455" s="66"/>
      <c r="CO455" s="68"/>
      <c r="CR455" s="8"/>
      <c r="CX455" s="66"/>
      <c r="CY455" s="532"/>
      <c r="DE455" s="66"/>
      <c r="DF455" s="66"/>
      <c r="DG455" s="68"/>
      <c r="DH455" s="68"/>
      <c r="DK455" s="66"/>
      <c r="DL455" s="66"/>
      <c r="DM455" s="66"/>
      <c r="DN455" s="66"/>
      <c r="DO455" s="66"/>
      <c r="DP455" s="66"/>
      <c r="DQ455" s="66"/>
      <c r="DR455" s="66"/>
      <c r="DS455" s="66"/>
      <c r="DT455" s="68"/>
      <c r="DU455" s="66"/>
      <c r="DV455" s="296"/>
      <c r="DW455" s="330"/>
      <c r="DX455" s="631"/>
      <c r="DY455" s="631"/>
      <c r="DZ455" s="631"/>
      <c r="EA455" s="330"/>
      <c r="EC455" s="66"/>
      <c r="ED455" s="68"/>
      <c r="EH455" s="66"/>
      <c r="EI455" s="66"/>
      <c r="EJ455" s="68"/>
      <c r="EK455" s="252"/>
      <c r="EL455" s="252"/>
      <c r="EM455" s="252"/>
      <c r="EO455" s="252"/>
      <c r="EP455" s="252"/>
      <c r="EQ455" s="252"/>
      <c r="ES455" s="252"/>
      <c r="ET455" s="252"/>
      <c r="EU455" s="252"/>
      <c r="EW455" s="252"/>
      <c r="EX455" s="252"/>
      <c r="EY455" s="252"/>
      <c r="FA455" s="250"/>
      <c r="FB455" s="250"/>
      <c r="FC455" s="250"/>
      <c r="FD455" s="250"/>
      <c r="FE455" s="250"/>
      <c r="FF455" s="250"/>
      <c r="FG455" s="250"/>
      <c r="FH455" s="424"/>
      <c r="FI455" s="250"/>
      <c r="FJ455" s="250"/>
      <c r="FK455" s="250"/>
      <c r="FL455" s="256"/>
      <c r="FM455" s="250"/>
      <c r="FN455" s="256"/>
      <c r="FO455" s="250"/>
      <c r="FP455" s="256"/>
      <c r="FQ455" s="250"/>
      <c r="FR455" s="256"/>
      <c r="FS455" s="250"/>
      <c r="FT455" s="256"/>
      <c r="FU455" s="256"/>
      <c r="FV455" s="256"/>
      <c r="FW455" s="250"/>
      <c r="FX455" s="424"/>
      <c r="FY455" s="251"/>
      <c r="GC455" s="252"/>
      <c r="GF455" s="252"/>
      <c r="GG455" s="252"/>
      <c r="GH455" s="252"/>
      <c r="GI455" s="252"/>
      <c r="GJ455" s="252"/>
      <c r="GK455" s="251"/>
      <c r="GL455" s="250"/>
      <c r="GM455" s="250"/>
      <c r="GN455" s="250"/>
      <c r="GO455" s="250"/>
      <c r="GP455" s="250"/>
      <c r="GQ455" s="250"/>
      <c r="GR455" s="250"/>
      <c r="GS455" s="250"/>
      <c r="GT455" s="250"/>
      <c r="GU455" s="251"/>
      <c r="GV455" s="250"/>
      <c r="GW455" s="250"/>
      <c r="GX455" s="250"/>
      <c r="GY455" s="250"/>
      <c r="GZ455" s="250"/>
      <c r="HA455" s="250"/>
      <c r="HB455" s="250"/>
      <c r="HC455" s="250"/>
      <c r="HD455" s="250"/>
      <c r="HE455" s="250"/>
      <c r="HF455" s="250"/>
      <c r="HG455" s="250"/>
      <c r="HH455" s="251"/>
      <c r="HI455" s="424"/>
      <c r="HJ455" s="255"/>
      <c r="HK455" s="255"/>
      <c r="HL455" s="250"/>
      <c r="HM455" s="255"/>
      <c r="HN455" s="255"/>
      <c r="HO455" s="255"/>
      <c r="HP455" s="250"/>
      <c r="HQ455" s="250"/>
      <c r="HR455" s="250"/>
      <c r="HS455" s="250"/>
      <c r="HT455" s="250"/>
      <c r="HU455" s="251"/>
      <c r="HX455" s="252"/>
      <c r="HY455" s="252"/>
      <c r="HZ455" s="252"/>
      <c r="ID455" s="252"/>
      <c r="IE455" s="252"/>
      <c r="IF455" s="252"/>
      <c r="IJ455" s="252"/>
      <c r="IK455" s="252"/>
      <c r="IL455" s="252"/>
      <c r="IP455" s="252"/>
      <c r="IQ455" s="252"/>
      <c r="IR455" s="252"/>
      <c r="IY455" s="66"/>
      <c r="IZ455" s="66"/>
      <c r="JA455" s="66"/>
      <c r="JB455" s="250"/>
      <c r="JC455" s="66"/>
      <c r="JD455" s="66"/>
      <c r="JE455" s="66"/>
      <c r="JF455" s="66"/>
      <c r="JG455" s="66"/>
      <c r="JH455" s="66"/>
      <c r="JI455" s="66"/>
      <c r="JJ455" s="66"/>
      <c r="JK455" s="8"/>
      <c r="JN455" s="252"/>
      <c r="JO455" s="252"/>
      <c r="JP455" s="252"/>
      <c r="JT455" s="252"/>
      <c r="JU455" s="252"/>
      <c r="JV455" s="252"/>
      <c r="JZ455" s="252"/>
      <c r="KA455" s="252"/>
      <c r="KB455" s="252"/>
      <c r="KF455" s="252"/>
      <c r="KG455" s="252"/>
      <c r="KH455" s="252"/>
      <c r="KO455" s="66"/>
      <c r="KP455" s="66"/>
      <c r="KQ455" s="66"/>
      <c r="KR455" s="66"/>
      <c r="KS455" s="66"/>
      <c r="KT455" s="66"/>
      <c r="KU455" s="66"/>
      <c r="KV455" s="66"/>
      <c r="KW455" s="66"/>
      <c r="KX455" s="66"/>
      <c r="KY455" s="66"/>
      <c r="KZ455" s="66"/>
      <c r="LA455" s="8"/>
      <c r="LD455" s="252"/>
      <c r="LE455" s="252"/>
      <c r="LF455" s="252"/>
      <c r="LJ455" s="252"/>
      <c r="LK455" s="252"/>
      <c r="LN455" s="252"/>
      <c r="LO455" s="252"/>
      <c r="LP455" s="252"/>
      <c r="LT455" s="271"/>
      <c r="LU455" s="250"/>
      <c r="LV455" s="250"/>
      <c r="LW455" s="250"/>
      <c r="LX455" s="250"/>
      <c r="LY455" s="250"/>
      <c r="LZ455" s="250"/>
      <c r="MA455" s="250"/>
      <c r="MB455" s="250"/>
      <c r="MC455" s="250"/>
      <c r="MD455" s="250"/>
      <c r="ME455" s="250"/>
      <c r="MF455" s="250"/>
      <c r="MG455" s="250"/>
      <c r="MH455" s="250"/>
      <c r="MI455" s="250"/>
      <c r="MJ455" s="250"/>
      <c r="MK455" s="424"/>
      <c r="ML455" s="640"/>
      <c r="MM455" s="251"/>
      <c r="MN455" s="252"/>
      <c r="MO455" s="252"/>
      <c r="MP455" s="252"/>
      <c r="MQ455" s="252"/>
      <c r="MR455" s="252"/>
      <c r="MS455" s="252"/>
      <c r="MT455" s="252"/>
      <c r="MU455" s="252"/>
      <c r="MV455" s="252"/>
      <c r="MW455" s="252"/>
      <c r="MX455" s="252"/>
      <c r="MY455" s="252"/>
      <c r="MZ455" s="252"/>
      <c r="NA455" s="252"/>
      <c r="NB455" s="252"/>
      <c r="NC455" s="251"/>
      <c r="ND455" s="250"/>
      <c r="NE455" s="250"/>
      <c r="NF455" s="250"/>
      <c r="NG455" s="250"/>
      <c r="NH455" s="250"/>
      <c r="NI455" s="250"/>
      <c r="NJ455" s="250"/>
      <c r="NK455" s="250"/>
      <c r="NL455" s="250"/>
      <c r="NM455" s="250"/>
      <c r="NN455" s="250"/>
      <c r="NO455" s="250"/>
      <c r="NP455" s="250"/>
      <c r="NQ455" s="250"/>
      <c r="NR455" s="250"/>
      <c r="NS455" s="250"/>
      <c r="NT455" s="250"/>
      <c r="NU455" s="250"/>
      <c r="NV455" s="250"/>
      <c r="NW455" s="251"/>
      <c r="OT455" s="8"/>
      <c r="QG455" s="8"/>
      <c r="RT455" s="8"/>
    </row>
    <row r="456" spans="1:488" s="282" customFormat="1" x14ac:dyDescent="0.25">
      <c r="A456" s="66"/>
      <c r="B456" s="8"/>
      <c r="C456" s="66"/>
      <c r="D456" s="66"/>
      <c r="E456" s="66"/>
      <c r="F456" s="66"/>
      <c r="G456" s="66"/>
      <c r="H456" s="66"/>
      <c r="I456" s="66"/>
      <c r="J456" s="66"/>
      <c r="K456" s="66"/>
      <c r="L456" s="66"/>
      <c r="M456" s="66"/>
      <c r="N456" s="66"/>
      <c r="O456" s="66"/>
      <c r="P456" s="66"/>
      <c r="Q456" s="66"/>
      <c r="R456" s="66"/>
      <c r="S456" s="66"/>
      <c r="T456" s="68"/>
      <c r="AC456" s="66"/>
      <c r="AD456" s="66"/>
      <c r="AE456" s="68"/>
      <c r="AN456" s="66"/>
      <c r="AO456" s="66"/>
      <c r="AP456" s="68"/>
      <c r="AW456" s="66"/>
      <c r="AX456" s="68"/>
      <c r="BD456" s="66"/>
      <c r="BE456" s="68"/>
      <c r="BF456" s="66"/>
      <c r="BG456" s="66"/>
      <c r="BH456" s="66"/>
      <c r="BI456" s="66"/>
      <c r="BJ456" s="66"/>
      <c r="BK456" s="66"/>
      <c r="BL456" s="68"/>
      <c r="BO456" s="66"/>
      <c r="BP456" s="68"/>
      <c r="BV456" s="66"/>
      <c r="BW456" s="68"/>
      <c r="CB456" s="8"/>
      <c r="CH456" s="8"/>
      <c r="CK456" s="299"/>
      <c r="CL456" s="299"/>
      <c r="CM456" s="66"/>
      <c r="CN456" s="66"/>
      <c r="CO456" s="68"/>
      <c r="CR456" s="8"/>
      <c r="CX456" s="66"/>
      <c r="CY456" s="532"/>
      <c r="DE456" s="66"/>
      <c r="DF456" s="66"/>
      <c r="DG456" s="68"/>
      <c r="DH456" s="68"/>
      <c r="DK456" s="66"/>
      <c r="DL456" s="66"/>
      <c r="DM456" s="66"/>
      <c r="DN456" s="66"/>
      <c r="DO456" s="66"/>
      <c r="DP456" s="66"/>
      <c r="DQ456" s="66"/>
      <c r="DR456" s="66"/>
      <c r="DS456" s="66"/>
      <c r="DT456" s="68"/>
      <c r="DU456" s="66"/>
      <c r="DV456" s="296"/>
      <c r="DW456" s="330"/>
      <c r="DX456" s="631"/>
      <c r="DY456" s="631"/>
      <c r="DZ456" s="631"/>
      <c r="EA456" s="330"/>
      <c r="EC456" s="66"/>
      <c r="ED456" s="68"/>
      <c r="EH456" s="66"/>
      <c r="EI456" s="66"/>
      <c r="EJ456" s="68"/>
      <c r="EK456" s="252"/>
      <c r="EL456" s="252"/>
      <c r="EM456" s="252"/>
      <c r="EO456" s="252"/>
      <c r="EP456" s="252"/>
      <c r="EQ456" s="252"/>
      <c r="ES456" s="252"/>
      <c r="ET456" s="252"/>
      <c r="EU456" s="252"/>
      <c r="EW456" s="252"/>
      <c r="EX456" s="252"/>
      <c r="EY456" s="252"/>
      <c r="FA456" s="250"/>
      <c r="FB456" s="250"/>
      <c r="FC456" s="250"/>
      <c r="FD456" s="250"/>
      <c r="FE456" s="250"/>
      <c r="FF456" s="250"/>
      <c r="FG456" s="250"/>
      <c r="FH456" s="424"/>
      <c r="FI456" s="250"/>
      <c r="FJ456" s="250"/>
      <c r="FK456" s="250"/>
      <c r="FL456" s="256"/>
      <c r="FM456" s="250"/>
      <c r="FN456" s="256"/>
      <c r="FO456" s="250"/>
      <c r="FP456" s="256"/>
      <c r="FQ456" s="250"/>
      <c r="FR456" s="256"/>
      <c r="FS456" s="250"/>
      <c r="FT456" s="256"/>
      <c r="FU456" s="256"/>
      <c r="FV456" s="256"/>
      <c r="FW456" s="250"/>
      <c r="FX456" s="424"/>
      <c r="FY456" s="251"/>
      <c r="GC456" s="252"/>
      <c r="GF456" s="252"/>
      <c r="GG456" s="252"/>
      <c r="GH456" s="252"/>
      <c r="GI456" s="252"/>
      <c r="GJ456" s="252"/>
      <c r="GK456" s="251"/>
      <c r="GL456" s="250"/>
      <c r="GM456" s="250"/>
      <c r="GN456" s="250"/>
      <c r="GO456" s="250"/>
      <c r="GP456" s="250"/>
      <c r="GQ456" s="250"/>
      <c r="GR456" s="250"/>
      <c r="GS456" s="250"/>
      <c r="GT456" s="250"/>
      <c r="GU456" s="251"/>
      <c r="GV456" s="250"/>
      <c r="GW456" s="250"/>
      <c r="GX456" s="250"/>
      <c r="GY456" s="250"/>
      <c r="GZ456" s="250"/>
      <c r="HA456" s="250"/>
      <c r="HB456" s="250"/>
      <c r="HC456" s="250"/>
      <c r="HD456" s="250"/>
      <c r="HE456" s="250"/>
      <c r="HF456" s="250"/>
      <c r="HG456" s="250"/>
      <c r="HH456" s="251"/>
      <c r="HI456" s="424"/>
      <c r="HJ456" s="255"/>
      <c r="HK456" s="255"/>
      <c r="HL456" s="250"/>
      <c r="HM456" s="255"/>
      <c r="HN456" s="255"/>
      <c r="HO456" s="255"/>
      <c r="HP456" s="250"/>
      <c r="HQ456" s="250"/>
      <c r="HR456" s="250"/>
      <c r="HS456" s="250"/>
      <c r="HT456" s="250"/>
      <c r="HU456" s="251"/>
      <c r="HX456" s="252"/>
      <c r="HY456" s="252"/>
      <c r="HZ456" s="252"/>
      <c r="ID456" s="252"/>
      <c r="IE456" s="252"/>
      <c r="IF456" s="252"/>
      <c r="IJ456" s="252"/>
      <c r="IK456" s="252"/>
      <c r="IL456" s="252"/>
      <c r="IP456" s="252"/>
      <c r="IQ456" s="252"/>
      <c r="IR456" s="252"/>
      <c r="IY456" s="66"/>
      <c r="IZ456" s="66"/>
      <c r="JA456" s="66"/>
      <c r="JB456" s="250"/>
      <c r="JC456" s="66"/>
      <c r="JD456" s="66"/>
      <c r="JE456" s="66"/>
      <c r="JF456" s="66"/>
      <c r="JG456" s="66"/>
      <c r="JH456" s="66"/>
      <c r="JI456" s="66"/>
      <c r="JJ456" s="66"/>
      <c r="JK456" s="8"/>
      <c r="JN456" s="252"/>
      <c r="JO456" s="252"/>
      <c r="JP456" s="252"/>
      <c r="JT456" s="252"/>
      <c r="JU456" s="252"/>
      <c r="JV456" s="252"/>
      <c r="JZ456" s="252"/>
      <c r="KA456" s="252"/>
      <c r="KB456" s="252"/>
      <c r="KF456" s="252"/>
      <c r="KG456" s="252"/>
      <c r="KH456" s="252"/>
      <c r="KO456" s="66"/>
      <c r="KP456" s="66"/>
      <c r="KQ456" s="66"/>
      <c r="KR456" s="66"/>
      <c r="KS456" s="66"/>
      <c r="KT456" s="66"/>
      <c r="KU456" s="66"/>
      <c r="KV456" s="66"/>
      <c r="KW456" s="66"/>
      <c r="KX456" s="66"/>
      <c r="KY456" s="66"/>
      <c r="KZ456" s="66"/>
      <c r="LA456" s="8"/>
      <c r="LD456" s="252"/>
      <c r="LE456" s="252"/>
      <c r="LF456" s="252"/>
      <c r="LJ456" s="252"/>
      <c r="LK456" s="252"/>
      <c r="LN456" s="252"/>
      <c r="LO456" s="252"/>
      <c r="LP456" s="252"/>
      <c r="LT456" s="271"/>
      <c r="LU456" s="250"/>
      <c r="LV456" s="250"/>
      <c r="LW456" s="250"/>
      <c r="LX456" s="250"/>
      <c r="LY456" s="250"/>
      <c r="LZ456" s="250"/>
      <c r="MA456" s="250"/>
      <c r="MB456" s="250"/>
      <c r="MC456" s="250"/>
      <c r="MD456" s="250"/>
      <c r="ME456" s="250"/>
      <c r="MF456" s="250"/>
      <c r="MG456" s="250"/>
      <c r="MH456" s="250"/>
      <c r="MI456" s="250"/>
      <c r="MJ456" s="250"/>
      <c r="MK456" s="424"/>
      <c r="ML456" s="640"/>
      <c r="MM456" s="251"/>
      <c r="MN456" s="252"/>
      <c r="MO456" s="252"/>
      <c r="MP456" s="252"/>
      <c r="MQ456" s="252"/>
      <c r="MR456" s="252"/>
      <c r="MS456" s="252"/>
      <c r="MT456" s="252"/>
      <c r="MU456" s="252"/>
      <c r="MV456" s="252"/>
      <c r="MW456" s="252"/>
      <c r="MX456" s="252"/>
      <c r="MY456" s="252"/>
      <c r="MZ456" s="252"/>
      <c r="NA456" s="252"/>
      <c r="NB456" s="252"/>
      <c r="NC456" s="251"/>
      <c r="ND456" s="250"/>
      <c r="NE456" s="250"/>
      <c r="NF456" s="250"/>
      <c r="NG456" s="250"/>
      <c r="NH456" s="250"/>
      <c r="NI456" s="250"/>
      <c r="NJ456" s="250"/>
      <c r="NK456" s="250"/>
      <c r="NL456" s="250"/>
      <c r="NM456" s="250"/>
      <c r="NN456" s="250"/>
      <c r="NO456" s="250"/>
      <c r="NP456" s="250"/>
      <c r="NQ456" s="250"/>
      <c r="NR456" s="250"/>
      <c r="NS456" s="250"/>
      <c r="NT456" s="250"/>
      <c r="NU456" s="250"/>
      <c r="NV456" s="250"/>
      <c r="NW456" s="251"/>
      <c r="OT456" s="8"/>
      <c r="QG456" s="8"/>
      <c r="RT456" s="8"/>
    </row>
    <row r="457" spans="1:488" s="282" customFormat="1" x14ac:dyDescent="0.25">
      <c r="A457" s="66"/>
      <c r="B457" s="8"/>
      <c r="C457" s="66"/>
      <c r="D457" s="66"/>
      <c r="E457" s="66"/>
      <c r="F457" s="66"/>
      <c r="G457" s="66"/>
      <c r="H457" s="66"/>
      <c r="I457" s="66"/>
      <c r="J457" s="66"/>
      <c r="K457" s="66"/>
      <c r="L457" s="66"/>
      <c r="M457" s="66"/>
      <c r="N457" s="66"/>
      <c r="O457" s="66"/>
      <c r="P457" s="66"/>
      <c r="Q457" s="66"/>
      <c r="R457" s="66"/>
      <c r="S457" s="66"/>
      <c r="T457" s="68"/>
      <c r="AC457" s="66"/>
      <c r="AD457" s="66"/>
      <c r="AE457" s="68"/>
      <c r="AN457" s="66"/>
      <c r="AO457" s="66"/>
      <c r="AP457" s="68"/>
      <c r="AW457" s="66"/>
      <c r="AX457" s="68"/>
      <c r="BD457" s="66"/>
      <c r="BE457" s="68"/>
      <c r="BF457" s="66"/>
      <c r="BG457" s="66"/>
      <c r="BH457" s="66"/>
      <c r="BI457" s="66"/>
      <c r="BJ457" s="66"/>
      <c r="BK457" s="66"/>
      <c r="BL457" s="68"/>
      <c r="BO457" s="66"/>
      <c r="BP457" s="68"/>
      <c r="BV457" s="66"/>
      <c r="BW457" s="68"/>
      <c r="CB457" s="8"/>
      <c r="CH457" s="8"/>
      <c r="CK457" s="299"/>
      <c r="CL457" s="299"/>
      <c r="CM457" s="66"/>
      <c r="CN457" s="66"/>
      <c r="CO457" s="68"/>
      <c r="CR457" s="8"/>
      <c r="CX457" s="66"/>
      <c r="CY457" s="532"/>
      <c r="DE457" s="66"/>
      <c r="DF457" s="66"/>
      <c r="DG457" s="68"/>
      <c r="DH457" s="68"/>
      <c r="DK457" s="66"/>
      <c r="DL457" s="66"/>
      <c r="DM457" s="66"/>
      <c r="DN457" s="66"/>
      <c r="DO457" s="66"/>
      <c r="DP457" s="66"/>
      <c r="DQ457" s="66"/>
      <c r="DR457" s="66"/>
      <c r="DS457" s="66"/>
      <c r="DT457" s="68"/>
      <c r="DU457" s="66"/>
      <c r="DV457" s="296"/>
      <c r="DW457" s="330"/>
      <c r="DX457" s="631"/>
      <c r="DY457" s="631"/>
      <c r="DZ457" s="631"/>
      <c r="EA457" s="330"/>
      <c r="EC457" s="66"/>
      <c r="ED457" s="68"/>
      <c r="EH457" s="66"/>
      <c r="EI457" s="66"/>
      <c r="EJ457" s="68"/>
      <c r="EK457" s="252"/>
      <c r="EL457" s="252"/>
      <c r="EM457" s="252"/>
      <c r="EO457" s="252"/>
      <c r="EP457" s="252"/>
      <c r="EQ457" s="252"/>
      <c r="ES457" s="252"/>
      <c r="ET457" s="252"/>
      <c r="EU457" s="252"/>
      <c r="EW457" s="252"/>
      <c r="EX457" s="252"/>
      <c r="EY457" s="252"/>
      <c r="FA457" s="250"/>
      <c r="FB457" s="250"/>
      <c r="FC457" s="250"/>
      <c r="FD457" s="250"/>
      <c r="FE457" s="250"/>
      <c r="FF457" s="250"/>
      <c r="FG457" s="250"/>
      <c r="FH457" s="424"/>
      <c r="FI457" s="250"/>
      <c r="FJ457" s="250"/>
      <c r="FK457" s="250"/>
      <c r="FL457" s="256"/>
      <c r="FM457" s="250"/>
      <c r="FN457" s="256"/>
      <c r="FO457" s="250"/>
      <c r="FP457" s="256"/>
      <c r="FQ457" s="250"/>
      <c r="FR457" s="256"/>
      <c r="FS457" s="250"/>
      <c r="FT457" s="256"/>
      <c r="FU457" s="256"/>
      <c r="FV457" s="256"/>
      <c r="FW457" s="250"/>
      <c r="FX457" s="424"/>
      <c r="FY457" s="251"/>
      <c r="GC457" s="252"/>
      <c r="GF457" s="252"/>
      <c r="GG457" s="252"/>
      <c r="GH457" s="252"/>
      <c r="GI457" s="252"/>
      <c r="GJ457" s="252"/>
      <c r="GK457" s="251"/>
      <c r="GL457" s="250"/>
      <c r="GM457" s="250"/>
      <c r="GN457" s="250"/>
      <c r="GO457" s="250"/>
      <c r="GP457" s="250"/>
      <c r="GQ457" s="250"/>
      <c r="GR457" s="250"/>
      <c r="GS457" s="250"/>
      <c r="GT457" s="250"/>
      <c r="GU457" s="251"/>
      <c r="GV457" s="250"/>
      <c r="GW457" s="250"/>
      <c r="GX457" s="250"/>
      <c r="GY457" s="250"/>
      <c r="GZ457" s="250"/>
      <c r="HA457" s="250"/>
      <c r="HB457" s="250"/>
      <c r="HC457" s="250"/>
      <c r="HD457" s="250"/>
      <c r="HE457" s="250"/>
      <c r="HF457" s="250"/>
      <c r="HG457" s="250"/>
      <c r="HH457" s="251"/>
      <c r="HI457" s="424"/>
      <c r="HJ457" s="255"/>
      <c r="HK457" s="255"/>
      <c r="HL457" s="250"/>
      <c r="HM457" s="255"/>
      <c r="HN457" s="255"/>
      <c r="HO457" s="255"/>
      <c r="HP457" s="250"/>
      <c r="HQ457" s="250"/>
      <c r="HR457" s="250"/>
      <c r="HS457" s="250"/>
      <c r="HT457" s="250"/>
      <c r="HU457" s="251"/>
      <c r="HX457" s="252"/>
      <c r="HY457" s="252"/>
      <c r="HZ457" s="252"/>
      <c r="ID457" s="252"/>
      <c r="IE457" s="252"/>
      <c r="IF457" s="252"/>
      <c r="IJ457" s="252"/>
      <c r="IK457" s="252"/>
      <c r="IL457" s="252"/>
      <c r="IP457" s="252"/>
      <c r="IQ457" s="252"/>
      <c r="IR457" s="252"/>
      <c r="IY457" s="66"/>
      <c r="IZ457" s="66"/>
      <c r="JA457" s="66"/>
      <c r="JB457" s="250"/>
      <c r="JC457" s="66"/>
      <c r="JD457" s="66"/>
      <c r="JE457" s="66"/>
      <c r="JF457" s="66"/>
      <c r="JG457" s="66"/>
      <c r="JH457" s="66"/>
      <c r="JI457" s="66"/>
      <c r="JJ457" s="66"/>
      <c r="JK457" s="8"/>
      <c r="JN457" s="252"/>
      <c r="JO457" s="252"/>
      <c r="JP457" s="252"/>
      <c r="JT457" s="252"/>
      <c r="JU457" s="252"/>
      <c r="JV457" s="252"/>
      <c r="JZ457" s="252"/>
      <c r="KA457" s="252"/>
      <c r="KB457" s="252"/>
      <c r="KF457" s="252"/>
      <c r="KG457" s="252"/>
      <c r="KH457" s="252"/>
      <c r="KO457" s="66"/>
      <c r="KP457" s="66"/>
      <c r="KQ457" s="66"/>
      <c r="KR457" s="66"/>
      <c r="KS457" s="66"/>
      <c r="KT457" s="66"/>
      <c r="KU457" s="66"/>
      <c r="KV457" s="66"/>
      <c r="KW457" s="66"/>
      <c r="KX457" s="66"/>
      <c r="KY457" s="66"/>
      <c r="KZ457" s="66"/>
      <c r="LA457" s="8"/>
      <c r="LD457" s="252"/>
      <c r="LE457" s="252"/>
      <c r="LF457" s="252"/>
      <c r="LJ457" s="252"/>
      <c r="LK457" s="252"/>
      <c r="LN457" s="252"/>
      <c r="LO457" s="252"/>
      <c r="LP457" s="252"/>
      <c r="LT457" s="271"/>
      <c r="LU457" s="250"/>
      <c r="LV457" s="250"/>
      <c r="LW457" s="250"/>
      <c r="LX457" s="250"/>
      <c r="LY457" s="250"/>
      <c r="LZ457" s="250"/>
      <c r="MA457" s="250"/>
      <c r="MB457" s="250"/>
      <c r="MC457" s="250"/>
      <c r="MD457" s="250"/>
      <c r="ME457" s="250"/>
      <c r="MF457" s="250"/>
      <c r="MG457" s="250"/>
      <c r="MH457" s="250"/>
      <c r="MI457" s="250"/>
      <c r="MJ457" s="250"/>
      <c r="MK457" s="424"/>
      <c r="ML457" s="640"/>
      <c r="MM457" s="251"/>
      <c r="MN457" s="252"/>
      <c r="MO457" s="252"/>
      <c r="MP457" s="252"/>
      <c r="MQ457" s="252"/>
      <c r="MR457" s="252"/>
      <c r="MS457" s="252"/>
      <c r="MT457" s="252"/>
      <c r="MU457" s="252"/>
      <c r="MV457" s="252"/>
      <c r="MW457" s="252"/>
      <c r="MX457" s="252"/>
      <c r="MY457" s="252"/>
      <c r="MZ457" s="252"/>
      <c r="NA457" s="252"/>
      <c r="NB457" s="252"/>
      <c r="NC457" s="251"/>
      <c r="ND457" s="250"/>
      <c r="NE457" s="250"/>
      <c r="NF457" s="250"/>
      <c r="NG457" s="250"/>
      <c r="NH457" s="250"/>
      <c r="NI457" s="250"/>
      <c r="NJ457" s="250"/>
      <c r="NK457" s="250"/>
      <c r="NL457" s="250"/>
      <c r="NM457" s="250"/>
      <c r="NN457" s="250"/>
      <c r="NO457" s="250"/>
      <c r="NP457" s="250"/>
      <c r="NQ457" s="250"/>
      <c r="NR457" s="250"/>
      <c r="NS457" s="250"/>
      <c r="NT457" s="250"/>
      <c r="NU457" s="250"/>
      <c r="NV457" s="250"/>
      <c r="NW457" s="251"/>
      <c r="OT457" s="8"/>
      <c r="QG457" s="8"/>
      <c r="RT457" s="8"/>
    </row>
    <row r="458" spans="1:488" s="282" customFormat="1" x14ac:dyDescent="0.25">
      <c r="A458" s="66"/>
      <c r="B458" s="8"/>
      <c r="C458" s="66"/>
      <c r="D458" s="66"/>
      <c r="E458" s="66"/>
      <c r="F458" s="66"/>
      <c r="G458" s="66"/>
      <c r="H458" s="66"/>
      <c r="I458" s="66"/>
      <c r="J458" s="66"/>
      <c r="K458" s="66"/>
      <c r="L458" s="66"/>
      <c r="M458" s="66"/>
      <c r="N458" s="66"/>
      <c r="O458" s="66"/>
      <c r="P458" s="66"/>
      <c r="Q458" s="66"/>
      <c r="R458" s="66"/>
      <c r="S458" s="66"/>
      <c r="T458" s="68"/>
      <c r="AC458" s="66"/>
      <c r="AD458" s="66"/>
      <c r="AE458" s="68"/>
      <c r="AN458" s="66"/>
      <c r="AO458" s="66"/>
      <c r="AP458" s="68"/>
      <c r="AW458" s="66"/>
      <c r="AX458" s="68"/>
      <c r="BD458" s="66"/>
      <c r="BE458" s="68"/>
      <c r="BF458" s="66"/>
      <c r="BG458" s="66"/>
      <c r="BH458" s="66"/>
      <c r="BI458" s="66"/>
      <c r="BJ458" s="66"/>
      <c r="BK458" s="66"/>
      <c r="BL458" s="68"/>
      <c r="BO458" s="66"/>
      <c r="BP458" s="68"/>
      <c r="BV458" s="66"/>
      <c r="BW458" s="68"/>
      <c r="CB458" s="8"/>
      <c r="CH458" s="8"/>
      <c r="CK458" s="299"/>
      <c r="CL458" s="299"/>
      <c r="CM458" s="66"/>
      <c r="CN458" s="66"/>
      <c r="CO458" s="68"/>
      <c r="CR458" s="8"/>
      <c r="CX458" s="66"/>
      <c r="CY458" s="532"/>
      <c r="DE458" s="66"/>
      <c r="DF458" s="66"/>
      <c r="DG458" s="68"/>
      <c r="DH458" s="68"/>
      <c r="DK458" s="66"/>
      <c r="DL458" s="66"/>
      <c r="DM458" s="66"/>
      <c r="DN458" s="66"/>
      <c r="DO458" s="66"/>
      <c r="DP458" s="66"/>
      <c r="DQ458" s="66"/>
      <c r="DR458" s="66"/>
      <c r="DS458" s="66"/>
      <c r="DT458" s="68"/>
      <c r="DU458" s="66"/>
      <c r="DV458" s="296"/>
      <c r="DW458" s="330"/>
      <c r="DX458" s="631"/>
      <c r="DY458" s="631"/>
      <c r="DZ458" s="631"/>
      <c r="EA458" s="330"/>
      <c r="EC458" s="66"/>
      <c r="ED458" s="68"/>
      <c r="EH458" s="66"/>
      <c r="EI458" s="66"/>
      <c r="EJ458" s="68"/>
      <c r="EK458" s="252"/>
      <c r="EL458" s="252"/>
      <c r="EM458" s="252"/>
      <c r="EO458" s="252"/>
      <c r="EP458" s="252"/>
      <c r="EQ458" s="252"/>
      <c r="ES458" s="252"/>
      <c r="ET458" s="252"/>
      <c r="EU458" s="252"/>
      <c r="EW458" s="252"/>
      <c r="EX458" s="252"/>
      <c r="EY458" s="252"/>
      <c r="FA458" s="250"/>
      <c r="FB458" s="250"/>
      <c r="FC458" s="250"/>
      <c r="FD458" s="250"/>
      <c r="FE458" s="250"/>
      <c r="FF458" s="250"/>
      <c r="FG458" s="250"/>
      <c r="FH458" s="424"/>
      <c r="FI458" s="250"/>
      <c r="FJ458" s="250"/>
      <c r="FK458" s="250"/>
      <c r="FL458" s="256"/>
      <c r="FM458" s="250"/>
      <c r="FN458" s="256"/>
      <c r="FO458" s="250"/>
      <c r="FP458" s="256"/>
      <c r="FQ458" s="250"/>
      <c r="FR458" s="256"/>
      <c r="FS458" s="250"/>
      <c r="FT458" s="256"/>
      <c r="FU458" s="256"/>
      <c r="FV458" s="256"/>
      <c r="FW458" s="250"/>
      <c r="FX458" s="424"/>
      <c r="FY458" s="251"/>
      <c r="GC458" s="252"/>
      <c r="GF458" s="252"/>
      <c r="GG458" s="252"/>
      <c r="GH458" s="252"/>
      <c r="GI458" s="252"/>
      <c r="GJ458" s="252"/>
      <c r="GK458" s="251"/>
      <c r="GL458" s="250"/>
      <c r="GM458" s="250"/>
      <c r="GN458" s="250"/>
      <c r="GO458" s="250"/>
      <c r="GP458" s="250"/>
      <c r="GQ458" s="250"/>
      <c r="GR458" s="250"/>
      <c r="GS458" s="250"/>
      <c r="GT458" s="250"/>
      <c r="GU458" s="251"/>
      <c r="GV458" s="250"/>
      <c r="GW458" s="250"/>
      <c r="GX458" s="250"/>
      <c r="GY458" s="250"/>
      <c r="GZ458" s="250"/>
      <c r="HA458" s="250"/>
      <c r="HB458" s="250"/>
      <c r="HC458" s="250"/>
      <c r="HD458" s="250"/>
      <c r="HE458" s="250"/>
      <c r="HF458" s="250"/>
      <c r="HG458" s="250"/>
      <c r="HH458" s="251"/>
      <c r="HI458" s="424"/>
      <c r="HJ458" s="255"/>
      <c r="HK458" s="255"/>
      <c r="HL458" s="250"/>
      <c r="HM458" s="255"/>
      <c r="HN458" s="255"/>
      <c r="HO458" s="255"/>
      <c r="HP458" s="250"/>
      <c r="HQ458" s="250"/>
      <c r="HR458" s="250"/>
      <c r="HS458" s="250"/>
      <c r="HT458" s="250"/>
      <c r="HU458" s="251"/>
      <c r="HX458" s="252"/>
      <c r="HY458" s="252"/>
      <c r="HZ458" s="252"/>
      <c r="ID458" s="252"/>
      <c r="IE458" s="252"/>
      <c r="IF458" s="252"/>
      <c r="IJ458" s="252"/>
      <c r="IK458" s="252"/>
      <c r="IL458" s="252"/>
      <c r="IP458" s="252"/>
      <c r="IQ458" s="252"/>
      <c r="IR458" s="252"/>
      <c r="IY458" s="66"/>
      <c r="IZ458" s="66"/>
      <c r="JA458" s="66"/>
      <c r="JB458" s="250"/>
      <c r="JC458" s="66"/>
      <c r="JD458" s="66"/>
      <c r="JE458" s="66"/>
      <c r="JF458" s="66"/>
      <c r="JG458" s="66"/>
      <c r="JH458" s="66"/>
      <c r="JI458" s="66"/>
      <c r="JJ458" s="66"/>
      <c r="JK458" s="8"/>
      <c r="JN458" s="252"/>
      <c r="JO458" s="252"/>
      <c r="JP458" s="252"/>
      <c r="JT458" s="252"/>
      <c r="JU458" s="252"/>
      <c r="JV458" s="252"/>
      <c r="JZ458" s="252"/>
      <c r="KA458" s="252"/>
      <c r="KB458" s="252"/>
      <c r="KF458" s="252"/>
      <c r="KG458" s="252"/>
      <c r="KH458" s="252"/>
      <c r="KO458" s="66"/>
      <c r="KP458" s="66"/>
      <c r="KQ458" s="66"/>
      <c r="KR458" s="66"/>
      <c r="KS458" s="66"/>
      <c r="KT458" s="66"/>
      <c r="KU458" s="66"/>
      <c r="KV458" s="66"/>
      <c r="KW458" s="66"/>
      <c r="KX458" s="66"/>
      <c r="KY458" s="66"/>
      <c r="KZ458" s="66"/>
      <c r="LA458" s="8"/>
      <c r="LD458" s="252"/>
      <c r="LE458" s="252"/>
      <c r="LF458" s="252"/>
      <c r="LJ458" s="252"/>
      <c r="LK458" s="252"/>
      <c r="LN458" s="252"/>
      <c r="LO458" s="252"/>
      <c r="LP458" s="252"/>
      <c r="LT458" s="271"/>
      <c r="LU458" s="250"/>
      <c r="LV458" s="250"/>
      <c r="LW458" s="250"/>
      <c r="LX458" s="250"/>
      <c r="LY458" s="250"/>
      <c r="LZ458" s="250"/>
      <c r="MA458" s="250"/>
      <c r="MB458" s="250"/>
      <c r="MC458" s="250"/>
      <c r="MD458" s="250"/>
      <c r="ME458" s="250"/>
      <c r="MF458" s="250"/>
      <c r="MG458" s="250"/>
      <c r="MH458" s="250"/>
      <c r="MI458" s="250"/>
      <c r="MJ458" s="250"/>
      <c r="MK458" s="424"/>
      <c r="ML458" s="640"/>
      <c r="MM458" s="251"/>
      <c r="MN458" s="252"/>
      <c r="MO458" s="252"/>
      <c r="MP458" s="252"/>
      <c r="MQ458" s="252"/>
      <c r="MR458" s="252"/>
      <c r="MS458" s="252"/>
      <c r="MT458" s="252"/>
      <c r="MU458" s="252"/>
      <c r="MV458" s="252"/>
      <c r="MW458" s="252"/>
      <c r="MX458" s="252"/>
      <c r="MY458" s="252"/>
      <c r="MZ458" s="252"/>
      <c r="NA458" s="252"/>
      <c r="NB458" s="252"/>
      <c r="NC458" s="251"/>
      <c r="ND458" s="250"/>
      <c r="NE458" s="250"/>
      <c r="NF458" s="250"/>
      <c r="NG458" s="250"/>
      <c r="NH458" s="250"/>
      <c r="NI458" s="250"/>
      <c r="NJ458" s="250"/>
      <c r="NK458" s="250"/>
      <c r="NL458" s="250"/>
      <c r="NM458" s="250"/>
      <c r="NN458" s="250"/>
      <c r="NO458" s="250"/>
      <c r="NP458" s="250"/>
      <c r="NQ458" s="250"/>
      <c r="NR458" s="250"/>
      <c r="NS458" s="250"/>
      <c r="NT458" s="250"/>
      <c r="NU458" s="250"/>
      <c r="NV458" s="250"/>
      <c r="NW458" s="251"/>
      <c r="OT458" s="8"/>
      <c r="QG458" s="8"/>
      <c r="RT458" s="8"/>
    </row>
    <row r="459" spans="1:488" s="282" customFormat="1" x14ac:dyDescent="0.25">
      <c r="A459" s="66"/>
      <c r="B459" s="8"/>
      <c r="C459" s="66"/>
      <c r="D459" s="66"/>
      <c r="E459" s="66"/>
      <c r="F459" s="66"/>
      <c r="G459" s="66"/>
      <c r="H459" s="66"/>
      <c r="I459" s="66"/>
      <c r="J459" s="66"/>
      <c r="K459" s="66"/>
      <c r="L459" s="66"/>
      <c r="M459" s="66"/>
      <c r="N459" s="66"/>
      <c r="O459" s="66"/>
      <c r="P459" s="66"/>
      <c r="Q459" s="66"/>
      <c r="R459" s="66"/>
      <c r="S459" s="66"/>
      <c r="T459" s="68"/>
      <c r="AC459" s="66"/>
      <c r="AD459" s="66"/>
      <c r="AE459" s="68"/>
      <c r="AN459" s="66"/>
      <c r="AO459" s="66"/>
      <c r="AP459" s="68"/>
      <c r="AW459" s="66"/>
      <c r="AX459" s="68"/>
      <c r="BD459" s="66"/>
      <c r="BE459" s="68"/>
      <c r="BF459" s="66"/>
      <c r="BG459" s="66"/>
      <c r="BH459" s="66"/>
      <c r="BI459" s="66"/>
      <c r="BJ459" s="66"/>
      <c r="BK459" s="66"/>
      <c r="BL459" s="68"/>
      <c r="BO459" s="66"/>
      <c r="BP459" s="68"/>
      <c r="BV459" s="66"/>
      <c r="BW459" s="68"/>
      <c r="CB459" s="8"/>
      <c r="CH459" s="8"/>
      <c r="CK459" s="299"/>
      <c r="CL459" s="299"/>
      <c r="CM459" s="66"/>
      <c r="CN459" s="66"/>
      <c r="CO459" s="68"/>
      <c r="CR459" s="8"/>
      <c r="CX459" s="66"/>
      <c r="CY459" s="532"/>
      <c r="DE459" s="66"/>
      <c r="DF459" s="66"/>
      <c r="DG459" s="68"/>
      <c r="DH459" s="68"/>
      <c r="DK459" s="66"/>
      <c r="DL459" s="66"/>
      <c r="DM459" s="66"/>
      <c r="DN459" s="66"/>
      <c r="DO459" s="66"/>
      <c r="DP459" s="66"/>
      <c r="DQ459" s="66"/>
      <c r="DR459" s="66"/>
      <c r="DS459" s="66"/>
      <c r="DT459" s="68"/>
      <c r="DU459" s="66"/>
      <c r="DV459" s="296"/>
      <c r="DW459" s="330"/>
      <c r="DX459" s="631"/>
      <c r="DY459" s="631"/>
      <c r="DZ459" s="631"/>
      <c r="EA459" s="330"/>
      <c r="EC459" s="66"/>
      <c r="ED459" s="68"/>
      <c r="EH459" s="66"/>
      <c r="EI459" s="66"/>
      <c r="EJ459" s="68"/>
      <c r="EK459" s="252"/>
      <c r="EL459" s="252"/>
      <c r="EM459" s="252"/>
      <c r="EO459" s="252"/>
      <c r="EP459" s="252"/>
      <c r="EQ459" s="252"/>
      <c r="ES459" s="252"/>
      <c r="ET459" s="252"/>
      <c r="EU459" s="252"/>
      <c r="EW459" s="252"/>
      <c r="EX459" s="252"/>
      <c r="EY459" s="252"/>
      <c r="FA459" s="250"/>
      <c r="FB459" s="250"/>
      <c r="FC459" s="250"/>
      <c r="FD459" s="250"/>
      <c r="FE459" s="250"/>
      <c r="FF459" s="250"/>
      <c r="FG459" s="250"/>
      <c r="FH459" s="424"/>
      <c r="FI459" s="250"/>
      <c r="FJ459" s="250"/>
      <c r="FK459" s="250"/>
      <c r="FL459" s="256"/>
      <c r="FM459" s="250"/>
      <c r="FN459" s="256"/>
      <c r="FO459" s="250"/>
      <c r="FP459" s="256"/>
      <c r="FQ459" s="250"/>
      <c r="FR459" s="256"/>
      <c r="FS459" s="250"/>
      <c r="FT459" s="256"/>
      <c r="FU459" s="256"/>
      <c r="FV459" s="256"/>
      <c r="FW459" s="250"/>
      <c r="FX459" s="424"/>
      <c r="FY459" s="251"/>
      <c r="GC459" s="252"/>
      <c r="GF459" s="252"/>
      <c r="GG459" s="252"/>
      <c r="GH459" s="252"/>
      <c r="GI459" s="252"/>
      <c r="GJ459" s="252"/>
      <c r="GK459" s="251"/>
      <c r="GL459" s="250"/>
      <c r="GM459" s="250"/>
      <c r="GN459" s="250"/>
      <c r="GO459" s="250"/>
      <c r="GP459" s="250"/>
      <c r="GQ459" s="250"/>
      <c r="GR459" s="250"/>
      <c r="GS459" s="250"/>
      <c r="GT459" s="250"/>
      <c r="GU459" s="251"/>
      <c r="GV459" s="250"/>
      <c r="GW459" s="250"/>
      <c r="GX459" s="250"/>
      <c r="GY459" s="250"/>
      <c r="GZ459" s="250"/>
      <c r="HA459" s="250"/>
      <c r="HB459" s="250"/>
      <c r="HC459" s="250"/>
      <c r="HD459" s="250"/>
      <c r="HE459" s="250"/>
      <c r="HF459" s="250"/>
      <c r="HG459" s="250"/>
      <c r="HH459" s="251"/>
      <c r="HI459" s="424"/>
      <c r="HJ459" s="255"/>
      <c r="HK459" s="255"/>
      <c r="HL459" s="250"/>
      <c r="HM459" s="255"/>
      <c r="HN459" s="255"/>
      <c r="HO459" s="255"/>
      <c r="HP459" s="250"/>
      <c r="HQ459" s="250"/>
      <c r="HR459" s="250"/>
      <c r="HS459" s="250"/>
      <c r="HT459" s="250"/>
      <c r="HU459" s="251"/>
      <c r="HX459" s="252"/>
      <c r="HY459" s="252"/>
      <c r="HZ459" s="252"/>
      <c r="ID459" s="252"/>
      <c r="IE459" s="252"/>
      <c r="IF459" s="252"/>
      <c r="IJ459" s="252"/>
      <c r="IK459" s="252"/>
      <c r="IL459" s="252"/>
      <c r="IP459" s="252"/>
      <c r="IQ459" s="252"/>
      <c r="IR459" s="252"/>
      <c r="IY459" s="66"/>
      <c r="IZ459" s="66"/>
      <c r="JA459" s="66"/>
      <c r="JB459" s="250"/>
      <c r="JC459" s="66"/>
      <c r="JD459" s="66"/>
      <c r="JE459" s="66"/>
      <c r="JF459" s="66"/>
      <c r="JG459" s="66"/>
      <c r="JH459" s="66"/>
      <c r="JI459" s="66"/>
      <c r="JJ459" s="66"/>
      <c r="JK459" s="8"/>
      <c r="JN459" s="252"/>
      <c r="JO459" s="252"/>
      <c r="JP459" s="252"/>
      <c r="JT459" s="252"/>
      <c r="JU459" s="252"/>
      <c r="JV459" s="252"/>
      <c r="JZ459" s="252"/>
      <c r="KA459" s="252"/>
      <c r="KB459" s="252"/>
      <c r="KF459" s="252"/>
      <c r="KG459" s="252"/>
      <c r="KH459" s="252"/>
      <c r="KO459" s="66"/>
      <c r="KP459" s="66"/>
      <c r="KQ459" s="66"/>
      <c r="KR459" s="66"/>
      <c r="KS459" s="66"/>
      <c r="KT459" s="66"/>
      <c r="KU459" s="66"/>
      <c r="KV459" s="66"/>
      <c r="KW459" s="66"/>
      <c r="KX459" s="66"/>
      <c r="KY459" s="66"/>
      <c r="KZ459" s="66"/>
      <c r="LA459" s="8"/>
      <c r="LD459" s="252"/>
      <c r="LE459" s="252"/>
      <c r="LF459" s="252"/>
      <c r="LJ459" s="252"/>
      <c r="LK459" s="252"/>
      <c r="LN459" s="252"/>
      <c r="LO459" s="252"/>
      <c r="LP459" s="252"/>
      <c r="LT459" s="271"/>
      <c r="LU459" s="250"/>
      <c r="LV459" s="250"/>
      <c r="LW459" s="250"/>
      <c r="LX459" s="250"/>
      <c r="LY459" s="250"/>
      <c r="LZ459" s="250"/>
      <c r="MA459" s="250"/>
      <c r="MB459" s="250"/>
      <c r="MC459" s="250"/>
      <c r="MD459" s="250"/>
      <c r="ME459" s="250"/>
      <c r="MF459" s="250"/>
      <c r="MG459" s="250"/>
      <c r="MH459" s="250"/>
      <c r="MI459" s="250"/>
      <c r="MJ459" s="250"/>
      <c r="MK459" s="424"/>
      <c r="ML459" s="640"/>
      <c r="MM459" s="251"/>
      <c r="MN459" s="252"/>
      <c r="MO459" s="252"/>
      <c r="MP459" s="252"/>
      <c r="MQ459" s="252"/>
      <c r="MR459" s="252"/>
      <c r="MS459" s="252"/>
      <c r="MT459" s="252"/>
      <c r="MU459" s="252"/>
      <c r="MV459" s="252"/>
      <c r="MW459" s="252"/>
      <c r="MX459" s="252"/>
      <c r="MY459" s="252"/>
      <c r="MZ459" s="252"/>
      <c r="NA459" s="252"/>
      <c r="NB459" s="252"/>
      <c r="NC459" s="251"/>
      <c r="ND459" s="250"/>
      <c r="NE459" s="250"/>
      <c r="NF459" s="250"/>
      <c r="NG459" s="250"/>
      <c r="NH459" s="250"/>
      <c r="NI459" s="250"/>
      <c r="NJ459" s="250"/>
      <c r="NK459" s="250"/>
      <c r="NL459" s="250"/>
      <c r="NM459" s="250"/>
      <c r="NN459" s="250"/>
      <c r="NO459" s="250"/>
      <c r="NP459" s="250"/>
      <c r="NQ459" s="250"/>
      <c r="NR459" s="250"/>
      <c r="NS459" s="250"/>
      <c r="NT459" s="250"/>
      <c r="NU459" s="250"/>
      <c r="NV459" s="250"/>
      <c r="NW459" s="251"/>
      <c r="OT459" s="8"/>
      <c r="QG459" s="8"/>
      <c r="RT459" s="8"/>
    </row>
    <row r="460" spans="1:488" s="282" customFormat="1" x14ac:dyDescent="0.25">
      <c r="A460" s="66"/>
      <c r="B460" s="8"/>
      <c r="C460" s="66"/>
      <c r="D460" s="66"/>
      <c r="E460" s="66"/>
      <c r="F460" s="66"/>
      <c r="G460" s="66"/>
      <c r="H460" s="66"/>
      <c r="I460" s="66"/>
      <c r="J460" s="66"/>
      <c r="K460" s="66"/>
      <c r="L460" s="66"/>
      <c r="M460" s="66"/>
      <c r="N460" s="66"/>
      <c r="O460" s="66"/>
      <c r="P460" s="66"/>
      <c r="Q460" s="66"/>
      <c r="R460" s="66"/>
      <c r="S460" s="66"/>
      <c r="T460" s="68"/>
      <c r="AC460" s="66"/>
      <c r="AD460" s="66"/>
      <c r="AE460" s="68"/>
      <c r="AN460" s="66"/>
      <c r="AO460" s="66"/>
      <c r="AP460" s="68"/>
      <c r="AW460" s="66"/>
      <c r="AX460" s="68"/>
      <c r="BD460" s="66"/>
      <c r="BE460" s="68"/>
      <c r="BF460" s="66"/>
      <c r="BG460" s="66"/>
      <c r="BH460" s="66"/>
      <c r="BI460" s="66"/>
      <c r="BJ460" s="66"/>
      <c r="BK460" s="66"/>
      <c r="BL460" s="68"/>
      <c r="BO460" s="66"/>
      <c r="BP460" s="68"/>
      <c r="BV460" s="66"/>
      <c r="BW460" s="68"/>
      <c r="CB460" s="8"/>
      <c r="CH460" s="8"/>
      <c r="CK460" s="299"/>
      <c r="CL460" s="299"/>
      <c r="CM460" s="66"/>
      <c r="CN460" s="66"/>
      <c r="CO460" s="68"/>
      <c r="CR460" s="8"/>
      <c r="CX460" s="66"/>
      <c r="CY460" s="532"/>
      <c r="DE460" s="66"/>
      <c r="DF460" s="66"/>
      <c r="DG460" s="68"/>
      <c r="DH460" s="68"/>
      <c r="DK460" s="66"/>
      <c r="DL460" s="66"/>
      <c r="DM460" s="66"/>
      <c r="DN460" s="66"/>
      <c r="DO460" s="66"/>
      <c r="DP460" s="66"/>
      <c r="DQ460" s="66"/>
      <c r="DR460" s="66"/>
      <c r="DS460" s="66"/>
      <c r="DT460" s="68"/>
      <c r="DU460" s="66"/>
      <c r="DV460" s="296"/>
      <c r="DW460" s="330"/>
      <c r="DX460" s="631"/>
      <c r="DY460" s="631"/>
      <c r="DZ460" s="631"/>
      <c r="EA460" s="330"/>
      <c r="EC460" s="66"/>
      <c r="ED460" s="68"/>
      <c r="EH460" s="66"/>
      <c r="EI460" s="66"/>
      <c r="EJ460" s="68"/>
      <c r="EK460" s="252"/>
      <c r="EL460" s="252"/>
      <c r="EM460" s="252"/>
      <c r="EO460" s="252"/>
      <c r="EP460" s="252"/>
      <c r="EQ460" s="252"/>
      <c r="ES460" s="252"/>
      <c r="ET460" s="252"/>
      <c r="EU460" s="252"/>
      <c r="EW460" s="252"/>
      <c r="EX460" s="252"/>
      <c r="EY460" s="252"/>
      <c r="FA460" s="250"/>
      <c r="FB460" s="250"/>
      <c r="FC460" s="250"/>
      <c r="FD460" s="250"/>
      <c r="FE460" s="250"/>
      <c r="FF460" s="250"/>
      <c r="FG460" s="250"/>
      <c r="FH460" s="424"/>
      <c r="FI460" s="250"/>
      <c r="FJ460" s="250"/>
      <c r="FK460" s="250"/>
      <c r="FL460" s="256"/>
      <c r="FM460" s="250"/>
      <c r="FN460" s="256"/>
      <c r="FO460" s="250"/>
      <c r="FP460" s="256"/>
      <c r="FQ460" s="250"/>
      <c r="FR460" s="256"/>
      <c r="FS460" s="250"/>
      <c r="FT460" s="256"/>
      <c r="FU460" s="256"/>
      <c r="FV460" s="256"/>
      <c r="FW460" s="250"/>
      <c r="FX460" s="424"/>
      <c r="FY460" s="251"/>
      <c r="GC460" s="252"/>
      <c r="GF460" s="252"/>
      <c r="GG460" s="252"/>
      <c r="GH460" s="252"/>
      <c r="GI460" s="252"/>
      <c r="GJ460" s="252"/>
      <c r="GK460" s="251"/>
      <c r="GL460" s="250"/>
      <c r="GM460" s="250"/>
      <c r="GN460" s="250"/>
      <c r="GO460" s="250"/>
      <c r="GP460" s="250"/>
      <c r="GQ460" s="250"/>
      <c r="GR460" s="250"/>
      <c r="GS460" s="250"/>
      <c r="GT460" s="250"/>
      <c r="GU460" s="251"/>
      <c r="GV460" s="250"/>
      <c r="GW460" s="250"/>
      <c r="GX460" s="250"/>
      <c r="GY460" s="250"/>
      <c r="GZ460" s="250"/>
      <c r="HA460" s="250"/>
      <c r="HB460" s="250"/>
      <c r="HC460" s="250"/>
      <c r="HD460" s="250"/>
      <c r="HE460" s="250"/>
      <c r="HF460" s="250"/>
      <c r="HG460" s="250"/>
      <c r="HH460" s="251"/>
      <c r="HI460" s="424"/>
      <c r="HJ460" s="255"/>
      <c r="HK460" s="255"/>
      <c r="HL460" s="250"/>
      <c r="HM460" s="255"/>
      <c r="HN460" s="255"/>
      <c r="HO460" s="255"/>
      <c r="HP460" s="250"/>
      <c r="HQ460" s="250"/>
      <c r="HR460" s="250"/>
      <c r="HS460" s="250"/>
      <c r="HT460" s="250"/>
      <c r="HU460" s="251"/>
      <c r="HX460" s="252"/>
      <c r="HY460" s="252"/>
      <c r="HZ460" s="252"/>
      <c r="ID460" s="252"/>
      <c r="IE460" s="252"/>
      <c r="IF460" s="252"/>
      <c r="IJ460" s="252"/>
      <c r="IK460" s="252"/>
      <c r="IL460" s="252"/>
      <c r="IP460" s="252"/>
      <c r="IQ460" s="252"/>
      <c r="IR460" s="252"/>
      <c r="IY460" s="66"/>
      <c r="IZ460" s="66"/>
      <c r="JA460" s="66"/>
      <c r="JB460" s="250"/>
      <c r="JC460" s="66"/>
      <c r="JD460" s="66"/>
      <c r="JE460" s="66"/>
      <c r="JF460" s="66"/>
      <c r="JG460" s="66"/>
      <c r="JH460" s="66"/>
      <c r="JI460" s="66"/>
      <c r="JJ460" s="66"/>
      <c r="JK460" s="8"/>
      <c r="JN460" s="252"/>
      <c r="JO460" s="252"/>
      <c r="JP460" s="252"/>
      <c r="JT460" s="252"/>
      <c r="JU460" s="252"/>
      <c r="JV460" s="252"/>
      <c r="JZ460" s="252"/>
      <c r="KA460" s="252"/>
      <c r="KB460" s="252"/>
      <c r="KF460" s="252"/>
      <c r="KG460" s="252"/>
      <c r="KH460" s="252"/>
      <c r="KO460" s="66"/>
      <c r="KP460" s="66"/>
      <c r="KQ460" s="66"/>
      <c r="KR460" s="66"/>
      <c r="KS460" s="66"/>
      <c r="KT460" s="66"/>
      <c r="KU460" s="66"/>
      <c r="KV460" s="66"/>
      <c r="KW460" s="66"/>
      <c r="KX460" s="66"/>
      <c r="KY460" s="66"/>
      <c r="KZ460" s="66"/>
      <c r="LA460" s="8"/>
      <c r="LD460" s="252"/>
      <c r="LE460" s="252"/>
      <c r="LF460" s="252"/>
      <c r="LJ460" s="252"/>
      <c r="LK460" s="252"/>
      <c r="LN460" s="252"/>
      <c r="LO460" s="252"/>
      <c r="LP460" s="252"/>
      <c r="LT460" s="271"/>
      <c r="LU460" s="250"/>
      <c r="LV460" s="250"/>
      <c r="LW460" s="250"/>
      <c r="LX460" s="250"/>
      <c r="LY460" s="250"/>
      <c r="LZ460" s="250"/>
      <c r="MA460" s="250"/>
      <c r="MB460" s="250"/>
      <c r="MC460" s="250"/>
      <c r="MD460" s="250"/>
      <c r="ME460" s="250"/>
      <c r="MF460" s="250"/>
      <c r="MG460" s="250"/>
      <c r="MH460" s="250"/>
      <c r="MI460" s="250"/>
      <c r="MJ460" s="250"/>
      <c r="MK460" s="424"/>
      <c r="ML460" s="640"/>
      <c r="MM460" s="251"/>
      <c r="MN460" s="252"/>
      <c r="MO460" s="252"/>
      <c r="MP460" s="252"/>
      <c r="MQ460" s="252"/>
      <c r="MR460" s="252"/>
      <c r="MS460" s="252"/>
      <c r="MT460" s="252"/>
      <c r="MU460" s="252"/>
      <c r="MV460" s="252"/>
      <c r="MW460" s="252"/>
      <c r="MX460" s="252"/>
      <c r="MY460" s="252"/>
      <c r="MZ460" s="252"/>
      <c r="NA460" s="252"/>
      <c r="NB460" s="252"/>
      <c r="NC460" s="251"/>
      <c r="ND460" s="250"/>
      <c r="NE460" s="250"/>
      <c r="NF460" s="250"/>
      <c r="NG460" s="250"/>
      <c r="NH460" s="250"/>
      <c r="NI460" s="250"/>
      <c r="NJ460" s="250"/>
      <c r="NK460" s="250"/>
      <c r="NL460" s="250"/>
      <c r="NM460" s="250"/>
      <c r="NN460" s="250"/>
      <c r="NO460" s="250"/>
      <c r="NP460" s="250"/>
      <c r="NQ460" s="250"/>
      <c r="NR460" s="250"/>
      <c r="NS460" s="250"/>
      <c r="NT460" s="250"/>
      <c r="NU460" s="250"/>
      <c r="NV460" s="250"/>
      <c r="NW460" s="251"/>
      <c r="OT460" s="8"/>
      <c r="QG460" s="8"/>
      <c r="RT460" s="8"/>
    </row>
    <row r="461" spans="1:488" s="282" customFormat="1" x14ac:dyDescent="0.25">
      <c r="A461" s="66"/>
      <c r="B461" s="8"/>
      <c r="C461" s="66"/>
      <c r="D461" s="66"/>
      <c r="E461" s="66"/>
      <c r="F461" s="66"/>
      <c r="G461" s="66"/>
      <c r="H461" s="66"/>
      <c r="I461" s="66"/>
      <c r="J461" s="66"/>
      <c r="K461" s="66"/>
      <c r="L461" s="66"/>
      <c r="M461" s="66"/>
      <c r="N461" s="66"/>
      <c r="O461" s="66"/>
      <c r="P461" s="66"/>
      <c r="Q461" s="66"/>
      <c r="R461" s="66"/>
      <c r="S461" s="66"/>
      <c r="T461" s="68"/>
      <c r="AC461" s="66"/>
      <c r="AD461" s="66"/>
      <c r="AE461" s="68"/>
      <c r="AN461" s="66"/>
      <c r="AO461" s="66"/>
      <c r="AP461" s="68"/>
      <c r="AW461" s="66"/>
      <c r="AX461" s="68"/>
      <c r="BD461" s="66"/>
      <c r="BE461" s="68"/>
      <c r="BF461" s="66"/>
      <c r="BG461" s="66"/>
      <c r="BH461" s="66"/>
      <c r="BI461" s="66"/>
      <c r="BJ461" s="66"/>
      <c r="BK461" s="66"/>
      <c r="BL461" s="68"/>
      <c r="BO461" s="66"/>
      <c r="BP461" s="68"/>
      <c r="BV461" s="66"/>
      <c r="BW461" s="68"/>
      <c r="CB461" s="8"/>
      <c r="CH461" s="8"/>
      <c r="CK461" s="299"/>
      <c r="CL461" s="299"/>
      <c r="CM461" s="66"/>
      <c r="CN461" s="66"/>
      <c r="CO461" s="68"/>
      <c r="CR461" s="8"/>
      <c r="CX461" s="66"/>
      <c r="CY461" s="532"/>
      <c r="DE461" s="66"/>
      <c r="DF461" s="66"/>
      <c r="DG461" s="68"/>
      <c r="DH461" s="68"/>
      <c r="DK461" s="66"/>
      <c r="DL461" s="66"/>
      <c r="DM461" s="66"/>
      <c r="DN461" s="66"/>
      <c r="DO461" s="66"/>
      <c r="DP461" s="66"/>
      <c r="DQ461" s="66"/>
      <c r="DR461" s="66"/>
      <c r="DS461" s="66"/>
      <c r="DT461" s="68"/>
      <c r="DU461" s="66"/>
      <c r="DV461" s="296"/>
      <c r="DW461" s="330"/>
      <c r="DX461" s="631"/>
      <c r="DY461" s="631"/>
      <c r="DZ461" s="631"/>
      <c r="EA461" s="330"/>
      <c r="EC461" s="66"/>
      <c r="ED461" s="68"/>
      <c r="EH461" s="66"/>
      <c r="EI461" s="66"/>
      <c r="EJ461" s="68"/>
      <c r="EK461" s="252"/>
      <c r="EL461" s="252"/>
      <c r="EM461" s="252"/>
      <c r="EO461" s="252"/>
      <c r="EP461" s="252"/>
      <c r="EQ461" s="252"/>
      <c r="ES461" s="252"/>
      <c r="ET461" s="252"/>
      <c r="EU461" s="252"/>
      <c r="EW461" s="252"/>
      <c r="EX461" s="252"/>
      <c r="EY461" s="252"/>
      <c r="FA461" s="250"/>
      <c r="FB461" s="250"/>
      <c r="FC461" s="250"/>
      <c r="FD461" s="250"/>
      <c r="FE461" s="250"/>
      <c r="FF461" s="250"/>
      <c r="FG461" s="250"/>
      <c r="FH461" s="424"/>
      <c r="FI461" s="250"/>
      <c r="FJ461" s="250"/>
      <c r="FK461" s="250"/>
      <c r="FL461" s="256"/>
      <c r="FM461" s="250"/>
      <c r="FN461" s="256"/>
      <c r="FO461" s="250"/>
      <c r="FP461" s="256"/>
      <c r="FQ461" s="250"/>
      <c r="FR461" s="256"/>
      <c r="FS461" s="250"/>
      <c r="FT461" s="256"/>
      <c r="FU461" s="256"/>
      <c r="FV461" s="256"/>
      <c r="FW461" s="250"/>
      <c r="FX461" s="424"/>
      <c r="FY461" s="251"/>
      <c r="GC461" s="252"/>
      <c r="GF461" s="252"/>
      <c r="GG461" s="252"/>
      <c r="GH461" s="252"/>
      <c r="GI461" s="252"/>
      <c r="GJ461" s="252"/>
      <c r="GK461" s="251"/>
      <c r="GL461" s="250"/>
      <c r="GM461" s="250"/>
      <c r="GN461" s="250"/>
      <c r="GO461" s="250"/>
      <c r="GP461" s="250"/>
      <c r="GQ461" s="250"/>
      <c r="GR461" s="250"/>
      <c r="GS461" s="250"/>
      <c r="GT461" s="250"/>
      <c r="GU461" s="251"/>
      <c r="GV461" s="250"/>
      <c r="GW461" s="250"/>
      <c r="GX461" s="250"/>
      <c r="GY461" s="250"/>
      <c r="GZ461" s="250"/>
      <c r="HA461" s="250"/>
      <c r="HB461" s="250"/>
      <c r="HC461" s="250"/>
      <c r="HD461" s="250"/>
      <c r="HE461" s="250"/>
      <c r="HF461" s="250"/>
      <c r="HG461" s="250"/>
      <c r="HH461" s="251"/>
      <c r="HI461" s="424"/>
      <c r="HJ461" s="255"/>
      <c r="HK461" s="255"/>
      <c r="HL461" s="250"/>
      <c r="HM461" s="255"/>
      <c r="HN461" s="255"/>
      <c r="HO461" s="255"/>
      <c r="HP461" s="250"/>
      <c r="HQ461" s="250"/>
      <c r="HR461" s="250"/>
      <c r="HS461" s="250"/>
      <c r="HT461" s="250"/>
      <c r="HU461" s="251"/>
      <c r="HX461" s="252"/>
      <c r="HY461" s="252"/>
      <c r="HZ461" s="252"/>
      <c r="ID461" s="252"/>
      <c r="IE461" s="252"/>
      <c r="IF461" s="252"/>
      <c r="IJ461" s="252"/>
      <c r="IK461" s="252"/>
      <c r="IL461" s="252"/>
      <c r="IP461" s="252"/>
      <c r="IQ461" s="252"/>
      <c r="IR461" s="252"/>
      <c r="IY461" s="66"/>
      <c r="IZ461" s="66"/>
      <c r="JA461" s="66"/>
      <c r="JB461" s="250"/>
      <c r="JC461" s="66"/>
      <c r="JD461" s="66"/>
      <c r="JE461" s="66"/>
      <c r="JF461" s="66"/>
      <c r="JG461" s="66"/>
      <c r="JH461" s="66"/>
      <c r="JI461" s="66"/>
      <c r="JJ461" s="66"/>
      <c r="JK461" s="8"/>
      <c r="JN461" s="252"/>
      <c r="JO461" s="252"/>
      <c r="JP461" s="252"/>
      <c r="JT461" s="252"/>
      <c r="JU461" s="252"/>
      <c r="JV461" s="252"/>
      <c r="JZ461" s="252"/>
      <c r="KA461" s="252"/>
      <c r="KB461" s="252"/>
      <c r="KF461" s="252"/>
      <c r="KG461" s="252"/>
      <c r="KH461" s="252"/>
      <c r="KO461" s="66"/>
      <c r="KP461" s="66"/>
      <c r="KQ461" s="66"/>
      <c r="KR461" s="66"/>
      <c r="KS461" s="66"/>
      <c r="KT461" s="66"/>
      <c r="KU461" s="66"/>
      <c r="KV461" s="66"/>
      <c r="KW461" s="66"/>
      <c r="KX461" s="66"/>
      <c r="KY461" s="66"/>
      <c r="KZ461" s="66"/>
      <c r="LA461" s="8"/>
      <c r="LD461" s="252"/>
      <c r="LE461" s="252"/>
      <c r="LF461" s="252"/>
      <c r="LJ461" s="252"/>
      <c r="LK461" s="252"/>
      <c r="LN461" s="252"/>
      <c r="LO461" s="252"/>
      <c r="LP461" s="252"/>
      <c r="LT461" s="271"/>
      <c r="LU461" s="250"/>
      <c r="LV461" s="250"/>
      <c r="LW461" s="250"/>
      <c r="LX461" s="250"/>
      <c r="LY461" s="250"/>
      <c r="LZ461" s="250"/>
      <c r="MA461" s="250"/>
      <c r="MB461" s="250"/>
      <c r="MC461" s="250"/>
      <c r="MD461" s="250"/>
      <c r="ME461" s="250"/>
      <c r="MF461" s="250"/>
      <c r="MG461" s="250"/>
      <c r="MH461" s="250"/>
      <c r="MI461" s="250"/>
      <c r="MJ461" s="250"/>
      <c r="MK461" s="424"/>
      <c r="ML461" s="640"/>
      <c r="MM461" s="251"/>
      <c r="MN461" s="252"/>
      <c r="MO461" s="252"/>
      <c r="MP461" s="252"/>
      <c r="MQ461" s="252"/>
      <c r="MR461" s="252"/>
      <c r="MS461" s="252"/>
      <c r="MT461" s="252"/>
      <c r="MU461" s="252"/>
      <c r="MV461" s="252"/>
      <c r="MW461" s="252"/>
      <c r="MX461" s="252"/>
      <c r="MY461" s="252"/>
      <c r="MZ461" s="252"/>
      <c r="NA461" s="252"/>
      <c r="NB461" s="252"/>
      <c r="NC461" s="251"/>
      <c r="ND461" s="250"/>
      <c r="NE461" s="250"/>
      <c r="NF461" s="250"/>
      <c r="NG461" s="250"/>
      <c r="NH461" s="250"/>
      <c r="NI461" s="250"/>
      <c r="NJ461" s="250"/>
      <c r="NK461" s="250"/>
      <c r="NL461" s="250"/>
      <c r="NM461" s="250"/>
      <c r="NN461" s="250"/>
      <c r="NO461" s="250"/>
      <c r="NP461" s="250"/>
      <c r="NQ461" s="250"/>
      <c r="NR461" s="250"/>
      <c r="NS461" s="250"/>
      <c r="NT461" s="250"/>
      <c r="NU461" s="250"/>
      <c r="NV461" s="250"/>
      <c r="NW461" s="251"/>
      <c r="OT461" s="8"/>
      <c r="QG461" s="8"/>
      <c r="RT461" s="8"/>
    </row>
    <row r="462" spans="1:488" s="282" customFormat="1" x14ac:dyDescent="0.25">
      <c r="A462" s="66"/>
      <c r="B462" s="8"/>
      <c r="C462" s="66"/>
      <c r="D462" s="66"/>
      <c r="E462" s="66"/>
      <c r="F462" s="66"/>
      <c r="G462" s="66"/>
      <c r="H462" s="66"/>
      <c r="I462" s="66"/>
      <c r="J462" s="66"/>
      <c r="K462" s="66"/>
      <c r="L462" s="66"/>
      <c r="M462" s="66"/>
      <c r="N462" s="66"/>
      <c r="O462" s="66"/>
      <c r="P462" s="66"/>
      <c r="Q462" s="66"/>
      <c r="R462" s="66"/>
      <c r="S462" s="66"/>
      <c r="T462" s="68"/>
      <c r="AC462" s="66"/>
      <c r="AD462" s="66"/>
      <c r="AE462" s="68"/>
      <c r="AN462" s="66"/>
      <c r="AO462" s="66"/>
      <c r="AP462" s="68"/>
      <c r="AW462" s="66"/>
      <c r="AX462" s="68"/>
      <c r="BD462" s="66"/>
      <c r="BE462" s="68"/>
      <c r="BF462" s="66"/>
      <c r="BG462" s="66"/>
      <c r="BH462" s="66"/>
      <c r="BI462" s="66"/>
      <c r="BJ462" s="66"/>
      <c r="BK462" s="66"/>
      <c r="BL462" s="68"/>
      <c r="BO462" s="66"/>
      <c r="BP462" s="68"/>
      <c r="BV462" s="66"/>
      <c r="BW462" s="68"/>
      <c r="CB462" s="8"/>
      <c r="CH462" s="8"/>
      <c r="CK462" s="299"/>
      <c r="CL462" s="299"/>
      <c r="CM462" s="66"/>
      <c r="CN462" s="66"/>
      <c r="CO462" s="68"/>
      <c r="CR462" s="8"/>
      <c r="CX462" s="66"/>
      <c r="CY462" s="532"/>
      <c r="DE462" s="66"/>
      <c r="DF462" s="66"/>
      <c r="DG462" s="68"/>
      <c r="DH462" s="68"/>
      <c r="DK462" s="66"/>
      <c r="DL462" s="66"/>
      <c r="DM462" s="66"/>
      <c r="DN462" s="66"/>
      <c r="DO462" s="66"/>
      <c r="DP462" s="66"/>
      <c r="DQ462" s="66"/>
      <c r="DR462" s="66"/>
      <c r="DS462" s="66"/>
      <c r="DT462" s="68"/>
      <c r="DU462" s="66"/>
      <c r="DV462" s="296"/>
      <c r="DW462" s="330"/>
      <c r="DX462" s="631"/>
      <c r="DY462" s="631"/>
      <c r="DZ462" s="631"/>
      <c r="EA462" s="330"/>
      <c r="EC462" s="66"/>
      <c r="ED462" s="68"/>
      <c r="EH462" s="66"/>
      <c r="EI462" s="66"/>
      <c r="EJ462" s="68"/>
      <c r="EK462" s="252"/>
      <c r="EL462" s="252"/>
      <c r="EM462" s="252"/>
      <c r="EO462" s="252"/>
      <c r="EP462" s="252"/>
      <c r="EQ462" s="252"/>
      <c r="ES462" s="252"/>
      <c r="ET462" s="252"/>
      <c r="EU462" s="252"/>
      <c r="EW462" s="252"/>
      <c r="EX462" s="252"/>
      <c r="EY462" s="252"/>
      <c r="FA462" s="250"/>
      <c r="FB462" s="250"/>
      <c r="FC462" s="250"/>
      <c r="FD462" s="250"/>
      <c r="FE462" s="250"/>
      <c r="FF462" s="250"/>
      <c r="FG462" s="250"/>
      <c r="FH462" s="424"/>
      <c r="FI462" s="250"/>
      <c r="FJ462" s="250"/>
      <c r="FK462" s="250"/>
      <c r="FL462" s="256"/>
      <c r="FM462" s="250"/>
      <c r="FN462" s="256"/>
      <c r="FO462" s="250"/>
      <c r="FP462" s="256"/>
      <c r="FQ462" s="250"/>
      <c r="FR462" s="256"/>
      <c r="FS462" s="250"/>
      <c r="FT462" s="256"/>
      <c r="FU462" s="256"/>
      <c r="FV462" s="256"/>
      <c r="FW462" s="250"/>
      <c r="FX462" s="424"/>
      <c r="FY462" s="251"/>
      <c r="GC462" s="252"/>
      <c r="GF462" s="252"/>
      <c r="GG462" s="252"/>
      <c r="GH462" s="252"/>
      <c r="GI462" s="252"/>
      <c r="GJ462" s="252"/>
      <c r="GK462" s="251"/>
      <c r="GL462" s="250"/>
      <c r="GM462" s="250"/>
      <c r="GN462" s="250"/>
      <c r="GO462" s="250"/>
      <c r="GP462" s="250"/>
      <c r="GQ462" s="250"/>
      <c r="GR462" s="250"/>
      <c r="GS462" s="250"/>
      <c r="GT462" s="250"/>
      <c r="GU462" s="251"/>
      <c r="GV462" s="250"/>
      <c r="GW462" s="250"/>
      <c r="GX462" s="250"/>
      <c r="GY462" s="250"/>
      <c r="GZ462" s="250"/>
      <c r="HA462" s="250"/>
      <c r="HB462" s="250"/>
      <c r="HC462" s="250"/>
      <c r="HD462" s="250"/>
      <c r="HE462" s="250"/>
      <c r="HF462" s="250"/>
      <c r="HG462" s="250"/>
      <c r="HH462" s="251"/>
      <c r="HI462" s="424"/>
      <c r="HJ462" s="255"/>
      <c r="HK462" s="255"/>
      <c r="HL462" s="250"/>
      <c r="HM462" s="255"/>
      <c r="HN462" s="255"/>
      <c r="HO462" s="255"/>
      <c r="HP462" s="250"/>
      <c r="HQ462" s="250"/>
      <c r="HR462" s="250"/>
      <c r="HS462" s="250"/>
      <c r="HT462" s="250"/>
      <c r="HU462" s="251"/>
      <c r="HX462" s="252"/>
      <c r="HY462" s="252"/>
      <c r="HZ462" s="252"/>
      <c r="ID462" s="252"/>
      <c r="IE462" s="252"/>
      <c r="IF462" s="252"/>
      <c r="IJ462" s="252"/>
      <c r="IK462" s="252"/>
      <c r="IL462" s="252"/>
      <c r="IP462" s="252"/>
      <c r="IQ462" s="252"/>
      <c r="IR462" s="252"/>
      <c r="IY462" s="66"/>
      <c r="IZ462" s="66"/>
      <c r="JA462" s="66"/>
      <c r="JB462" s="250"/>
      <c r="JC462" s="66"/>
      <c r="JD462" s="66"/>
      <c r="JE462" s="66"/>
      <c r="JF462" s="66"/>
      <c r="JG462" s="66"/>
      <c r="JH462" s="66"/>
      <c r="JI462" s="66"/>
      <c r="JJ462" s="66"/>
      <c r="JK462" s="8"/>
      <c r="JN462" s="252"/>
      <c r="JO462" s="252"/>
      <c r="JP462" s="252"/>
      <c r="JT462" s="252"/>
      <c r="JU462" s="252"/>
      <c r="JV462" s="252"/>
      <c r="JZ462" s="252"/>
      <c r="KA462" s="252"/>
      <c r="KB462" s="252"/>
      <c r="KF462" s="252"/>
      <c r="KG462" s="252"/>
      <c r="KH462" s="252"/>
      <c r="KO462" s="66"/>
      <c r="KP462" s="66"/>
      <c r="KQ462" s="66"/>
      <c r="KR462" s="66"/>
      <c r="KS462" s="66"/>
      <c r="KT462" s="66"/>
      <c r="KU462" s="66"/>
      <c r="KV462" s="66"/>
      <c r="KW462" s="66"/>
      <c r="KX462" s="66"/>
      <c r="KY462" s="66"/>
      <c r="KZ462" s="66"/>
      <c r="LA462" s="8"/>
      <c r="LD462" s="252"/>
      <c r="LE462" s="252"/>
      <c r="LF462" s="252"/>
      <c r="LJ462" s="252"/>
      <c r="LK462" s="252"/>
      <c r="LN462" s="252"/>
      <c r="LO462" s="252"/>
      <c r="LP462" s="252"/>
      <c r="LT462" s="271"/>
      <c r="LU462" s="250"/>
      <c r="LV462" s="250"/>
      <c r="LW462" s="250"/>
      <c r="LX462" s="250"/>
      <c r="LY462" s="250"/>
      <c r="LZ462" s="250"/>
      <c r="MA462" s="250"/>
      <c r="MB462" s="250"/>
      <c r="MC462" s="250"/>
      <c r="MD462" s="250"/>
      <c r="ME462" s="250"/>
      <c r="MF462" s="250"/>
      <c r="MG462" s="250"/>
      <c r="MH462" s="250"/>
      <c r="MI462" s="250"/>
      <c r="MJ462" s="250"/>
      <c r="MK462" s="424"/>
      <c r="ML462" s="640"/>
      <c r="MM462" s="251"/>
      <c r="MN462" s="252"/>
      <c r="MO462" s="252"/>
      <c r="MP462" s="252"/>
      <c r="MQ462" s="252"/>
      <c r="MR462" s="252"/>
      <c r="MS462" s="252"/>
      <c r="MT462" s="252"/>
      <c r="MU462" s="252"/>
      <c r="MV462" s="252"/>
      <c r="MW462" s="252"/>
      <c r="MX462" s="252"/>
      <c r="MY462" s="252"/>
      <c r="MZ462" s="252"/>
      <c r="NA462" s="252"/>
      <c r="NB462" s="252"/>
      <c r="NC462" s="251"/>
      <c r="ND462" s="250"/>
      <c r="NE462" s="250"/>
      <c r="NF462" s="250"/>
      <c r="NG462" s="250"/>
      <c r="NH462" s="250"/>
      <c r="NI462" s="250"/>
      <c r="NJ462" s="250"/>
      <c r="NK462" s="250"/>
      <c r="NL462" s="250"/>
      <c r="NM462" s="250"/>
      <c r="NN462" s="250"/>
      <c r="NO462" s="250"/>
      <c r="NP462" s="250"/>
      <c r="NQ462" s="250"/>
      <c r="NR462" s="250"/>
      <c r="NS462" s="250"/>
      <c r="NT462" s="250"/>
      <c r="NU462" s="250"/>
      <c r="NV462" s="250"/>
      <c r="NW462" s="251"/>
      <c r="OT462" s="8"/>
      <c r="QG462" s="8"/>
      <c r="RT462" s="8"/>
    </row>
    <row r="463" spans="1:488" s="282" customFormat="1" x14ac:dyDescent="0.25">
      <c r="A463" s="66"/>
      <c r="B463" s="8"/>
      <c r="C463" s="66"/>
      <c r="D463" s="66"/>
      <c r="E463" s="66"/>
      <c r="F463" s="66"/>
      <c r="G463" s="66"/>
      <c r="H463" s="66"/>
      <c r="I463" s="66"/>
      <c r="J463" s="66"/>
      <c r="K463" s="66"/>
      <c r="L463" s="66"/>
      <c r="M463" s="66"/>
      <c r="N463" s="66"/>
      <c r="O463" s="66"/>
      <c r="P463" s="66"/>
      <c r="Q463" s="66"/>
      <c r="R463" s="66"/>
      <c r="S463" s="66"/>
      <c r="T463" s="68"/>
      <c r="AC463" s="66"/>
      <c r="AD463" s="66"/>
      <c r="AE463" s="68"/>
      <c r="AN463" s="66"/>
      <c r="AO463" s="66"/>
      <c r="AP463" s="68"/>
      <c r="AW463" s="66"/>
      <c r="AX463" s="68"/>
      <c r="BD463" s="66"/>
      <c r="BE463" s="68"/>
      <c r="BF463" s="66"/>
      <c r="BG463" s="66"/>
      <c r="BH463" s="66"/>
      <c r="BI463" s="66"/>
      <c r="BJ463" s="66"/>
      <c r="BK463" s="66"/>
      <c r="BL463" s="68"/>
      <c r="BO463" s="66"/>
      <c r="BP463" s="68"/>
      <c r="BV463" s="66"/>
      <c r="BW463" s="68"/>
      <c r="CB463" s="8"/>
      <c r="CH463" s="8"/>
      <c r="CK463" s="299"/>
      <c r="CL463" s="299"/>
      <c r="CM463" s="66"/>
      <c r="CN463" s="66"/>
      <c r="CO463" s="68"/>
      <c r="CR463" s="8"/>
      <c r="CX463" s="66"/>
      <c r="CY463" s="532"/>
      <c r="DE463" s="66"/>
      <c r="DF463" s="66"/>
      <c r="DG463" s="68"/>
      <c r="DH463" s="68"/>
      <c r="DK463" s="66"/>
      <c r="DL463" s="66"/>
      <c r="DM463" s="66"/>
      <c r="DN463" s="66"/>
      <c r="DO463" s="66"/>
      <c r="DP463" s="66"/>
      <c r="DQ463" s="66"/>
      <c r="DR463" s="66"/>
      <c r="DS463" s="66"/>
      <c r="DT463" s="68"/>
      <c r="DU463" s="66"/>
      <c r="DV463" s="296"/>
      <c r="DW463" s="330"/>
      <c r="DX463" s="631"/>
      <c r="DY463" s="631"/>
      <c r="DZ463" s="631"/>
      <c r="EA463" s="330"/>
      <c r="EC463" s="66"/>
      <c r="ED463" s="68"/>
      <c r="EH463" s="66"/>
      <c r="EI463" s="66"/>
      <c r="EJ463" s="68"/>
      <c r="EK463" s="252"/>
      <c r="EL463" s="252"/>
      <c r="EM463" s="252"/>
      <c r="EO463" s="252"/>
      <c r="EP463" s="252"/>
      <c r="EQ463" s="252"/>
      <c r="ES463" s="252"/>
      <c r="ET463" s="252"/>
      <c r="EU463" s="252"/>
      <c r="EW463" s="252"/>
      <c r="EX463" s="252"/>
      <c r="EY463" s="252"/>
      <c r="FA463" s="250"/>
      <c r="FB463" s="250"/>
      <c r="FC463" s="250"/>
      <c r="FD463" s="250"/>
      <c r="FE463" s="250"/>
      <c r="FF463" s="250"/>
      <c r="FG463" s="250"/>
      <c r="FH463" s="424"/>
      <c r="FI463" s="250"/>
      <c r="FJ463" s="250"/>
      <c r="FK463" s="250"/>
      <c r="FL463" s="256"/>
      <c r="FM463" s="250"/>
      <c r="FN463" s="256"/>
      <c r="FO463" s="250"/>
      <c r="FP463" s="256"/>
      <c r="FQ463" s="250"/>
      <c r="FR463" s="256"/>
      <c r="FS463" s="250"/>
      <c r="FT463" s="256"/>
      <c r="FU463" s="256"/>
      <c r="FV463" s="256"/>
      <c r="FW463" s="250"/>
      <c r="FX463" s="424"/>
      <c r="FY463" s="251"/>
      <c r="GC463" s="252"/>
      <c r="GF463" s="252"/>
      <c r="GG463" s="252"/>
      <c r="GH463" s="252"/>
      <c r="GI463" s="252"/>
      <c r="GJ463" s="252"/>
      <c r="GK463" s="251"/>
      <c r="GL463" s="250"/>
      <c r="GM463" s="250"/>
      <c r="GN463" s="250"/>
      <c r="GO463" s="250"/>
      <c r="GP463" s="250"/>
      <c r="GQ463" s="250"/>
      <c r="GR463" s="250"/>
      <c r="GS463" s="250"/>
      <c r="GT463" s="250"/>
      <c r="GU463" s="251"/>
      <c r="GV463" s="250"/>
      <c r="GW463" s="250"/>
      <c r="GX463" s="250"/>
      <c r="GY463" s="250"/>
      <c r="GZ463" s="250"/>
      <c r="HA463" s="250"/>
      <c r="HB463" s="250"/>
      <c r="HC463" s="250"/>
      <c r="HD463" s="250"/>
      <c r="HE463" s="250"/>
      <c r="HF463" s="250"/>
      <c r="HG463" s="250"/>
      <c r="HH463" s="251"/>
      <c r="HI463" s="424"/>
      <c r="HJ463" s="255"/>
      <c r="HK463" s="255"/>
      <c r="HL463" s="250"/>
      <c r="HM463" s="255"/>
      <c r="HN463" s="255"/>
      <c r="HO463" s="255"/>
      <c r="HP463" s="250"/>
      <c r="HQ463" s="250"/>
      <c r="HR463" s="250"/>
      <c r="HS463" s="250"/>
      <c r="HT463" s="250"/>
      <c r="HU463" s="251"/>
      <c r="HX463" s="252"/>
      <c r="HY463" s="252"/>
      <c r="HZ463" s="252"/>
      <c r="ID463" s="252"/>
      <c r="IE463" s="252"/>
      <c r="IF463" s="252"/>
      <c r="IJ463" s="252"/>
      <c r="IK463" s="252"/>
      <c r="IL463" s="252"/>
      <c r="IP463" s="252"/>
      <c r="IQ463" s="252"/>
      <c r="IR463" s="252"/>
      <c r="IY463" s="66"/>
      <c r="IZ463" s="66"/>
      <c r="JA463" s="66"/>
      <c r="JB463" s="250"/>
      <c r="JC463" s="66"/>
      <c r="JD463" s="66"/>
      <c r="JE463" s="66"/>
      <c r="JF463" s="66"/>
      <c r="JG463" s="66"/>
      <c r="JH463" s="66"/>
      <c r="JI463" s="66"/>
      <c r="JJ463" s="66"/>
      <c r="JK463" s="8"/>
      <c r="JN463" s="252"/>
      <c r="JO463" s="252"/>
      <c r="JP463" s="252"/>
      <c r="JT463" s="252"/>
      <c r="JU463" s="252"/>
      <c r="JV463" s="252"/>
      <c r="JZ463" s="252"/>
      <c r="KA463" s="252"/>
      <c r="KB463" s="252"/>
      <c r="KF463" s="252"/>
      <c r="KG463" s="252"/>
      <c r="KH463" s="252"/>
      <c r="KO463" s="66"/>
      <c r="KP463" s="66"/>
      <c r="KQ463" s="66"/>
      <c r="KR463" s="66"/>
      <c r="KS463" s="66"/>
      <c r="KT463" s="66"/>
      <c r="KU463" s="66"/>
      <c r="KV463" s="66"/>
      <c r="KW463" s="66"/>
      <c r="KX463" s="66"/>
      <c r="KY463" s="66"/>
      <c r="KZ463" s="66"/>
      <c r="LA463" s="8"/>
      <c r="LD463" s="252"/>
      <c r="LE463" s="252"/>
      <c r="LF463" s="252"/>
      <c r="LJ463" s="252"/>
      <c r="LK463" s="252"/>
      <c r="LN463" s="252"/>
      <c r="LO463" s="252"/>
      <c r="LP463" s="252"/>
      <c r="LT463" s="271"/>
      <c r="LU463" s="250"/>
      <c r="LV463" s="250"/>
      <c r="LW463" s="250"/>
      <c r="LX463" s="250"/>
      <c r="LY463" s="250"/>
      <c r="LZ463" s="250"/>
      <c r="MA463" s="250"/>
      <c r="MB463" s="250"/>
      <c r="MC463" s="250"/>
      <c r="MD463" s="250"/>
      <c r="ME463" s="250"/>
      <c r="MF463" s="250"/>
      <c r="MG463" s="250"/>
      <c r="MH463" s="250"/>
      <c r="MI463" s="250"/>
      <c r="MJ463" s="250"/>
      <c r="MK463" s="424"/>
      <c r="ML463" s="640"/>
      <c r="MM463" s="251"/>
      <c r="MN463" s="252"/>
      <c r="MO463" s="252"/>
      <c r="MP463" s="252"/>
      <c r="MQ463" s="252"/>
      <c r="MR463" s="252"/>
      <c r="MS463" s="252"/>
      <c r="MT463" s="252"/>
      <c r="MU463" s="252"/>
      <c r="MV463" s="252"/>
      <c r="MW463" s="252"/>
      <c r="MX463" s="252"/>
      <c r="MY463" s="252"/>
      <c r="MZ463" s="252"/>
      <c r="NA463" s="252"/>
      <c r="NB463" s="252"/>
      <c r="NC463" s="251"/>
      <c r="ND463" s="250"/>
      <c r="NE463" s="250"/>
      <c r="NF463" s="250"/>
      <c r="NG463" s="250"/>
      <c r="NH463" s="250"/>
      <c r="NI463" s="250"/>
      <c r="NJ463" s="250"/>
      <c r="NK463" s="250"/>
      <c r="NL463" s="250"/>
      <c r="NM463" s="250"/>
      <c r="NN463" s="250"/>
      <c r="NO463" s="250"/>
      <c r="NP463" s="250"/>
      <c r="NQ463" s="250"/>
      <c r="NR463" s="250"/>
      <c r="NS463" s="250"/>
      <c r="NT463" s="250"/>
      <c r="NU463" s="250"/>
      <c r="NV463" s="250"/>
      <c r="NW463" s="251"/>
      <c r="OT463" s="8"/>
      <c r="QG463" s="8"/>
      <c r="RT463" s="8"/>
    </row>
    <row r="464" spans="1:488" s="282" customFormat="1" x14ac:dyDescent="0.25">
      <c r="A464" s="66"/>
      <c r="B464" s="8"/>
      <c r="C464" s="66"/>
      <c r="D464" s="66"/>
      <c r="E464" s="66"/>
      <c r="F464" s="66"/>
      <c r="G464" s="66"/>
      <c r="H464" s="66"/>
      <c r="I464" s="66"/>
      <c r="J464" s="66"/>
      <c r="K464" s="66"/>
      <c r="L464" s="66"/>
      <c r="M464" s="66"/>
      <c r="N464" s="66"/>
      <c r="O464" s="66"/>
      <c r="P464" s="66"/>
      <c r="Q464" s="66"/>
      <c r="R464" s="66"/>
      <c r="S464" s="66"/>
      <c r="T464" s="68"/>
      <c r="AC464" s="66"/>
      <c r="AD464" s="66"/>
      <c r="AE464" s="68"/>
      <c r="AN464" s="66"/>
      <c r="AO464" s="66"/>
      <c r="AP464" s="68"/>
      <c r="AW464" s="66"/>
      <c r="AX464" s="68"/>
      <c r="BD464" s="66"/>
      <c r="BE464" s="68"/>
      <c r="BF464" s="66"/>
      <c r="BG464" s="66"/>
      <c r="BH464" s="66"/>
      <c r="BI464" s="66"/>
      <c r="BJ464" s="66"/>
      <c r="BK464" s="66"/>
      <c r="BL464" s="68"/>
      <c r="BO464" s="66"/>
      <c r="BP464" s="68"/>
      <c r="BV464" s="66"/>
      <c r="BW464" s="68"/>
      <c r="CB464" s="8"/>
      <c r="CH464" s="8"/>
      <c r="CK464" s="299"/>
      <c r="CL464" s="299"/>
      <c r="CM464" s="66"/>
      <c r="CN464" s="66"/>
      <c r="CO464" s="68"/>
      <c r="CR464" s="8"/>
      <c r="CX464" s="66"/>
      <c r="CY464" s="532"/>
      <c r="DE464" s="66"/>
      <c r="DF464" s="66"/>
      <c r="DG464" s="68"/>
      <c r="DH464" s="68"/>
      <c r="DK464" s="66"/>
      <c r="DL464" s="66"/>
      <c r="DM464" s="66"/>
      <c r="DN464" s="66"/>
      <c r="DO464" s="66"/>
      <c r="DP464" s="66"/>
      <c r="DQ464" s="66"/>
      <c r="DR464" s="66"/>
      <c r="DS464" s="66"/>
      <c r="DT464" s="68"/>
      <c r="DU464" s="66"/>
      <c r="DV464" s="296"/>
      <c r="DW464" s="330"/>
      <c r="DX464" s="631"/>
      <c r="DY464" s="631"/>
      <c r="DZ464" s="631"/>
      <c r="EA464" s="330"/>
      <c r="EC464" s="66"/>
      <c r="ED464" s="68"/>
      <c r="EH464" s="66"/>
      <c r="EI464" s="66"/>
      <c r="EJ464" s="68"/>
      <c r="EK464" s="252"/>
      <c r="EL464" s="252"/>
      <c r="EM464" s="252"/>
      <c r="EO464" s="252"/>
      <c r="EP464" s="252"/>
      <c r="EQ464" s="252"/>
      <c r="ES464" s="252"/>
      <c r="ET464" s="252"/>
      <c r="EU464" s="252"/>
      <c r="EW464" s="252"/>
      <c r="EX464" s="252"/>
      <c r="EY464" s="252"/>
      <c r="FA464" s="250"/>
      <c r="FB464" s="250"/>
      <c r="FC464" s="250"/>
      <c r="FD464" s="250"/>
      <c r="FE464" s="250"/>
      <c r="FF464" s="250"/>
      <c r="FG464" s="250"/>
      <c r="FH464" s="424"/>
      <c r="FI464" s="250"/>
      <c r="FJ464" s="250"/>
      <c r="FK464" s="250"/>
      <c r="FL464" s="256"/>
      <c r="FM464" s="250"/>
      <c r="FN464" s="256"/>
      <c r="FO464" s="250"/>
      <c r="FP464" s="256"/>
      <c r="FQ464" s="250"/>
      <c r="FR464" s="256"/>
      <c r="FS464" s="250"/>
      <c r="FT464" s="256"/>
      <c r="FU464" s="256"/>
      <c r="FV464" s="256"/>
      <c r="FW464" s="250"/>
      <c r="FX464" s="424"/>
      <c r="FY464" s="251"/>
      <c r="GC464" s="252"/>
      <c r="GF464" s="252"/>
      <c r="GG464" s="252"/>
      <c r="GH464" s="252"/>
      <c r="GI464" s="252"/>
      <c r="GJ464" s="252"/>
      <c r="GK464" s="251"/>
      <c r="GL464" s="250"/>
      <c r="GM464" s="250"/>
      <c r="GN464" s="250"/>
      <c r="GO464" s="250"/>
      <c r="GP464" s="250"/>
      <c r="GQ464" s="250"/>
      <c r="GR464" s="250"/>
      <c r="GS464" s="250"/>
      <c r="GT464" s="250"/>
      <c r="GU464" s="251"/>
      <c r="GV464" s="250"/>
      <c r="GW464" s="250"/>
      <c r="GX464" s="250"/>
      <c r="GY464" s="250"/>
      <c r="GZ464" s="250"/>
      <c r="HA464" s="250"/>
      <c r="HB464" s="250"/>
      <c r="HC464" s="250"/>
      <c r="HD464" s="250"/>
      <c r="HE464" s="250"/>
      <c r="HF464" s="250"/>
      <c r="HG464" s="250"/>
      <c r="HH464" s="251"/>
      <c r="HI464" s="424"/>
      <c r="HJ464" s="255"/>
      <c r="HK464" s="255"/>
      <c r="HL464" s="250"/>
      <c r="HM464" s="255"/>
      <c r="HN464" s="255"/>
      <c r="HO464" s="255"/>
      <c r="HP464" s="250"/>
      <c r="HQ464" s="250"/>
      <c r="HR464" s="250"/>
      <c r="HS464" s="250"/>
      <c r="HT464" s="250"/>
      <c r="HU464" s="251"/>
      <c r="HX464" s="252"/>
      <c r="HY464" s="252"/>
      <c r="HZ464" s="252"/>
      <c r="ID464" s="252"/>
      <c r="IE464" s="252"/>
      <c r="IF464" s="252"/>
      <c r="IJ464" s="252"/>
      <c r="IK464" s="252"/>
      <c r="IL464" s="252"/>
      <c r="IP464" s="252"/>
      <c r="IQ464" s="252"/>
      <c r="IR464" s="252"/>
      <c r="IY464" s="66"/>
      <c r="IZ464" s="66"/>
      <c r="JA464" s="66"/>
      <c r="JB464" s="250"/>
      <c r="JC464" s="66"/>
      <c r="JD464" s="66"/>
      <c r="JE464" s="66"/>
      <c r="JF464" s="66"/>
      <c r="JG464" s="66"/>
      <c r="JH464" s="66"/>
      <c r="JI464" s="66"/>
      <c r="JJ464" s="66"/>
      <c r="JK464" s="8"/>
      <c r="JN464" s="252"/>
      <c r="JO464" s="252"/>
      <c r="JP464" s="252"/>
      <c r="JT464" s="252"/>
      <c r="JU464" s="252"/>
      <c r="JV464" s="252"/>
      <c r="JZ464" s="252"/>
      <c r="KA464" s="252"/>
      <c r="KB464" s="252"/>
      <c r="KF464" s="252"/>
      <c r="KG464" s="252"/>
      <c r="KH464" s="252"/>
      <c r="KO464" s="66"/>
      <c r="KP464" s="66"/>
      <c r="KQ464" s="66"/>
      <c r="KR464" s="66"/>
      <c r="KS464" s="66"/>
      <c r="KT464" s="66"/>
      <c r="KU464" s="66"/>
      <c r="KV464" s="66"/>
      <c r="KW464" s="66"/>
      <c r="KX464" s="66"/>
      <c r="KY464" s="66"/>
      <c r="KZ464" s="66"/>
      <c r="LA464" s="8"/>
      <c r="LD464" s="252"/>
      <c r="LE464" s="252"/>
      <c r="LF464" s="252"/>
      <c r="LJ464" s="252"/>
      <c r="LK464" s="252"/>
      <c r="LN464" s="252"/>
      <c r="LO464" s="252"/>
      <c r="LP464" s="252"/>
      <c r="LT464" s="271"/>
      <c r="LU464" s="250"/>
      <c r="LV464" s="250"/>
      <c r="LW464" s="250"/>
      <c r="LX464" s="250"/>
      <c r="LY464" s="250"/>
      <c r="LZ464" s="250"/>
      <c r="MA464" s="250"/>
      <c r="MB464" s="250"/>
      <c r="MC464" s="250"/>
      <c r="MD464" s="250"/>
      <c r="ME464" s="250"/>
      <c r="MF464" s="250"/>
      <c r="MG464" s="250"/>
      <c r="MH464" s="250"/>
      <c r="MI464" s="250"/>
      <c r="MJ464" s="250"/>
      <c r="MK464" s="424"/>
      <c r="ML464" s="640"/>
      <c r="MM464" s="251"/>
      <c r="MN464" s="252"/>
      <c r="MO464" s="252"/>
      <c r="MP464" s="252"/>
      <c r="MQ464" s="252"/>
      <c r="MR464" s="252"/>
      <c r="MS464" s="252"/>
      <c r="MT464" s="252"/>
      <c r="MU464" s="252"/>
      <c r="MV464" s="252"/>
      <c r="MW464" s="252"/>
      <c r="MX464" s="252"/>
      <c r="MY464" s="252"/>
      <c r="MZ464" s="252"/>
      <c r="NA464" s="252"/>
      <c r="NB464" s="252"/>
      <c r="NC464" s="251"/>
      <c r="ND464" s="250"/>
      <c r="NE464" s="250"/>
      <c r="NF464" s="250"/>
      <c r="NG464" s="250"/>
      <c r="NH464" s="250"/>
      <c r="NI464" s="250"/>
      <c r="NJ464" s="250"/>
      <c r="NK464" s="250"/>
      <c r="NL464" s="250"/>
      <c r="NM464" s="250"/>
      <c r="NN464" s="250"/>
      <c r="NO464" s="250"/>
      <c r="NP464" s="250"/>
      <c r="NQ464" s="250"/>
      <c r="NR464" s="250"/>
      <c r="NS464" s="250"/>
      <c r="NT464" s="250"/>
      <c r="NU464" s="250"/>
      <c r="NV464" s="250"/>
      <c r="NW464" s="251"/>
      <c r="OT464" s="8"/>
      <c r="QG464" s="8"/>
      <c r="RT464" s="8"/>
    </row>
    <row r="465" spans="1:488" s="282" customFormat="1" x14ac:dyDescent="0.25">
      <c r="A465" s="66"/>
      <c r="B465" s="8"/>
      <c r="C465" s="66"/>
      <c r="D465" s="66"/>
      <c r="E465" s="66"/>
      <c r="F465" s="66"/>
      <c r="G465" s="66"/>
      <c r="H465" s="66"/>
      <c r="I465" s="66"/>
      <c r="J465" s="66"/>
      <c r="K465" s="66"/>
      <c r="L465" s="66"/>
      <c r="M465" s="66"/>
      <c r="N465" s="66"/>
      <c r="O465" s="66"/>
      <c r="P465" s="66"/>
      <c r="Q465" s="66"/>
      <c r="R465" s="66"/>
      <c r="S465" s="66"/>
      <c r="T465" s="68"/>
      <c r="AC465" s="66"/>
      <c r="AD465" s="66"/>
      <c r="AE465" s="68"/>
      <c r="AN465" s="66"/>
      <c r="AO465" s="66"/>
      <c r="AP465" s="68"/>
      <c r="AW465" s="66"/>
      <c r="AX465" s="68"/>
      <c r="BD465" s="66"/>
      <c r="BE465" s="68"/>
      <c r="BF465" s="66"/>
      <c r="BG465" s="66"/>
      <c r="BH465" s="66"/>
      <c r="BI465" s="66"/>
      <c r="BJ465" s="66"/>
      <c r="BK465" s="66"/>
      <c r="BL465" s="68"/>
      <c r="BO465" s="66"/>
      <c r="BP465" s="68"/>
      <c r="BV465" s="66"/>
      <c r="BW465" s="68"/>
      <c r="CB465" s="8"/>
      <c r="CH465" s="8"/>
      <c r="CK465" s="299"/>
      <c r="CL465" s="299"/>
      <c r="CM465" s="66"/>
      <c r="CN465" s="66"/>
      <c r="CO465" s="68"/>
      <c r="CR465" s="8"/>
      <c r="CX465" s="66"/>
      <c r="CY465" s="532"/>
      <c r="DE465" s="66"/>
      <c r="DF465" s="66"/>
      <c r="DG465" s="68"/>
      <c r="DH465" s="68"/>
      <c r="DK465" s="66"/>
      <c r="DL465" s="66"/>
      <c r="DM465" s="66"/>
      <c r="DN465" s="66"/>
      <c r="DO465" s="66"/>
      <c r="DP465" s="66"/>
      <c r="DQ465" s="66"/>
      <c r="DR465" s="66"/>
      <c r="DS465" s="66"/>
      <c r="DT465" s="68"/>
      <c r="DU465" s="66"/>
      <c r="DV465" s="296"/>
      <c r="DW465" s="330"/>
      <c r="DX465" s="631"/>
      <c r="DY465" s="631"/>
      <c r="DZ465" s="631"/>
      <c r="EA465" s="330"/>
      <c r="EC465" s="66"/>
      <c r="ED465" s="68"/>
      <c r="EH465" s="66"/>
      <c r="EI465" s="66"/>
      <c r="EJ465" s="68"/>
      <c r="EK465" s="252"/>
      <c r="EL465" s="252"/>
      <c r="EM465" s="252"/>
      <c r="EO465" s="252"/>
      <c r="EP465" s="252"/>
      <c r="EQ465" s="252"/>
      <c r="ES465" s="252"/>
      <c r="ET465" s="252"/>
      <c r="EU465" s="252"/>
      <c r="EW465" s="252"/>
      <c r="EX465" s="252"/>
      <c r="EY465" s="252"/>
      <c r="FA465" s="250"/>
      <c r="FB465" s="250"/>
      <c r="FC465" s="250"/>
      <c r="FD465" s="250"/>
      <c r="FE465" s="250"/>
      <c r="FF465" s="250"/>
      <c r="FG465" s="250"/>
      <c r="FH465" s="424"/>
      <c r="FI465" s="250"/>
      <c r="FJ465" s="250"/>
      <c r="FK465" s="250"/>
      <c r="FL465" s="256"/>
      <c r="FM465" s="250"/>
      <c r="FN465" s="256"/>
      <c r="FO465" s="250"/>
      <c r="FP465" s="256"/>
      <c r="FQ465" s="250"/>
      <c r="FR465" s="256"/>
      <c r="FS465" s="250"/>
      <c r="FT465" s="256"/>
      <c r="FU465" s="256"/>
      <c r="FV465" s="256"/>
      <c r="FW465" s="250"/>
      <c r="FX465" s="424"/>
      <c r="FY465" s="251"/>
      <c r="GC465" s="252"/>
      <c r="GF465" s="252"/>
      <c r="GG465" s="252"/>
      <c r="GH465" s="252"/>
      <c r="GI465" s="252"/>
      <c r="GJ465" s="252"/>
      <c r="GK465" s="251"/>
      <c r="GL465" s="250"/>
      <c r="GM465" s="250"/>
      <c r="GN465" s="250"/>
      <c r="GO465" s="250"/>
      <c r="GP465" s="250"/>
      <c r="GQ465" s="250"/>
      <c r="GR465" s="250"/>
      <c r="GS465" s="250"/>
      <c r="GT465" s="250"/>
      <c r="GU465" s="251"/>
      <c r="GV465" s="250"/>
      <c r="GW465" s="250"/>
      <c r="GX465" s="250"/>
      <c r="GY465" s="250"/>
      <c r="GZ465" s="250"/>
      <c r="HA465" s="250"/>
      <c r="HB465" s="250"/>
      <c r="HC465" s="250"/>
      <c r="HD465" s="250"/>
      <c r="HE465" s="250"/>
      <c r="HF465" s="250"/>
      <c r="HG465" s="250"/>
      <c r="HH465" s="251"/>
      <c r="HI465" s="424"/>
      <c r="HJ465" s="255"/>
      <c r="HK465" s="255"/>
      <c r="HL465" s="250"/>
      <c r="HM465" s="255"/>
      <c r="HN465" s="255"/>
      <c r="HO465" s="255"/>
      <c r="HP465" s="250"/>
      <c r="HQ465" s="250"/>
      <c r="HR465" s="250"/>
      <c r="HS465" s="250"/>
      <c r="HT465" s="250"/>
      <c r="HU465" s="251"/>
      <c r="HX465" s="252"/>
      <c r="HY465" s="252"/>
      <c r="HZ465" s="252"/>
      <c r="ID465" s="252"/>
      <c r="IE465" s="252"/>
      <c r="IF465" s="252"/>
      <c r="IJ465" s="252"/>
      <c r="IK465" s="252"/>
      <c r="IL465" s="252"/>
      <c r="IP465" s="252"/>
      <c r="IQ465" s="252"/>
      <c r="IR465" s="252"/>
      <c r="IY465" s="66"/>
      <c r="IZ465" s="66"/>
      <c r="JA465" s="66"/>
      <c r="JB465" s="250"/>
      <c r="JC465" s="66"/>
      <c r="JD465" s="66"/>
      <c r="JE465" s="66"/>
      <c r="JF465" s="66"/>
      <c r="JG465" s="66"/>
      <c r="JH465" s="66"/>
      <c r="JI465" s="66"/>
      <c r="JJ465" s="66"/>
      <c r="JK465" s="8"/>
      <c r="JN465" s="252"/>
      <c r="JO465" s="252"/>
      <c r="JP465" s="252"/>
      <c r="JT465" s="252"/>
      <c r="JU465" s="252"/>
      <c r="JV465" s="252"/>
      <c r="JZ465" s="252"/>
      <c r="KA465" s="252"/>
      <c r="KB465" s="252"/>
      <c r="KF465" s="252"/>
      <c r="KG465" s="252"/>
      <c r="KH465" s="252"/>
      <c r="KO465" s="66"/>
      <c r="KP465" s="66"/>
      <c r="KQ465" s="66"/>
      <c r="KR465" s="66"/>
      <c r="KS465" s="66"/>
      <c r="KT465" s="66"/>
      <c r="KU465" s="66"/>
      <c r="KV465" s="66"/>
      <c r="KW465" s="66"/>
      <c r="KX465" s="66"/>
      <c r="KY465" s="66"/>
      <c r="KZ465" s="66"/>
      <c r="LA465" s="8"/>
      <c r="LD465" s="252"/>
      <c r="LE465" s="252"/>
      <c r="LF465" s="252"/>
      <c r="LJ465" s="252"/>
      <c r="LK465" s="252"/>
      <c r="LN465" s="252"/>
      <c r="LO465" s="252"/>
      <c r="LP465" s="252"/>
      <c r="LT465" s="271"/>
      <c r="LU465" s="250"/>
      <c r="LV465" s="250"/>
      <c r="LW465" s="250"/>
      <c r="LX465" s="250"/>
      <c r="LY465" s="250"/>
      <c r="LZ465" s="250"/>
      <c r="MA465" s="250"/>
      <c r="MB465" s="250"/>
      <c r="MC465" s="250"/>
      <c r="MD465" s="250"/>
      <c r="ME465" s="250"/>
      <c r="MF465" s="250"/>
      <c r="MG465" s="250"/>
      <c r="MH465" s="250"/>
      <c r="MI465" s="250"/>
      <c r="MJ465" s="250"/>
      <c r="MK465" s="424"/>
      <c r="ML465" s="640"/>
      <c r="MM465" s="251"/>
      <c r="MN465" s="252"/>
      <c r="MO465" s="252"/>
      <c r="MP465" s="252"/>
      <c r="MQ465" s="252"/>
      <c r="MR465" s="252"/>
      <c r="MS465" s="252"/>
      <c r="MT465" s="252"/>
      <c r="MU465" s="252"/>
      <c r="MV465" s="252"/>
      <c r="MW465" s="252"/>
      <c r="MX465" s="252"/>
      <c r="MY465" s="252"/>
      <c r="MZ465" s="252"/>
      <c r="NA465" s="252"/>
      <c r="NB465" s="252"/>
      <c r="NC465" s="251"/>
      <c r="ND465" s="250"/>
      <c r="NE465" s="250"/>
      <c r="NF465" s="250"/>
      <c r="NG465" s="250"/>
      <c r="NH465" s="250"/>
      <c r="NI465" s="250"/>
      <c r="NJ465" s="250"/>
      <c r="NK465" s="250"/>
      <c r="NL465" s="250"/>
      <c r="NM465" s="250"/>
      <c r="NN465" s="250"/>
      <c r="NO465" s="250"/>
      <c r="NP465" s="250"/>
      <c r="NQ465" s="250"/>
      <c r="NR465" s="250"/>
      <c r="NS465" s="250"/>
      <c r="NT465" s="250"/>
      <c r="NU465" s="250"/>
      <c r="NV465" s="250"/>
      <c r="NW465" s="251"/>
      <c r="OT465" s="8"/>
      <c r="QG465" s="8"/>
      <c r="RT465" s="8"/>
    </row>
    <row r="466" spans="1:488" s="282" customFormat="1" x14ac:dyDescent="0.25">
      <c r="A466" s="66"/>
      <c r="B466" s="8"/>
      <c r="C466" s="66"/>
      <c r="D466" s="66"/>
      <c r="E466" s="66"/>
      <c r="F466" s="66"/>
      <c r="G466" s="66"/>
      <c r="H466" s="66"/>
      <c r="I466" s="66"/>
      <c r="J466" s="66"/>
      <c r="K466" s="66"/>
      <c r="L466" s="66"/>
      <c r="M466" s="66"/>
      <c r="N466" s="66"/>
      <c r="O466" s="66"/>
      <c r="P466" s="66"/>
      <c r="Q466" s="66"/>
      <c r="R466" s="66"/>
      <c r="S466" s="66"/>
      <c r="T466" s="68"/>
      <c r="AC466" s="66"/>
      <c r="AD466" s="66"/>
      <c r="AE466" s="68"/>
      <c r="AN466" s="66"/>
      <c r="AO466" s="66"/>
      <c r="AP466" s="68"/>
      <c r="AW466" s="66"/>
      <c r="AX466" s="68"/>
      <c r="BD466" s="66"/>
      <c r="BE466" s="68"/>
      <c r="BF466" s="66"/>
      <c r="BG466" s="66"/>
      <c r="BH466" s="66"/>
      <c r="BI466" s="66"/>
      <c r="BJ466" s="66"/>
      <c r="BK466" s="66"/>
      <c r="BL466" s="68"/>
      <c r="BO466" s="66"/>
      <c r="BP466" s="68"/>
      <c r="BV466" s="66"/>
      <c r="BW466" s="68"/>
      <c r="CB466" s="8"/>
      <c r="CH466" s="8"/>
      <c r="CK466" s="299"/>
      <c r="CL466" s="299"/>
      <c r="CM466" s="66"/>
      <c r="CN466" s="66"/>
      <c r="CO466" s="68"/>
      <c r="CR466" s="8"/>
      <c r="CX466" s="66"/>
      <c r="CY466" s="532"/>
      <c r="DE466" s="66"/>
      <c r="DF466" s="66"/>
      <c r="DG466" s="68"/>
      <c r="DH466" s="68"/>
      <c r="DK466" s="66"/>
      <c r="DL466" s="66"/>
      <c r="DM466" s="66"/>
      <c r="DN466" s="66"/>
      <c r="DO466" s="66"/>
      <c r="DP466" s="66"/>
      <c r="DQ466" s="66"/>
      <c r="DR466" s="66"/>
      <c r="DS466" s="66"/>
      <c r="DT466" s="68"/>
      <c r="DU466" s="66"/>
      <c r="DV466" s="296"/>
      <c r="DW466" s="330"/>
      <c r="DX466" s="631"/>
      <c r="DY466" s="631"/>
      <c r="DZ466" s="631"/>
      <c r="EA466" s="330"/>
      <c r="EC466" s="66"/>
      <c r="ED466" s="68"/>
      <c r="EH466" s="66"/>
      <c r="EI466" s="66"/>
      <c r="EJ466" s="68"/>
      <c r="EK466" s="252"/>
      <c r="EL466" s="252"/>
      <c r="EM466" s="252"/>
      <c r="EO466" s="252"/>
      <c r="EP466" s="252"/>
      <c r="EQ466" s="252"/>
      <c r="ES466" s="252"/>
      <c r="ET466" s="252"/>
      <c r="EU466" s="252"/>
      <c r="EW466" s="252"/>
      <c r="EX466" s="252"/>
      <c r="EY466" s="252"/>
      <c r="FA466" s="250"/>
      <c r="FB466" s="250"/>
      <c r="FC466" s="250"/>
      <c r="FD466" s="250"/>
      <c r="FE466" s="250"/>
      <c r="FF466" s="250"/>
      <c r="FG466" s="250"/>
      <c r="FH466" s="424"/>
      <c r="FI466" s="250"/>
      <c r="FJ466" s="250"/>
      <c r="FK466" s="250"/>
      <c r="FL466" s="256"/>
      <c r="FM466" s="250"/>
      <c r="FN466" s="256"/>
      <c r="FO466" s="250"/>
      <c r="FP466" s="256"/>
      <c r="FQ466" s="250"/>
      <c r="FR466" s="256"/>
      <c r="FS466" s="250"/>
      <c r="FT466" s="256"/>
      <c r="FU466" s="256"/>
      <c r="FV466" s="256"/>
      <c r="FW466" s="250"/>
      <c r="FX466" s="424"/>
      <c r="FY466" s="251"/>
      <c r="GC466" s="252"/>
      <c r="GF466" s="252"/>
      <c r="GG466" s="252"/>
      <c r="GH466" s="252"/>
      <c r="GI466" s="252"/>
      <c r="GJ466" s="252"/>
      <c r="GK466" s="251"/>
      <c r="GL466" s="250"/>
      <c r="GM466" s="250"/>
      <c r="GN466" s="250"/>
      <c r="GO466" s="250"/>
      <c r="GP466" s="250"/>
      <c r="GQ466" s="250"/>
      <c r="GR466" s="250"/>
      <c r="GS466" s="250"/>
      <c r="GT466" s="250"/>
      <c r="GU466" s="251"/>
      <c r="GV466" s="250"/>
      <c r="GW466" s="250"/>
      <c r="GX466" s="250"/>
      <c r="GY466" s="250"/>
      <c r="GZ466" s="250"/>
      <c r="HA466" s="250"/>
      <c r="HB466" s="250"/>
      <c r="HC466" s="250"/>
      <c r="HD466" s="250"/>
      <c r="HE466" s="250"/>
      <c r="HF466" s="250"/>
      <c r="HG466" s="250"/>
      <c r="HH466" s="251"/>
      <c r="HI466" s="424"/>
      <c r="HJ466" s="255"/>
      <c r="HK466" s="255"/>
      <c r="HL466" s="250"/>
      <c r="HM466" s="255"/>
      <c r="HN466" s="255"/>
      <c r="HO466" s="255"/>
      <c r="HP466" s="250"/>
      <c r="HQ466" s="250"/>
      <c r="HR466" s="250"/>
      <c r="HS466" s="250"/>
      <c r="HT466" s="250"/>
      <c r="HU466" s="251"/>
      <c r="HX466" s="252"/>
      <c r="HY466" s="252"/>
      <c r="HZ466" s="252"/>
      <c r="ID466" s="252"/>
      <c r="IE466" s="252"/>
      <c r="IF466" s="252"/>
      <c r="IJ466" s="252"/>
      <c r="IK466" s="252"/>
      <c r="IL466" s="252"/>
      <c r="IP466" s="252"/>
      <c r="IQ466" s="252"/>
      <c r="IR466" s="252"/>
      <c r="IY466" s="66"/>
      <c r="IZ466" s="66"/>
      <c r="JA466" s="66"/>
      <c r="JB466" s="250"/>
      <c r="JC466" s="66"/>
      <c r="JD466" s="66"/>
      <c r="JE466" s="66"/>
      <c r="JF466" s="66"/>
      <c r="JG466" s="66"/>
      <c r="JH466" s="66"/>
      <c r="JI466" s="66"/>
      <c r="JJ466" s="66"/>
      <c r="JK466" s="8"/>
      <c r="JN466" s="252"/>
      <c r="JO466" s="252"/>
      <c r="JP466" s="252"/>
      <c r="JT466" s="252"/>
      <c r="JU466" s="252"/>
      <c r="JV466" s="252"/>
      <c r="JZ466" s="252"/>
      <c r="KA466" s="252"/>
      <c r="KB466" s="252"/>
      <c r="KF466" s="252"/>
      <c r="KG466" s="252"/>
      <c r="KH466" s="252"/>
      <c r="KO466" s="66"/>
      <c r="KP466" s="66"/>
      <c r="KQ466" s="66"/>
      <c r="KR466" s="66"/>
      <c r="KS466" s="66"/>
      <c r="KT466" s="66"/>
      <c r="KU466" s="66"/>
      <c r="KV466" s="66"/>
      <c r="KW466" s="66"/>
      <c r="KX466" s="66"/>
      <c r="KY466" s="66"/>
      <c r="KZ466" s="66"/>
      <c r="LA466" s="8"/>
      <c r="LD466" s="252"/>
      <c r="LE466" s="252"/>
      <c r="LF466" s="252"/>
      <c r="LJ466" s="252"/>
      <c r="LK466" s="252"/>
      <c r="LN466" s="252"/>
      <c r="LO466" s="252"/>
      <c r="LP466" s="252"/>
      <c r="LT466" s="271"/>
      <c r="LU466" s="250"/>
      <c r="LV466" s="250"/>
      <c r="LW466" s="250"/>
      <c r="LX466" s="250"/>
      <c r="LY466" s="250"/>
      <c r="LZ466" s="250"/>
      <c r="MA466" s="250"/>
      <c r="MB466" s="250"/>
      <c r="MC466" s="250"/>
      <c r="MD466" s="250"/>
      <c r="ME466" s="250"/>
      <c r="MF466" s="250"/>
      <c r="MG466" s="250"/>
      <c r="MH466" s="250"/>
      <c r="MI466" s="250"/>
      <c r="MJ466" s="250"/>
      <c r="MK466" s="424"/>
      <c r="ML466" s="640"/>
      <c r="MM466" s="251"/>
      <c r="MN466" s="252"/>
      <c r="MO466" s="252"/>
      <c r="MP466" s="252"/>
      <c r="MQ466" s="252"/>
      <c r="MR466" s="252"/>
      <c r="MS466" s="252"/>
      <c r="MT466" s="252"/>
      <c r="MU466" s="252"/>
      <c r="MV466" s="252"/>
      <c r="MW466" s="252"/>
      <c r="MX466" s="252"/>
      <c r="MY466" s="252"/>
      <c r="MZ466" s="252"/>
      <c r="NA466" s="252"/>
      <c r="NB466" s="252"/>
      <c r="NC466" s="251"/>
      <c r="ND466" s="250"/>
      <c r="NE466" s="250"/>
      <c r="NF466" s="250"/>
      <c r="NG466" s="250"/>
      <c r="NH466" s="250"/>
      <c r="NI466" s="250"/>
      <c r="NJ466" s="250"/>
      <c r="NK466" s="250"/>
      <c r="NL466" s="250"/>
      <c r="NM466" s="250"/>
      <c r="NN466" s="250"/>
      <c r="NO466" s="250"/>
      <c r="NP466" s="250"/>
      <c r="NQ466" s="250"/>
      <c r="NR466" s="250"/>
      <c r="NS466" s="250"/>
      <c r="NT466" s="250"/>
      <c r="NU466" s="250"/>
      <c r="NV466" s="250"/>
      <c r="NW466" s="251"/>
      <c r="OT466" s="8"/>
      <c r="QG466" s="8"/>
      <c r="RT466" s="8"/>
    </row>
    <row r="467" spans="1:488" s="282" customFormat="1" x14ac:dyDescent="0.25">
      <c r="A467" s="66"/>
      <c r="B467" s="8"/>
      <c r="C467" s="66"/>
      <c r="D467" s="66"/>
      <c r="E467" s="66"/>
      <c r="F467" s="66"/>
      <c r="G467" s="66"/>
      <c r="H467" s="66"/>
      <c r="I467" s="66"/>
      <c r="J467" s="66"/>
      <c r="K467" s="66"/>
      <c r="L467" s="66"/>
      <c r="M467" s="66"/>
      <c r="N467" s="66"/>
      <c r="O467" s="66"/>
      <c r="P467" s="66"/>
      <c r="Q467" s="66"/>
      <c r="R467" s="66"/>
      <c r="S467" s="66"/>
      <c r="T467" s="68"/>
      <c r="AC467" s="66"/>
      <c r="AD467" s="66"/>
      <c r="AE467" s="68"/>
      <c r="AN467" s="66"/>
      <c r="AO467" s="66"/>
      <c r="AP467" s="68"/>
      <c r="AW467" s="66"/>
      <c r="AX467" s="68"/>
      <c r="BD467" s="66"/>
      <c r="BE467" s="68"/>
      <c r="BF467" s="66"/>
      <c r="BG467" s="66"/>
      <c r="BH467" s="66"/>
      <c r="BI467" s="66"/>
      <c r="BJ467" s="66"/>
      <c r="BK467" s="66"/>
      <c r="BL467" s="68"/>
      <c r="BO467" s="66"/>
      <c r="BP467" s="68"/>
      <c r="BV467" s="66"/>
      <c r="BW467" s="68"/>
      <c r="CB467" s="8"/>
      <c r="CH467" s="8"/>
      <c r="CK467" s="299"/>
      <c r="CL467" s="299"/>
      <c r="CM467" s="66"/>
      <c r="CN467" s="66"/>
      <c r="CO467" s="68"/>
      <c r="CR467" s="8"/>
      <c r="CX467" s="66"/>
      <c r="CY467" s="532"/>
      <c r="DE467" s="66"/>
      <c r="DF467" s="66"/>
      <c r="DG467" s="68"/>
      <c r="DH467" s="68"/>
      <c r="DK467" s="66"/>
      <c r="DL467" s="66"/>
      <c r="DM467" s="66"/>
      <c r="DN467" s="66"/>
      <c r="DO467" s="66"/>
      <c r="DP467" s="66"/>
      <c r="DQ467" s="66"/>
      <c r="DR467" s="66"/>
      <c r="DS467" s="66"/>
      <c r="DT467" s="68"/>
      <c r="DU467" s="66"/>
      <c r="DV467" s="296"/>
      <c r="DW467" s="330"/>
      <c r="DX467" s="631"/>
      <c r="DY467" s="631"/>
      <c r="DZ467" s="631"/>
      <c r="EA467" s="330"/>
      <c r="EC467" s="66"/>
      <c r="ED467" s="68"/>
      <c r="EH467" s="66"/>
      <c r="EI467" s="66"/>
      <c r="EJ467" s="68"/>
      <c r="EK467" s="252"/>
      <c r="EL467" s="252"/>
      <c r="EM467" s="252"/>
      <c r="EO467" s="252"/>
      <c r="EP467" s="252"/>
      <c r="EQ467" s="252"/>
      <c r="ES467" s="252"/>
      <c r="ET467" s="252"/>
      <c r="EU467" s="252"/>
      <c r="EW467" s="252"/>
      <c r="EX467" s="252"/>
      <c r="EY467" s="252"/>
      <c r="FA467" s="250"/>
      <c r="FB467" s="250"/>
      <c r="FC467" s="250"/>
      <c r="FD467" s="250"/>
      <c r="FE467" s="250"/>
      <c r="FF467" s="250"/>
      <c r="FG467" s="250"/>
      <c r="FH467" s="424"/>
      <c r="FI467" s="250"/>
      <c r="FJ467" s="250"/>
      <c r="FK467" s="250"/>
      <c r="FL467" s="256"/>
      <c r="FM467" s="250"/>
      <c r="FN467" s="256"/>
      <c r="FO467" s="250"/>
      <c r="FP467" s="256"/>
      <c r="FQ467" s="250"/>
      <c r="FR467" s="256"/>
      <c r="FS467" s="250"/>
      <c r="FT467" s="256"/>
      <c r="FU467" s="256"/>
      <c r="FV467" s="256"/>
      <c r="FW467" s="250"/>
      <c r="FX467" s="424"/>
      <c r="FY467" s="251"/>
      <c r="GC467" s="252"/>
      <c r="GF467" s="252"/>
      <c r="GG467" s="252"/>
      <c r="GH467" s="252"/>
      <c r="GI467" s="252"/>
      <c r="GJ467" s="252"/>
      <c r="GK467" s="251"/>
      <c r="GL467" s="250"/>
      <c r="GM467" s="250"/>
      <c r="GN467" s="250"/>
      <c r="GO467" s="250"/>
      <c r="GP467" s="250"/>
      <c r="GQ467" s="250"/>
      <c r="GR467" s="250"/>
      <c r="GS467" s="250"/>
      <c r="GT467" s="250"/>
      <c r="GU467" s="251"/>
      <c r="GV467" s="250"/>
      <c r="GW467" s="250"/>
      <c r="GX467" s="250"/>
      <c r="GY467" s="250"/>
      <c r="GZ467" s="250"/>
      <c r="HA467" s="250"/>
      <c r="HB467" s="250"/>
      <c r="HC467" s="250"/>
      <c r="HD467" s="250"/>
      <c r="HE467" s="250"/>
      <c r="HF467" s="250"/>
      <c r="HG467" s="250"/>
      <c r="HH467" s="251"/>
      <c r="HI467" s="424"/>
      <c r="HJ467" s="255"/>
      <c r="HK467" s="255"/>
      <c r="HL467" s="250"/>
      <c r="HM467" s="255"/>
      <c r="HN467" s="255"/>
      <c r="HO467" s="255"/>
      <c r="HP467" s="250"/>
      <c r="HQ467" s="250"/>
      <c r="HR467" s="250"/>
      <c r="HS467" s="250"/>
      <c r="HT467" s="250"/>
      <c r="HU467" s="251"/>
      <c r="HX467" s="252"/>
      <c r="HY467" s="252"/>
      <c r="HZ467" s="252"/>
      <c r="ID467" s="252"/>
      <c r="IE467" s="252"/>
      <c r="IF467" s="252"/>
      <c r="IJ467" s="252"/>
      <c r="IK467" s="252"/>
      <c r="IL467" s="252"/>
      <c r="IP467" s="252"/>
      <c r="IQ467" s="252"/>
      <c r="IR467" s="252"/>
      <c r="IY467" s="66"/>
      <c r="IZ467" s="66"/>
      <c r="JA467" s="66"/>
      <c r="JB467" s="250"/>
      <c r="JC467" s="66"/>
      <c r="JD467" s="66"/>
      <c r="JE467" s="66"/>
      <c r="JF467" s="66"/>
      <c r="JG467" s="66"/>
      <c r="JH467" s="66"/>
      <c r="JI467" s="66"/>
      <c r="JJ467" s="66"/>
      <c r="JK467" s="8"/>
      <c r="JN467" s="252"/>
      <c r="JO467" s="252"/>
      <c r="JP467" s="252"/>
      <c r="JT467" s="252"/>
      <c r="JU467" s="252"/>
      <c r="JV467" s="252"/>
      <c r="JZ467" s="252"/>
      <c r="KA467" s="252"/>
      <c r="KB467" s="252"/>
      <c r="KF467" s="252"/>
      <c r="KG467" s="252"/>
      <c r="KH467" s="252"/>
      <c r="KO467" s="66"/>
      <c r="KP467" s="66"/>
      <c r="KQ467" s="66"/>
      <c r="KR467" s="66"/>
      <c r="KS467" s="66"/>
      <c r="KT467" s="66"/>
      <c r="KU467" s="66"/>
      <c r="KV467" s="66"/>
      <c r="KW467" s="66"/>
      <c r="KX467" s="66"/>
      <c r="KY467" s="66"/>
      <c r="KZ467" s="66"/>
      <c r="LA467" s="8"/>
      <c r="LD467" s="252"/>
      <c r="LE467" s="252"/>
      <c r="LF467" s="252"/>
      <c r="LJ467" s="252"/>
      <c r="LK467" s="252"/>
      <c r="LN467" s="252"/>
      <c r="LO467" s="252"/>
      <c r="LP467" s="252"/>
      <c r="LT467" s="271"/>
      <c r="LU467" s="250"/>
      <c r="LV467" s="250"/>
      <c r="LW467" s="250"/>
      <c r="LX467" s="250"/>
      <c r="LY467" s="250"/>
      <c r="LZ467" s="250"/>
      <c r="MA467" s="250"/>
      <c r="MB467" s="250"/>
      <c r="MC467" s="250"/>
      <c r="MD467" s="250"/>
      <c r="ME467" s="250"/>
      <c r="MF467" s="250"/>
      <c r="MG467" s="250"/>
      <c r="MH467" s="250"/>
      <c r="MI467" s="250"/>
      <c r="MJ467" s="250"/>
      <c r="MK467" s="424"/>
      <c r="ML467" s="640"/>
      <c r="MM467" s="251"/>
      <c r="MN467" s="252"/>
      <c r="MO467" s="252"/>
      <c r="MP467" s="252"/>
      <c r="MQ467" s="252"/>
      <c r="MR467" s="252"/>
      <c r="MS467" s="252"/>
      <c r="MT467" s="252"/>
      <c r="MU467" s="252"/>
      <c r="MV467" s="252"/>
      <c r="MW467" s="252"/>
      <c r="MX467" s="252"/>
      <c r="MY467" s="252"/>
      <c r="MZ467" s="252"/>
      <c r="NA467" s="252"/>
      <c r="NB467" s="252"/>
      <c r="NC467" s="251"/>
      <c r="ND467" s="250"/>
      <c r="NE467" s="250"/>
      <c r="NF467" s="250"/>
      <c r="NG467" s="250"/>
      <c r="NH467" s="250"/>
      <c r="NI467" s="250"/>
      <c r="NJ467" s="250"/>
      <c r="NK467" s="250"/>
      <c r="NL467" s="250"/>
      <c r="NM467" s="250"/>
      <c r="NN467" s="250"/>
      <c r="NO467" s="250"/>
      <c r="NP467" s="250"/>
      <c r="NQ467" s="250"/>
      <c r="NR467" s="250"/>
      <c r="NS467" s="250"/>
      <c r="NT467" s="250"/>
      <c r="NU467" s="250"/>
      <c r="NV467" s="250"/>
      <c r="NW467" s="251"/>
      <c r="OT467" s="8"/>
      <c r="QG467" s="8"/>
      <c r="RT467" s="8"/>
    </row>
    <row r="468" spans="1:488" s="282" customFormat="1" x14ac:dyDescent="0.25">
      <c r="A468" s="66"/>
      <c r="B468" s="8"/>
      <c r="C468" s="66"/>
      <c r="D468" s="66"/>
      <c r="E468" s="66"/>
      <c r="F468" s="66"/>
      <c r="G468" s="66"/>
      <c r="H468" s="66"/>
      <c r="I468" s="66"/>
      <c r="J468" s="66"/>
      <c r="K468" s="66"/>
      <c r="L468" s="66"/>
      <c r="M468" s="66"/>
      <c r="N468" s="66"/>
      <c r="O468" s="66"/>
      <c r="P468" s="66"/>
      <c r="Q468" s="66"/>
      <c r="R468" s="66"/>
      <c r="S468" s="66"/>
      <c r="T468" s="68"/>
      <c r="AC468" s="66"/>
      <c r="AD468" s="66"/>
      <c r="AE468" s="68"/>
      <c r="AN468" s="66"/>
      <c r="AO468" s="66"/>
      <c r="AP468" s="68"/>
      <c r="AW468" s="66"/>
      <c r="AX468" s="68"/>
      <c r="BD468" s="66"/>
      <c r="BE468" s="68"/>
      <c r="BF468" s="66"/>
      <c r="BG468" s="66"/>
      <c r="BH468" s="66"/>
      <c r="BI468" s="66"/>
      <c r="BJ468" s="66"/>
      <c r="BK468" s="66"/>
      <c r="BL468" s="68"/>
      <c r="BO468" s="66"/>
      <c r="BP468" s="68"/>
      <c r="BV468" s="66"/>
      <c r="BW468" s="68"/>
      <c r="CB468" s="8"/>
      <c r="CH468" s="8"/>
      <c r="CK468" s="299"/>
      <c r="CL468" s="299"/>
      <c r="CM468" s="66"/>
      <c r="CN468" s="66"/>
      <c r="CO468" s="68"/>
      <c r="CR468" s="8"/>
      <c r="CX468" s="66"/>
      <c r="CY468" s="532"/>
      <c r="DE468" s="66"/>
      <c r="DF468" s="66"/>
      <c r="DG468" s="68"/>
      <c r="DH468" s="68"/>
      <c r="DK468" s="66"/>
      <c r="DL468" s="66"/>
      <c r="DM468" s="66"/>
      <c r="DN468" s="66"/>
      <c r="DO468" s="66"/>
      <c r="DP468" s="66"/>
      <c r="DQ468" s="66"/>
      <c r="DR468" s="66"/>
      <c r="DS468" s="66"/>
      <c r="DT468" s="68"/>
      <c r="DU468" s="66"/>
      <c r="DV468" s="296"/>
      <c r="DW468" s="330"/>
      <c r="DX468" s="631"/>
      <c r="DY468" s="631"/>
      <c r="DZ468" s="631"/>
      <c r="EA468" s="330"/>
      <c r="EC468" s="66"/>
      <c r="ED468" s="68"/>
      <c r="EH468" s="66"/>
      <c r="EI468" s="66"/>
      <c r="EJ468" s="68"/>
      <c r="EK468" s="252"/>
      <c r="EL468" s="252"/>
      <c r="EM468" s="252"/>
      <c r="EO468" s="252"/>
      <c r="EP468" s="252"/>
      <c r="EQ468" s="252"/>
      <c r="ES468" s="252"/>
      <c r="ET468" s="252"/>
      <c r="EU468" s="252"/>
      <c r="EW468" s="252"/>
      <c r="EX468" s="252"/>
      <c r="EY468" s="252"/>
      <c r="FA468" s="250"/>
      <c r="FB468" s="250"/>
      <c r="FC468" s="250"/>
      <c r="FD468" s="250"/>
      <c r="FE468" s="250"/>
      <c r="FF468" s="250"/>
      <c r="FG468" s="250"/>
      <c r="FH468" s="424"/>
      <c r="FI468" s="250"/>
      <c r="FJ468" s="250"/>
      <c r="FK468" s="250"/>
      <c r="FL468" s="256"/>
      <c r="FM468" s="250"/>
      <c r="FN468" s="256"/>
      <c r="FO468" s="250"/>
      <c r="FP468" s="256"/>
      <c r="FQ468" s="250"/>
      <c r="FR468" s="256"/>
      <c r="FS468" s="250"/>
      <c r="FT468" s="256"/>
      <c r="FU468" s="256"/>
      <c r="FV468" s="256"/>
      <c r="FW468" s="250"/>
      <c r="FX468" s="424"/>
      <c r="FY468" s="251"/>
      <c r="GC468" s="252"/>
      <c r="GF468" s="252"/>
      <c r="GG468" s="252"/>
      <c r="GH468" s="252"/>
      <c r="GI468" s="252"/>
      <c r="GJ468" s="252"/>
      <c r="GK468" s="251"/>
      <c r="GL468" s="250"/>
      <c r="GM468" s="250"/>
      <c r="GN468" s="250"/>
      <c r="GO468" s="250"/>
      <c r="GP468" s="250"/>
      <c r="GQ468" s="250"/>
      <c r="GR468" s="250"/>
      <c r="GS468" s="250"/>
      <c r="GT468" s="250"/>
      <c r="GU468" s="251"/>
      <c r="GV468" s="250"/>
      <c r="GW468" s="250"/>
      <c r="GX468" s="250"/>
      <c r="GY468" s="250"/>
      <c r="GZ468" s="250"/>
      <c r="HA468" s="250"/>
      <c r="HB468" s="250"/>
      <c r="HC468" s="250"/>
      <c r="HD468" s="250"/>
      <c r="HE468" s="250"/>
      <c r="HF468" s="250"/>
      <c r="HG468" s="250"/>
      <c r="HH468" s="251"/>
      <c r="HI468" s="424"/>
      <c r="HJ468" s="255"/>
      <c r="HK468" s="255"/>
      <c r="HL468" s="250"/>
      <c r="HM468" s="255"/>
      <c r="HN468" s="255"/>
      <c r="HO468" s="255"/>
      <c r="HP468" s="250"/>
      <c r="HQ468" s="250"/>
      <c r="HR468" s="250"/>
      <c r="HS468" s="250"/>
      <c r="HT468" s="250"/>
      <c r="HU468" s="251"/>
      <c r="HX468" s="252"/>
      <c r="HY468" s="252"/>
      <c r="HZ468" s="252"/>
      <c r="ID468" s="252"/>
      <c r="IE468" s="252"/>
      <c r="IF468" s="252"/>
      <c r="IJ468" s="252"/>
      <c r="IK468" s="252"/>
      <c r="IL468" s="252"/>
      <c r="IP468" s="252"/>
      <c r="IQ468" s="252"/>
      <c r="IR468" s="252"/>
      <c r="IY468" s="66"/>
      <c r="IZ468" s="66"/>
      <c r="JA468" s="66"/>
      <c r="JB468" s="250"/>
      <c r="JC468" s="66"/>
      <c r="JD468" s="66"/>
      <c r="JE468" s="66"/>
      <c r="JF468" s="66"/>
      <c r="JG468" s="66"/>
      <c r="JH468" s="66"/>
      <c r="JI468" s="66"/>
      <c r="JJ468" s="66"/>
      <c r="JK468" s="8"/>
      <c r="JN468" s="252"/>
      <c r="JO468" s="252"/>
      <c r="JP468" s="252"/>
      <c r="JT468" s="252"/>
      <c r="JU468" s="252"/>
      <c r="JV468" s="252"/>
      <c r="JZ468" s="252"/>
      <c r="KA468" s="252"/>
      <c r="KB468" s="252"/>
      <c r="KF468" s="252"/>
      <c r="KG468" s="252"/>
      <c r="KH468" s="252"/>
      <c r="KO468" s="66"/>
      <c r="KP468" s="66"/>
      <c r="KQ468" s="66"/>
      <c r="KR468" s="66"/>
      <c r="KS468" s="66"/>
      <c r="KT468" s="66"/>
      <c r="KU468" s="66"/>
      <c r="KV468" s="66"/>
      <c r="KW468" s="66"/>
      <c r="KX468" s="66"/>
      <c r="KY468" s="66"/>
      <c r="KZ468" s="66"/>
      <c r="LA468" s="8"/>
      <c r="LD468" s="252"/>
      <c r="LE468" s="252"/>
      <c r="LF468" s="252"/>
      <c r="LJ468" s="252"/>
      <c r="LK468" s="252"/>
      <c r="LN468" s="252"/>
      <c r="LO468" s="252"/>
      <c r="LP468" s="252"/>
      <c r="LT468" s="271"/>
      <c r="LU468" s="250"/>
      <c r="LV468" s="250"/>
      <c r="LW468" s="250"/>
      <c r="LX468" s="250"/>
      <c r="LY468" s="250"/>
      <c r="LZ468" s="250"/>
      <c r="MA468" s="250"/>
      <c r="MB468" s="250"/>
      <c r="MC468" s="250"/>
      <c r="MD468" s="250"/>
      <c r="ME468" s="250"/>
      <c r="MF468" s="250"/>
      <c r="MG468" s="250"/>
      <c r="MH468" s="250"/>
      <c r="MI468" s="250"/>
      <c r="MJ468" s="250"/>
      <c r="MK468" s="424"/>
      <c r="ML468" s="640"/>
      <c r="MM468" s="251"/>
      <c r="MN468" s="252"/>
      <c r="MO468" s="252"/>
      <c r="MP468" s="252"/>
      <c r="MQ468" s="252"/>
      <c r="MR468" s="252"/>
      <c r="MS468" s="252"/>
      <c r="MT468" s="252"/>
      <c r="MU468" s="252"/>
      <c r="MV468" s="252"/>
      <c r="MW468" s="252"/>
      <c r="MX468" s="252"/>
      <c r="MY468" s="252"/>
      <c r="MZ468" s="252"/>
      <c r="NA468" s="252"/>
      <c r="NB468" s="252"/>
      <c r="NC468" s="251"/>
      <c r="ND468" s="250"/>
      <c r="NE468" s="250"/>
      <c r="NF468" s="250"/>
      <c r="NG468" s="250"/>
      <c r="NH468" s="250"/>
      <c r="NI468" s="250"/>
      <c r="NJ468" s="250"/>
      <c r="NK468" s="250"/>
      <c r="NL468" s="250"/>
      <c r="NM468" s="250"/>
      <c r="NN468" s="250"/>
      <c r="NO468" s="250"/>
      <c r="NP468" s="250"/>
      <c r="NQ468" s="250"/>
      <c r="NR468" s="250"/>
      <c r="NS468" s="250"/>
      <c r="NT468" s="250"/>
      <c r="NU468" s="250"/>
      <c r="NV468" s="250"/>
      <c r="NW468" s="251"/>
      <c r="OT468" s="8"/>
      <c r="QG468" s="8"/>
      <c r="RT468" s="8"/>
    </row>
    <row r="469" spans="1:488" s="282" customFormat="1" x14ac:dyDescent="0.25">
      <c r="A469" s="66"/>
      <c r="B469" s="8"/>
      <c r="C469" s="66"/>
      <c r="D469" s="66"/>
      <c r="E469" s="66"/>
      <c r="F469" s="66"/>
      <c r="G469" s="66"/>
      <c r="H469" s="66"/>
      <c r="I469" s="66"/>
      <c r="J469" s="66"/>
      <c r="K469" s="66"/>
      <c r="L469" s="66"/>
      <c r="M469" s="66"/>
      <c r="N469" s="66"/>
      <c r="O469" s="66"/>
      <c r="P469" s="66"/>
      <c r="Q469" s="66"/>
      <c r="R469" s="66"/>
      <c r="S469" s="66"/>
      <c r="T469" s="68"/>
      <c r="AC469" s="66"/>
      <c r="AD469" s="66"/>
      <c r="AE469" s="68"/>
      <c r="AN469" s="66"/>
      <c r="AO469" s="66"/>
      <c r="AP469" s="68"/>
      <c r="AW469" s="66"/>
      <c r="AX469" s="68"/>
      <c r="BD469" s="66"/>
      <c r="BE469" s="68"/>
      <c r="BF469" s="66"/>
      <c r="BG469" s="66"/>
      <c r="BH469" s="66"/>
      <c r="BI469" s="66"/>
      <c r="BJ469" s="66"/>
      <c r="BK469" s="66"/>
      <c r="BL469" s="68"/>
      <c r="BO469" s="66"/>
      <c r="BP469" s="68"/>
      <c r="BV469" s="66"/>
      <c r="BW469" s="68"/>
      <c r="CB469" s="8"/>
      <c r="CH469" s="8"/>
      <c r="CK469" s="299"/>
      <c r="CL469" s="299"/>
      <c r="CM469" s="66"/>
      <c r="CN469" s="66"/>
      <c r="CO469" s="68"/>
      <c r="CR469" s="8"/>
      <c r="CX469" s="66"/>
      <c r="CY469" s="532"/>
      <c r="DE469" s="66"/>
      <c r="DF469" s="66"/>
      <c r="DG469" s="68"/>
      <c r="DH469" s="68"/>
      <c r="DK469" s="66"/>
      <c r="DL469" s="66"/>
      <c r="DM469" s="66"/>
      <c r="DN469" s="66"/>
      <c r="DO469" s="66"/>
      <c r="DP469" s="66"/>
      <c r="DQ469" s="66"/>
      <c r="DR469" s="66"/>
      <c r="DS469" s="66"/>
      <c r="DT469" s="68"/>
      <c r="DU469" s="66"/>
      <c r="DV469" s="296"/>
      <c r="DW469" s="330"/>
      <c r="DX469" s="631"/>
      <c r="DY469" s="631"/>
      <c r="DZ469" s="631"/>
      <c r="EA469" s="330"/>
      <c r="EC469" s="66"/>
      <c r="ED469" s="68"/>
      <c r="EH469" s="66"/>
      <c r="EI469" s="66"/>
      <c r="EJ469" s="68"/>
      <c r="EK469" s="252"/>
      <c r="EL469" s="252"/>
      <c r="EM469" s="252"/>
      <c r="EO469" s="252"/>
      <c r="EP469" s="252"/>
      <c r="EQ469" s="252"/>
      <c r="ES469" s="252"/>
      <c r="ET469" s="252"/>
      <c r="EU469" s="252"/>
      <c r="EW469" s="252"/>
      <c r="EX469" s="252"/>
      <c r="EY469" s="252"/>
      <c r="FA469" s="250"/>
      <c r="FB469" s="250"/>
      <c r="FC469" s="250"/>
      <c r="FD469" s="250"/>
      <c r="FE469" s="250"/>
      <c r="FF469" s="250"/>
      <c r="FG469" s="250"/>
      <c r="FH469" s="424"/>
      <c r="FI469" s="250"/>
      <c r="FJ469" s="250"/>
      <c r="FK469" s="250"/>
      <c r="FL469" s="256"/>
      <c r="FM469" s="250"/>
      <c r="FN469" s="256"/>
      <c r="FO469" s="250"/>
      <c r="FP469" s="256"/>
      <c r="FQ469" s="250"/>
      <c r="FR469" s="256"/>
      <c r="FS469" s="250"/>
      <c r="FT469" s="256"/>
      <c r="FU469" s="256"/>
      <c r="FV469" s="256"/>
      <c r="FW469" s="250"/>
      <c r="FX469" s="424"/>
      <c r="FY469" s="251"/>
      <c r="GC469" s="252"/>
      <c r="GF469" s="252"/>
      <c r="GG469" s="252"/>
      <c r="GH469" s="252"/>
      <c r="GI469" s="252"/>
      <c r="GJ469" s="252"/>
      <c r="GK469" s="251"/>
      <c r="GL469" s="250"/>
      <c r="GM469" s="250"/>
      <c r="GN469" s="250"/>
      <c r="GO469" s="250"/>
      <c r="GP469" s="250"/>
      <c r="GQ469" s="250"/>
      <c r="GR469" s="250"/>
      <c r="GS469" s="250"/>
      <c r="GT469" s="250"/>
      <c r="GU469" s="251"/>
      <c r="GV469" s="250"/>
      <c r="GW469" s="250"/>
      <c r="GX469" s="250"/>
      <c r="GY469" s="250"/>
      <c r="GZ469" s="250"/>
      <c r="HA469" s="250"/>
      <c r="HB469" s="250"/>
      <c r="HC469" s="250"/>
      <c r="HD469" s="250"/>
      <c r="HE469" s="250"/>
      <c r="HF469" s="250"/>
      <c r="HG469" s="250"/>
      <c r="HH469" s="251"/>
      <c r="HI469" s="424"/>
      <c r="HJ469" s="255"/>
      <c r="HK469" s="255"/>
      <c r="HL469" s="250"/>
      <c r="HM469" s="255"/>
      <c r="HN469" s="255"/>
      <c r="HO469" s="255"/>
      <c r="HP469" s="250"/>
      <c r="HQ469" s="250"/>
      <c r="HR469" s="250"/>
      <c r="HS469" s="250"/>
      <c r="HT469" s="250"/>
      <c r="HU469" s="251"/>
      <c r="HX469" s="252"/>
      <c r="HY469" s="252"/>
      <c r="HZ469" s="252"/>
      <c r="ID469" s="252"/>
      <c r="IE469" s="252"/>
      <c r="IF469" s="252"/>
      <c r="IJ469" s="252"/>
      <c r="IK469" s="252"/>
      <c r="IL469" s="252"/>
      <c r="IP469" s="252"/>
      <c r="IQ469" s="252"/>
      <c r="IR469" s="252"/>
      <c r="IY469" s="66"/>
      <c r="IZ469" s="66"/>
      <c r="JA469" s="66"/>
      <c r="JB469" s="250"/>
      <c r="JC469" s="66"/>
      <c r="JD469" s="66"/>
      <c r="JE469" s="66"/>
      <c r="JF469" s="66"/>
      <c r="JG469" s="66"/>
      <c r="JH469" s="66"/>
      <c r="JI469" s="66"/>
      <c r="JJ469" s="66"/>
      <c r="JK469" s="8"/>
      <c r="JN469" s="252"/>
      <c r="JO469" s="252"/>
      <c r="JP469" s="252"/>
      <c r="JT469" s="252"/>
      <c r="JU469" s="252"/>
      <c r="JV469" s="252"/>
      <c r="JZ469" s="252"/>
      <c r="KA469" s="252"/>
      <c r="KB469" s="252"/>
      <c r="KF469" s="252"/>
      <c r="KG469" s="252"/>
      <c r="KH469" s="252"/>
      <c r="KO469" s="66"/>
      <c r="KP469" s="66"/>
      <c r="KQ469" s="66"/>
      <c r="KR469" s="66"/>
      <c r="KS469" s="66"/>
      <c r="KT469" s="66"/>
      <c r="KU469" s="66"/>
      <c r="KV469" s="66"/>
      <c r="KW469" s="66"/>
      <c r="KX469" s="66"/>
      <c r="KY469" s="66"/>
      <c r="KZ469" s="66"/>
      <c r="LA469" s="8"/>
      <c r="LD469" s="252"/>
      <c r="LE469" s="252"/>
      <c r="LF469" s="252"/>
      <c r="LJ469" s="252"/>
      <c r="LK469" s="252"/>
      <c r="LN469" s="252"/>
      <c r="LO469" s="252"/>
      <c r="LP469" s="252"/>
      <c r="LT469" s="271"/>
      <c r="LU469" s="250"/>
      <c r="LV469" s="250"/>
      <c r="LW469" s="250"/>
      <c r="LX469" s="250"/>
      <c r="LY469" s="250"/>
      <c r="LZ469" s="250"/>
      <c r="MA469" s="250"/>
      <c r="MB469" s="250"/>
      <c r="MC469" s="250"/>
      <c r="MD469" s="250"/>
      <c r="ME469" s="250"/>
      <c r="MF469" s="250"/>
      <c r="MG469" s="250"/>
      <c r="MH469" s="250"/>
      <c r="MI469" s="250"/>
      <c r="MJ469" s="250"/>
      <c r="MK469" s="424"/>
      <c r="ML469" s="640"/>
      <c r="MM469" s="251"/>
      <c r="MN469" s="252"/>
      <c r="MO469" s="252"/>
      <c r="MP469" s="252"/>
      <c r="MQ469" s="252"/>
      <c r="MR469" s="252"/>
      <c r="MS469" s="252"/>
      <c r="MT469" s="252"/>
      <c r="MU469" s="252"/>
      <c r="MV469" s="252"/>
      <c r="MW469" s="252"/>
      <c r="MX469" s="252"/>
      <c r="MY469" s="252"/>
      <c r="MZ469" s="252"/>
      <c r="NA469" s="252"/>
      <c r="NB469" s="252"/>
      <c r="NC469" s="251"/>
      <c r="ND469" s="250"/>
      <c r="NE469" s="250"/>
      <c r="NF469" s="250"/>
      <c r="NG469" s="250"/>
      <c r="NH469" s="250"/>
      <c r="NI469" s="250"/>
      <c r="NJ469" s="250"/>
      <c r="NK469" s="250"/>
      <c r="NL469" s="250"/>
      <c r="NM469" s="250"/>
      <c r="NN469" s="250"/>
      <c r="NO469" s="250"/>
      <c r="NP469" s="250"/>
      <c r="NQ469" s="250"/>
      <c r="NR469" s="250"/>
      <c r="NS469" s="250"/>
      <c r="NT469" s="250"/>
      <c r="NU469" s="250"/>
      <c r="NV469" s="250"/>
      <c r="NW469" s="251"/>
      <c r="OT469" s="8"/>
      <c r="QG469" s="8"/>
      <c r="RT469" s="8"/>
    </row>
    <row r="470" spans="1:488" s="282" customFormat="1" x14ac:dyDescent="0.25">
      <c r="A470" s="66"/>
      <c r="B470" s="8"/>
      <c r="C470" s="66"/>
      <c r="D470" s="66"/>
      <c r="E470" s="66"/>
      <c r="F470" s="66"/>
      <c r="G470" s="66"/>
      <c r="H470" s="66"/>
      <c r="I470" s="66"/>
      <c r="J470" s="66"/>
      <c r="K470" s="66"/>
      <c r="L470" s="66"/>
      <c r="M470" s="66"/>
      <c r="N470" s="66"/>
      <c r="O470" s="66"/>
      <c r="P470" s="66"/>
      <c r="Q470" s="66"/>
      <c r="R470" s="66"/>
      <c r="S470" s="66"/>
      <c r="T470" s="68"/>
      <c r="AC470" s="66"/>
      <c r="AD470" s="66"/>
      <c r="AE470" s="68"/>
      <c r="AN470" s="66"/>
      <c r="AO470" s="66"/>
      <c r="AP470" s="68"/>
      <c r="AW470" s="66"/>
      <c r="AX470" s="68"/>
      <c r="BD470" s="66"/>
      <c r="BE470" s="68"/>
      <c r="BF470" s="66"/>
      <c r="BG470" s="66"/>
      <c r="BH470" s="66"/>
      <c r="BI470" s="66"/>
      <c r="BJ470" s="66"/>
      <c r="BK470" s="66"/>
      <c r="BL470" s="68"/>
      <c r="BO470" s="66"/>
      <c r="BP470" s="68"/>
      <c r="BV470" s="66"/>
      <c r="BW470" s="68"/>
      <c r="CB470" s="8"/>
      <c r="CH470" s="8"/>
      <c r="CK470" s="299"/>
      <c r="CL470" s="299"/>
      <c r="CM470" s="66"/>
      <c r="CN470" s="66"/>
      <c r="CO470" s="68"/>
      <c r="CR470" s="8"/>
      <c r="CX470" s="66"/>
      <c r="CY470" s="532"/>
      <c r="DE470" s="66"/>
      <c r="DF470" s="66"/>
      <c r="DG470" s="68"/>
      <c r="DH470" s="68"/>
      <c r="DK470" s="66"/>
      <c r="DL470" s="66"/>
      <c r="DM470" s="66"/>
      <c r="DN470" s="66"/>
      <c r="DO470" s="66"/>
      <c r="DP470" s="66"/>
      <c r="DQ470" s="66"/>
      <c r="DR470" s="66"/>
      <c r="DS470" s="66"/>
      <c r="DT470" s="68"/>
      <c r="DU470" s="66"/>
      <c r="DV470" s="296"/>
      <c r="DW470" s="330"/>
      <c r="DX470" s="631"/>
      <c r="DY470" s="631"/>
      <c r="DZ470" s="631"/>
      <c r="EA470" s="330"/>
      <c r="EC470" s="66"/>
      <c r="ED470" s="68"/>
      <c r="EH470" s="66"/>
      <c r="EI470" s="66"/>
      <c r="EJ470" s="68"/>
      <c r="EK470" s="252"/>
      <c r="EL470" s="252"/>
      <c r="EM470" s="252"/>
      <c r="EO470" s="252"/>
      <c r="EP470" s="252"/>
      <c r="EQ470" s="252"/>
      <c r="ES470" s="252"/>
      <c r="ET470" s="252"/>
      <c r="EU470" s="252"/>
      <c r="EW470" s="252"/>
      <c r="EX470" s="252"/>
      <c r="EY470" s="252"/>
      <c r="FA470" s="250"/>
      <c r="FB470" s="250"/>
      <c r="FC470" s="250"/>
      <c r="FD470" s="250"/>
      <c r="FE470" s="250"/>
      <c r="FF470" s="250"/>
      <c r="FG470" s="250"/>
      <c r="FH470" s="424"/>
      <c r="FI470" s="250"/>
      <c r="FJ470" s="250"/>
      <c r="FK470" s="250"/>
      <c r="FL470" s="256"/>
      <c r="FM470" s="250"/>
      <c r="FN470" s="256"/>
      <c r="FO470" s="250"/>
      <c r="FP470" s="256"/>
      <c r="FQ470" s="250"/>
      <c r="FR470" s="256"/>
      <c r="FS470" s="250"/>
      <c r="FT470" s="256"/>
      <c r="FU470" s="256"/>
      <c r="FV470" s="256"/>
      <c r="FW470" s="250"/>
      <c r="FX470" s="424"/>
      <c r="FY470" s="251"/>
      <c r="GC470" s="252"/>
      <c r="GF470" s="252"/>
      <c r="GG470" s="252"/>
      <c r="GH470" s="252"/>
      <c r="GI470" s="252"/>
      <c r="GJ470" s="252"/>
      <c r="GK470" s="251"/>
      <c r="GL470" s="250"/>
      <c r="GM470" s="250"/>
      <c r="GN470" s="250"/>
      <c r="GO470" s="250"/>
      <c r="GP470" s="250"/>
      <c r="GQ470" s="250"/>
      <c r="GR470" s="250"/>
      <c r="GS470" s="250"/>
      <c r="GT470" s="250"/>
      <c r="GU470" s="251"/>
      <c r="GV470" s="250"/>
      <c r="GW470" s="250"/>
      <c r="GX470" s="250"/>
      <c r="GY470" s="250"/>
      <c r="GZ470" s="250"/>
      <c r="HA470" s="250"/>
      <c r="HB470" s="250"/>
      <c r="HC470" s="250"/>
      <c r="HD470" s="250"/>
      <c r="HE470" s="250"/>
      <c r="HF470" s="250"/>
      <c r="HG470" s="250"/>
      <c r="HH470" s="251"/>
      <c r="HI470" s="424"/>
      <c r="HJ470" s="255"/>
      <c r="HK470" s="255"/>
      <c r="HL470" s="250"/>
      <c r="HM470" s="255"/>
      <c r="HN470" s="255"/>
      <c r="HO470" s="255"/>
      <c r="HP470" s="250"/>
      <c r="HQ470" s="250"/>
      <c r="HR470" s="250"/>
      <c r="HS470" s="250"/>
      <c r="HT470" s="250"/>
      <c r="HU470" s="251"/>
      <c r="HX470" s="252"/>
      <c r="HY470" s="252"/>
      <c r="HZ470" s="252"/>
      <c r="ID470" s="252"/>
      <c r="IE470" s="252"/>
      <c r="IF470" s="252"/>
      <c r="IJ470" s="252"/>
      <c r="IK470" s="252"/>
      <c r="IL470" s="252"/>
      <c r="IP470" s="252"/>
      <c r="IQ470" s="252"/>
      <c r="IR470" s="252"/>
      <c r="IY470" s="66"/>
      <c r="IZ470" s="66"/>
      <c r="JA470" s="66"/>
      <c r="JB470" s="250"/>
      <c r="JC470" s="66"/>
      <c r="JD470" s="66"/>
      <c r="JE470" s="66"/>
      <c r="JF470" s="66"/>
      <c r="JG470" s="66"/>
      <c r="JH470" s="66"/>
      <c r="JI470" s="66"/>
      <c r="JJ470" s="66"/>
      <c r="JK470" s="8"/>
      <c r="JN470" s="252"/>
      <c r="JO470" s="252"/>
      <c r="JP470" s="252"/>
      <c r="JT470" s="252"/>
      <c r="JU470" s="252"/>
      <c r="JV470" s="252"/>
      <c r="JZ470" s="252"/>
      <c r="KA470" s="252"/>
      <c r="KB470" s="252"/>
      <c r="KF470" s="252"/>
      <c r="KG470" s="252"/>
      <c r="KH470" s="252"/>
      <c r="KO470" s="66"/>
      <c r="KP470" s="66"/>
      <c r="KQ470" s="66"/>
      <c r="KR470" s="66"/>
      <c r="KS470" s="66"/>
      <c r="KT470" s="66"/>
      <c r="KU470" s="66"/>
      <c r="KV470" s="66"/>
      <c r="KW470" s="66"/>
      <c r="KX470" s="66"/>
      <c r="KY470" s="66"/>
      <c r="KZ470" s="66"/>
      <c r="LA470" s="8"/>
      <c r="LD470" s="252"/>
      <c r="LE470" s="252"/>
      <c r="LF470" s="252"/>
      <c r="LJ470" s="252"/>
      <c r="LK470" s="252"/>
      <c r="LN470" s="252"/>
      <c r="LO470" s="252"/>
      <c r="LP470" s="252"/>
      <c r="LT470" s="271"/>
      <c r="LU470" s="250"/>
      <c r="LV470" s="250"/>
      <c r="LW470" s="250"/>
      <c r="LX470" s="250"/>
      <c r="LY470" s="250"/>
      <c r="LZ470" s="250"/>
      <c r="MA470" s="250"/>
      <c r="MB470" s="250"/>
      <c r="MC470" s="250"/>
      <c r="MD470" s="250"/>
      <c r="ME470" s="250"/>
      <c r="MF470" s="250"/>
      <c r="MG470" s="250"/>
      <c r="MH470" s="250"/>
      <c r="MI470" s="250"/>
      <c r="MJ470" s="250"/>
      <c r="MK470" s="424"/>
      <c r="ML470" s="640"/>
      <c r="MM470" s="251"/>
      <c r="MN470" s="252"/>
      <c r="MO470" s="252"/>
      <c r="MP470" s="252"/>
      <c r="MQ470" s="252"/>
      <c r="MR470" s="252"/>
      <c r="MS470" s="252"/>
      <c r="MT470" s="252"/>
      <c r="MU470" s="252"/>
      <c r="MV470" s="252"/>
      <c r="MW470" s="252"/>
      <c r="MX470" s="252"/>
      <c r="MY470" s="252"/>
      <c r="MZ470" s="252"/>
      <c r="NA470" s="252"/>
      <c r="NB470" s="252"/>
      <c r="NC470" s="251"/>
      <c r="ND470" s="250"/>
      <c r="NE470" s="250"/>
      <c r="NF470" s="250"/>
      <c r="NG470" s="250"/>
      <c r="NH470" s="250"/>
      <c r="NI470" s="250"/>
      <c r="NJ470" s="250"/>
      <c r="NK470" s="250"/>
      <c r="NL470" s="250"/>
      <c r="NM470" s="250"/>
      <c r="NN470" s="250"/>
      <c r="NO470" s="250"/>
      <c r="NP470" s="250"/>
      <c r="NQ470" s="250"/>
      <c r="NR470" s="250"/>
      <c r="NS470" s="250"/>
      <c r="NT470" s="250"/>
      <c r="NU470" s="250"/>
      <c r="NV470" s="250"/>
      <c r="NW470" s="251"/>
      <c r="OT470" s="8"/>
      <c r="QG470" s="8"/>
      <c r="RT470" s="8"/>
    </row>
    <row r="471" spans="1:488" s="282" customFormat="1" x14ac:dyDescent="0.25">
      <c r="A471" s="66"/>
      <c r="B471" s="8"/>
      <c r="C471" s="66"/>
      <c r="D471" s="66"/>
      <c r="E471" s="66"/>
      <c r="F471" s="66"/>
      <c r="G471" s="66"/>
      <c r="H471" s="66"/>
      <c r="I471" s="66"/>
      <c r="J471" s="66"/>
      <c r="K471" s="66"/>
      <c r="L471" s="66"/>
      <c r="M471" s="66"/>
      <c r="N471" s="66"/>
      <c r="O471" s="66"/>
      <c r="P471" s="66"/>
      <c r="Q471" s="66"/>
      <c r="R471" s="66"/>
      <c r="S471" s="66"/>
      <c r="T471" s="68"/>
      <c r="AC471" s="66"/>
      <c r="AD471" s="66"/>
      <c r="AE471" s="68"/>
      <c r="AN471" s="66"/>
      <c r="AO471" s="66"/>
      <c r="AP471" s="68"/>
      <c r="AW471" s="66"/>
      <c r="AX471" s="68"/>
      <c r="BD471" s="66"/>
      <c r="BE471" s="68"/>
      <c r="BF471" s="66"/>
      <c r="BG471" s="66"/>
      <c r="BH471" s="66"/>
      <c r="BI471" s="66"/>
      <c r="BJ471" s="66"/>
      <c r="BK471" s="66"/>
      <c r="BL471" s="68"/>
      <c r="BO471" s="66"/>
      <c r="BP471" s="68"/>
      <c r="BV471" s="66"/>
      <c r="BW471" s="68"/>
      <c r="CB471" s="8"/>
      <c r="CH471" s="8"/>
      <c r="CK471" s="299"/>
      <c r="CL471" s="299"/>
      <c r="CM471" s="66"/>
      <c r="CN471" s="66"/>
      <c r="CO471" s="68"/>
      <c r="CR471" s="8"/>
      <c r="CX471" s="66"/>
      <c r="CY471" s="532"/>
      <c r="DE471" s="66"/>
      <c r="DF471" s="66"/>
      <c r="DG471" s="68"/>
      <c r="DH471" s="68"/>
      <c r="DK471" s="66"/>
      <c r="DL471" s="66"/>
      <c r="DM471" s="66"/>
      <c r="DN471" s="66"/>
      <c r="DO471" s="66"/>
      <c r="DP471" s="66"/>
      <c r="DQ471" s="66"/>
      <c r="DR471" s="66"/>
      <c r="DS471" s="66"/>
      <c r="DT471" s="68"/>
      <c r="DU471" s="66"/>
      <c r="DV471" s="296"/>
      <c r="DW471" s="330"/>
      <c r="DX471" s="631"/>
      <c r="DY471" s="631"/>
      <c r="DZ471" s="631"/>
      <c r="EA471" s="330"/>
      <c r="EC471" s="66"/>
      <c r="ED471" s="68"/>
      <c r="EH471" s="66"/>
      <c r="EI471" s="66"/>
      <c r="EJ471" s="68"/>
      <c r="EK471" s="252"/>
      <c r="EL471" s="252"/>
      <c r="EM471" s="252"/>
      <c r="EO471" s="252"/>
      <c r="EP471" s="252"/>
      <c r="EQ471" s="252"/>
      <c r="ES471" s="252"/>
      <c r="ET471" s="252"/>
      <c r="EU471" s="252"/>
      <c r="EW471" s="252"/>
      <c r="EX471" s="252"/>
      <c r="EY471" s="252"/>
      <c r="FA471" s="250"/>
      <c r="FB471" s="250"/>
      <c r="FC471" s="250"/>
      <c r="FD471" s="250"/>
      <c r="FE471" s="250"/>
      <c r="FF471" s="250"/>
      <c r="FG471" s="250"/>
      <c r="FH471" s="424"/>
      <c r="FI471" s="250"/>
      <c r="FJ471" s="250"/>
      <c r="FK471" s="250"/>
      <c r="FL471" s="256"/>
      <c r="FM471" s="250"/>
      <c r="FN471" s="256"/>
      <c r="FO471" s="250"/>
      <c r="FP471" s="256"/>
      <c r="FQ471" s="250"/>
      <c r="FR471" s="256"/>
      <c r="FS471" s="250"/>
      <c r="FT471" s="256"/>
      <c r="FU471" s="256"/>
      <c r="FV471" s="256"/>
      <c r="FW471" s="250"/>
      <c r="FX471" s="424"/>
      <c r="FY471" s="251"/>
      <c r="GC471" s="252"/>
      <c r="GF471" s="252"/>
      <c r="GG471" s="252"/>
      <c r="GH471" s="252"/>
      <c r="GI471" s="252"/>
      <c r="GJ471" s="252"/>
      <c r="GK471" s="251"/>
      <c r="GL471" s="250"/>
      <c r="GM471" s="250"/>
      <c r="GN471" s="250"/>
      <c r="GO471" s="250"/>
      <c r="GP471" s="250"/>
      <c r="GQ471" s="250"/>
      <c r="GR471" s="250"/>
      <c r="GS471" s="250"/>
      <c r="GT471" s="250"/>
      <c r="GU471" s="251"/>
      <c r="GV471" s="250"/>
      <c r="GW471" s="250"/>
      <c r="GX471" s="250"/>
      <c r="GY471" s="250"/>
      <c r="GZ471" s="250"/>
      <c r="HA471" s="250"/>
      <c r="HB471" s="250"/>
      <c r="HC471" s="250"/>
      <c r="HD471" s="250"/>
      <c r="HE471" s="250"/>
      <c r="HF471" s="250"/>
      <c r="HG471" s="250"/>
      <c r="HH471" s="251"/>
      <c r="HI471" s="424"/>
      <c r="HJ471" s="255"/>
      <c r="HK471" s="255"/>
      <c r="HL471" s="250"/>
      <c r="HM471" s="255"/>
      <c r="HN471" s="255"/>
      <c r="HO471" s="255"/>
      <c r="HP471" s="250"/>
      <c r="HQ471" s="250"/>
      <c r="HR471" s="250"/>
      <c r="HS471" s="250"/>
      <c r="HT471" s="250"/>
      <c r="HU471" s="251"/>
      <c r="HX471" s="252"/>
      <c r="HY471" s="252"/>
      <c r="HZ471" s="252"/>
      <c r="ID471" s="252"/>
      <c r="IE471" s="252"/>
      <c r="IF471" s="252"/>
      <c r="IJ471" s="252"/>
      <c r="IK471" s="252"/>
      <c r="IL471" s="252"/>
      <c r="IP471" s="252"/>
      <c r="IQ471" s="252"/>
      <c r="IR471" s="252"/>
      <c r="IY471" s="66"/>
      <c r="IZ471" s="66"/>
      <c r="JA471" s="66"/>
      <c r="JB471" s="250"/>
      <c r="JC471" s="66"/>
      <c r="JD471" s="66"/>
      <c r="JE471" s="66"/>
      <c r="JF471" s="66"/>
      <c r="JG471" s="66"/>
      <c r="JH471" s="66"/>
      <c r="JI471" s="66"/>
      <c r="JJ471" s="66"/>
      <c r="JK471" s="8"/>
      <c r="JN471" s="252"/>
      <c r="JO471" s="252"/>
      <c r="JP471" s="252"/>
      <c r="JT471" s="252"/>
      <c r="JU471" s="252"/>
      <c r="JV471" s="252"/>
      <c r="JZ471" s="252"/>
      <c r="KA471" s="252"/>
      <c r="KB471" s="252"/>
      <c r="KF471" s="252"/>
      <c r="KG471" s="252"/>
      <c r="KH471" s="252"/>
      <c r="KO471" s="66"/>
      <c r="KP471" s="66"/>
      <c r="KQ471" s="66"/>
      <c r="KR471" s="66"/>
      <c r="KS471" s="66"/>
      <c r="KT471" s="66"/>
      <c r="KU471" s="66"/>
      <c r="KV471" s="66"/>
      <c r="KW471" s="66"/>
      <c r="KX471" s="66"/>
      <c r="KY471" s="66"/>
      <c r="KZ471" s="66"/>
      <c r="LA471" s="8"/>
      <c r="LD471" s="252"/>
      <c r="LE471" s="252"/>
      <c r="LF471" s="252"/>
      <c r="LJ471" s="252"/>
      <c r="LK471" s="252"/>
      <c r="LN471" s="252"/>
      <c r="LO471" s="252"/>
      <c r="LP471" s="252"/>
      <c r="LT471" s="271"/>
      <c r="LU471" s="250"/>
      <c r="LV471" s="250"/>
      <c r="LW471" s="250"/>
      <c r="LX471" s="250"/>
      <c r="LY471" s="250"/>
      <c r="LZ471" s="250"/>
      <c r="MA471" s="250"/>
      <c r="MB471" s="250"/>
      <c r="MC471" s="250"/>
      <c r="MD471" s="250"/>
      <c r="ME471" s="250"/>
      <c r="MF471" s="250"/>
      <c r="MG471" s="250"/>
      <c r="MH471" s="250"/>
      <c r="MI471" s="250"/>
      <c r="MJ471" s="250"/>
      <c r="MK471" s="424"/>
      <c r="ML471" s="640"/>
      <c r="MM471" s="251"/>
      <c r="MN471" s="252"/>
      <c r="MO471" s="252"/>
      <c r="MP471" s="252"/>
      <c r="MQ471" s="252"/>
      <c r="MR471" s="252"/>
      <c r="MS471" s="252"/>
      <c r="MT471" s="252"/>
      <c r="MU471" s="252"/>
      <c r="MV471" s="252"/>
      <c r="MW471" s="252"/>
      <c r="MX471" s="252"/>
      <c r="MY471" s="252"/>
      <c r="MZ471" s="252"/>
      <c r="NA471" s="252"/>
      <c r="NB471" s="252"/>
      <c r="NC471" s="251"/>
      <c r="ND471" s="250"/>
      <c r="NE471" s="250"/>
      <c r="NF471" s="250"/>
      <c r="NG471" s="250"/>
      <c r="NH471" s="250"/>
      <c r="NI471" s="250"/>
      <c r="NJ471" s="250"/>
      <c r="NK471" s="250"/>
      <c r="NL471" s="250"/>
      <c r="NM471" s="250"/>
      <c r="NN471" s="250"/>
      <c r="NO471" s="250"/>
      <c r="NP471" s="250"/>
      <c r="NQ471" s="250"/>
      <c r="NR471" s="250"/>
      <c r="NS471" s="250"/>
      <c r="NT471" s="250"/>
      <c r="NU471" s="250"/>
      <c r="NV471" s="250"/>
      <c r="NW471" s="251"/>
      <c r="OT471" s="8"/>
      <c r="QG471" s="8"/>
      <c r="RT471" s="8"/>
    </row>
    <row r="472" spans="1:488" s="282" customFormat="1" x14ac:dyDescent="0.25">
      <c r="A472" s="66"/>
      <c r="B472" s="8"/>
      <c r="C472" s="66"/>
      <c r="D472" s="66"/>
      <c r="E472" s="66"/>
      <c r="F472" s="66"/>
      <c r="G472" s="66"/>
      <c r="H472" s="66"/>
      <c r="I472" s="66"/>
      <c r="J472" s="66"/>
      <c r="K472" s="66"/>
      <c r="L472" s="66"/>
      <c r="M472" s="66"/>
      <c r="N472" s="66"/>
      <c r="O472" s="66"/>
      <c r="P472" s="66"/>
      <c r="Q472" s="66"/>
      <c r="R472" s="66"/>
      <c r="S472" s="66"/>
      <c r="T472" s="68"/>
      <c r="AC472" s="66"/>
      <c r="AD472" s="66"/>
      <c r="AE472" s="68"/>
      <c r="AN472" s="66"/>
      <c r="AO472" s="66"/>
      <c r="AP472" s="68"/>
      <c r="AW472" s="66"/>
      <c r="AX472" s="68"/>
      <c r="BD472" s="66"/>
      <c r="BE472" s="68"/>
      <c r="BF472" s="66"/>
      <c r="BG472" s="66"/>
      <c r="BH472" s="66"/>
      <c r="BI472" s="66"/>
      <c r="BJ472" s="66"/>
      <c r="BK472" s="66"/>
      <c r="BL472" s="68"/>
      <c r="BO472" s="66"/>
      <c r="BP472" s="68"/>
      <c r="BV472" s="66"/>
      <c r="BW472" s="68"/>
      <c r="CB472" s="8"/>
      <c r="CH472" s="8"/>
      <c r="CK472" s="299"/>
      <c r="CL472" s="299"/>
      <c r="CM472" s="66"/>
      <c r="CN472" s="66"/>
      <c r="CO472" s="68"/>
      <c r="CR472" s="8"/>
      <c r="CX472" s="66"/>
      <c r="CY472" s="532"/>
      <c r="DE472" s="66"/>
      <c r="DF472" s="66"/>
      <c r="DG472" s="68"/>
      <c r="DH472" s="68"/>
      <c r="DK472" s="66"/>
      <c r="DL472" s="66"/>
      <c r="DM472" s="66"/>
      <c r="DN472" s="66"/>
      <c r="DO472" s="66"/>
      <c r="DP472" s="66"/>
      <c r="DQ472" s="66"/>
      <c r="DR472" s="66"/>
      <c r="DS472" s="66"/>
      <c r="DT472" s="68"/>
      <c r="DU472" s="66"/>
      <c r="DV472" s="296"/>
      <c r="DW472" s="330"/>
      <c r="DX472" s="631"/>
      <c r="DY472" s="631"/>
      <c r="DZ472" s="631"/>
      <c r="EA472" s="330"/>
      <c r="EC472" s="66"/>
      <c r="ED472" s="68"/>
      <c r="EH472" s="66"/>
      <c r="EI472" s="66"/>
      <c r="EJ472" s="68"/>
      <c r="EK472" s="252"/>
      <c r="EL472" s="252"/>
      <c r="EM472" s="252"/>
      <c r="EO472" s="252"/>
      <c r="EP472" s="252"/>
      <c r="EQ472" s="252"/>
      <c r="ES472" s="252"/>
      <c r="ET472" s="252"/>
      <c r="EU472" s="252"/>
      <c r="EW472" s="252"/>
      <c r="EX472" s="252"/>
      <c r="EY472" s="252"/>
      <c r="FA472" s="250"/>
      <c r="FB472" s="250"/>
      <c r="FC472" s="250"/>
      <c r="FD472" s="250"/>
      <c r="FE472" s="250"/>
      <c r="FF472" s="250"/>
      <c r="FG472" s="250"/>
      <c r="FH472" s="424"/>
      <c r="FI472" s="250"/>
      <c r="FJ472" s="250"/>
      <c r="FK472" s="250"/>
      <c r="FL472" s="256"/>
      <c r="FM472" s="250"/>
      <c r="FN472" s="256"/>
      <c r="FO472" s="250"/>
      <c r="FP472" s="256"/>
      <c r="FQ472" s="250"/>
      <c r="FR472" s="256"/>
      <c r="FS472" s="250"/>
      <c r="FT472" s="256"/>
      <c r="FU472" s="256"/>
      <c r="FV472" s="256"/>
      <c r="FW472" s="250"/>
      <c r="FX472" s="424"/>
      <c r="FY472" s="251"/>
      <c r="GC472" s="252"/>
      <c r="GF472" s="252"/>
      <c r="GG472" s="252"/>
      <c r="GH472" s="252"/>
      <c r="GI472" s="252"/>
      <c r="GJ472" s="252"/>
      <c r="GK472" s="251"/>
      <c r="GL472" s="250"/>
      <c r="GM472" s="250"/>
      <c r="GN472" s="250"/>
      <c r="GO472" s="250"/>
      <c r="GP472" s="250"/>
      <c r="GQ472" s="250"/>
      <c r="GR472" s="250"/>
      <c r="GS472" s="250"/>
      <c r="GT472" s="250"/>
      <c r="GU472" s="251"/>
      <c r="GV472" s="250"/>
      <c r="GW472" s="250"/>
      <c r="GX472" s="250"/>
      <c r="GY472" s="250"/>
      <c r="GZ472" s="250"/>
      <c r="HA472" s="250"/>
      <c r="HB472" s="250"/>
      <c r="HC472" s="250"/>
      <c r="HD472" s="250"/>
      <c r="HE472" s="250"/>
      <c r="HF472" s="250"/>
      <c r="HG472" s="250"/>
      <c r="HH472" s="251"/>
      <c r="HI472" s="424"/>
      <c r="HJ472" s="255"/>
      <c r="HK472" s="255"/>
      <c r="HL472" s="250"/>
      <c r="HM472" s="255"/>
      <c r="HN472" s="255"/>
      <c r="HO472" s="255"/>
      <c r="HP472" s="250"/>
      <c r="HQ472" s="250"/>
      <c r="HR472" s="250"/>
      <c r="HS472" s="250"/>
      <c r="HT472" s="250"/>
      <c r="HU472" s="251"/>
      <c r="HX472" s="252"/>
      <c r="HY472" s="252"/>
      <c r="HZ472" s="252"/>
      <c r="ID472" s="252"/>
      <c r="IE472" s="252"/>
      <c r="IF472" s="252"/>
      <c r="IJ472" s="252"/>
      <c r="IK472" s="252"/>
      <c r="IL472" s="252"/>
      <c r="IP472" s="252"/>
      <c r="IQ472" s="252"/>
      <c r="IR472" s="252"/>
      <c r="IY472" s="66"/>
      <c r="IZ472" s="66"/>
      <c r="JA472" s="66"/>
      <c r="JB472" s="250"/>
      <c r="JC472" s="66"/>
      <c r="JD472" s="66"/>
      <c r="JE472" s="66"/>
      <c r="JF472" s="66"/>
      <c r="JG472" s="66"/>
      <c r="JH472" s="66"/>
      <c r="JI472" s="66"/>
      <c r="JJ472" s="66"/>
      <c r="JK472" s="8"/>
      <c r="JN472" s="252"/>
      <c r="JO472" s="252"/>
      <c r="JP472" s="252"/>
      <c r="JT472" s="252"/>
      <c r="JU472" s="252"/>
      <c r="JV472" s="252"/>
      <c r="JZ472" s="252"/>
      <c r="KA472" s="252"/>
      <c r="KB472" s="252"/>
      <c r="KF472" s="252"/>
      <c r="KG472" s="252"/>
      <c r="KH472" s="252"/>
      <c r="KO472" s="66"/>
      <c r="KP472" s="66"/>
      <c r="KQ472" s="66"/>
      <c r="KR472" s="66"/>
      <c r="KS472" s="66"/>
      <c r="KT472" s="66"/>
      <c r="KU472" s="66"/>
      <c r="KV472" s="66"/>
      <c r="KW472" s="66"/>
      <c r="KX472" s="66"/>
      <c r="KY472" s="66"/>
      <c r="KZ472" s="66"/>
      <c r="LA472" s="8"/>
      <c r="LD472" s="252"/>
      <c r="LE472" s="252"/>
      <c r="LF472" s="252"/>
      <c r="LJ472" s="252"/>
      <c r="LK472" s="252"/>
      <c r="LN472" s="252"/>
      <c r="LO472" s="252"/>
      <c r="LP472" s="252"/>
      <c r="LT472" s="271"/>
      <c r="LU472" s="250"/>
      <c r="LV472" s="250"/>
      <c r="LW472" s="250"/>
      <c r="LX472" s="250"/>
      <c r="LY472" s="250"/>
      <c r="LZ472" s="250"/>
      <c r="MA472" s="250"/>
      <c r="MB472" s="250"/>
      <c r="MC472" s="250"/>
      <c r="MD472" s="250"/>
      <c r="ME472" s="250"/>
      <c r="MF472" s="250"/>
      <c r="MG472" s="250"/>
      <c r="MH472" s="250"/>
      <c r="MI472" s="250"/>
      <c r="MJ472" s="250"/>
      <c r="MK472" s="424"/>
      <c r="ML472" s="640"/>
      <c r="MM472" s="251"/>
      <c r="MN472" s="252"/>
      <c r="MO472" s="252"/>
      <c r="MP472" s="252"/>
      <c r="MQ472" s="252"/>
      <c r="MR472" s="252"/>
      <c r="MS472" s="252"/>
      <c r="MT472" s="252"/>
      <c r="MU472" s="252"/>
      <c r="MV472" s="252"/>
      <c r="MW472" s="252"/>
      <c r="MX472" s="252"/>
      <c r="MY472" s="252"/>
      <c r="MZ472" s="252"/>
      <c r="NA472" s="252"/>
      <c r="NB472" s="252"/>
      <c r="NC472" s="251"/>
      <c r="ND472" s="250"/>
      <c r="NE472" s="250"/>
      <c r="NF472" s="250"/>
      <c r="NG472" s="250"/>
      <c r="NH472" s="250"/>
      <c r="NI472" s="250"/>
      <c r="NJ472" s="250"/>
      <c r="NK472" s="250"/>
      <c r="NL472" s="250"/>
      <c r="NM472" s="250"/>
      <c r="NN472" s="250"/>
      <c r="NO472" s="250"/>
      <c r="NP472" s="250"/>
      <c r="NQ472" s="250"/>
      <c r="NR472" s="250"/>
      <c r="NS472" s="250"/>
      <c r="NT472" s="250"/>
      <c r="NU472" s="250"/>
      <c r="NV472" s="250"/>
      <c r="NW472" s="251"/>
      <c r="OT472" s="8"/>
      <c r="QG472" s="8"/>
      <c r="RT472" s="8"/>
    </row>
    <row r="473" spans="1:488" s="282" customFormat="1" x14ac:dyDescent="0.25">
      <c r="A473" s="66"/>
      <c r="B473" s="8"/>
      <c r="C473" s="66"/>
      <c r="D473" s="66"/>
      <c r="E473" s="66"/>
      <c r="F473" s="66"/>
      <c r="G473" s="66"/>
      <c r="H473" s="66"/>
      <c r="I473" s="66"/>
      <c r="J473" s="66"/>
      <c r="K473" s="66"/>
      <c r="L473" s="66"/>
      <c r="M473" s="66"/>
      <c r="N473" s="66"/>
      <c r="O473" s="66"/>
      <c r="P473" s="66"/>
      <c r="Q473" s="66"/>
      <c r="R473" s="66"/>
      <c r="S473" s="66"/>
      <c r="T473" s="68"/>
      <c r="AC473" s="66"/>
      <c r="AD473" s="66"/>
      <c r="AE473" s="68"/>
      <c r="AN473" s="66"/>
      <c r="AO473" s="66"/>
      <c r="AP473" s="68"/>
      <c r="AW473" s="66"/>
      <c r="AX473" s="68"/>
      <c r="BD473" s="66"/>
      <c r="BE473" s="68"/>
      <c r="BF473" s="66"/>
      <c r="BG473" s="66"/>
      <c r="BH473" s="66"/>
      <c r="BI473" s="66"/>
      <c r="BJ473" s="66"/>
      <c r="BK473" s="66"/>
      <c r="BL473" s="68"/>
      <c r="BO473" s="66"/>
      <c r="BP473" s="68"/>
      <c r="BV473" s="66"/>
      <c r="BW473" s="68"/>
      <c r="CB473" s="8"/>
      <c r="CH473" s="8"/>
      <c r="CK473" s="299"/>
      <c r="CL473" s="299"/>
      <c r="CM473" s="66"/>
      <c r="CN473" s="66"/>
      <c r="CO473" s="68"/>
      <c r="CR473" s="8"/>
      <c r="CX473" s="66"/>
      <c r="CY473" s="532"/>
      <c r="DE473" s="66"/>
      <c r="DF473" s="66"/>
      <c r="DG473" s="68"/>
      <c r="DH473" s="68"/>
      <c r="DK473" s="66"/>
      <c r="DL473" s="66"/>
      <c r="DM473" s="66"/>
      <c r="DN473" s="66"/>
      <c r="DO473" s="66"/>
      <c r="DP473" s="66"/>
      <c r="DQ473" s="66"/>
      <c r="DR473" s="66"/>
      <c r="DS473" s="66"/>
      <c r="DT473" s="68"/>
      <c r="DU473" s="66"/>
      <c r="DV473" s="296"/>
      <c r="DW473" s="330"/>
      <c r="DX473" s="631"/>
      <c r="DY473" s="631"/>
      <c r="DZ473" s="631"/>
      <c r="EA473" s="330"/>
      <c r="EC473" s="66"/>
      <c r="ED473" s="68"/>
      <c r="EH473" s="66"/>
      <c r="EI473" s="66"/>
      <c r="EJ473" s="68"/>
      <c r="EK473" s="252"/>
      <c r="EL473" s="252"/>
      <c r="EM473" s="252"/>
      <c r="EO473" s="252"/>
      <c r="EP473" s="252"/>
      <c r="EQ473" s="252"/>
      <c r="ES473" s="252"/>
      <c r="ET473" s="252"/>
      <c r="EU473" s="252"/>
      <c r="EW473" s="252"/>
      <c r="EX473" s="252"/>
      <c r="EY473" s="252"/>
      <c r="FA473" s="250"/>
      <c r="FB473" s="250"/>
      <c r="FC473" s="250"/>
      <c r="FD473" s="250"/>
      <c r="FE473" s="250"/>
      <c r="FF473" s="250"/>
      <c r="FG473" s="250"/>
      <c r="FH473" s="424"/>
      <c r="FI473" s="250"/>
      <c r="FJ473" s="250"/>
      <c r="FK473" s="250"/>
      <c r="FL473" s="256"/>
      <c r="FM473" s="250"/>
      <c r="FN473" s="256"/>
      <c r="FO473" s="250"/>
      <c r="FP473" s="256"/>
      <c r="FQ473" s="250"/>
      <c r="FR473" s="256"/>
      <c r="FS473" s="250"/>
      <c r="FT473" s="256"/>
      <c r="FU473" s="256"/>
      <c r="FV473" s="256"/>
      <c r="FW473" s="250"/>
      <c r="FX473" s="424"/>
      <c r="FY473" s="251"/>
      <c r="GC473" s="252"/>
      <c r="GF473" s="252"/>
      <c r="GG473" s="252"/>
      <c r="GH473" s="252"/>
      <c r="GI473" s="252"/>
      <c r="GJ473" s="252"/>
      <c r="GK473" s="251"/>
      <c r="GL473" s="250"/>
      <c r="GM473" s="250"/>
      <c r="GN473" s="250"/>
      <c r="GO473" s="250"/>
      <c r="GP473" s="250"/>
      <c r="GQ473" s="250"/>
      <c r="GR473" s="250"/>
      <c r="GS473" s="250"/>
      <c r="GT473" s="250"/>
      <c r="GU473" s="251"/>
      <c r="GV473" s="250"/>
      <c r="GW473" s="250"/>
      <c r="GX473" s="250"/>
      <c r="GY473" s="250"/>
      <c r="GZ473" s="250"/>
      <c r="HA473" s="250"/>
      <c r="HB473" s="250"/>
      <c r="HC473" s="250"/>
      <c r="HD473" s="250"/>
      <c r="HE473" s="250"/>
      <c r="HF473" s="250"/>
      <c r="HG473" s="250"/>
      <c r="HH473" s="251"/>
      <c r="HI473" s="424"/>
      <c r="HJ473" s="255"/>
      <c r="HK473" s="255"/>
      <c r="HL473" s="250"/>
      <c r="HM473" s="255"/>
      <c r="HN473" s="255"/>
      <c r="HO473" s="255"/>
      <c r="HP473" s="250"/>
      <c r="HQ473" s="250"/>
      <c r="HR473" s="250"/>
      <c r="HS473" s="250"/>
      <c r="HT473" s="250"/>
      <c r="HU473" s="251"/>
      <c r="HX473" s="252"/>
      <c r="HY473" s="252"/>
      <c r="HZ473" s="252"/>
      <c r="ID473" s="252"/>
      <c r="IE473" s="252"/>
      <c r="IF473" s="252"/>
      <c r="IJ473" s="252"/>
      <c r="IK473" s="252"/>
      <c r="IL473" s="252"/>
      <c r="IP473" s="252"/>
      <c r="IQ473" s="252"/>
      <c r="IR473" s="252"/>
      <c r="IY473" s="66"/>
      <c r="IZ473" s="66"/>
      <c r="JA473" s="66"/>
      <c r="JB473" s="250"/>
      <c r="JC473" s="66"/>
      <c r="JD473" s="66"/>
      <c r="JE473" s="66"/>
      <c r="JF473" s="66"/>
      <c r="JG473" s="66"/>
      <c r="JH473" s="66"/>
      <c r="JI473" s="66"/>
      <c r="JJ473" s="66"/>
      <c r="JK473" s="8"/>
      <c r="JN473" s="252"/>
      <c r="JO473" s="252"/>
      <c r="JP473" s="252"/>
      <c r="JT473" s="252"/>
      <c r="JU473" s="252"/>
      <c r="JV473" s="252"/>
      <c r="JZ473" s="252"/>
      <c r="KA473" s="252"/>
      <c r="KB473" s="252"/>
      <c r="KF473" s="252"/>
      <c r="KG473" s="252"/>
      <c r="KH473" s="252"/>
      <c r="KO473" s="66"/>
      <c r="KP473" s="66"/>
      <c r="KQ473" s="66"/>
      <c r="KR473" s="66"/>
      <c r="KS473" s="66"/>
      <c r="KT473" s="66"/>
      <c r="KU473" s="66"/>
      <c r="KV473" s="66"/>
      <c r="KW473" s="66"/>
      <c r="KX473" s="66"/>
      <c r="KY473" s="66"/>
      <c r="KZ473" s="66"/>
      <c r="LA473" s="8"/>
      <c r="LD473" s="252"/>
      <c r="LE473" s="252"/>
      <c r="LF473" s="252"/>
      <c r="LJ473" s="252"/>
      <c r="LK473" s="252"/>
      <c r="LN473" s="252"/>
      <c r="LO473" s="252"/>
      <c r="LP473" s="252"/>
      <c r="LT473" s="271"/>
      <c r="LU473" s="250"/>
      <c r="LV473" s="250"/>
      <c r="LW473" s="250"/>
      <c r="LX473" s="250"/>
      <c r="LY473" s="250"/>
      <c r="LZ473" s="250"/>
      <c r="MA473" s="250"/>
      <c r="MB473" s="250"/>
      <c r="MC473" s="250"/>
      <c r="MD473" s="250"/>
      <c r="ME473" s="250"/>
      <c r="MF473" s="250"/>
      <c r="MG473" s="250"/>
      <c r="MH473" s="250"/>
      <c r="MI473" s="250"/>
      <c r="MJ473" s="250"/>
      <c r="MK473" s="424"/>
      <c r="ML473" s="640"/>
      <c r="MM473" s="251"/>
      <c r="MN473" s="252"/>
      <c r="MO473" s="252"/>
      <c r="MP473" s="252"/>
      <c r="MQ473" s="252"/>
      <c r="MR473" s="252"/>
      <c r="MS473" s="252"/>
      <c r="MT473" s="252"/>
      <c r="MU473" s="252"/>
      <c r="MV473" s="252"/>
      <c r="MW473" s="252"/>
      <c r="MX473" s="252"/>
      <c r="MY473" s="252"/>
      <c r="MZ473" s="252"/>
      <c r="NA473" s="252"/>
      <c r="NB473" s="252"/>
      <c r="NC473" s="251"/>
      <c r="ND473" s="250"/>
      <c r="NE473" s="250"/>
      <c r="NF473" s="250"/>
      <c r="NG473" s="250"/>
      <c r="NH473" s="250"/>
      <c r="NI473" s="250"/>
      <c r="NJ473" s="250"/>
      <c r="NK473" s="250"/>
      <c r="NL473" s="250"/>
      <c r="NM473" s="250"/>
      <c r="NN473" s="250"/>
      <c r="NO473" s="250"/>
      <c r="NP473" s="250"/>
      <c r="NQ473" s="250"/>
      <c r="NR473" s="250"/>
      <c r="NS473" s="250"/>
      <c r="NT473" s="250"/>
      <c r="NU473" s="250"/>
      <c r="NV473" s="250"/>
      <c r="NW473" s="251"/>
      <c r="OT473" s="8"/>
      <c r="QG473" s="8"/>
      <c r="RT473" s="8"/>
    </row>
    <row r="474" spans="1:488" s="282" customFormat="1" x14ac:dyDescent="0.25">
      <c r="A474" s="66"/>
      <c r="B474" s="8"/>
      <c r="C474" s="66"/>
      <c r="D474" s="66"/>
      <c r="E474" s="66"/>
      <c r="F474" s="66"/>
      <c r="G474" s="66"/>
      <c r="H474" s="66"/>
      <c r="I474" s="66"/>
      <c r="J474" s="66"/>
      <c r="K474" s="66"/>
      <c r="L474" s="66"/>
      <c r="M474" s="66"/>
      <c r="N474" s="66"/>
      <c r="O474" s="66"/>
      <c r="P474" s="66"/>
      <c r="Q474" s="66"/>
      <c r="R474" s="66"/>
      <c r="S474" s="66"/>
      <c r="T474" s="68"/>
      <c r="AC474" s="66"/>
      <c r="AD474" s="66"/>
      <c r="AE474" s="68"/>
      <c r="AN474" s="66"/>
      <c r="AO474" s="66"/>
      <c r="AP474" s="68"/>
      <c r="AW474" s="66"/>
      <c r="AX474" s="68"/>
      <c r="BD474" s="66"/>
      <c r="BE474" s="68"/>
      <c r="BF474" s="66"/>
      <c r="BG474" s="66"/>
      <c r="BH474" s="66"/>
      <c r="BI474" s="66"/>
      <c r="BJ474" s="66"/>
      <c r="BK474" s="66"/>
      <c r="BL474" s="68"/>
      <c r="BO474" s="66"/>
      <c r="BP474" s="68"/>
      <c r="BV474" s="66"/>
      <c r="BW474" s="68"/>
      <c r="CB474" s="8"/>
      <c r="CH474" s="8"/>
      <c r="CK474" s="299"/>
      <c r="CL474" s="299"/>
      <c r="CM474" s="66"/>
      <c r="CN474" s="66"/>
      <c r="CO474" s="68"/>
      <c r="CR474" s="8"/>
      <c r="CX474" s="66"/>
      <c r="CY474" s="532"/>
      <c r="DE474" s="66"/>
      <c r="DF474" s="66"/>
      <c r="DG474" s="68"/>
      <c r="DH474" s="68"/>
      <c r="DK474" s="66"/>
      <c r="DL474" s="66"/>
      <c r="DM474" s="66"/>
      <c r="DN474" s="66"/>
      <c r="DO474" s="66"/>
      <c r="DP474" s="66"/>
      <c r="DQ474" s="66"/>
      <c r="DR474" s="66"/>
      <c r="DS474" s="66"/>
      <c r="DT474" s="68"/>
      <c r="DU474" s="66"/>
      <c r="DV474" s="296"/>
      <c r="DW474" s="330"/>
      <c r="DX474" s="631"/>
      <c r="DY474" s="631"/>
      <c r="DZ474" s="631"/>
      <c r="EA474" s="330"/>
      <c r="EC474" s="66"/>
      <c r="ED474" s="68"/>
      <c r="EH474" s="66"/>
      <c r="EI474" s="66"/>
      <c r="EJ474" s="68"/>
      <c r="EK474" s="252"/>
      <c r="EL474" s="252"/>
      <c r="EM474" s="252"/>
      <c r="EO474" s="252"/>
      <c r="EP474" s="252"/>
      <c r="EQ474" s="252"/>
      <c r="ES474" s="252"/>
      <c r="ET474" s="252"/>
      <c r="EU474" s="252"/>
      <c r="EW474" s="252"/>
      <c r="EX474" s="252"/>
      <c r="EY474" s="252"/>
      <c r="FA474" s="250"/>
      <c r="FB474" s="250"/>
      <c r="FC474" s="250"/>
      <c r="FD474" s="250"/>
      <c r="FE474" s="250"/>
      <c r="FF474" s="250"/>
      <c r="FG474" s="250"/>
      <c r="FH474" s="424"/>
      <c r="FI474" s="250"/>
      <c r="FJ474" s="250"/>
      <c r="FK474" s="250"/>
      <c r="FL474" s="256"/>
      <c r="FM474" s="250"/>
      <c r="FN474" s="256"/>
      <c r="FO474" s="250"/>
      <c r="FP474" s="256"/>
      <c r="FQ474" s="250"/>
      <c r="FR474" s="256"/>
      <c r="FS474" s="250"/>
      <c r="FT474" s="256"/>
      <c r="FU474" s="256"/>
      <c r="FV474" s="256"/>
      <c r="FW474" s="250"/>
      <c r="FX474" s="424"/>
      <c r="FY474" s="251"/>
      <c r="GC474" s="252"/>
      <c r="GF474" s="252"/>
      <c r="GG474" s="252"/>
      <c r="GH474" s="252"/>
      <c r="GI474" s="252"/>
      <c r="GJ474" s="252"/>
      <c r="GK474" s="251"/>
      <c r="GL474" s="250"/>
      <c r="GM474" s="250"/>
      <c r="GN474" s="250"/>
      <c r="GO474" s="250"/>
      <c r="GP474" s="250"/>
      <c r="GQ474" s="250"/>
      <c r="GR474" s="250"/>
      <c r="GS474" s="250"/>
      <c r="GT474" s="250"/>
      <c r="GU474" s="251"/>
      <c r="GV474" s="250"/>
      <c r="GW474" s="250"/>
      <c r="GX474" s="250"/>
      <c r="GY474" s="250"/>
      <c r="GZ474" s="250"/>
      <c r="HA474" s="250"/>
      <c r="HB474" s="250"/>
      <c r="HC474" s="250"/>
      <c r="HD474" s="250"/>
      <c r="HE474" s="250"/>
      <c r="HF474" s="250"/>
      <c r="HG474" s="250"/>
      <c r="HH474" s="251"/>
      <c r="HI474" s="424"/>
      <c r="HJ474" s="255"/>
      <c r="HK474" s="255"/>
      <c r="HL474" s="250"/>
      <c r="HM474" s="255"/>
      <c r="HN474" s="255"/>
      <c r="HO474" s="255"/>
      <c r="HP474" s="250"/>
      <c r="HQ474" s="250"/>
      <c r="HR474" s="250"/>
      <c r="HS474" s="250"/>
      <c r="HT474" s="250"/>
      <c r="HU474" s="251"/>
      <c r="HX474" s="252"/>
      <c r="HY474" s="252"/>
      <c r="HZ474" s="252"/>
      <c r="ID474" s="252"/>
      <c r="IE474" s="252"/>
      <c r="IF474" s="252"/>
      <c r="IJ474" s="252"/>
      <c r="IK474" s="252"/>
      <c r="IL474" s="252"/>
      <c r="IP474" s="252"/>
      <c r="IQ474" s="252"/>
      <c r="IR474" s="252"/>
      <c r="IY474" s="66"/>
      <c r="IZ474" s="66"/>
      <c r="JA474" s="66"/>
      <c r="JB474" s="250"/>
      <c r="JC474" s="66"/>
      <c r="JD474" s="66"/>
      <c r="JE474" s="66"/>
      <c r="JF474" s="66"/>
      <c r="JG474" s="66"/>
      <c r="JH474" s="66"/>
      <c r="JI474" s="66"/>
      <c r="JJ474" s="66"/>
      <c r="JK474" s="8"/>
      <c r="JN474" s="252"/>
      <c r="JO474" s="252"/>
      <c r="JP474" s="252"/>
      <c r="JT474" s="252"/>
      <c r="JU474" s="252"/>
      <c r="JV474" s="252"/>
      <c r="JZ474" s="252"/>
      <c r="KA474" s="252"/>
      <c r="KB474" s="252"/>
      <c r="KF474" s="252"/>
      <c r="KG474" s="252"/>
      <c r="KH474" s="252"/>
      <c r="KO474" s="66"/>
      <c r="KP474" s="66"/>
      <c r="KQ474" s="66"/>
      <c r="KR474" s="66"/>
      <c r="KS474" s="66"/>
      <c r="KT474" s="66"/>
      <c r="KU474" s="66"/>
      <c r="KV474" s="66"/>
      <c r="KW474" s="66"/>
      <c r="KX474" s="66"/>
      <c r="KY474" s="66"/>
      <c r="KZ474" s="66"/>
      <c r="LA474" s="8"/>
      <c r="LD474" s="252"/>
      <c r="LE474" s="252"/>
      <c r="LF474" s="252"/>
      <c r="LJ474" s="252"/>
      <c r="LK474" s="252"/>
      <c r="LN474" s="252"/>
      <c r="LO474" s="252"/>
      <c r="LP474" s="252"/>
      <c r="LT474" s="271"/>
      <c r="LU474" s="250"/>
      <c r="LV474" s="250"/>
      <c r="LW474" s="250"/>
      <c r="LX474" s="250"/>
      <c r="LY474" s="250"/>
      <c r="LZ474" s="250"/>
      <c r="MA474" s="250"/>
      <c r="MB474" s="250"/>
      <c r="MC474" s="250"/>
      <c r="MD474" s="250"/>
      <c r="ME474" s="250"/>
      <c r="MF474" s="250"/>
      <c r="MG474" s="250"/>
      <c r="MH474" s="250"/>
      <c r="MI474" s="250"/>
      <c r="MJ474" s="250"/>
      <c r="MK474" s="424"/>
      <c r="ML474" s="640"/>
      <c r="MM474" s="251"/>
      <c r="MN474" s="252"/>
      <c r="MO474" s="252"/>
      <c r="MP474" s="252"/>
      <c r="MQ474" s="252"/>
      <c r="MR474" s="252"/>
      <c r="MS474" s="252"/>
      <c r="MT474" s="252"/>
      <c r="MU474" s="252"/>
      <c r="MV474" s="252"/>
      <c r="MW474" s="252"/>
      <c r="MX474" s="252"/>
      <c r="MY474" s="252"/>
      <c r="MZ474" s="252"/>
      <c r="NA474" s="252"/>
      <c r="NB474" s="252"/>
      <c r="NC474" s="251"/>
      <c r="ND474" s="250"/>
      <c r="NE474" s="250"/>
      <c r="NF474" s="250"/>
      <c r="NG474" s="250"/>
      <c r="NH474" s="250"/>
      <c r="NI474" s="250"/>
      <c r="NJ474" s="250"/>
      <c r="NK474" s="250"/>
      <c r="NL474" s="250"/>
      <c r="NM474" s="250"/>
      <c r="NN474" s="250"/>
      <c r="NO474" s="250"/>
      <c r="NP474" s="250"/>
      <c r="NQ474" s="250"/>
      <c r="NR474" s="250"/>
      <c r="NS474" s="250"/>
      <c r="NT474" s="250"/>
      <c r="NU474" s="250"/>
      <c r="NV474" s="250"/>
      <c r="NW474" s="251"/>
      <c r="OT474" s="8"/>
      <c r="QG474" s="8"/>
      <c r="RT474" s="8"/>
    </row>
    <row r="475" spans="1:488" s="282" customFormat="1" x14ac:dyDescent="0.25">
      <c r="A475" s="66"/>
      <c r="B475" s="8"/>
      <c r="C475" s="66"/>
      <c r="D475" s="66"/>
      <c r="E475" s="66"/>
      <c r="F475" s="66"/>
      <c r="G475" s="66"/>
      <c r="H475" s="66"/>
      <c r="I475" s="66"/>
      <c r="J475" s="66"/>
      <c r="K475" s="66"/>
      <c r="L475" s="66"/>
      <c r="M475" s="66"/>
      <c r="N475" s="66"/>
      <c r="O475" s="66"/>
      <c r="P475" s="66"/>
      <c r="Q475" s="66"/>
      <c r="R475" s="66"/>
      <c r="S475" s="66"/>
      <c r="T475" s="68"/>
      <c r="AC475" s="66"/>
      <c r="AD475" s="66"/>
      <c r="AE475" s="68"/>
      <c r="AN475" s="66"/>
      <c r="AO475" s="66"/>
      <c r="AP475" s="68"/>
      <c r="AW475" s="66"/>
      <c r="AX475" s="68"/>
      <c r="BD475" s="66"/>
      <c r="BE475" s="68"/>
      <c r="BF475" s="66"/>
      <c r="BG475" s="66"/>
      <c r="BH475" s="66"/>
      <c r="BI475" s="66"/>
      <c r="BJ475" s="66"/>
      <c r="BK475" s="66"/>
      <c r="BL475" s="68"/>
      <c r="BO475" s="66"/>
      <c r="BP475" s="68"/>
      <c r="BV475" s="66"/>
      <c r="BW475" s="68"/>
      <c r="CB475" s="8"/>
      <c r="CH475" s="8"/>
      <c r="CK475" s="299"/>
      <c r="CL475" s="299"/>
      <c r="CM475" s="66"/>
      <c r="CN475" s="66"/>
      <c r="CO475" s="68"/>
      <c r="CR475" s="8"/>
      <c r="CX475" s="66"/>
      <c r="CY475" s="532"/>
      <c r="DE475" s="66"/>
      <c r="DF475" s="66"/>
      <c r="DG475" s="68"/>
      <c r="DH475" s="68"/>
      <c r="DK475" s="66"/>
      <c r="DL475" s="66"/>
      <c r="DM475" s="66"/>
      <c r="DN475" s="66"/>
      <c r="DO475" s="66"/>
      <c r="DP475" s="66"/>
      <c r="DQ475" s="66"/>
      <c r="DR475" s="66"/>
      <c r="DS475" s="66"/>
      <c r="DT475" s="68"/>
      <c r="DU475" s="66"/>
      <c r="DV475" s="296"/>
      <c r="DW475" s="330"/>
      <c r="DX475" s="631"/>
      <c r="DY475" s="631"/>
      <c r="DZ475" s="631"/>
      <c r="EA475" s="330"/>
      <c r="EC475" s="66"/>
      <c r="ED475" s="68"/>
      <c r="EH475" s="66"/>
      <c r="EI475" s="66"/>
      <c r="EJ475" s="68"/>
      <c r="EK475" s="252"/>
      <c r="EL475" s="252"/>
      <c r="EM475" s="252"/>
      <c r="EO475" s="252"/>
      <c r="EP475" s="252"/>
      <c r="EQ475" s="252"/>
      <c r="ES475" s="252"/>
      <c r="ET475" s="252"/>
      <c r="EU475" s="252"/>
      <c r="EW475" s="252"/>
      <c r="EX475" s="252"/>
      <c r="EY475" s="252"/>
      <c r="FA475" s="250"/>
      <c r="FB475" s="250"/>
      <c r="FC475" s="250"/>
      <c r="FD475" s="250"/>
      <c r="FE475" s="250"/>
      <c r="FF475" s="250"/>
      <c r="FG475" s="250"/>
      <c r="FH475" s="424"/>
      <c r="FI475" s="250"/>
      <c r="FJ475" s="250"/>
      <c r="FK475" s="250"/>
      <c r="FL475" s="256"/>
      <c r="FM475" s="250"/>
      <c r="FN475" s="256"/>
      <c r="FO475" s="250"/>
      <c r="FP475" s="256"/>
      <c r="FQ475" s="250"/>
      <c r="FR475" s="256"/>
      <c r="FS475" s="250"/>
      <c r="FT475" s="256"/>
      <c r="FU475" s="256"/>
      <c r="FV475" s="256"/>
      <c r="FW475" s="250"/>
      <c r="FX475" s="424"/>
      <c r="FY475" s="251"/>
      <c r="GC475" s="252"/>
      <c r="GF475" s="252"/>
      <c r="GG475" s="252"/>
      <c r="GH475" s="252"/>
      <c r="GI475" s="252"/>
      <c r="GJ475" s="252"/>
      <c r="GK475" s="251"/>
      <c r="GL475" s="250"/>
      <c r="GM475" s="250"/>
      <c r="GN475" s="250"/>
      <c r="GO475" s="250"/>
      <c r="GP475" s="250"/>
      <c r="GQ475" s="250"/>
      <c r="GR475" s="250"/>
      <c r="GS475" s="250"/>
      <c r="GT475" s="250"/>
      <c r="GU475" s="251"/>
      <c r="GV475" s="250"/>
      <c r="GW475" s="250"/>
      <c r="GX475" s="250"/>
      <c r="GY475" s="250"/>
      <c r="GZ475" s="250"/>
      <c r="HA475" s="250"/>
      <c r="HB475" s="250"/>
      <c r="HC475" s="250"/>
      <c r="HD475" s="250"/>
      <c r="HE475" s="250"/>
      <c r="HF475" s="250"/>
      <c r="HG475" s="250"/>
      <c r="HH475" s="251"/>
      <c r="HI475" s="424"/>
      <c r="HJ475" s="255"/>
      <c r="HK475" s="255"/>
      <c r="HL475" s="250"/>
      <c r="HM475" s="255"/>
      <c r="HN475" s="255"/>
      <c r="HO475" s="255"/>
      <c r="HP475" s="250"/>
      <c r="HQ475" s="250"/>
      <c r="HR475" s="250"/>
      <c r="HS475" s="250"/>
      <c r="HT475" s="250"/>
      <c r="HU475" s="251"/>
      <c r="HX475" s="252"/>
      <c r="HY475" s="252"/>
      <c r="HZ475" s="252"/>
      <c r="ID475" s="252"/>
      <c r="IE475" s="252"/>
      <c r="IF475" s="252"/>
      <c r="IJ475" s="252"/>
      <c r="IK475" s="252"/>
      <c r="IL475" s="252"/>
      <c r="IP475" s="252"/>
      <c r="IQ475" s="252"/>
      <c r="IR475" s="252"/>
      <c r="IY475" s="66"/>
      <c r="IZ475" s="66"/>
      <c r="JA475" s="66"/>
      <c r="JB475" s="250"/>
      <c r="JC475" s="66"/>
      <c r="JD475" s="66"/>
      <c r="JE475" s="66"/>
      <c r="JF475" s="66"/>
      <c r="JG475" s="66"/>
      <c r="JH475" s="66"/>
      <c r="JI475" s="66"/>
      <c r="JJ475" s="66"/>
      <c r="JK475" s="8"/>
      <c r="JN475" s="252"/>
      <c r="JO475" s="252"/>
      <c r="JP475" s="252"/>
      <c r="JT475" s="252"/>
      <c r="JU475" s="252"/>
      <c r="JV475" s="252"/>
      <c r="JZ475" s="252"/>
      <c r="KA475" s="252"/>
      <c r="KB475" s="252"/>
      <c r="KF475" s="252"/>
      <c r="KG475" s="252"/>
      <c r="KH475" s="252"/>
      <c r="KO475" s="66"/>
      <c r="KP475" s="66"/>
      <c r="KQ475" s="66"/>
      <c r="KR475" s="66"/>
      <c r="KS475" s="66"/>
      <c r="KT475" s="66"/>
      <c r="KU475" s="66"/>
      <c r="KV475" s="66"/>
      <c r="KW475" s="66"/>
      <c r="KX475" s="66"/>
      <c r="KY475" s="66"/>
      <c r="KZ475" s="66"/>
      <c r="LA475" s="8"/>
      <c r="LD475" s="252"/>
      <c r="LE475" s="252"/>
      <c r="LF475" s="252"/>
      <c r="LJ475" s="252"/>
      <c r="LK475" s="252"/>
      <c r="LN475" s="252"/>
      <c r="LO475" s="252"/>
      <c r="LP475" s="252"/>
      <c r="LT475" s="271"/>
      <c r="LU475" s="250"/>
      <c r="LV475" s="250"/>
      <c r="LW475" s="250"/>
      <c r="LX475" s="250"/>
      <c r="LY475" s="250"/>
      <c r="LZ475" s="250"/>
      <c r="MA475" s="250"/>
      <c r="MB475" s="250"/>
      <c r="MC475" s="250"/>
      <c r="MD475" s="250"/>
      <c r="ME475" s="250"/>
      <c r="MF475" s="250"/>
      <c r="MG475" s="250"/>
      <c r="MH475" s="250"/>
      <c r="MI475" s="250"/>
      <c r="MJ475" s="250"/>
      <c r="MK475" s="424"/>
      <c r="ML475" s="640"/>
      <c r="MM475" s="251"/>
      <c r="MN475" s="252"/>
      <c r="MO475" s="252"/>
      <c r="MP475" s="252"/>
      <c r="MQ475" s="252"/>
      <c r="MR475" s="252"/>
      <c r="MS475" s="252"/>
      <c r="MT475" s="252"/>
      <c r="MU475" s="252"/>
      <c r="MV475" s="252"/>
      <c r="MW475" s="252"/>
      <c r="MX475" s="252"/>
      <c r="MY475" s="252"/>
      <c r="MZ475" s="252"/>
      <c r="NA475" s="252"/>
      <c r="NB475" s="252"/>
      <c r="NC475" s="251"/>
      <c r="ND475" s="250"/>
      <c r="NE475" s="250"/>
      <c r="NF475" s="250"/>
      <c r="NG475" s="250"/>
      <c r="NH475" s="250"/>
      <c r="NI475" s="250"/>
      <c r="NJ475" s="250"/>
      <c r="NK475" s="250"/>
      <c r="NL475" s="250"/>
      <c r="NM475" s="250"/>
      <c r="NN475" s="250"/>
      <c r="NO475" s="250"/>
      <c r="NP475" s="250"/>
      <c r="NQ475" s="250"/>
      <c r="NR475" s="250"/>
      <c r="NS475" s="250"/>
      <c r="NT475" s="250"/>
      <c r="NU475" s="250"/>
      <c r="NV475" s="250"/>
      <c r="NW475" s="251"/>
      <c r="OT475" s="8"/>
      <c r="QG475" s="8"/>
      <c r="RT475" s="8"/>
    </row>
    <row r="476" spans="1:488" s="282" customFormat="1" x14ac:dyDescent="0.25">
      <c r="A476" s="66"/>
      <c r="B476" s="8"/>
      <c r="C476" s="66"/>
      <c r="D476" s="66"/>
      <c r="E476" s="66"/>
      <c r="F476" s="66"/>
      <c r="G476" s="66"/>
      <c r="H476" s="66"/>
      <c r="I476" s="66"/>
      <c r="J476" s="66"/>
      <c r="K476" s="66"/>
      <c r="L476" s="66"/>
      <c r="M476" s="66"/>
      <c r="N476" s="66"/>
      <c r="O476" s="66"/>
      <c r="P476" s="66"/>
      <c r="Q476" s="66"/>
      <c r="R476" s="66"/>
      <c r="S476" s="66"/>
      <c r="T476" s="68"/>
      <c r="AC476" s="66"/>
      <c r="AD476" s="66"/>
      <c r="AE476" s="68"/>
      <c r="AN476" s="66"/>
      <c r="AO476" s="66"/>
      <c r="AP476" s="68"/>
      <c r="AW476" s="66"/>
      <c r="AX476" s="68"/>
      <c r="BD476" s="66"/>
      <c r="BE476" s="68"/>
      <c r="BF476" s="66"/>
      <c r="BG476" s="66"/>
      <c r="BH476" s="66"/>
      <c r="BI476" s="66"/>
      <c r="BJ476" s="66"/>
      <c r="BK476" s="66"/>
      <c r="BL476" s="68"/>
      <c r="BO476" s="66"/>
      <c r="BP476" s="68"/>
      <c r="BV476" s="66"/>
      <c r="BW476" s="68"/>
      <c r="CB476" s="8"/>
      <c r="CH476" s="8"/>
      <c r="CK476" s="299"/>
      <c r="CL476" s="299"/>
      <c r="CM476" s="66"/>
      <c r="CN476" s="66"/>
      <c r="CO476" s="68"/>
      <c r="CR476" s="8"/>
      <c r="CX476" s="66"/>
      <c r="CY476" s="532"/>
      <c r="DE476" s="66"/>
      <c r="DF476" s="66"/>
      <c r="DG476" s="68"/>
      <c r="DH476" s="68"/>
      <c r="DK476" s="66"/>
      <c r="DL476" s="66"/>
      <c r="DM476" s="66"/>
      <c r="DN476" s="66"/>
      <c r="DO476" s="66"/>
      <c r="DP476" s="66"/>
      <c r="DQ476" s="66"/>
      <c r="DR476" s="66"/>
      <c r="DS476" s="66"/>
      <c r="DT476" s="68"/>
      <c r="DU476" s="66"/>
      <c r="DV476" s="296"/>
      <c r="DW476" s="330"/>
      <c r="DX476" s="631"/>
      <c r="DY476" s="631"/>
      <c r="DZ476" s="631"/>
      <c r="EA476" s="330"/>
      <c r="EC476" s="66"/>
      <c r="ED476" s="68"/>
      <c r="EH476" s="66"/>
      <c r="EI476" s="66"/>
      <c r="EJ476" s="68"/>
      <c r="EK476" s="252"/>
      <c r="EL476" s="252"/>
      <c r="EM476" s="252"/>
      <c r="EO476" s="252"/>
      <c r="EP476" s="252"/>
      <c r="EQ476" s="252"/>
      <c r="ES476" s="252"/>
      <c r="ET476" s="252"/>
      <c r="EU476" s="252"/>
      <c r="EW476" s="252"/>
      <c r="EX476" s="252"/>
      <c r="EY476" s="252"/>
      <c r="FA476" s="250"/>
      <c r="FB476" s="250"/>
      <c r="FC476" s="250"/>
      <c r="FD476" s="250"/>
      <c r="FE476" s="250"/>
      <c r="FF476" s="250"/>
      <c r="FG476" s="250"/>
      <c r="FH476" s="424"/>
      <c r="FI476" s="250"/>
      <c r="FJ476" s="250"/>
      <c r="FK476" s="250"/>
      <c r="FL476" s="256"/>
      <c r="FM476" s="250"/>
      <c r="FN476" s="256"/>
      <c r="FO476" s="250"/>
      <c r="FP476" s="256"/>
      <c r="FQ476" s="250"/>
      <c r="FR476" s="256"/>
      <c r="FS476" s="250"/>
      <c r="FT476" s="256"/>
      <c r="FU476" s="256"/>
      <c r="FV476" s="256"/>
      <c r="FW476" s="250"/>
      <c r="FX476" s="424"/>
      <c r="FY476" s="251"/>
      <c r="GC476" s="252"/>
      <c r="GF476" s="252"/>
      <c r="GG476" s="252"/>
      <c r="GH476" s="252"/>
      <c r="GI476" s="252"/>
      <c r="GJ476" s="252"/>
      <c r="GK476" s="251"/>
      <c r="GL476" s="250"/>
      <c r="GM476" s="250"/>
      <c r="GN476" s="250"/>
      <c r="GO476" s="250"/>
      <c r="GP476" s="250"/>
      <c r="GQ476" s="250"/>
      <c r="GR476" s="250"/>
      <c r="GS476" s="250"/>
      <c r="GT476" s="250"/>
      <c r="GU476" s="251"/>
      <c r="GV476" s="250"/>
      <c r="GW476" s="250"/>
      <c r="GX476" s="250"/>
      <c r="GY476" s="250"/>
      <c r="GZ476" s="250"/>
      <c r="HA476" s="250"/>
      <c r="HB476" s="250"/>
      <c r="HC476" s="250"/>
      <c r="HD476" s="250"/>
      <c r="HE476" s="250"/>
      <c r="HF476" s="250"/>
      <c r="HG476" s="250"/>
      <c r="HH476" s="251"/>
      <c r="HI476" s="424"/>
      <c r="HJ476" s="255"/>
      <c r="HK476" s="255"/>
      <c r="HL476" s="250"/>
      <c r="HM476" s="255"/>
      <c r="HN476" s="255"/>
      <c r="HO476" s="255"/>
      <c r="HP476" s="250"/>
      <c r="HQ476" s="250"/>
      <c r="HR476" s="250"/>
      <c r="HS476" s="250"/>
      <c r="HT476" s="250"/>
      <c r="HU476" s="251"/>
      <c r="HX476" s="252"/>
      <c r="HY476" s="252"/>
      <c r="HZ476" s="252"/>
      <c r="ID476" s="252"/>
      <c r="IE476" s="252"/>
      <c r="IF476" s="252"/>
      <c r="IJ476" s="252"/>
      <c r="IK476" s="252"/>
      <c r="IL476" s="252"/>
      <c r="IP476" s="252"/>
      <c r="IQ476" s="252"/>
      <c r="IR476" s="252"/>
      <c r="IY476" s="66"/>
      <c r="IZ476" s="66"/>
      <c r="JA476" s="66"/>
      <c r="JB476" s="250"/>
      <c r="JC476" s="66"/>
      <c r="JD476" s="66"/>
      <c r="JE476" s="66"/>
      <c r="JF476" s="66"/>
      <c r="JG476" s="66"/>
      <c r="JH476" s="66"/>
      <c r="JI476" s="66"/>
      <c r="JJ476" s="66"/>
      <c r="JK476" s="8"/>
      <c r="JN476" s="252"/>
      <c r="JO476" s="252"/>
      <c r="JP476" s="252"/>
      <c r="JT476" s="252"/>
      <c r="JU476" s="252"/>
      <c r="JV476" s="252"/>
      <c r="JZ476" s="252"/>
      <c r="KA476" s="252"/>
      <c r="KB476" s="252"/>
      <c r="KF476" s="252"/>
      <c r="KG476" s="252"/>
      <c r="KH476" s="252"/>
      <c r="KO476" s="66"/>
      <c r="KP476" s="66"/>
      <c r="KQ476" s="66"/>
      <c r="KR476" s="66"/>
      <c r="KS476" s="66"/>
      <c r="KT476" s="66"/>
      <c r="KU476" s="66"/>
      <c r="KV476" s="66"/>
      <c r="KW476" s="66"/>
      <c r="KX476" s="66"/>
      <c r="KY476" s="66"/>
      <c r="KZ476" s="66"/>
      <c r="LA476" s="8"/>
      <c r="LD476" s="252"/>
      <c r="LE476" s="252"/>
      <c r="LF476" s="252"/>
      <c r="LJ476" s="252"/>
      <c r="LK476" s="252"/>
      <c r="LN476" s="252"/>
      <c r="LO476" s="252"/>
      <c r="LP476" s="252"/>
      <c r="LT476" s="271"/>
      <c r="LU476" s="250"/>
      <c r="LV476" s="250"/>
      <c r="LW476" s="250"/>
      <c r="LX476" s="250"/>
      <c r="LY476" s="250"/>
      <c r="LZ476" s="250"/>
      <c r="MA476" s="250"/>
      <c r="MB476" s="250"/>
      <c r="MC476" s="250"/>
      <c r="MD476" s="250"/>
      <c r="ME476" s="250"/>
      <c r="MF476" s="250"/>
      <c r="MG476" s="250"/>
      <c r="MH476" s="250"/>
      <c r="MI476" s="250"/>
      <c r="MJ476" s="250"/>
      <c r="MK476" s="424"/>
      <c r="ML476" s="640"/>
      <c r="MM476" s="251"/>
      <c r="MN476" s="252"/>
      <c r="MO476" s="252"/>
      <c r="MP476" s="252"/>
      <c r="MQ476" s="252"/>
      <c r="MR476" s="252"/>
      <c r="MS476" s="252"/>
      <c r="MT476" s="252"/>
      <c r="MU476" s="252"/>
      <c r="MV476" s="252"/>
      <c r="MW476" s="252"/>
      <c r="MX476" s="252"/>
      <c r="MY476" s="252"/>
      <c r="MZ476" s="252"/>
      <c r="NA476" s="252"/>
      <c r="NB476" s="252"/>
      <c r="NC476" s="251"/>
      <c r="ND476" s="250"/>
      <c r="NE476" s="250"/>
      <c r="NF476" s="250"/>
      <c r="NG476" s="250"/>
      <c r="NH476" s="250"/>
      <c r="NI476" s="250"/>
      <c r="NJ476" s="250"/>
      <c r="NK476" s="250"/>
      <c r="NL476" s="250"/>
      <c r="NM476" s="250"/>
      <c r="NN476" s="250"/>
      <c r="NO476" s="250"/>
      <c r="NP476" s="250"/>
      <c r="NQ476" s="250"/>
      <c r="NR476" s="250"/>
      <c r="NS476" s="250"/>
      <c r="NT476" s="250"/>
      <c r="NU476" s="250"/>
      <c r="NV476" s="250"/>
      <c r="NW476" s="251"/>
      <c r="OT476" s="8"/>
      <c r="QG476" s="8"/>
      <c r="RT476" s="8"/>
    </row>
    <row r="477" spans="1:488" s="282" customFormat="1" x14ac:dyDescent="0.25">
      <c r="A477" s="66"/>
      <c r="B477" s="8"/>
      <c r="C477" s="66"/>
      <c r="D477" s="66"/>
      <c r="E477" s="66"/>
      <c r="F477" s="66"/>
      <c r="G477" s="66"/>
      <c r="H477" s="66"/>
      <c r="I477" s="66"/>
      <c r="J477" s="66"/>
      <c r="K477" s="66"/>
      <c r="L477" s="66"/>
      <c r="M477" s="66"/>
      <c r="N477" s="66"/>
      <c r="O477" s="66"/>
      <c r="P477" s="66"/>
      <c r="Q477" s="66"/>
      <c r="R477" s="66"/>
      <c r="S477" s="66"/>
      <c r="T477" s="68"/>
      <c r="AC477" s="66"/>
      <c r="AD477" s="66"/>
      <c r="AE477" s="68"/>
      <c r="AN477" s="66"/>
      <c r="AO477" s="66"/>
      <c r="AP477" s="68"/>
      <c r="AW477" s="66"/>
      <c r="AX477" s="68"/>
      <c r="BD477" s="66"/>
      <c r="BE477" s="68"/>
      <c r="BF477" s="66"/>
      <c r="BG477" s="66"/>
      <c r="BH477" s="66"/>
      <c r="BI477" s="66"/>
      <c r="BJ477" s="66"/>
      <c r="BK477" s="66"/>
      <c r="BL477" s="68"/>
      <c r="BO477" s="66"/>
      <c r="BP477" s="68"/>
      <c r="BV477" s="66"/>
      <c r="BW477" s="68"/>
      <c r="CB477" s="8"/>
      <c r="CH477" s="8"/>
      <c r="CK477" s="299"/>
      <c r="CL477" s="299"/>
      <c r="CM477" s="66"/>
      <c r="CN477" s="66"/>
      <c r="CO477" s="68"/>
      <c r="CR477" s="8"/>
      <c r="CX477" s="66"/>
      <c r="CY477" s="532"/>
      <c r="DE477" s="66"/>
      <c r="DF477" s="66"/>
      <c r="DG477" s="68"/>
      <c r="DH477" s="68"/>
      <c r="DK477" s="66"/>
      <c r="DL477" s="66"/>
      <c r="DM477" s="66"/>
      <c r="DN477" s="66"/>
      <c r="DO477" s="66"/>
      <c r="DP477" s="66"/>
      <c r="DQ477" s="66"/>
      <c r="DR477" s="66"/>
      <c r="DS477" s="66"/>
      <c r="DT477" s="68"/>
      <c r="DU477" s="66"/>
      <c r="DV477" s="296"/>
      <c r="DW477" s="330"/>
      <c r="DX477" s="631"/>
      <c r="DY477" s="631"/>
      <c r="DZ477" s="631"/>
      <c r="EA477" s="330"/>
      <c r="EC477" s="66"/>
      <c r="ED477" s="68"/>
      <c r="EH477" s="66"/>
      <c r="EI477" s="66"/>
      <c r="EJ477" s="68"/>
      <c r="EK477" s="252"/>
      <c r="EL477" s="252"/>
      <c r="EM477" s="252"/>
      <c r="EO477" s="252"/>
      <c r="EP477" s="252"/>
      <c r="EQ477" s="252"/>
      <c r="ES477" s="252"/>
      <c r="ET477" s="252"/>
      <c r="EU477" s="252"/>
      <c r="EW477" s="252"/>
      <c r="EX477" s="252"/>
      <c r="EY477" s="252"/>
      <c r="FA477" s="250"/>
      <c r="FB477" s="250"/>
      <c r="FC477" s="250"/>
      <c r="FD477" s="250"/>
      <c r="FE477" s="250"/>
      <c r="FF477" s="250"/>
      <c r="FG477" s="250"/>
      <c r="FH477" s="424"/>
      <c r="FI477" s="250"/>
      <c r="FJ477" s="250"/>
      <c r="FK477" s="250"/>
      <c r="FL477" s="256"/>
      <c r="FM477" s="250"/>
      <c r="FN477" s="256"/>
      <c r="FO477" s="250"/>
      <c r="FP477" s="256"/>
      <c r="FQ477" s="250"/>
      <c r="FR477" s="256"/>
      <c r="FS477" s="250"/>
      <c r="FT477" s="256"/>
      <c r="FU477" s="256"/>
      <c r="FV477" s="256"/>
      <c r="FW477" s="250"/>
      <c r="FX477" s="424"/>
      <c r="FY477" s="251"/>
      <c r="GC477" s="252"/>
      <c r="GF477" s="252"/>
      <c r="GG477" s="252"/>
      <c r="GH477" s="252"/>
      <c r="GI477" s="252"/>
      <c r="GJ477" s="252"/>
      <c r="GK477" s="251"/>
      <c r="GL477" s="250"/>
      <c r="GM477" s="250"/>
      <c r="GN477" s="250"/>
      <c r="GO477" s="250"/>
      <c r="GP477" s="250"/>
      <c r="GQ477" s="250"/>
      <c r="GR477" s="250"/>
      <c r="GS477" s="250"/>
      <c r="GT477" s="250"/>
      <c r="GU477" s="251"/>
      <c r="GV477" s="250"/>
      <c r="GW477" s="250"/>
      <c r="GX477" s="250"/>
      <c r="GY477" s="250"/>
      <c r="GZ477" s="250"/>
      <c r="HA477" s="250"/>
      <c r="HB477" s="250"/>
      <c r="HC477" s="250"/>
      <c r="HD477" s="250"/>
      <c r="HE477" s="250"/>
      <c r="HF477" s="250"/>
      <c r="HG477" s="250"/>
      <c r="HH477" s="251"/>
      <c r="HI477" s="424"/>
      <c r="HJ477" s="255"/>
      <c r="HK477" s="255"/>
      <c r="HL477" s="250"/>
      <c r="HM477" s="255"/>
      <c r="HN477" s="255"/>
      <c r="HO477" s="255"/>
      <c r="HP477" s="250"/>
      <c r="HQ477" s="250"/>
      <c r="HR477" s="250"/>
      <c r="HS477" s="250"/>
      <c r="HT477" s="250"/>
      <c r="HU477" s="251"/>
      <c r="HX477" s="252"/>
      <c r="HY477" s="252"/>
      <c r="HZ477" s="252"/>
      <c r="ID477" s="252"/>
      <c r="IE477" s="252"/>
      <c r="IF477" s="252"/>
      <c r="IJ477" s="252"/>
      <c r="IK477" s="252"/>
      <c r="IL477" s="252"/>
      <c r="IP477" s="252"/>
      <c r="IQ477" s="252"/>
      <c r="IR477" s="252"/>
      <c r="IY477" s="66"/>
      <c r="IZ477" s="66"/>
      <c r="JA477" s="66"/>
      <c r="JB477" s="250"/>
      <c r="JC477" s="66"/>
      <c r="JD477" s="66"/>
      <c r="JE477" s="66"/>
      <c r="JF477" s="66"/>
      <c r="JG477" s="66"/>
      <c r="JH477" s="66"/>
      <c r="JI477" s="66"/>
      <c r="JJ477" s="66"/>
      <c r="JK477" s="8"/>
      <c r="JN477" s="252"/>
      <c r="JO477" s="252"/>
      <c r="JP477" s="252"/>
      <c r="JT477" s="252"/>
      <c r="JU477" s="252"/>
      <c r="JV477" s="252"/>
      <c r="JZ477" s="252"/>
      <c r="KA477" s="252"/>
      <c r="KB477" s="252"/>
      <c r="KF477" s="252"/>
      <c r="KG477" s="252"/>
      <c r="KH477" s="252"/>
      <c r="KO477" s="66"/>
      <c r="KP477" s="66"/>
      <c r="KQ477" s="66"/>
      <c r="KR477" s="66"/>
      <c r="KS477" s="66"/>
      <c r="KT477" s="66"/>
      <c r="KU477" s="66"/>
      <c r="KV477" s="66"/>
      <c r="KW477" s="66"/>
      <c r="KX477" s="66"/>
      <c r="KY477" s="66"/>
      <c r="KZ477" s="66"/>
      <c r="LA477" s="8"/>
      <c r="LD477" s="252"/>
      <c r="LE477" s="252"/>
      <c r="LF477" s="252"/>
      <c r="LJ477" s="252"/>
      <c r="LK477" s="252"/>
      <c r="LN477" s="252"/>
      <c r="LO477" s="252"/>
      <c r="LP477" s="252"/>
      <c r="LT477" s="271"/>
      <c r="LU477" s="250"/>
      <c r="LV477" s="250"/>
      <c r="LW477" s="250"/>
      <c r="LX477" s="250"/>
      <c r="LY477" s="250"/>
      <c r="LZ477" s="250"/>
      <c r="MA477" s="250"/>
      <c r="MB477" s="250"/>
      <c r="MC477" s="250"/>
      <c r="MD477" s="250"/>
      <c r="ME477" s="250"/>
      <c r="MF477" s="250"/>
      <c r="MG477" s="250"/>
      <c r="MH477" s="250"/>
      <c r="MI477" s="250"/>
      <c r="MJ477" s="250"/>
      <c r="MK477" s="424"/>
      <c r="ML477" s="640"/>
      <c r="MM477" s="251"/>
      <c r="MN477" s="252"/>
      <c r="MO477" s="252"/>
      <c r="MP477" s="252"/>
      <c r="MQ477" s="252"/>
      <c r="MR477" s="252"/>
      <c r="MS477" s="252"/>
      <c r="MT477" s="252"/>
      <c r="MU477" s="252"/>
      <c r="MV477" s="252"/>
      <c r="MW477" s="252"/>
      <c r="MX477" s="252"/>
      <c r="MY477" s="252"/>
      <c r="MZ477" s="252"/>
      <c r="NA477" s="252"/>
      <c r="NB477" s="252"/>
      <c r="NC477" s="251"/>
      <c r="ND477" s="250"/>
      <c r="NE477" s="250"/>
      <c r="NF477" s="250"/>
      <c r="NG477" s="250"/>
      <c r="NH477" s="250"/>
      <c r="NI477" s="250"/>
      <c r="NJ477" s="250"/>
      <c r="NK477" s="250"/>
      <c r="NL477" s="250"/>
      <c r="NM477" s="250"/>
      <c r="NN477" s="250"/>
      <c r="NO477" s="250"/>
      <c r="NP477" s="250"/>
      <c r="NQ477" s="250"/>
      <c r="NR477" s="250"/>
      <c r="NS477" s="250"/>
      <c r="NT477" s="250"/>
      <c r="NU477" s="250"/>
      <c r="NV477" s="250"/>
      <c r="NW477" s="251"/>
      <c r="OT477" s="8"/>
      <c r="QG477" s="8"/>
      <c r="RT477" s="8"/>
    </row>
    <row r="478" spans="1:488" s="282" customFormat="1" x14ac:dyDescent="0.25">
      <c r="A478" s="66"/>
      <c r="B478" s="8"/>
      <c r="C478" s="66"/>
      <c r="D478" s="66"/>
      <c r="E478" s="66"/>
      <c r="F478" s="66"/>
      <c r="G478" s="66"/>
      <c r="H478" s="66"/>
      <c r="I478" s="66"/>
      <c r="J478" s="66"/>
      <c r="K478" s="66"/>
      <c r="L478" s="66"/>
      <c r="M478" s="66"/>
      <c r="N478" s="66"/>
      <c r="O478" s="66"/>
      <c r="P478" s="66"/>
      <c r="Q478" s="66"/>
      <c r="R478" s="66"/>
      <c r="S478" s="66"/>
      <c r="T478" s="68"/>
      <c r="AC478" s="66"/>
      <c r="AD478" s="66"/>
      <c r="AE478" s="68"/>
      <c r="AN478" s="66"/>
      <c r="AO478" s="66"/>
      <c r="AP478" s="68"/>
      <c r="AW478" s="66"/>
      <c r="AX478" s="68"/>
      <c r="BD478" s="66"/>
      <c r="BE478" s="68"/>
      <c r="BF478" s="66"/>
      <c r="BG478" s="66"/>
      <c r="BH478" s="66"/>
      <c r="BI478" s="66"/>
      <c r="BJ478" s="66"/>
      <c r="BK478" s="66"/>
      <c r="BL478" s="68"/>
      <c r="BO478" s="66"/>
      <c r="BP478" s="68"/>
      <c r="BV478" s="66"/>
      <c r="BW478" s="68"/>
      <c r="CB478" s="8"/>
      <c r="CH478" s="8"/>
      <c r="CK478" s="299"/>
      <c r="CL478" s="299"/>
      <c r="CM478" s="66"/>
      <c r="CN478" s="66"/>
      <c r="CO478" s="68"/>
      <c r="CR478" s="8"/>
      <c r="CX478" s="66"/>
      <c r="CY478" s="532"/>
      <c r="DE478" s="66"/>
      <c r="DF478" s="66"/>
      <c r="DG478" s="68"/>
      <c r="DH478" s="68"/>
      <c r="DK478" s="66"/>
      <c r="DL478" s="66"/>
      <c r="DM478" s="66"/>
      <c r="DN478" s="66"/>
      <c r="DO478" s="66"/>
      <c r="DP478" s="66"/>
      <c r="DQ478" s="66"/>
      <c r="DR478" s="66"/>
      <c r="DS478" s="66"/>
      <c r="DT478" s="68"/>
      <c r="DU478" s="66"/>
      <c r="DV478" s="296"/>
      <c r="DW478" s="330"/>
      <c r="DX478" s="631"/>
      <c r="DY478" s="631"/>
      <c r="DZ478" s="631"/>
      <c r="EA478" s="330"/>
      <c r="EC478" s="66"/>
      <c r="ED478" s="68"/>
      <c r="EH478" s="66"/>
      <c r="EI478" s="66"/>
      <c r="EJ478" s="68"/>
      <c r="EK478" s="252"/>
      <c r="EL478" s="252"/>
      <c r="EM478" s="252"/>
      <c r="EO478" s="252"/>
      <c r="EP478" s="252"/>
      <c r="EQ478" s="252"/>
      <c r="ES478" s="252"/>
      <c r="ET478" s="252"/>
      <c r="EU478" s="252"/>
      <c r="EW478" s="252"/>
      <c r="EX478" s="252"/>
      <c r="EY478" s="252"/>
      <c r="FA478" s="250"/>
      <c r="FB478" s="250"/>
      <c r="FC478" s="250"/>
      <c r="FD478" s="250"/>
      <c r="FE478" s="250"/>
      <c r="FF478" s="250"/>
      <c r="FG478" s="250"/>
      <c r="FH478" s="424"/>
      <c r="FI478" s="250"/>
      <c r="FJ478" s="250"/>
      <c r="FK478" s="250"/>
      <c r="FL478" s="256"/>
      <c r="FM478" s="250"/>
      <c r="FN478" s="256"/>
      <c r="FO478" s="250"/>
      <c r="FP478" s="256"/>
      <c r="FQ478" s="250"/>
      <c r="FR478" s="256"/>
      <c r="FS478" s="250"/>
      <c r="FT478" s="256"/>
      <c r="FU478" s="256"/>
      <c r="FV478" s="256"/>
      <c r="FW478" s="250"/>
      <c r="FX478" s="424"/>
      <c r="FY478" s="251"/>
      <c r="GC478" s="252"/>
      <c r="GF478" s="252"/>
      <c r="GG478" s="252"/>
      <c r="GH478" s="252"/>
      <c r="GI478" s="252"/>
      <c r="GJ478" s="252"/>
      <c r="GK478" s="251"/>
      <c r="GL478" s="250"/>
      <c r="GM478" s="250"/>
      <c r="GN478" s="250"/>
      <c r="GO478" s="250"/>
      <c r="GP478" s="250"/>
      <c r="GQ478" s="250"/>
      <c r="GR478" s="250"/>
      <c r="GS478" s="250"/>
      <c r="GT478" s="250"/>
      <c r="GU478" s="251"/>
      <c r="GV478" s="250"/>
      <c r="GW478" s="250"/>
      <c r="GX478" s="250"/>
      <c r="GY478" s="250"/>
      <c r="GZ478" s="250"/>
      <c r="HA478" s="250"/>
      <c r="HB478" s="250"/>
      <c r="HC478" s="250"/>
      <c r="HD478" s="250"/>
      <c r="HE478" s="250"/>
      <c r="HF478" s="250"/>
      <c r="HG478" s="250"/>
      <c r="HH478" s="251"/>
      <c r="HI478" s="424"/>
      <c r="HJ478" s="255"/>
      <c r="HK478" s="255"/>
      <c r="HL478" s="250"/>
      <c r="HM478" s="255"/>
      <c r="HN478" s="255"/>
      <c r="HO478" s="255"/>
      <c r="HP478" s="250"/>
      <c r="HQ478" s="250"/>
      <c r="HR478" s="250"/>
      <c r="HS478" s="250"/>
      <c r="HT478" s="250"/>
      <c r="HU478" s="251"/>
      <c r="HX478" s="252"/>
      <c r="HY478" s="252"/>
      <c r="HZ478" s="252"/>
      <c r="ID478" s="252"/>
      <c r="IE478" s="252"/>
      <c r="IF478" s="252"/>
      <c r="IJ478" s="252"/>
      <c r="IK478" s="252"/>
      <c r="IL478" s="252"/>
      <c r="IP478" s="252"/>
      <c r="IQ478" s="252"/>
      <c r="IR478" s="252"/>
      <c r="IY478" s="66"/>
      <c r="IZ478" s="66"/>
      <c r="JA478" s="66"/>
      <c r="JB478" s="250"/>
      <c r="JC478" s="66"/>
      <c r="JD478" s="66"/>
      <c r="JE478" s="66"/>
      <c r="JF478" s="66"/>
      <c r="JG478" s="66"/>
      <c r="JH478" s="66"/>
      <c r="JI478" s="66"/>
      <c r="JJ478" s="66"/>
      <c r="JK478" s="8"/>
      <c r="JN478" s="252"/>
      <c r="JO478" s="252"/>
      <c r="JP478" s="252"/>
      <c r="JT478" s="252"/>
      <c r="JU478" s="252"/>
      <c r="JV478" s="252"/>
      <c r="JZ478" s="252"/>
      <c r="KA478" s="252"/>
      <c r="KB478" s="252"/>
      <c r="KF478" s="252"/>
      <c r="KG478" s="252"/>
      <c r="KH478" s="252"/>
      <c r="KO478" s="66"/>
      <c r="KP478" s="66"/>
      <c r="KQ478" s="66"/>
      <c r="KR478" s="66"/>
      <c r="KS478" s="66"/>
      <c r="KT478" s="66"/>
      <c r="KU478" s="66"/>
      <c r="KV478" s="66"/>
      <c r="KW478" s="66"/>
      <c r="KX478" s="66"/>
      <c r="KY478" s="66"/>
      <c r="KZ478" s="66"/>
      <c r="LA478" s="8"/>
      <c r="LD478" s="252"/>
      <c r="LE478" s="252"/>
      <c r="LF478" s="252"/>
      <c r="LJ478" s="252"/>
      <c r="LK478" s="252"/>
      <c r="LN478" s="252"/>
      <c r="LO478" s="252"/>
      <c r="LP478" s="252"/>
      <c r="LT478" s="271"/>
      <c r="LU478" s="250"/>
      <c r="LV478" s="250"/>
      <c r="LW478" s="250"/>
      <c r="LX478" s="250"/>
      <c r="LY478" s="250"/>
      <c r="LZ478" s="250"/>
      <c r="MA478" s="250"/>
      <c r="MB478" s="250"/>
      <c r="MC478" s="250"/>
      <c r="MD478" s="250"/>
      <c r="ME478" s="250"/>
      <c r="MF478" s="250"/>
      <c r="MG478" s="250"/>
      <c r="MH478" s="250"/>
      <c r="MI478" s="250"/>
      <c r="MJ478" s="250"/>
      <c r="MK478" s="424"/>
      <c r="ML478" s="640"/>
      <c r="MM478" s="251"/>
      <c r="MN478" s="252"/>
      <c r="MO478" s="252"/>
      <c r="MP478" s="252"/>
      <c r="MQ478" s="252"/>
      <c r="MR478" s="252"/>
      <c r="MS478" s="252"/>
      <c r="MT478" s="252"/>
      <c r="MU478" s="252"/>
      <c r="MV478" s="252"/>
      <c r="MW478" s="252"/>
      <c r="MX478" s="252"/>
      <c r="MY478" s="252"/>
      <c r="MZ478" s="252"/>
      <c r="NA478" s="252"/>
      <c r="NB478" s="252"/>
      <c r="NC478" s="251"/>
      <c r="ND478" s="250"/>
      <c r="NE478" s="250"/>
      <c r="NF478" s="250"/>
      <c r="NG478" s="250"/>
      <c r="NH478" s="250"/>
      <c r="NI478" s="250"/>
      <c r="NJ478" s="250"/>
      <c r="NK478" s="250"/>
      <c r="NL478" s="250"/>
      <c r="NM478" s="250"/>
      <c r="NN478" s="250"/>
      <c r="NO478" s="250"/>
      <c r="NP478" s="250"/>
      <c r="NQ478" s="250"/>
      <c r="NR478" s="250"/>
      <c r="NS478" s="250"/>
      <c r="NT478" s="250"/>
      <c r="NU478" s="250"/>
      <c r="NV478" s="250"/>
      <c r="NW478" s="251"/>
      <c r="OT478" s="8"/>
      <c r="QG478" s="8"/>
      <c r="RT478" s="8"/>
    </row>
    <row r="479" spans="1:488" s="282" customFormat="1" x14ac:dyDescent="0.25">
      <c r="A479" s="66"/>
      <c r="B479" s="8"/>
      <c r="C479" s="66"/>
      <c r="D479" s="66"/>
      <c r="E479" s="66"/>
      <c r="F479" s="66"/>
      <c r="G479" s="66"/>
      <c r="H479" s="66"/>
      <c r="I479" s="66"/>
      <c r="J479" s="66"/>
      <c r="K479" s="66"/>
      <c r="L479" s="66"/>
      <c r="M479" s="66"/>
      <c r="N479" s="66"/>
      <c r="O479" s="66"/>
      <c r="P479" s="66"/>
      <c r="Q479" s="66"/>
      <c r="R479" s="66"/>
      <c r="S479" s="66"/>
      <c r="T479" s="68"/>
      <c r="AC479" s="66"/>
      <c r="AD479" s="66"/>
      <c r="AE479" s="68"/>
      <c r="AN479" s="66"/>
      <c r="AO479" s="66"/>
      <c r="AP479" s="68"/>
      <c r="AW479" s="66"/>
      <c r="AX479" s="68"/>
      <c r="BD479" s="66"/>
      <c r="BE479" s="68"/>
      <c r="BF479" s="66"/>
      <c r="BG479" s="66"/>
      <c r="BH479" s="66"/>
      <c r="BI479" s="66"/>
      <c r="BJ479" s="66"/>
      <c r="BK479" s="66"/>
      <c r="BL479" s="68"/>
      <c r="BO479" s="66"/>
      <c r="BP479" s="68"/>
      <c r="BV479" s="66"/>
      <c r="BW479" s="68"/>
      <c r="CB479" s="8"/>
      <c r="CH479" s="8"/>
      <c r="CK479" s="299"/>
      <c r="CL479" s="299"/>
      <c r="CM479" s="66"/>
      <c r="CN479" s="66"/>
      <c r="CO479" s="68"/>
      <c r="CR479" s="8"/>
      <c r="CX479" s="66"/>
      <c r="CY479" s="532"/>
      <c r="DE479" s="66"/>
      <c r="DF479" s="66"/>
      <c r="DG479" s="68"/>
      <c r="DH479" s="68"/>
      <c r="DK479" s="66"/>
      <c r="DL479" s="66"/>
      <c r="DM479" s="66"/>
      <c r="DN479" s="66"/>
      <c r="DO479" s="66"/>
      <c r="DP479" s="66"/>
      <c r="DQ479" s="66"/>
      <c r="DR479" s="66"/>
      <c r="DS479" s="66"/>
      <c r="DT479" s="68"/>
      <c r="DU479" s="66"/>
      <c r="DV479" s="296"/>
      <c r="DW479" s="330"/>
      <c r="DX479" s="631"/>
      <c r="DY479" s="631"/>
      <c r="DZ479" s="631"/>
      <c r="EA479" s="330"/>
      <c r="EC479" s="66"/>
      <c r="ED479" s="68"/>
      <c r="EH479" s="66"/>
      <c r="EI479" s="66"/>
      <c r="EJ479" s="68"/>
      <c r="EK479" s="252"/>
      <c r="EL479" s="252"/>
      <c r="EM479" s="252"/>
      <c r="EO479" s="252"/>
      <c r="EP479" s="252"/>
      <c r="EQ479" s="252"/>
      <c r="ES479" s="252"/>
      <c r="ET479" s="252"/>
      <c r="EU479" s="252"/>
      <c r="EW479" s="252"/>
      <c r="EX479" s="252"/>
      <c r="EY479" s="252"/>
      <c r="FA479" s="250"/>
      <c r="FB479" s="250"/>
      <c r="FC479" s="250"/>
      <c r="FD479" s="250"/>
      <c r="FE479" s="250"/>
      <c r="FF479" s="250"/>
      <c r="FG479" s="250"/>
      <c r="FH479" s="424"/>
      <c r="FI479" s="250"/>
      <c r="FJ479" s="250"/>
      <c r="FK479" s="250"/>
      <c r="FL479" s="256"/>
      <c r="FM479" s="250"/>
      <c r="FN479" s="256"/>
      <c r="FO479" s="250"/>
      <c r="FP479" s="256"/>
      <c r="FQ479" s="250"/>
      <c r="FR479" s="256"/>
      <c r="FS479" s="250"/>
      <c r="FT479" s="256"/>
      <c r="FU479" s="256"/>
      <c r="FV479" s="256"/>
      <c r="FW479" s="250"/>
      <c r="FX479" s="424"/>
      <c r="FY479" s="251"/>
      <c r="GC479" s="252"/>
      <c r="GF479" s="252"/>
      <c r="GG479" s="252"/>
      <c r="GH479" s="252"/>
      <c r="GI479" s="252"/>
      <c r="GJ479" s="252"/>
      <c r="GK479" s="251"/>
      <c r="GL479" s="250"/>
      <c r="GM479" s="250"/>
      <c r="GN479" s="250"/>
      <c r="GO479" s="250"/>
      <c r="GP479" s="250"/>
      <c r="GQ479" s="250"/>
      <c r="GR479" s="250"/>
      <c r="GS479" s="250"/>
      <c r="GT479" s="250"/>
      <c r="GU479" s="251"/>
      <c r="GV479" s="250"/>
      <c r="GW479" s="250"/>
      <c r="GX479" s="250"/>
      <c r="GY479" s="250"/>
      <c r="GZ479" s="250"/>
      <c r="HA479" s="250"/>
      <c r="HB479" s="250"/>
      <c r="HC479" s="250"/>
      <c r="HD479" s="250"/>
      <c r="HE479" s="250"/>
      <c r="HF479" s="250"/>
      <c r="HG479" s="250"/>
      <c r="HH479" s="251"/>
      <c r="HI479" s="424"/>
      <c r="HJ479" s="255"/>
      <c r="HK479" s="255"/>
      <c r="HL479" s="250"/>
      <c r="HM479" s="255"/>
      <c r="HN479" s="255"/>
      <c r="HO479" s="255"/>
      <c r="HP479" s="250"/>
      <c r="HQ479" s="250"/>
      <c r="HR479" s="250"/>
      <c r="HS479" s="250"/>
      <c r="HT479" s="250"/>
      <c r="HU479" s="251"/>
      <c r="HX479" s="252"/>
      <c r="HY479" s="252"/>
      <c r="HZ479" s="252"/>
      <c r="ID479" s="252"/>
      <c r="IE479" s="252"/>
      <c r="IF479" s="252"/>
      <c r="IJ479" s="252"/>
      <c r="IK479" s="252"/>
      <c r="IL479" s="252"/>
      <c r="IP479" s="252"/>
      <c r="IQ479" s="252"/>
      <c r="IR479" s="252"/>
      <c r="IY479" s="66"/>
      <c r="IZ479" s="66"/>
      <c r="JA479" s="66"/>
      <c r="JB479" s="250"/>
      <c r="JC479" s="66"/>
      <c r="JD479" s="66"/>
      <c r="JE479" s="66"/>
      <c r="JF479" s="66"/>
      <c r="JG479" s="66"/>
      <c r="JH479" s="66"/>
      <c r="JI479" s="66"/>
      <c r="JJ479" s="66"/>
      <c r="JK479" s="8"/>
      <c r="JN479" s="252"/>
      <c r="JO479" s="252"/>
      <c r="JP479" s="252"/>
      <c r="JT479" s="252"/>
      <c r="JU479" s="252"/>
      <c r="JV479" s="252"/>
      <c r="JZ479" s="252"/>
      <c r="KA479" s="252"/>
      <c r="KB479" s="252"/>
      <c r="KF479" s="252"/>
      <c r="KG479" s="252"/>
      <c r="KH479" s="252"/>
      <c r="KO479" s="66"/>
      <c r="KP479" s="66"/>
      <c r="KQ479" s="66"/>
      <c r="KR479" s="66"/>
      <c r="KS479" s="66"/>
      <c r="KT479" s="66"/>
      <c r="KU479" s="66"/>
      <c r="KV479" s="66"/>
      <c r="KW479" s="66"/>
      <c r="KX479" s="66"/>
      <c r="KY479" s="66"/>
      <c r="KZ479" s="66"/>
      <c r="LA479" s="8"/>
      <c r="LD479" s="252"/>
      <c r="LE479" s="252"/>
      <c r="LF479" s="252"/>
      <c r="LJ479" s="252"/>
      <c r="LK479" s="252"/>
      <c r="LN479" s="252"/>
      <c r="LO479" s="252"/>
      <c r="LP479" s="252"/>
      <c r="LT479" s="271"/>
      <c r="LU479" s="250"/>
      <c r="LV479" s="250"/>
      <c r="LW479" s="250"/>
      <c r="LX479" s="250"/>
      <c r="LY479" s="250"/>
      <c r="LZ479" s="250"/>
      <c r="MA479" s="250"/>
      <c r="MB479" s="250"/>
      <c r="MC479" s="250"/>
      <c r="MD479" s="250"/>
      <c r="ME479" s="250"/>
      <c r="MF479" s="250"/>
      <c r="MG479" s="250"/>
      <c r="MH479" s="250"/>
      <c r="MI479" s="250"/>
      <c r="MJ479" s="250"/>
      <c r="MK479" s="424"/>
      <c r="ML479" s="640"/>
      <c r="MM479" s="251"/>
      <c r="MN479" s="252"/>
      <c r="MO479" s="252"/>
      <c r="MP479" s="252"/>
      <c r="MQ479" s="252"/>
      <c r="MR479" s="252"/>
      <c r="MS479" s="252"/>
      <c r="MT479" s="252"/>
      <c r="MU479" s="252"/>
      <c r="MV479" s="252"/>
      <c r="MW479" s="252"/>
      <c r="MX479" s="252"/>
      <c r="MY479" s="252"/>
      <c r="MZ479" s="252"/>
      <c r="NA479" s="252"/>
      <c r="NB479" s="252"/>
      <c r="NC479" s="251"/>
      <c r="ND479" s="250"/>
      <c r="NE479" s="250"/>
      <c r="NF479" s="250"/>
      <c r="NG479" s="250"/>
      <c r="NH479" s="250"/>
      <c r="NI479" s="250"/>
      <c r="NJ479" s="250"/>
      <c r="NK479" s="250"/>
      <c r="NL479" s="250"/>
      <c r="NM479" s="250"/>
      <c r="NN479" s="250"/>
      <c r="NO479" s="250"/>
      <c r="NP479" s="250"/>
      <c r="NQ479" s="250"/>
      <c r="NR479" s="250"/>
      <c r="NS479" s="250"/>
      <c r="NT479" s="250"/>
      <c r="NU479" s="250"/>
      <c r="NV479" s="250"/>
      <c r="NW479" s="251"/>
      <c r="OT479" s="8"/>
      <c r="QG479" s="8"/>
      <c r="RT479" s="8"/>
    </row>
    <row r="480" spans="1:488" s="282" customFormat="1" x14ac:dyDescent="0.25">
      <c r="A480" s="66"/>
      <c r="B480" s="8"/>
      <c r="C480" s="66"/>
      <c r="D480" s="66"/>
      <c r="E480" s="66"/>
      <c r="F480" s="66"/>
      <c r="G480" s="66"/>
      <c r="H480" s="66"/>
      <c r="I480" s="66"/>
      <c r="J480" s="66"/>
      <c r="K480" s="66"/>
      <c r="L480" s="66"/>
      <c r="M480" s="66"/>
      <c r="N480" s="66"/>
      <c r="O480" s="66"/>
      <c r="P480" s="66"/>
      <c r="Q480" s="66"/>
      <c r="R480" s="66"/>
      <c r="S480" s="66"/>
      <c r="T480" s="68"/>
      <c r="AC480" s="66"/>
      <c r="AD480" s="66"/>
      <c r="AE480" s="68"/>
      <c r="AN480" s="66"/>
      <c r="AO480" s="66"/>
      <c r="AP480" s="68"/>
      <c r="AW480" s="66"/>
      <c r="AX480" s="68"/>
      <c r="BD480" s="66"/>
      <c r="BE480" s="68"/>
      <c r="BF480" s="66"/>
      <c r="BG480" s="66"/>
      <c r="BH480" s="66"/>
      <c r="BI480" s="66"/>
      <c r="BJ480" s="66"/>
      <c r="BK480" s="66"/>
      <c r="BL480" s="68"/>
      <c r="BO480" s="66"/>
      <c r="BP480" s="68"/>
      <c r="BV480" s="66"/>
      <c r="BW480" s="68"/>
      <c r="CB480" s="8"/>
      <c r="CH480" s="8"/>
      <c r="CK480" s="299"/>
      <c r="CL480" s="299"/>
      <c r="CM480" s="66"/>
      <c r="CN480" s="66"/>
      <c r="CO480" s="68"/>
      <c r="CR480" s="8"/>
      <c r="CX480" s="66"/>
      <c r="CY480" s="532"/>
      <c r="DE480" s="66"/>
      <c r="DF480" s="66"/>
      <c r="DG480" s="68"/>
      <c r="DH480" s="68"/>
      <c r="DK480" s="66"/>
      <c r="DL480" s="66"/>
      <c r="DM480" s="66"/>
      <c r="DN480" s="66"/>
      <c r="DO480" s="66"/>
      <c r="DP480" s="66"/>
      <c r="DQ480" s="66"/>
      <c r="DR480" s="66"/>
      <c r="DS480" s="66"/>
      <c r="DT480" s="68"/>
      <c r="DU480" s="66"/>
      <c r="DV480" s="296"/>
      <c r="DW480" s="330"/>
      <c r="DX480" s="631"/>
      <c r="DY480" s="631"/>
      <c r="DZ480" s="631"/>
      <c r="EA480" s="330"/>
      <c r="EC480" s="66"/>
      <c r="ED480" s="68"/>
      <c r="EH480" s="66"/>
      <c r="EI480" s="66"/>
      <c r="EJ480" s="68"/>
      <c r="EK480" s="252"/>
      <c r="EL480" s="252"/>
      <c r="EM480" s="252"/>
      <c r="EO480" s="252"/>
      <c r="EP480" s="252"/>
      <c r="EQ480" s="252"/>
      <c r="ES480" s="252"/>
      <c r="ET480" s="252"/>
      <c r="EU480" s="252"/>
      <c r="EW480" s="252"/>
      <c r="EX480" s="252"/>
      <c r="EY480" s="252"/>
      <c r="FA480" s="250"/>
      <c r="FB480" s="250"/>
      <c r="FC480" s="250"/>
      <c r="FD480" s="250"/>
      <c r="FE480" s="250"/>
      <c r="FF480" s="250"/>
      <c r="FG480" s="250"/>
      <c r="FH480" s="424"/>
      <c r="FI480" s="250"/>
      <c r="FJ480" s="250"/>
      <c r="FK480" s="250"/>
      <c r="FL480" s="256"/>
      <c r="FM480" s="250"/>
      <c r="FN480" s="256"/>
      <c r="FO480" s="250"/>
      <c r="FP480" s="256"/>
      <c r="FQ480" s="250"/>
      <c r="FR480" s="256"/>
      <c r="FS480" s="250"/>
      <c r="FT480" s="256"/>
      <c r="FU480" s="256"/>
      <c r="FV480" s="256"/>
      <c r="FW480" s="250"/>
      <c r="FX480" s="424"/>
      <c r="FY480" s="251"/>
      <c r="GC480" s="252"/>
      <c r="GF480" s="252"/>
      <c r="GG480" s="252"/>
      <c r="GH480" s="252"/>
      <c r="GI480" s="252"/>
      <c r="GJ480" s="252"/>
      <c r="GK480" s="251"/>
      <c r="GL480" s="250"/>
      <c r="GM480" s="250"/>
      <c r="GN480" s="250"/>
      <c r="GO480" s="250"/>
      <c r="GP480" s="250"/>
      <c r="GQ480" s="250"/>
      <c r="GR480" s="250"/>
      <c r="GS480" s="250"/>
      <c r="GT480" s="250"/>
      <c r="GU480" s="251"/>
      <c r="GV480" s="250"/>
      <c r="GW480" s="250"/>
      <c r="GX480" s="250"/>
      <c r="GY480" s="250"/>
      <c r="GZ480" s="250"/>
      <c r="HA480" s="250"/>
      <c r="HB480" s="250"/>
      <c r="HC480" s="250"/>
      <c r="HD480" s="250"/>
      <c r="HE480" s="250"/>
      <c r="HF480" s="250"/>
      <c r="HG480" s="250"/>
      <c r="HH480" s="251"/>
      <c r="HI480" s="424"/>
      <c r="HJ480" s="255"/>
      <c r="HK480" s="255"/>
      <c r="HL480" s="250"/>
      <c r="HM480" s="255"/>
      <c r="HN480" s="255"/>
      <c r="HO480" s="255"/>
      <c r="HP480" s="250"/>
      <c r="HQ480" s="250"/>
      <c r="HR480" s="250"/>
      <c r="HS480" s="250"/>
      <c r="HT480" s="250"/>
      <c r="HU480" s="251"/>
      <c r="HX480" s="252"/>
      <c r="HY480" s="252"/>
      <c r="HZ480" s="252"/>
      <c r="ID480" s="252"/>
      <c r="IE480" s="252"/>
      <c r="IF480" s="252"/>
      <c r="IJ480" s="252"/>
      <c r="IK480" s="252"/>
      <c r="IL480" s="252"/>
      <c r="IP480" s="252"/>
      <c r="IQ480" s="252"/>
      <c r="IR480" s="252"/>
      <c r="IY480" s="66"/>
      <c r="IZ480" s="66"/>
      <c r="JA480" s="66"/>
      <c r="JB480" s="250"/>
      <c r="JC480" s="66"/>
      <c r="JD480" s="66"/>
      <c r="JE480" s="66"/>
      <c r="JF480" s="66"/>
      <c r="JG480" s="66"/>
      <c r="JH480" s="66"/>
      <c r="JI480" s="66"/>
      <c r="JJ480" s="66"/>
      <c r="JK480" s="8"/>
      <c r="JN480" s="252"/>
      <c r="JO480" s="252"/>
      <c r="JP480" s="252"/>
      <c r="JT480" s="252"/>
      <c r="JU480" s="252"/>
      <c r="JV480" s="252"/>
      <c r="JZ480" s="252"/>
      <c r="KA480" s="252"/>
      <c r="KB480" s="252"/>
      <c r="KF480" s="252"/>
      <c r="KG480" s="252"/>
      <c r="KH480" s="252"/>
      <c r="KO480" s="66"/>
      <c r="KP480" s="66"/>
      <c r="KQ480" s="66"/>
      <c r="KR480" s="66"/>
      <c r="KS480" s="66"/>
      <c r="KT480" s="66"/>
      <c r="KU480" s="66"/>
      <c r="KV480" s="66"/>
      <c r="KW480" s="66"/>
      <c r="KX480" s="66"/>
      <c r="KY480" s="66"/>
      <c r="KZ480" s="66"/>
      <c r="LA480" s="8"/>
      <c r="LD480" s="252"/>
      <c r="LE480" s="252"/>
      <c r="LF480" s="252"/>
      <c r="LJ480" s="252"/>
      <c r="LK480" s="252"/>
      <c r="LN480" s="252"/>
      <c r="LO480" s="252"/>
      <c r="LP480" s="252"/>
      <c r="LT480" s="271"/>
      <c r="LU480" s="250"/>
      <c r="LV480" s="250"/>
      <c r="LW480" s="250"/>
      <c r="LX480" s="250"/>
      <c r="LY480" s="250"/>
      <c r="LZ480" s="250"/>
      <c r="MA480" s="250"/>
      <c r="MB480" s="250"/>
      <c r="MC480" s="250"/>
      <c r="MD480" s="250"/>
      <c r="ME480" s="250"/>
      <c r="MF480" s="250"/>
      <c r="MG480" s="250"/>
      <c r="MH480" s="250"/>
      <c r="MI480" s="250"/>
      <c r="MJ480" s="250"/>
      <c r="MK480" s="424"/>
      <c r="ML480" s="640"/>
      <c r="MM480" s="251"/>
      <c r="MN480" s="252"/>
      <c r="MO480" s="252"/>
      <c r="MP480" s="252"/>
      <c r="MQ480" s="252"/>
      <c r="MR480" s="252"/>
      <c r="MS480" s="252"/>
      <c r="MT480" s="252"/>
      <c r="MU480" s="252"/>
      <c r="MV480" s="252"/>
      <c r="MW480" s="252"/>
      <c r="MX480" s="252"/>
      <c r="MY480" s="252"/>
      <c r="MZ480" s="252"/>
      <c r="NA480" s="252"/>
      <c r="NB480" s="252"/>
      <c r="NC480" s="251"/>
      <c r="ND480" s="250"/>
      <c r="NE480" s="250"/>
      <c r="NF480" s="250"/>
      <c r="NG480" s="250"/>
      <c r="NH480" s="250"/>
      <c r="NI480" s="250"/>
      <c r="NJ480" s="250"/>
      <c r="NK480" s="250"/>
      <c r="NL480" s="250"/>
      <c r="NM480" s="250"/>
      <c r="NN480" s="250"/>
      <c r="NO480" s="250"/>
      <c r="NP480" s="250"/>
      <c r="NQ480" s="250"/>
      <c r="NR480" s="250"/>
      <c r="NS480" s="250"/>
      <c r="NT480" s="250"/>
      <c r="NU480" s="250"/>
      <c r="NV480" s="250"/>
      <c r="NW480" s="251"/>
      <c r="OT480" s="8"/>
      <c r="QG480" s="8"/>
      <c r="RT480" s="8"/>
    </row>
    <row r="481" spans="1:488" s="282" customFormat="1" x14ac:dyDescent="0.25">
      <c r="A481" s="66"/>
      <c r="B481" s="8"/>
      <c r="C481" s="66"/>
      <c r="D481" s="66"/>
      <c r="E481" s="66"/>
      <c r="F481" s="66"/>
      <c r="G481" s="66"/>
      <c r="H481" s="66"/>
      <c r="I481" s="66"/>
      <c r="J481" s="66"/>
      <c r="K481" s="66"/>
      <c r="L481" s="66"/>
      <c r="M481" s="66"/>
      <c r="N481" s="66"/>
      <c r="O481" s="66"/>
      <c r="P481" s="66"/>
      <c r="Q481" s="66"/>
      <c r="R481" s="66"/>
      <c r="S481" s="66"/>
      <c r="T481" s="68"/>
      <c r="AC481" s="66"/>
      <c r="AD481" s="66"/>
      <c r="AE481" s="68"/>
      <c r="AN481" s="66"/>
      <c r="AO481" s="66"/>
      <c r="AP481" s="68"/>
      <c r="AW481" s="66"/>
      <c r="AX481" s="68"/>
      <c r="BD481" s="66"/>
      <c r="BE481" s="68"/>
      <c r="BF481" s="66"/>
      <c r="BG481" s="66"/>
      <c r="BH481" s="66"/>
      <c r="BI481" s="66"/>
      <c r="BJ481" s="66"/>
      <c r="BK481" s="66"/>
      <c r="BL481" s="68"/>
      <c r="BO481" s="66"/>
      <c r="BP481" s="68"/>
      <c r="BV481" s="66"/>
      <c r="BW481" s="68"/>
      <c r="CB481" s="8"/>
      <c r="CH481" s="8"/>
      <c r="CK481" s="299"/>
      <c r="CL481" s="299"/>
      <c r="CM481" s="66"/>
      <c r="CN481" s="66"/>
      <c r="CO481" s="68"/>
      <c r="CR481" s="8"/>
      <c r="CX481" s="66"/>
      <c r="CY481" s="532"/>
      <c r="DE481" s="66"/>
      <c r="DF481" s="66"/>
      <c r="DG481" s="68"/>
      <c r="DH481" s="68"/>
      <c r="DK481" s="66"/>
      <c r="DL481" s="66"/>
      <c r="DM481" s="66"/>
      <c r="DN481" s="66"/>
      <c r="DO481" s="66"/>
      <c r="DP481" s="66"/>
      <c r="DQ481" s="66"/>
      <c r="DR481" s="66"/>
      <c r="DS481" s="66"/>
      <c r="DT481" s="68"/>
      <c r="DU481" s="66"/>
      <c r="DV481" s="296"/>
      <c r="DW481" s="330"/>
      <c r="DX481" s="631"/>
      <c r="DY481" s="631"/>
      <c r="DZ481" s="631"/>
      <c r="EA481" s="330"/>
      <c r="EC481" s="66"/>
      <c r="ED481" s="68"/>
      <c r="EH481" s="66"/>
      <c r="EI481" s="66"/>
      <c r="EJ481" s="68"/>
      <c r="EK481" s="252"/>
      <c r="EL481" s="252"/>
      <c r="EM481" s="252"/>
      <c r="EO481" s="252"/>
      <c r="EP481" s="252"/>
      <c r="EQ481" s="252"/>
      <c r="ES481" s="252"/>
      <c r="ET481" s="252"/>
      <c r="EU481" s="252"/>
      <c r="EW481" s="252"/>
      <c r="EX481" s="252"/>
      <c r="EY481" s="252"/>
      <c r="FA481" s="250"/>
      <c r="FB481" s="250"/>
      <c r="FC481" s="250"/>
      <c r="FD481" s="250"/>
      <c r="FE481" s="250"/>
      <c r="FF481" s="250"/>
      <c r="FG481" s="250"/>
      <c r="FH481" s="424"/>
      <c r="FI481" s="250"/>
      <c r="FJ481" s="250"/>
      <c r="FK481" s="250"/>
      <c r="FL481" s="256"/>
      <c r="FM481" s="250"/>
      <c r="FN481" s="256"/>
      <c r="FO481" s="250"/>
      <c r="FP481" s="256"/>
      <c r="FQ481" s="250"/>
      <c r="FR481" s="256"/>
      <c r="FS481" s="250"/>
      <c r="FT481" s="256"/>
      <c r="FU481" s="256"/>
      <c r="FV481" s="256"/>
      <c r="FW481" s="250"/>
      <c r="FX481" s="424"/>
      <c r="FY481" s="251"/>
      <c r="GC481" s="252"/>
      <c r="GF481" s="252"/>
      <c r="GG481" s="252"/>
      <c r="GH481" s="252"/>
      <c r="GI481" s="252"/>
      <c r="GJ481" s="252"/>
      <c r="GK481" s="251"/>
      <c r="GL481" s="250"/>
      <c r="GM481" s="250"/>
      <c r="GN481" s="250"/>
      <c r="GO481" s="250"/>
      <c r="GP481" s="250"/>
      <c r="GQ481" s="250"/>
      <c r="GR481" s="250"/>
      <c r="GS481" s="250"/>
      <c r="GT481" s="250"/>
      <c r="GU481" s="251"/>
      <c r="GV481" s="250"/>
      <c r="GW481" s="250"/>
      <c r="GX481" s="250"/>
      <c r="GY481" s="250"/>
      <c r="GZ481" s="250"/>
      <c r="HA481" s="250"/>
      <c r="HB481" s="250"/>
      <c r="HC481" s="250"/>
      <c r="HD481" s="250"/>
      <c r="HE481" s="250"/>
      <c r="HF481" s="250"/>
      <c r="HG481" s="250"/>
      <c r="HH481" s="251"/>
      <c r="HI481" s="424"/>
      <c r="HJ481" s="255"/>
      <c r="HK481" s="255"/>
      <c r="HL481" s="250"/>
      <c r="HM481" s="255"/>
      <c r="HN481" s="255"/>
      <c r="HO481" s="255"/>
      <c r="HP481" s="250"/>
      <c r="HQ481" s="250"/>
      <c r="HR481" s="250"/>
      <c r="HS481" s="250"/>
      <c r="HT481" s="250"/>
      <c r="HU481" s="251"/>
      <c r="HX481" s="252"/>
      <c r="HY481" s="252"/>
      <c r="HZ481" s="252"/>
      <c r="ID481" s="252"/>
      <c r="IE481" s="252"/>
      <c r="IF481" s="252"/>
      <c r="IJ481" s="252"/>
      <c r="IK481" s="252"/>
      <c r="IL481" s="252"/>
      <c r="IP481" s="252"/>
      <c r="IQ481" s="252"/>
      <c r="IR481" s="252"/>
      <c r="IY481" s="66"/>
      <c r="IZ481" s="66"/>
      <c r="JA481" s="66"/>
      <c r="JB481" s="250"/>
      <c r="JC481" s="66"/>
      <c r="JD481" s="66"/>
      <c r="JE481" s="66"/>
      <c r="JF481" s="66"/>
      <c r="JG481" s="66"/>
      <c r="JH481" s="66"/>
      <c r="JI481" s="66"/>
      <c r="JJ481" s="66"/>
      <c r="JK481" s="8"/>
      <c r="JN481" s="252"/>
      <c r="JO481" s="252"/>
      <c r="JP481" s="252"/>
      <c r="JT481" s="252"/>
      <c r="JU481" s="252"/>
      <c r="JV481" s="252"/>
      <c r="JZ481" s="252"/>
      <c r="KA481" s="252"/>
      <c r="KB481" s="252"/>
      <c r="KF481" s="252"/>
      <c r="KG481" s="252"/>
      <c r="KH481" s="252"/>
      <c r="KO481" s="66"/>
      <c r="KP481" s="66"/>
      <c r="KQ481" s="66"/>
      <c r="KR481" s="66"/>
      <c r="KS481" s="66"/>
      <c r="KT481" s="66"/>
      <c r="KU481" s="66"/>
      <c r="KV481" s="66"/>
      <c r="KW481" s="66"/>
      <c r="KX481" s="66"/>
      <c r="KY481" s="66"/>
      <c r="KZ481" s="66"/>
      <c r="LA481" s="8"/>
      <c r="LD481" s="252"/>
      <c r="LE481" s="252"/>
      <c r="LF481" s="252"/>
      <c r="LJ481" s="252"/>
      <c r="LK481" s="252"/>
      <c r="LN481" s="252"/>
      <c r="LO481" s="252"/>
      <c r="LP481" s="252"/>
      <c r="LT481" s="271"/>
      <c r="LU481" s="250"/>
      <c r="LV481" s="250"/>
      <c r="LW481" s="250"/>
      <c r="LX481" s="250"/>
      <c r="LY481" s="250"/>
      <c r="LZ481" s="250"/>
      <c r="MA481" s="250"/>
      <c r="MB481" s="250"/>
      <c r="MC481" s="250"/>
      <c r="MD481" s="250"/>
      <c r="ME481" s="250"/>
      <c r="MF481" s="250"/>
      <c r="MG481" s="250"/>
      <c r="MH481" s="250"/>
      <c r="MI481" s="250"/>
      <c r="MJ481" s="250"/>
      <c r="MK481" s="424"/>
      <c r="ML481" s="640"/>
      <c r="MM481" s="251"/>
      <c r="MN481" s="252"/>
      <c r="MO481" s="252"/>
      <c r="MP481" s="252"/>
      <c r="MQ481" s="252"/>
      <c r="MR481" s="252"/>
      <c r="MS481" s="252"/>
      <c r="MT481" s="252"/>
      <c r="MU481" s="252"/>
      <c r="MV481" s="252"/>
      <c r="MW481" s="252"/>
      <c r="MX481" s="252"/>
      <c r="MY481" s="252"/>
      <c r="MZ481" s="252"/>
      <c r="NA481" s="252"/>
      <c r="NB481" s="252"/>
      <c r="NC481" s="251"/>
      <c r="ND481" s="250"/>
      <c r="NE481" s="250"/>
      <c r="NF481" s="250"/>
      <c r="NG481" s="250"/>
      <c r="NH481" s="250"/>
      <c r="NI481" s="250"/>
      <c r="NJ481" s="250"/>
      <c r="NK481" s="250"/>
      <c r="NL481" s="250"/>
      <c r="NM481" s="250"/>
      <c r="NN481" s="250"/>
      <c r="NO481" s="250"/>
      <c r="NP481" s="250"/>
      <c r="NQ481" s="250"/>
      <c r="NR481" s="250"/>
      <c r="NS481" s="250"/>
      <c r="NT481" s="250"/>
      <c r="NU481" s="250"/>
      <c r="NV481" s="250"/>
      <c r="NW481" s="251"/>
      <c r="OT481" s="8"/>
      <c r="QG481" s="8"/>
      <c r="RT481" s="8"/>
    </row>
    <row r="482" spans="1:488" s="282" customFormat="1" x14ac:dyDescent="0.25">
      <c r="A482" s="66"/>
      <c r="B482" s="8"/>
      <c r="C482" s="66"/>
      <c r="D482" s="66"/>
      <c r="E482" s="66"/>
      <c r="F482" s="66"/>
      <c r="G482" s="66"/>
      <c r="H482" s="66"/>
      <c r="I482" s="66"/>
      <c r="J482" s="66"/>
      <c r="K482" s="66"/>
      <c r="L482" s="66"/>
      <c r="M482" s="66"/>
      <c r="N482" s="66"/>
      <c r="O482" s="66"/>
      <c r="P482" s="66"/>
      <c r="Q482" s="66"/>
      <c r="R482" s="66"/>
      <c r="S482" s="66"/>
      <c r="T482" s="68"/>
      <c r="AC482" s="66"/>
      <c r="AD482" s="66"/>
      <c r="AE482" s="68"/>
      <c r="AN482" s="66"/>
      <c r="AO482" s="66"/>
      <c r="AP482" s="68"/>
      <c r="AW482" s="66"/>
      <c r="AX482" s="68"/>
      <c r="BD482" s="66"/>
      <c r="BE482" s="68"/>
      <c r="BF482" s="66"/>
      <c r="BG482" s="66"/>
      <c r="BH482" s="66"/>
      <c r="BI482" s="66"/>
      <c r="BJ482" s="66"/>
      <c r="BK482" s="66"/>
      <c r="BL482" s="68"/>
      <c r="BO482" s="66"/>
      <c r="BP482" s="68"/>
      <c r="BV482" s="66"/>
      <c r="BW482" s="68"/>
      <c r="CB482" s="8"/>
      <c r="CH482" s="8"/>
      <c r="CK482" s="299"/>
      <c r="CL482" s="299"/>
      <c r="CM482" s="66"/>
      <c r="CN482" s="66"/>
      <c r="CO482" s="68"/>
      <c r="CR482" s="8"/>
      <c r="CX482" s="66"/>
      <c r="CY482" s="532"/>
      <c r="DE482" s="66"/>
      <c r="DF482" s="66"/>
      <c r="DG482" s="68"/>
      <c r="DH482" s="68"/>
      <c r="DK482" s="66"/>
      <c r="DL482" s="66"/>
      <c r="DM482" s="66"/>
      <c r="DN482" s="66"/>
      <c r="DO482" s="66"/>
      <c r="DP482" s="66"/>
      <c r="DQ482" s="66"/>
      <c r="DR482" s="66"/>
      <c r="DS482" s="66"/>
      <c r="DT482" s="68"/>
      <c r="DU482" s="66"/>
      <c r="DV482" s="296"/>
      <c r="DW482" s="330"/>
      <c r="DX482" s="631"/>
      <c r="DY482" s="631"/>
      <c r="DZ482" s="631"/>
      <c r="EA482" s="330"/>
      <c r="EC482" s="66"/>
      <c r="ED482" s="68"/>
      <c r="EH482" s="66"/>
      <c r="EI482" s="66"/>
      <c r="EJ482" s="68"/>
      <c r="EK482" s="252"/>
      <c r="EL482" s="252"/>
      <c r="EM482" s="252"/>
      <c r="EO482" s="252"/>
      <c r="EP482" s="252"/>
      <c r="EQ482" s="252"/>
      <c r="ES482" s="252"/>
      <c r="ET482" s="252"/>
      <c r="EU482" s="252"/>
      <c r="EW482" s="252"/>
      <c r="EX482" s="252"/>
      <c r="EY482" s="252"/>
      <c r="FA482" s="250"/>
      <c r="FB482" s="250"/>
      <c r="FC482" s="250"/>
      <c r="FD482" s="250"/>
      <c r="FE482" s="250"/>
      <c r="FF482" s="250"/>
      <c r="FG482" s="250"/>
      <c r="FH482" s="424"/>
      <c r="FI482" s="250"/>
      <c r="FJ482" s="250"/>
      <c r="FK482" s="250"/>
      <c r="FL482" s="256"/>
      <c r="FM482" s="250"/>
      <c r="FN482" s="256"/>
      <c r="FO482" s="250"/>
      <c r="FP482" s="256"/>
      <c r="FQ482" s="250"/>
      <c r="FR482" s="256"/>
      <c r="FS482" s="250"/>
      <c r="FT482" s="256"/>
      <c r="FU482" s="256"/>
      <c r="FV482" s="256"/>
      <c r="FW482" s="250"/>
      <c r="FX482" s="424"/>
      <c r="FY482" s="251"/>
      <c r="GC482" s="252"/>
      <c r="GF482" s="252"/>
      <c r="GG482" s="252"/>
      <c r="GH482" s="252"/>
      <c r="GI482" s="252"/>
      <c r="GJ482" s="252"/>
      <c r="GK482" s="251"/>
      <c r="GL482" s="250"/>
      <c r="GM482" s="250"/>
      <c r="GN482" s="250"/>
      <c r="GO482" s="250"/>
      <c r="GP482" s="250"/>
      <c r="GQ482" s="250"/>
      <c r="GR482" s="250"/>
      <c r="GS482" s="250"/>
      <c r="GT482" s="250"/>
      <c r="GU482" s="251"/>
      <c r="GV482" s="250"/>
      <c r="GW482" s="250"/>
      <c r="GX482" s="250"/>
      <c r="GY482" s="250"/>
      <c r="GZ482" s="250"/>
      <c r="HA482" s="250"/>
      <c r="HB482" s="250"/>
      <c r="HC482" s="250"/>
      <c r="HD482" s="250"/>
      <c r="HE482" s="250"/>
      <c r="HF482" s="250"/>
      <c r="HG482" s="250"/>
      <c r="HH482" s="251"/>
      <c r="HI482" s="424"/>
      <c r="HJ482" s="255"/>
      <c r="HK482" s="255"/>
      <c r="HL482" s="250"/>
      <c r="HM482" s="255"/>
      <c r="HN482" s="255"/>
      <c r="HO482" s="255"/>
      <c r="HP482" s="250"/>
      <c r="HQ482" s="250"/>
      <c r="HR482" s="250"/>
      <c r="HS482" s="250"/>
      <c r="HT482" s="250"/>
      <c r="HU482" s="251"/>
      <c r="HX482" s="252"/>
      <c r="HY482" s="252"/>
      <c r="HZ482" s="252"/>
      <c r="ID482" s="252"/>
      <c r="IE482" s="252"/>
      <c r="IF482" s="252"/>
      <c r="IJ482" s="252"/>
      <c r="IK482" s="252"/>
      <c r="IL482" s="252"/>
      <c r="IP482" s="252"/>
      <c r="IQ482" s="252"/>
      <c r="IR482" s="252"/>
      <c r="IY482" s="66"/>
      <c r="IZ482" s="66"/>
      <c r="JA482" s="66"/>
      <c r="JB482" s="250"/>
      <c r="JC482" s="66"/>
      <c r="JD482" s="66"/>
      <c r="JE482" s="66"/>
      <c r="JF482" s="66"/>
      <c r="JG482" s="66"/>
      <c r="JH482" s="66"/>
      <c r="JI482" s="66"/>
      <c r="JJ482" s="66"/>
      <c r="JK482" s="8"/>
      <c r="JN482" s="252"/>
      <c r="JO482" s="252"/>
      <c r="JP482" s="252"/>
      <c r="JT482" s="252"/>
      <c r="JU482" s="252"/>
      <c r="JV482" s="252"/>
      <c r="JZ482" s="252"/>
      <c r="KA482" s="252"/>
      <c r="KB482" s="252"/>
      <c r="KF482" s="252"/>
      <c r="KG482" s="252"/>
      <c r="KH482" s="252"/>
      <c r="KO482" s="66"/>
      <c r="KP482" s="66"/>
      <c r="KQ482" s="66"/>
      <c r="KR482" s="66"/>
      <c r="KS482" s="66"/>
      <c r="KT482" s="66"/>
      <c r="KU482" s="66"/>
      <c r="KV482" s="66"/>
      <c r="KW482" s="66"/>
      <c r="KX482" s="66"/>
      <c r="KY482" s="66"/>
      <c r="KZ482" s="66"/>
      <c r="LA482" s="8"/>
      <c r="LD482" s="252"/>
      <c r="LE482" s="252"/>
      <c r="LF482" s="252"/>
      <c r="LJ482" s="252"/>
      <c r="LK482" s="252"/>
      <c r="LN482" s="252"/>
      <c r="LO482" s="252"/>
      <c r="LP482" s="252"/>
      <c r="LT482" s="271"/>
      <c r="LU482" s="250"/>
      <c r="LV482" s="250"/>
      <c r="LW482" s="250"/>
      <c r="LX482" s="250"/>
      <c r="LY482" s="250"/>
      <c r="LZ482" s="250"/>
      <c r="MA482" s="250"/>
      <c r="MB482" s="250"/>
      <c r="MC482" s="250"/>
      <c r="MD482" s="250"/>
      <c r="ME482" s="250"/>
      <c r="MF482" s="250"/>
      <c r="MG482" s="250"/>
      <c r="MH482" s="250"/>
      <c r="MI482" s="250"/>
      <c r="MJ482" s="250"/>
      <c r="MK482" s="424"/>
      <c r="ML482" s="640"/>
      <c r="MM482" s="251"/>
      <c r="MN482" s="252"/>
      <c r="MO482" s="252"/>
      <c r="MP482" s="252"/>
      <c r="MQ482" s="252"/>
      <c r="MR482" s="252"/>
      <c r="MS482" s="252"/>
      <c r="MT482" s="252"/>
      <c r="MU482" s="252"/>
      <c r="MV482" s="252"/>
      <c r="MW482" s="252"/>
      <c r="MX482" s="252"/>
      <c r="MY482" s="252"/>
      <c r="MZ482" s="252"/>
      <c r="NA482" s="252"/>
      <c r="NB482" s="252"/>
      <c r="NC482" s="251"/>
      <c r="ND482" s="250"/>
      <c r="NE482" s="250"/>
      <c r="NF482" s="250"/>
      <c r="NG482" s="250"/>
      <c r="NH482" s="250"/>
      <c r="NI482" s="250"/>
      <c r="NJ482" s="250"/>
      <c r="NK482" s="250"/>
      <c r="NL482" s="250"/>
      <c r="NM482" s="250"/>
      <c r="NN482" s="250"/>
      <c r="NO482" s="250"/>
      <c r="NP482" s="250"/>
      <c r="NQ482" s="250"/>
      <c r="NR482" s="250"/>
      <c r="NS482" s="250"/>
      <c r="NT482" s="250"/>
      <c r="NU482" s="250"/>
      <c r="NV482" s="250"/>
      <c r="NW482" s="251"/>
      <c r="OT482" s="8"/>
      <c r="QG482" s="8"/>
      <c r="RT482" s="8"/>
    </row>
    <row r="483" spans="1:488" s="282" customFormat="1" x14ac:dyDescent="0.25">
      <c r="A483" s="66"/>
      <c r="B483" s="8"/>
      <c r="C483" s="66"/>
      <c r="D483" s="66"/>
      <c r="E483" s="66"/>
      <c r="F483" s="66"/>
      <c r="G483" s="66"/>
      <c r="H483" s="66"/>
      <c r="I483" s="66"/>
      <c r="J483" s="66"/>
      <c r="K483" s="66"/>
      <c r="L483" s="66"/>
      <c r="M483" s="66"/>
      <c r="N483" s="66"/>
      <c r="O483" s="66"/>
      <c r="P483" s="66"/>
      <c r="Q483" s="66"/>
      <c r="R483" s="66"/>
      <c r="S483" s="66"/>
      <c r="T483" s="68"/>
      <c r="AC483" s="66"/>
      <c r="AD483" s="66"/>
      <c r="AE483" s="68"/>
      <c r="AN483" s="66"/>
      <c r="AO483" s="66"/>
      <c r="AP483" s="68"/>
      <c r="AW483" s="66"/>
      <c r="AX483" s="68"/>
      <c r="BD483" s="66"/>
      <c r="BE483" s="68"/>
      <c r="BF483" s="66"/>
      <c r="BG483" s="66"/>
      <c r="BH483" s="66"/>
      <c r="BI483" s="66"/>
      <c r="BJ483" s="66"/>
      <c r="BK483" s="66"/>
      <c r="BL483" s="68"/>
      <c r="BO483" s="66"/>
      <c r="BP483" s="68"/>
      <c r="BV483" s="66"/>
      <c r="BW483" s="68"/>
      <c r="CB483" s="8"/>
      <c r="CH483" s="8"/>
      <c r="CK483" s="299"/>
      <c r="CL483" s="299"/>
      <c r="CM483" s="66"/>
      <c r="CN483" s="66"/>
      <c r="CO483" s="68"/>
      <c r="CR483" s="8"/>
      <c r="CX483" s="66"/>
      <c r="CY483" s="532"/>
      <c r="DE483" s="66"/>
      <c r="DF483" s="66"/>
      <c r="DG483" s="68"/>
      <c r="DH483" s="68"/>
      <c r="DK483" s="66"/>
      <c r="DL483" s="66"/>
      <c r="DM483" s="66"/>
      <c r="DN483" s="66"/>
      <c r="DO483" s="66"/>
      <c r="DP483" s="66"/>
      <c r="DQ483" s="66"/>
      <c r="DR483" s="66"/>
      <c r="DS483" s="66"/>
      <c r="DT483" s="68"/>
      <c r="DU483" s="66"/>
      <c r="DV483" s="296"/>
      <c r="DW483" s="330"/>
      <c r="DX483" s="631"/>
      <c r="DY483" s="631"/>
      <c r="DZ483" s="631"/>
      <c r="EA483" s="330"/>
      <c r="EC483" s="66"/>
      <c r="ED483" s="68"/>
      <c r="EH483" s="66"/>
      <c r="EI483" s="66"/>
      <c r="EJ483" s="68"/>
      <c r="EK483" s="252"/>
      <c r="EL483" s="252"/>
      <c r="EM483" s="252"/>
      <c r="EO483" s="252"/>
      <c r="EP483" s="252"/>
      <c r="EQ483" s="252"/>
      <c r="ES483" s="252"/>
      <c r="ET483" s="252"/>
      <c r="EU483" s="252"/>
      <c r="EW483" s="252"/>
      <c r="EX483" s="252"/>
      <c r="EY483" s="252"/>
      <c r="FA483" s="250"/>
      <c r="FB483" s="250"/>
      <c r="FC483" s="250"/>
      <c r="FD483" s="250"/>
      <c r="FE483" s="250"/>
      <c r="FF483" s="250"/>
      <c r="FG483" s="250"/>
      <c r="FH483" s="424"/>
      <c r="FI483" s="250"/>
      <c r="FJ483" s="250"/>
      <c r="FK483" s="250"/>
      <c r="FL483" s="256"/>
      <c r="FM483" s="250"/>
      <c r="FN483" s="256"/>
      <c r="FO483" s="250"/>
      <c r="FP483" s="256"/>
      <c r="FQ483" s="250"/>
      <c r="FR483" s="256"/>
      <c r="FS483" s="250"/>
      <c r="FT483" s="256"/>
      <c r="FU483" s="256"/>
      <c r="FV483" s="256"/>
      <c r="FW483" s="250"/>
      <c r="FX483" s="424"/>
      <c r="FY483" s="251"/>
      <c r="GC483" s="252"/>
      <c r="GF483" s="252"/>
      <c r="GG483" s="252"/>
      <c r="GH483" s="252"/>
      <c r="GI483" s="252"/>
      <c r="GJ483" s="252"/>
      <c r="GK483" s="251"/>
      <c r="GL483" s="250"/>
      <c r="GM483" s="250"/>
      <c r="GN483" s="250"/>
      <c r="GO483" s="250"/>
      <c r="GP483" s="250"/>
      <c r="GQ483" s="250"/>
      <c r="GR483" s="250"/>
      <c r="GS483" s="250"/>
      <c r="GT483" s="250"/>
      <c r="GU483" s="251"/>
      <c r="GV483" s="250"/>
      <c r="GW483" s="250"/>
      <c r="GX483" s="250"/>
      <c r="GY483" s="250"/>
      <c r="GZ483" s="250"/>
      <c r="HA483" s="250"/>
      <c r="HB483" s="250"/>
      <c r="HC483" s="250"/>
      <c r="HD483" s="250"/>
      <c r="HE483" s="250"/>
      <c r="HF483" s="250"/>
      <c r="HG483" s="250"/>
      <c r="HH483" s="251"/>
      <c r="HI483" s="424"/>
      <c r="HJ483" s="255"/>
      <c r="HK483" s="255"/>
      <c r="HL483" s="250"/>
      <c r="HM483" s="255"/>
      <c r="HN483" s="255"/>
      <c r="HO483" s="255"/>
      <c r="HP483" s="250"/>
      <c r="HQ483" s="250"/>
      <c r="HR483" s="250"/>
      <c r="HS483" s="250"/>
      <c r="HT483" s="250"/>
      <c r="HU483" s="251"/>
      <c r="HX483" s="252"/>
      <c r="HY483" s="252"/>
      <c r="HZ483" s="252"/>
      <c r="ID483" s="252"/>
      <c r="IE483" s="252"/>
      <c r="IF483" s="252"/>
      <c r="IJ483" s="252"/>
      <c r="IK483" s="252"/>
      <c r="IL483" s="252"/>
      <c r="IP483" s="252"/>
      <c r="IQ483" s="252"/>
      <c r="IR483" s="252"/>
      <c r="IY483" s="66"/>
      <c r="IZ483" s="66"/>
      <c r="JA483" s="66"/>
      <c r="JB483" s="250"/>
      <c r="JC483" s="66"/>
      <c r="JD483" s="66"/>
      <c r="JE483" s="66"/>
      <c r="JF483" s="66"/>
      <c r="JG483" s="66"/>
      <c r="JH483" s="66"/>
      <c r="JI483" s="66"/>
      <c r="JJ483" s="66"/>
      <c r="JK483" s="8"/>
      <c r="JN483" s="252"/>
      <c r="JO483" s="252"/>
      <c r="JP483" s="252"/>
      <c r="JT483" s="252"/>
      <c r="JU483" s="252"/>
      <c r="JV483" s="252"/>
      <c r="JZ483" s="252"/>
      <c r="KA483" s="252"/>
      <c r="KB483" s="252"/>
      <c r="KF483" s="252"/>
      <c r="KG483" s="252"/>
      <c r="KH483" s="252"/>
      <c r="KO483" s="66"/>
      <c r="KP483" s="66"/>
      <c r="KQ483" s="66"/>
      <c r="KR483" s="66"/>
      <c r="KS483" s="66"/>
      <c r="KT483" s="66"/>
      <c r="KU483" s="66"/>
      <c r="KV483" s="66"/>
      <c r="KW483" s="66"/>
      <c r="KX483" s="66"/>
      <c r="KY483" s="66"/>
      <c r="KZ483" s="66"/>
      <c r="LA483" s="8"/>
      <c r="LD483" s="252"/>
      <c r="LE483" s="252"/>
      <c r="LF483" s="252"/>
      <c r="LJ483" s="252"/>
      <c r="LK483" s="252"/>
      <c r="LN483" s="252"/>
      <c r="LO483" s="252"/>
      <c r="LP483" s="252"/>
      <c r="LT483" s="271"/>
      <c r="LU483" s="250"/>
      <c r="LV483" s="250"/>
      <c r="LW483" s="250"/>
      <c r="LX483" s="250"/>
      <c r="LY483" s="250"/>
      <c r="LZ483" s="250"/>
      <c r="MA483" s="250"/>
      <c r="MB483" s="250"/>
      <c r="MC483" s="250"/>
      <c r="MD483" s="250"/>
      <c r="ME483" s="250"/>
      <c r="MF483" s="250"/>
      <c r="MG483" s="250"/>
      <c r="MH483" s="250"/>
      <c r="MI483" s="250"/>
      <c r="MJ483" s="250"/>
      <c r="MK483" s="424"/>
      <c r="ML483" s="640"/>
      <c r="MM483" s="251"/>
      <c r="MN483" s="252"/>
      <c r="MO483" s="252"/>
      <c r="MP483" s="252"/>
      <c r="MQ483" s="252"/>
      <c r="MR483" s="252"/>
      <c r="MS483" s="252"/>
      <c r="MT483" s="252"/>
      <c r="MU483" s="252"/>
      <c r="MV483" s="252"/>
      <c r="MW483" s="252"/>
      <c r="MX483" s="252"/>
      <c r="MY483" s="252"/>
      <c r="MZ483" s="252"/>
      <c r="NA483" s="252"/>
      <c r="NB483" s="252"/>
      <c r="NC483" s="251"/>
      <c r="ND483" s="250"/>
      <c r="NE483" s="250"/>
      <c r="NF483" s="250"/>
      <c r="NG483" s="250"/>
      <c r="NH483" s="250"/>
      <c r="NI483" s="250"/>
      <c r="NJ483" s="250"/>
      <c r="NK483" s="250"/>
      <c r="NL483" s="250"/>
      <c r="NM483" s="250"/>
      <c r="NN483" s="250"/>
      <c r="NO483" s="250"/>
      <c r="NP483" s="250"/>
      <c r="NQ483" s="250"/>
      <c r="NR483" s="250"/>
      <c r="NS483" s="250"/>
      <c r="NT483" s="250"/>
      <c r="NU483" s="250"/>
      <c r="NV483" s="250"/>
      <c r="NW483" s="251"/>
      <c r="OT483" s="8"/>
      <c r="QG483" s="8"/>
      <c r="RT483" s="8"/>
    </row>
    <row r="484" spans="1:488" s="282" customFormat="1" x14ac:dyDescent="0.25">
      <c r="A484" s="66"/>
      <c r="B484" s="8"/>
      <c r="C484" s="66"/>
      <c r="D484" s="66"/>
      <c r="E484" s="66"/>
      <c r="F484" s="66"/>
      <c r="G484" s="66"/>
      <c r="H484" s="66"/>
      <c r="I484" s="66"/>
      <c r="J484" s="66"/>
      <c r="K484" s="66"/>
      <c r="L484" s="66"/>
      <c r="M484" s="66"/>
      <c r="N484" s="66"/>
      <c r="O484" s="66"/>
      <c r="P484" s="66"/>
      <c r="Q484" s="66"/>
      <c r="R484" s="66"/>
      <c r="S484" s="66"/>
      <c r="T484" s="68"/>
      <c r="AC484" s="66"/>
      <c r="AD484" s="66"/>
      <c r="AE484" s="68"/>
      <c r="AN484" s="66"/>
      <c r="AO484" s="66"/>
      <c r="AP484" s="68"/>
      <c r="AW484" s="66"/>
      <c r="AX484" s="68"/>
      <c r="BD484" s="66"/>
      <c r="BE484" s="68"/>
      <c r="BF484" s="66"/>
      <c r="BG484" s="66"/>
      <c r="BH484" s="66"/>
      <c r="BI484" s="66"/>
      <c r="BJ484" s="66"/>
      <c r="BK484" s="66"/>
      <c r="BL484" s="68"/>
      <c r="BO484" s="66"/>
      <c r="BP484" s="68"/>
      <c r="BV484" s="66"/>
      <c r="BW484" s="68"/>
      <c r="CB484" s="8"/>
      <c r="CH484" s="8"/>
      <c r="CK484" s="299"/>
      <c r="CL484" s="299"/>
      <c r="CM484" s="66"/>
      <c r="CN484" s="66"/>
      <c r="CO484" s="68"/>
      <c r="CR484" s="8"/>
      <c r="CX484" s="66"/>
      <c r="CY484" s="532"/>
      <c r="DE484" s="66"/>
      <c r="DF484" s="66"/>
      <c r="DG484" s="68"/>
      <c r="DH484" s="68"/>
      <c r="DK484" s="66"/>
      <c r="DL484" s="66"/>
      <c r="DM484" s="66"/>
      <c r="DN484" s="66"/>
      <c r="DO484" s="66"/>
      <c r="DP484" s="66"/>
      <c r="DQ484" s="66"/>
      <c r="DR484" s="66"/>
      <c r="DS484" s="66"/>
      <c r="DT484" s="68"/>
      <c r="DU484" s="66"/>
      <c r="DV484" s="296"/>
      <c r="DW484" s="330"/>
      <c r="DX484" s="631"/>
      <c r="DY484" s="631"/>
      <c r="DZ484" s="631"/>
      <c r="EA484" s="330"/>
      <c r="EC484" s="66"/>
      <c r="ED484" s="68"/>
      <c r="EH484" s="66"/>
      <c r="EI484" s="66"/>
      <c r="EJ484" s="68"/>
      <c r="EK484" s="252"/>
      <c r="EL484" s="252"/>
      <c r="EM484" s="252"/>
      <c r="EO484" s="252"/>
      <c r="EP484" s="252"/>
      <c r="EQ484" s="252"/>
      <c r="ES484" s="252"/>
      <c r="ET484" s="252"/>
      <c r="EU484" s="252"/>
      <c r="EW484" s="252"/>
      <c r="EX484" s="252"/>
      <c r="EY484" s="252"/>
      <c r="FA484" s="250"/>
      <c r="FB484" s="250"/>
      <c r="FC484" s="250"/>
      <c r="FD484" s="250"/>
      <c r="FE484" s="250"/>
      <c r="FF484" s="250"/>
      <c r="FG484" s="250"/>
      <c r="FH484" s="424"/>
      <c r="FI484" s="250"/>
      <c r="FJ484" s="250"/>
      <c r="FK484" s="250"/>
      <c r="FL484" s="256"/>
      <c r="FM484" s="250"/>
      <c r="FN484" s="256"/>
      <c r="FO484" s="250"/>
      <c r="FP484" s="256"/>
      <c r="FQ484" s="250"/>
      <c r="FR484" s="256"/>
      <c r="FS484" s="250"/>
      <c r="FT484" s="256"/>
      <c r="FU484" s="256"/>
      <c r="FV484" s="256"/>
      <c r="FW484" s="250"/>
      <c r="FX484" s="424"/>
      <c r="FY484" s="251"/>
      <c r="GC484" s="252"/>
      <c r="GF484" s="252"/>
      <c r="GG484" s="252"/>
      <c r="GH484" s="252"/>
      <c r="GI484" s="252"/>
      <c r="GJ484" s="252"/>
      <c r="GK484" s="251"/>
      <c r="GL484" s="250"/>
      <c r="GM484" s="250"/>
      <c r="GN484" s="250"/>
      <c r="GO484" s="250"/>
      <c r="GP484" s="250"/>
      <c r="GQ484" s="250"/>
      <c r="GR484" s="250"/>
      <c r="GS484" s="250"/>
      <c r="GT484" s="250"/>
      <c r="GU484" s="251"/>
      <c r="GV484" s="250"/>
      <c r="GW484" s="250"/>
      <c r="GX484" s="250"/>
      <c r="GY484" s="250"/>
      <c r="GZ484" s="250"/>
      <c r="HA484" s="250"/>
      <c r="HB484" s="250"/>
      <c r="HC484" s="250"/>
      <c r="HD484" s="250"/>
      <c r="HE484" s="250"/>
      <c r="HF484" s="250"/>
      <c r="HG484" s="250"/>
      <c r="HH484" s="251"/>
      <c r="HI484" s="424"/>
      <c r="HJ484" s="255"/>
      <c r="HK484" s="255"/>
      <c r="HL484" s="250"/>
      <c r="HM484" s="255"/>
      <c r="HN484" s="255"/>
      <c r="HO484" s="255"/>
      <c r="HP484" s="250"/>
      <c r="HQ484" s="250"/>
      <c r="HR484" s="250"/>
      <c r="HS484" s="250"/>
      <c r="HT484" s="250"/>
      <c r="HU484" s="251"/>
      <c r="HX484" s="252"/>
      <c r="HY484" s="252"/>
      <c r="HZ484" s="252"/>
      <c r="ID484" s="252"/>
      <c r="IE484" s="252"/>
      <c r="IF484" s="252"/>
      <c r="IJ484" s="252"/>
      <c r="IK484" s="252"/>
      <c r="IL484" s="252"/>
      <c r="IP484" s="252"/>
      <c r="IQ484" s="252"/>
      <c r="IR484" s="252"/>
      <c r="IY484" s="66"/>
      <c r="IZ484" s="66"/>
      <c r="JA484" s="66"/>
      <c r="JB484" s="250"/>
      <c r="JC484" s="66"/>
      <c r="JD484" s="66"/>
      <c r="JE484" s="66"/>
      <c r="JF484" s="66"/>
      <c r="JG484" s="66"/>
      <c r="JH484" s="66"/>
      <c r="JI484" s="66"/>
      <c r="JJ484" s="66"/>
      <c r="JK484" s="8"/>
      <c r="JN484" s="252"/>
      <c r="JO484" s="252"/>
      <c r="JP484" s="252"/>
      <c r="JT484" s="252"/>
      <c r="JU484" s="252"/>
      <c r="JV484" s="252"/>
      <c r="JZ484" s="252"/>
      <c r="KA484" s="252"/>
      <c r="KB484" s="252"/>
      <c r="KF484" s="252"/>
      <c r="KG484" s="252"/>
      <c r="KH484" s="252"/>
      <c r="KO484" s="66"/>
      <c r="KP484" s="66"/>
      <c r="KQ484" s="66"/>
      <c r="KR484" s="66"/>
      <c r="KS484" s="66"/>
      <c r="KT484" s="66"/>
      <c r="KU484" s="66"/>
      <c r="KV484" s="66"/>
      <c r="KW484" s="66"/>
      <c r="KX484" s="66"/>
      <c r="KY484" s="66"/>
      <c r="KZ484" s="66"/>
      <c r="LA484" s="8"/>
      <c r="LD484" s="252"/>
      <c r="LE484" s="252"/>
      <c r="LF484" s="252"/>
      <c r="LJ484" s="252"/>
      <c r="LK484" s="252"/>
      <c r="LN484" s="252"/>
      <c r="LO484" s="252"/>
      <c r="LP484" s="252"/>
      <c r="LT484" s="271"/>
      <c r="LU484" s="250"/>
      <c r="LV484" s="250"/>
      <c r="LW484" s="250"/>
      <c r="LX484" s="250"/>
      <c r="LY484" s="250"/>
      <c r="LZ484" s="250"/>
      <c r="MA484" s="250"/>
      <c r="MB484" s="250"/>
      <c r="MC484" s="250"/>
      <c r="MD484" s="250"/>
      <c r="ME484" s="250"/>
      <c r="MF484" s="250"/>
      <c r="MG484" s="250"/>
      <c r="MH484" s="250"/>
      <c r="MI484" s="250"/>
      <c r="MJ484" s="250"/>
      <c r="MK484" s="424"/>
      <c r="ML484" s="640"/>
      <c r="MM484" s="251"/>
      <c r="MN484" s="252"/>
      <c r="MO484" s="252"/>
      <c r="MP484" s="252"/>
      <c r="MQ484" s="252"/>
      <c r="MR484" s="252"/>
      <c r="MS484" s="252"/>
      <c r="MT484" s="252"/>
      <c r="MU484" s="252"/>
      <c r="MV484" s="252"/>
      <c r="MW484" s="252"/>
      <c r="MX484" s="252"/>
      <c r="MY484" s="252"/>
      <c r="MZ484" s="252"/>
      <c r="NA484" s="252"/>
      <c r="NB484" s="252"/>
      <c r="NC484" s="251"/>
      <c r="ND484" s="250"/>
      <c r="NE484" s="250"/>
      <c r="NF484" s="250"/>
      <c r="NG484" s="250"/>
      <c r="NH484" s="250"/>
      <c r="NI484" s="250"/>
      <c r="NJ484" s="250"/>
      <c r="NK484" s="250"/>
      <c r="NL484" s="250"/>
      <c r="NM484" s="250"/>
      <c r="NN484" s="250"/>
      <c r="NO484" s="250"/>
      <c r="NP484" s="250"/>
      <c r="NQ484" s="250"/>
      <c r="NR484" s="250"/>
      <c r="NS484" s="250"/>
      <c r="NT484" s="250"/>
      <c r="NU484" s="250"/>
      <c r="NV484" s="250"/>
      <c r="NW484" s="251"/>
      <c r="OT484" s="8"/>
      <c r="QG484" s="8"/>
      <c r="RT484" s="8"/>
    </row>
    <row r="485" spans="1:488" s="282" customFormat="1" x14ac:dyDescent="0.25">
      <c r="A485" s="66"/>
      <c r="B485" s="8"/>
      <c r="C485" s="66"/>
      <c r="D485" s="66"/>
      <c r="E485" s="66"/>
      <c r="F485" s="66"/>
      <c r="G485" s="66"/>
      <c r="H485" s="66"/>
      <c r="I485" s="66"/>
      <c r="J485" s="66"/>
      <c r="K485" s="66"/>
      <c r="L485" s="66"/>
      <c r="M485" s="66"/>
      <c r="N485" s="66"/>
      <c r="O485" s="66"/>
      <c r="P485" s="66"/>
      <c r="Q485" s="66"/>
      <c r="R485" s="66"/>
      <c r="S485" s="66"/>
      <c r="T485" s="68"/>
      <c r="AC485" s="66"/>
      <c r="AD485" s="66"/>
      <c r="AE485" s="68"/>
      <c r="AN485" s="66"/>
      <c r="AO485" s="66"/>
      <c r="AP485" s="68"/>
      <c r="AW485" s="66"/>
      <c r="AX485" s="68"/>
      <c r="BD485" s="66"/>
      <c r="BE485" s="68"/>
      <c r="BF485" s="66"/>
      <c r="BG485" s="66"/>
      <c r="BH485" s="66"/>
      <c r="BI485" s="66"/>
      <c r="BJ485" s="66"/>
      <c r="BK485" s="66"/>
      <c r="BL485" s="68"/>
      <c r="BO485" s="66"/>
      <c r="BP485" s="68"/>
      <c r="BV485" s="66"/>
      <c r="BW485" s="68"/>
      <c r="CB485" s="8"/>
      <c r="CH485" s="8"/>
      <c r="CK485" s="299"/>
      <c r="CL485" s="299"/>
      <c r="CM485" s="66"/>
      <c r="CN485" s="66"/>
      <c r="CO485" s="68"/>
      <c r="CR485" s="8"/>
      <c r="CX485" s="66"/>
      <c r="CY485" s="532"/>
      <c r="DE485" s="66"/>
      <c r="DF485" s="66"/>
      <c r="DG485" s="68"/>
      <c r="DH485" s="68"/>
      <c r="DK485" s="66"/>
      <c r="DL485" s="66"/>
      <c r="DM485" s="66"/>
      <c r="DN485" s="66"/>
      <c r="DO485" s="66"/>
      <c r="DP485" s="66"/>
      <c r="DQ485" s="66"/>
      <c r="DR485" s="66"/>
      <c r="DS485" s="66"/>
      <c r="DT485" s="68"/>
      <c r="DU485" s="66"/>
      <c r="DV485" s="296"/>
      <c r="DW485" s="330"/>
      <c r="DX485" s="631"/>
      <c r="DY485" s="631"/>
      <c r="DZ485" s="631"/>
      <c r="EA485" s="330"/>
      <c r="EC485" s="66"/>
      <c r="ED485" s="68"/>
      <c r="EH485" s="66"/>
      <c r="EI485" s="66"/>
      <c r="EJ485" s="68"/>
      <c r="EK485" s="252"/>
      <c r="EL485" s="252"/>
      <c r="EM485" s="252"/>
      <c r="EO485" s="252"/>
      <c r="EP485" s="252"/>
      <c r="EQ485" s="252"/>
      <c r="ES485" s="252"/>
      <c r="ET485" s="252"/>
      <c r="EU485" s="252"/>
      <c r="EW485" s="252"/>
      <c r="EX485" s="252"/>
      <c r="EY485" s="252"/>
      <c r="FA485" s="250"/>
      <c r="FB485" s="250"/>
      <c r="FC485" s="250"/>
      <c r="FD485" s="250"/>
      <c r="FE485" s="250"/>
      <c r="FF485" s="250"/>
      <c r="FG485" s="250"/>
      <c r="FH485" s="424"/>
      <c r="FI485" s="250"/>
      <c r="FJ485" s="250"/>
      <c r="FK485" s="250"/>
      <c r="FL485" s="256"/>
      <c r="FM485" s="250"/>
      <c r="FN485" s="256"/>
      <c r="FO485" s="250"/>
      <c r="FP485" s="256"/>
      <c r="FQ485" s="250"/>
      <c r="FR485" s="256"/>
      <c r="FS485" s="250"/>
      <c r="FT485" s="256"/>
      <c r="FU485" s="256"/>
      <c r="FV485" s="256"/>
      <c r="FW485" s="250"/>
      <c r="FX485" s="424"/>
      <c r="FY485" s="251"/>
      <c r="GC485" s="252"/>
      <c r="GF485" s="252"/>
      <c r="GG485" s="252"/>
      <c r="GH485" s="252"/>
      <c r="GI485" s="252"/>
      <c r="GJ485" s="252"/>
      <c r="GK485" s="251"/>
      <c r="GL485" s="250"/>
      <c r="GM485" s="250"/>
      <c r="GN485" s="250"/>
      <c r="GO485" s="250"/>
      <c r="GP485" s="250"/>
      <c r="GQ485" s="250"/>
      <c r="GR485" s="250"/>
      <c r="GS485" s="250"/>
      <c r="GT485" s="250"/>
      <c r="GU485" s="251"/>
      <c r="GV485" s="250"/>
      <c r="GW485" s="250"/>
      <c r="GX485" s="250"/>
      <c r="GY485" s="250"/>
      <c r="GZ485" s="250"/>
      <c r="HA485" s="250"/>
      <c r="HB485" s="250"/>
      <c r="HC485" s="250"/>
      <c r="HD485" s="250"/>
      <c r="HE485" s="250"/>
      <c r="HF485" s="250"/>
      <c r="HG485" s="250"/>
      <c r="HH485" s="251"/>
      <c r="HI485" s="424"/>
      <c r="HJ485" s="255"/>
      <c r="HK485" s="255"/>
      <c r="HL485" s="250"/>
      <c r="HM485" s="255"/>
      <c r="HN485" s="255"/>
      <c r="HO485" s="255"/>
      <c r="HP485" s="250"/>
      <c r="HQ485" s="250"/>
      <c r="HR485" s="250"/>
      <c r="HS485" s="250"/>
      <c r="HT485" s="250"/>
      <c r="HU485" s="251"/>
      <c r="HX485" s="252"/>
      <c r="HY485" s="252"/>
      <c r="HZ485" s="252"/>
      <c r="ID485" s="252"/>
      <c r="IE485" s="252"/>
      <c r="IF485" s="252"/>
      <c r="IJ485" s="252"/>
      <c r="IK485" s="252"/>
      <c r="IL485" s="252"/>
      <c r="IP485" s="252"/>
      <c r="IQ485" s="252"/>
      <c r="IR485" s="252"/>
      <c r="IY485" s="66"/>
      <c r="IZ485" s="66"/>
      <c r="JA485" s="66"/>
      <c r="JB485" s="250"/>
      <c r="JC485" s="66"/>
      <c r="JD485" s="66"/>
      <c r="JE485" s="66"/>
      <c r="JF485" s="66"/>
      <c r="JG485" s="66"/>
      <c r="JH485" s="66"/>
      <c r="JI485" s="66"/>
      <c r="JJ485" s="66"/>
      <c r="JK485" s="8"/>
      <c r="JN485" s="252"/>
      <c r="JO485" s="252"/>
      <c r="JP485" s="252"/>
      <c r="JT485" s="252"/>
      <c r="JU485" s="252"/>
      <c r="JV485" s="252"/>
      <c r="JZ485" s="252"/>
      <c r="KA485" s="252"/>
      <c r="KB485" s="252"/>
      <c r="KF485" s="252"/>
      <c r="KG485" s="252"/>
      <c r="KH485" s="252"/>
      <c r="KO485" s="66"/>
      <c r="KP485" s="66"/>
      <c r="KQ485" s="66"/>
      <c r="KR485" s="66"/>
      <c r="KS485" s="66"/>
      <c r="KT485" s="66"/>
      <c r="KU485" s="66"/>
      <c r="KV485" s="66"/>
      <c r="KW485" s="66"/>
      <c r="KX485" s="66"/>
      <c r="KY485" s="66"/>
      <c r="KZ485" s="66"/>
      <c r="LA485" s="8"/>
      <c r="LD485" s="252"/>
      <c r="LE485" s="252"/>
      <c r="LF485" s="252"/>
      <c r="LJ485" s="252"/>
      <c r="LK485" s="252"/>
      <c r="LN485" s="252"/>
      <c r="LO485" s="252"/>
      <c r="LP485" s="252"/>
      <c r="LT485" s="271"/>
      <c r="LU485" s="250"/>
      <c r="LV485" s="250"/>
      <c r="LW485" s="250"/>
      <c r="LX485" s="250"/>
      <c r="LY485" s="250"/>
      <c r="LZ485" s="250"/>
      <c r="MA485" s="250"/>
      <c r="MB485" s="250"/>
      <c r="MC485" s="250"/>
      <c r="MD485" s="250"/>
      <c r="ME485" s="250"/>
      <c r="MF485" s="250"/>
      <c r="MG485" s="250"/>
      <c r="MH485" s="250"/>
      <c r="MI485" s="250"/>
      <c r="MJ485" s="250"/>
      <c r="MK485" s="424"/>
      <c r="ML485" s="640"/>
      <c r="MM485" s="251"/>
      <c r="MN485" s="252"/>
      <c r="MO485" s="252"/>
      <c r="MP485" s="252"/>
      <c r="MQ485" s="252"/>
      <c r="MR485" s="252"/>
      <c r="MS485" s="252"/>
      <c r="MT485" s="252"/>
      <c r="MU485" s="252"/>
      <c r="MV485" s="252"/>
      <c r="MW485" s="252"/>
      <c r="MX485" s="252"/>
      <c r="MY485" s="252"/>
      <c r="MZ485" s="252"/>
      <c r="NA485" s="252"/>
      <c r="NB485" s="252"/>
      <c r="NC485" s="251"/>
      <c r="ND485" s="250"/>
      <c r="NE485" s="250"/>
      <c r="NF485" s="250"/>
      <c r="NG485" s="250"/>
      <c r="NH485" s="250"/>
      <c r="NI485" s="250"/>
      <c r="NJ485" s="250"/>
      <c r="NK485" s="250"/>
      <c r="NL485" s="250"/>
      <c r="NM485" s="250"/>
      <c r="NN485" s="250"/>
      <c r="NO485" s="250"/>
      <c r="NP485" s="250"/>
      <c r="NQ485" s="250"/>
      <c r="NR485" s="250"/>
      <c r="NS485" s="250"/>
      <c r="NT485" s="250"/>
      <c r="NU485" s="250"/>
      <c r="NV485" s="250"/>
      <c r="NW485" s="251"/>
      <c r="OT485" s="8"/>
      <c r="QG485" s="8"/>
      <c r="RT485" s="8"/>
    </row>
    <row r="486" spans="1:488" s="282" customFormat="1" x14ac:dyDescent="0.25">
      <c r="A486" s="66"/>
      <c r="B486" s="8"/>
      <c r="C486" s="66"/>
      <c r="D486" s="66"/>
      <c r="E486" s="66"/>
      <c r="F486" s="66"/>
      <c r="G486" s="66"/>
      <c r="H486" s="66"/>
      <c r="I486" s="66"/>
      <c r="J486" s="66"/>
      <c r="K486" s="66"/>
      <c r="L486" s="66"/>
      <c r="M486" s="66"/>
      <c r="N486" s="66"/>
      <c r="O486" s="66"/>
      <c r="P486" s="66"/>
      <c r="Q486" s="66"/>
      <c r="R486" s="66"/>
      <c r="S486" s="66"/>
      <c r="T486" s="68"/>
      <c r="AC486" s="66"/>
      <c r="AD486" s="66"/>
      <c r="AE486" s="68"/>
      <c r="AN486" s="66"/>
      <c r="AO486" s="66"/>
      <c r="AP486" s="68"/>
      <c r="AW486" s="66"/>
      <c r="AX486" s="68"/>
      <c r="BD486" s="66"/>
      <c r="BE486" s="68"/>
      <c r="BF486" s="66"/>
      <c r="BG486" s="66"/>
      <c r="BH486" s="66"/>
      <c r="BI486" s="66"/>
      <c r="BJ486" s="66"/>
      <c r="BK486" s="66"/>
      <c r="BL486" s="68"/>
      <c r="BO486" s="66"/>
      <c r="BP486" s="68"/>
      <c r="BV486" s="66"/>
      <c r="BW486" s="68"/>
      <c r="CB486" s="8"/>
      <c r="CH486" s="8"/>
      <c r="CK486" s="299"/>
      <c r="CL486" s="299"/>
      <c r="CM486" s="66"/>
      <c r="CN486" s="66"/>
      <c r="CO486" s="68"/>
      <c r="CR486" s="8"/>
      <c r="CX486" s="66"/>
      <c r="CY486" s="532"/>
      <c r="DE486" s="66"/>
      <c r="DF486" s="66"/>
      <c r="DG486" s="68"/>
      <c r="DH486" s="68"/>
      <c r="DK486" s="66"/>
      <c r="DL486" s="66"/>
      <c r="DM486" s="66"/>
      <c r="DN486" s="66"/>
      <c r="DO486" s="66"/>
      <c r="DP486" s="66"/>
      <c r="DQ486" s="66"/>
      <c r="DR486" s="66"/>
      <c r="DS486" s="66"/>
      <c r="DT486" s="68"/>
      <c r="DU486" s="66"/>
      <c r="DV486" s="296"/>
      <c r="DW486" s="330"/>
      <c r="DX486" s="631"/>
      <c r="DY486" s="631"/>
      <c r="DZ486" s="631"/>
      <c r="EA486" s="330"/>
      <c r="EC486" s="66"/>
      <c r="ED486" s="68"/>
      <c r="EH486" s="66"/>
      <c r="EI486" s="66"/>
      <c r="EJ486" s="68"/>
      <c r="EK486" s="252"/>
      <c r="EL486" s="252"/>
      <c r="EM486" s="252"/>
      <c r="EO486" s="252"/>
      <c r="EP486" s="252"/>
      <c r="EQ486" s="252"/>
      <c r="ES486" s="252"/>
      <c r="ET486" s="252"/>
      <c r="EU486" s="252"/>
      <c r="EW486" s="252"/>
      <c r="EX486" s="252"/>
      <c r="EY486" s="252"/>
      <c r="FA486" s="250"/>
      <c r="FB486" s="250"/>
      <c r="FC486" s="250"/>
      <c r="FD486" s="250"/>
      <c r="FE486" s="250"/>
      <c r="FF486" s="250"/>
      <c r="FG486" s="250"/>
      <c r="FH486" s="424"/>
      <c r="FI486" s="250"/>
      <c r="FJ486" s="250"/>
      <c r="FK486" s="250"/>
      <c r="FL486" s="256"/>
      <c r="FM486" s="250"/>
      <c r="FN486" s="256"/>
      <c r="FO486" s="250"/>
      <c r="FP486" s="256"/>
      <c r="FQ486" s="250"/>
      <c r="FR486" s="256"/>
      <c r="FS486" s="250"/>
      <c r="FT486" s="256"/>
      <c r="FU486" s="256"/>
      <c r="FV486" s="256"/>
      <c r="FW486" s="250"/>
      <c r="FX486" s="424"/>
      <c r="FY486" s="251"/>
      <c r="GC486" s="252"/>
      <c r="GF486" s="252"/>
      <c r="GG486" s="252"/>
      <c r="GH486" s="252"/>
      <c r="GI486" s="252"/>
      <c r="GJ486" s="252"/>
      <c r="GK486" s="251"/>
      <c r="GL486" s="250"/>
      <c r="GM486" s="250"/>
      <c r="GN486" s="250"/>
      <c r="GO486" s="250"/>
      <c r="GP486" s="250"/>
      <c r="GQ486" s="250"/>
      <c r="GR486" s="250"/>
      <c r="GS486" s="250"/>
      <c r="GT486" s="250"/>
      <c r="GU486" s="251"/>
      <c r="GV486" s="250"/>
      <c r="GW486" s="250"/>
      <c r="GX486" s="250"/>
      <c r="GY486" s="250"/>
      <c r="GZ486" s="250"/>
      <c r="HA486" s="250"/>
      <c r="HB486" s="250"/>
      <c r="HC486" s="250"/>
      <c r="HD486" s="250"/>
      <c r="HE486" s="250"/>
      <c r="HF486" s="250"/>
      <c r="HG486" s="250"/>
      <c r="HH486" s="251"/>
      <c r="HI486" s="424"/>
      <c r="HJ486" s="255"/>
      <c r="HK486" s="255"/>
      <c r="HL486" s="250"/>
      <c r="HM486" s="255"/>
      <c r="HN486" s="255"/>
      <c r="HO486" s="255"/>
      <c r="HP486" s="250"/>
      <c r="HQ486" s="250"/>
      <c r="HR486" s="250"/>
      <c r="HS486" s="250"/>
      <c r="HT486" s="250"/>
      <c r="HU486" s="251"/>
      <c r="HX486" s="252"/>
      <c r="HY486" s="252"/>
      <c r="HZ486" s="252"/>
      <c r="ID486" s="252"/>
      <c r="IE486" s="252"/>
      <c r="IF486" s="252"/>
      <c r="IJ486" s="252"/>
      <c r="IK486" s="252"/>
      <c r="IL486" s="252"/>
      <c r="IP486" s="252"/>
      <c r="IQ486" s="252"/>
      <c r="IR486" s="252"/>
      <c r="IY486" s="66"/>
      <c r="IZ486" s="66"/>
      <c r="JA486" s="66"/>
      <c r="JB486" s="250"/>
      <c r="JC486" s="66"/>
      <c r="JD486" s="66"/>
      <c r="JE486" s="66"/>
      <c r="JF486" s="66"/>
      <c r="JG486" s="66"/>
      <c r="JH486" s="66"/>
      <c r="JI486" s="66"/>
      <c r="JJ486" s="66"/>
      <c r="JK486" s="8"/>
      <c r="JN486" s="252"/>
      <c r="JO486" s="252"/>
      <c r="JP486" s="252"/>
      <c r="JT486" s="252"/>
      <c r="JU486" s="252"/>
      <c r="JV486" s="252"/>
      <c r="JZ486" s="252"/>
      <c r="KA486" s="252"/>
      <c r="KB486" s="252"/>
      <c r="KF486" s="252"/>
      <c r="KG486" s="252"/>
      <c r="KH486" s="252"/>
      <c r="KO486" s="66"/>
      <c r="KP486" s="66"/>
      <c r="KQ486" s="66"/>
      <c r="KR486" s="66"/>
      <c r="KS486" s="66"/>
      <c r="KT486" s="66"/>
      <c r="KU486" s="66"/>
      <c r="KV486" s="66"/>
      <c r="KW486" s="66"/>
      <c r="KX486" s="66"/>
      <c r="KY486" s="66"/>
      <c r="KZ486" s="66"/>
      <c r="LA486" s="8"/>
      <c r="LD486" s="252"/>
      <c r="LE486" s="252"/>
      <c r="LF486" s="252"/>
      <c r="LJ486" s="252"/>
      <c r="LK486" s="252"/>
      <c r="LN486" s="252"/>
      <c r="LO486" s="252"/>
      <c r="LP486" s="252"/>
      <c r="LT486" s="271"/>
      <c r="LU486" s="250"/>
      <c r="LV486" s="250"/>
      <c r="LW486" s="250"/>
      <c r="LX486" s="250"/>
      <c r="LY486" s="250"/>
      <c r="LZ486" s="250"/>
      <c r="MA486" s="250"/>
      <c r="MB486" s="250"/>
      <c r="MC486" s="250"/>
      <c r="MD486" s="250"/>
      <c r="ME486" s="250"/>
      <c r="MF486" s="250"/>
      <c r="MG486" s="250"/>
      <c r="MH486" s="250"/>
      <c r="MI486" s="250"/>
      <c r="MJ486" s="250"/>
      <c r="MK486" s="424"/>
      <c r="ML486" s="640"/>
      <c r="MM486" s="251"/>
      <c r="MN486" s="252"/>
      <c r="MO486" s="252"/>
      <c r="MP486" s="252"/>
      <c r="MQ486" s="252"/>
      <c r="MR486" s="252"/>
      <c r="MS486" s="252"/>
      <c r="MT486" s="252"/>
      <c r="MU486" s="252"/>
      <c r="MV486" s="252"/>
      <c r="MW486" s="252"/>
      <c r="MX486" s="252"/>
      <c r="MY486" s="252"/>
      <c r="MZ486" s="252"/>
      <c r="NA486" s="252"/>
      <c r="NB486" s="252"/>
      <c r="NC486" s="251"/>
      <c r="ND486" s="250"/>
      <c r="NE486" s="250"/>
      <c r="NF486" s="250"/>
      <c r="NG486" s="250"/>
      <c r="NH486" s="250"/>
      <c r="NI486" s="250"/>
      <c r="NJ486" s="250"/>
      <c r="NK486" s="250"/>
      <c r="NL486" s="250"/>
      <c r="NM486" s="250"/>
      <c r="NN486" s="250"/>
      <c r="NO486" s="250"/>
      <c r="NP486" s="250"/>
      <c r="NQ486" s="250"/>
      <c r="NR486" s="250"/>
      <c r="NS486" s="250"/>
      <c r="NT486" s="250"/>
      <c r="NU486" s="250"/>
      <c r="NV486" s="250"/>
      <c r="NW486" s="251"/>
      <c r="OT486" s="8"/>
      <c r="QG486" s="8"/>
      <c r="RT486" s="8"/>
    </row>
    <row r="487" spans="1:488" s="282" customFormat="1" x14ac:dyDescent="0.25">
      <c r="A487" s="66"/>
      <c r="B487" s="8"/>
      <c r="C487" s="66"/>
      <c r="D487" s="66"/>
      <c r="E487" s="66"/>
      <c r="F487" s="66"/>
      <c r="G487" s="66"/>
      <c r="H487" s="66"/>
      <c r="I487" s="66"/>
      <c r="J487" s="66"/>
      <c r="K487" s="66"/>
      <c r="L487" s="66"/>
      <c r="M487" s="66"/>
      <c r="N487" s="66"/>
      <c r="O487" s="66"/>
      <c r="P487" s="66"/>
      <c r="Q487" s="66"/>
      <c r="R487" s="66"/>
      <c r="S487" s="66"/>
      <c r="T487" s="68"/>
      <c r="AC487" s="66"/>
      <c r="AD487" s="66"/>
      <c r="AE487" s="68"/>
      <c r="AN487" s="66"/>
      <c r="AO487" s="66"/>
      <c r="AP487" s="68"/>
      <c r="AW487" s="66"/>
      <c r="AX487" s="68"/>
      <c r="BD487" s="66"/>
      <c r="BE487" s="68"/>
      <c r="BF487" s="66"/>
      <c r="BG487" s="66"/>
      <c r="BH487" s="66"/>
      <c r="BI487" s="66"/>
      <c r="BJ487" s="66"/>
      <c r="BK487" s="66"/>
      <c r="BL487" s="68"/>
      <c r="BO487" s="66"/>
      <c r="BP487" s="68"/>
      <c r="BV487" s="66"/>
      <c r="BW487" s="68"/>
      <c r="CB487" s="8"/>
      <c r="CH487" s="8"/>
      <c r="CK487" s="299"/>
      <c r="CL487" s="299"/>
      <c r="CM487" s="66"/>
      <c r="CN487" s="66"/>
      <c r="CO487" s="68"/>
      <c r="CR487" s="8"/>
      <c r="CX487" s="66"/>
      <c r="CY487" s="532"/>
      <c r="DE487" s="66"/>
      <c r="DF487" s="66"/>
      <c r="DG487" s="68"/>
      <c r="DH487" s="68"/>
      <c r="DK487" s="66"/>
      <c r="DL487" s="66"/>
      <c r="DM487" s="66"/>
      <c r="DN487" s="66"/>
      <c r="DO487" s="66"/>
      <c r="DP487" s="66"/>
      <c r="DQ487" s="66"/>
      <c r="DR487" s="66"/>
      <c r="DS487" s="66"/>
      <c r="DT487" s="68"/>
      <c r="DU487" s="66"/>
      <c r="DV487" s="296"/>
      <c r="DW487" s="330"/>
      <c r="DX487" s="631"/>
      <c r="DY487" s="631"/>
      <c r="DZ487" s="631"/>
      <c r="EA487" s="330"/>
      <c r="EC487" s="66"/>
      <c r="ED487" s="68"/>
      <c r="EH487" s="66"/>
      <c r="EI487" s="66"/>
      <c r="EJ487" s="68"/>
      <c r="EK487" s="252"/>
      <c r="EL487" s="252"/>
      <c r="EM487" s="252"/>
      <c r="EO487" s="252"/>
      <c r="EP487" s="252"/>
      <c r="EQ487" s="252"/>
      <c r="ES487" s="252"/>
      <c r="ET487" s="252"/>
      <c r="EU487" s="252"/>
      <c r="EW487" s="252"/>
      <c r="EX487" s="252"/>
      <c r="EY487" s="252"/>
      <c r="FA487" s="250"/>
      <c r="FB487" s="250"/>
      <c r="FC487" s="250"/>
      <c r="FD487" s="250"/>
      <c r="FE487" s="250"/>
      <c r="FF487" s="250"/>
      <c r="FG487" s="250"/>
      <c r="FH487" s="424"/>
      <c r="FI487" s="250"/>
      <c r="FJ487" s="250"/>
      <c r="FK487" s="250"/>
      <c r="FL487" s="256"/>
      <c r="FM487" s="250"/>
      <c r="FN487" s="256"/>
      <c r="FO487" s="250"/>
      <c r="FP487" s="256"/>
      <c r="FQ487" s="250"/>
      <c r="FR487" s="256"/>
      <c r="FS487" s="250"/>
      <c r="FT487" s="256"/>
      <c r="FU487" s="256"/>
      <c r="FV487" s="256"/>
      <c r="FW487" s="250"/>
      <c r="FX487" s="424"/>
      <c r="FY487" s="251"/>
      <c r="GC487" s="252"/>
      <c r="GF487" s="252"/>
      <c r="GG487" s="252"/>
      <c r="GH487" s="252"/>
      <c r="GI487" s="252"/>
      <c r="GJ487" s="252"/>
      <c r="GK487" s="251"/>
      <c r="GL487" s="250"/>
      <c r="GM487" s="250"/>
      <c r="GN487" s="250"/>
      <c r="GO487" s="250"/>
      <c r="GP487" s="250"/>
      <c r="GQ487" s="250"/>
      <c r="GR487" s="250"/>
      <c r="GS487" s="250"/>
      <c r="GT487" s="250"/>
      <c r="GU487" s="251"/>
      <c r="GV487" s="250"/>
      <c r="GW487" s="250"/>
      <c r="GX487" s="250"/>
      <c r="GY487" s="250"/>
      <c r="GZ487" s="250"/>
      <c r="HA487" s="250"/>
      <c r="HB487" s="250"/>
      <c r="HC487" s="250"/>
      <c r="HD487" s="250"/>
      <c r="HE487" s="250"/>
      <c r="HF487" s="250"/>
      <c r="HG487" s="250"/>
      <c r="HH487" s="251"/>
      <c r="HI487" s="424"/>
      <c r="HJ487" s="255"/>
      <c r="HK487" s="255"/>
      <c r="HL487" s="250"/>
      <c r="HM487" s="255"/>
      <c r="HN487" s="255"/>
      <c r="HO487" s="255"/>
      <c r="HP487" s="250"/>
      <c r="HQ487" s="250"/>
      <c r="HR487" s="250"/>
      <c r="HS487" s="250"/>
      <c r="HT487" s="250"/>
      <c r="HU487" s="251"/>
      <c r="HX487" s="252"/>
      <c r="HY487" s="252"/>
      <c r="HZ487" s="252"/>
      <c r="ID487" s="252"/>
      <c r="IE487" s="252"/>
      <c r="IF487" s="252"/>
      <c r="IJ487" s="252"/>
      <c r="IK487" s="252"/>
      <c r="IL487" s="252"/>
      <c r="IP487" s="252"/>
      <c r="IQ487" s="252"/>
      <c r="IR487" s="252"/>
      <c r="IY487" s="66"/>
      <c r="IZ487" s="66"/>
      <c r="JA487" s="66"/>
      <c r="JB487" s="250"/>
      <c r="JC487" s="66"/>
      <c r="JD487" s="66"/>
      <c r="JE487" s="66"/>
      <c r="JF487" s="66"/>
      <c r="JG487" s="66"/>
      <c r="JH487" s="66"/>
      <c r="JI487" s="66"/>
      <c r="JJ487" s="66"/>
      <c r="JK487" s="8"/>
      <c r="JN487" s="252"/>
      <c r="JO487" s="252"/>
      <c r="JP487" s="252"/>
      <c r="JT487" s="252"/>
      <c r="JU487" s="252"/>
      <c r="JV487" s="252"/>
      <c r="JZ487" s="252"/>
      <c r="KA487" s="252"/>
      <c r="KB487" s="252"/>
      <c r="KF487" s="252"/>
      <c r="KG487" s="252"/>
      <c r="KH487" s="252"/>
      <c r="KO487" s="66"/>
      <c r="KP487" s="66"/>
      <c r="KQ487" s="66"/>
      <c r="KR487" s="66"/>
      <c r="KS487" s="66"/>
      <c r="KT487" s="66"/>
      <c r="KU487" s="66"/>
      <c r="KV487" s="66"/>
      <c r="KW487" s="66"/>
      <c r="KX487" s="66"/>
      <c r="KY487" s="66"/>
      <c r="KZ487" s="66"/>
      <c r="LA487" s="8"/>
      <c r="LD487" s="252"/>
      <c r="LE487" s="252"/>
      <c r="LF487" s="252"/>
      <c r="LJ487" s="252"/>
      <c r="LK487" s="252"/>
      <c r="LN487" s="252"/>
      <c r="LO487" s="252"/>
      <c r="LP487" s="252"/>
      <c r="LT487" s="271"/>
      <c r="LU487" s="250"/>
      <c r="LV487" s="250"/>
      <c r="LW487" s="250"/>
      <c r="LX487" s="250"/>
      <c r="LY487" s="250"/>
      <c r="LZ487" s="250"/>
      <c r="MA487" s="250"/>
      <c r="MB487" s="250"/>
      <c r="MC487" s="250"/>
      <c r="MD487" s="250"/>
      <c r="ME487" s="250"/>
      <c r="MF487" s="250"/>
      <c r="MG487" s="250"/>
      <c r="MH487" s="250"/>
      <c r="MI487" s="250"/>
      <c r="MJ487" s="250"/>
      <c r="MK487" s="424"/>
      <c r="ML487" s="640"/>
      <c r="MM487" s="251"/>
      <c r="MN487" s="252"/>
      <c r="MO487" s="252"/>
      <c r="MP487" s="252"/>
      <c r="MQ487" s="252"/>
      <c r="MR487" s="252"/>
      <c r="MS487" s="252"/>
      <c r="MT487" s="252"/>
      <c r="MU487" s="252"/>
      <c r="MV487" s="252"/>
      <c r="MW487" s="252"/>
      <c r="MX487" s="252"/>
      <c r="MY487" s="252"/>
      <c r="MZ487" s="252"/>
      <c r="NA487" s="252"/>
      <c r="NB487" s="252"/>
      <c r="NC487" s="251"/>
      <c r="ND487" s="250"/>
      <c r="NE487" s="250"/>
      <c r="NF487" s="250"/>
      <c r="NG487" s="250"/>
      <c r="NH487" s="250"/>
      <c r="NI487" s="250"/>
      <c r="NJ487" s="250"/>
      <c r="NK487" s="250"/>
      <c r="NL487" s="250"/>
      <c r="NM487" s="250"/>
      <c r="NN487" s="250"/>
      <c r="NO487" s="250"/>
      <c r="NP487" s="250"/>
      <c r="NQ487" s="250"/>
      <c r="NR487" s="250"/>
      <c r="NS487" s="250"/>
      <c r="NT487" s="250"/>
      <c r="NU487" s="250"/>
      <c r="NV487" s="250"/>
      <c r="NW487" s="251"/>
      <c r="OT487" s="8"/>
      <c r="QG487" s="8"/>
      <c r="RT487" s="8"/>
    </row>
    <row r="488" spans="1:488" s="282" customFormat="1" x14ac:dyDescent="0.25">
      <c r="A488" s="66"/>
      <c r="B488" s="8"/>
      <c r="C488" s="66"/>
      <c r="D488" s="66"/>
      <c r="E488" s="66"/>
      <c r="F488" s="66"/>
      <c r="G488" s="66"/>
      <c r="H488" s="66"/>
      <c r="I488" s="66"/>
      <c r="J488" s="66"/>
      <c r="K488" s="66"/>
      <c r="L488" s="66"/>
      <c r="M488" s="66"/>
      <c r="N488" s="66"/>
      <c r="O488" s="66"/>
      <c r="P488" s="66"/>
      <c r="Q488" s="66"/>
      <c r="R488" s="66"/>
      <c r="S488" s="66"/>
      <c r="T488" s="68"/>
      <c r="AC488" s="66"/>
      <c r="AD488" s="66"/>
      <c r="AE488" s="68"/>
      <c r="AN488" s="66"/>
      <c r="AO488" s="66"/>
      <c r="AP488" s="68"/>
      <c r="AW488" s="66"/>
      <c r="AX488" s="68"/>
      <c r="BD488" s="66"/>
      <c r="BE488" s="68"/>
      <c r="BF488" s="66"/>
      <c r="BG488" s="66"/>
      <c r="BH488" s="66"/>
      <c r="BI488" s="66"/>
      <c r="BJ488" s="66"/>
      <c r="BK488" s="66"/>
      <c r="BL488" s="68"/>
      <c r="BO488" s="66"/>
      <c r="BP488" s="68"/>
      <c r="BV488" s="66"/>
      <c r="BW488" s="68"/>
      <c r="CB488" s="8"/>
      <c r="CH488" s="8"/>
      <c r="CK488" s="299"/>
      <c r="CL488" s="299"/>
      <c r="CM488" s="66"/>
      <c r="CN488" s="66"/>
      <c r="CO488" s="68"/>
      <c r="CR488" s="8"/>
      <c r="CX488" s="66"/>
      <c r="CY488" s="532"/>
      <c r="DE488" s="66"/>
      <c r="DF488" s="66"/>
      <c r="DG488" s="68"/>
      <c r="DH488" s="68"/>
      <c r="DK488" s="66"/>
      <c r="DL488" s="66"/>
      <c r="DM488" s="66"/>
      <c r="DN488" s="66"/>
      <c r="DO488" s="66"/>
      <c r="DP488" s="66"/>
      <c r="DQ488" s="66"/>
      <c r="DR488" s="66"/>
      <c r="DS488" s="66"/>
      <c r="DT488" s="68"/>
      <c r="DU488" s="66"/>
      <c r="DV488" s="296"/>
      <c r="DW488" s="330"/>
      <c r="DX488" s="631"/>
      <c r="DY488" s="631"/>
      <c r="DZ488" s="631"/>
      <c r="EA488" s="330"/>
      <c r="EC488" s="66"/>
      <c r="ED488" s="68"/>
      <c r="EH488" s="66"/>
      <c r="EI488" s="66"/>
      <c r="EJ488" s="68"/>
      <c r="EK488" s="252"/>
      <c r="EL488" s="252"/>
      <c r="EM488" s="252"/>
      <c r="EO488" s="252"/>
      <c r="EP488" s="252"/>
      <c r="EQ488" s="252"/>
      <c r="ES488" s="252"/>
      <c r="ET488" s="252"/>
      <c r="EU488" s="252"/>
      <c r="EW488" s="252"/>
      <c r="EX488" s="252"/>
      <c r="EY488" s="252"/>
      <c r="FA488" s="250"/>
      <c r="FB488" s="250"/>
      <c r="FC488" s="250"/>
      <c r="FD488" s="250"/>
      <c r="FE488" s="250"/>
      <c r="FF488" s="250"/>
      <c r="FG488" s="250"/>
      <c r="FH488" s="424"/>
      <c r="FI488" s="250"/>
      <c r="FJ488" s="250"/>
      <c r="FK488" s="250"/>
      <c r="FL488" s="256"/>
      <c r="FM488" s="250"/>
      <c r="FN488" s="256"/>
      <c r="FO488" s="250"/>
      <c r="FP488" s="256"/>
      <c r="FQ488" s="250"/>
      <c r="FR488" s="256"/>
      <c r="FS488" s="250"/>
      <c r="FT488" s="256"/>
      <c r="FU488" s="256"/>
      <c r="FV488" s="256"/>
      <c r="FW488" s="250"/>
      <c r="FX488" s="424"/>
      <c r="FY488" s="251"/>
      <c r="GC488" s="252"/>
      <c r="GF488" s="252"/>
      <c r="GG488" s="252"/>
      <c r="GH488" s="252"/>
      <c r="GI488" s="252"/>
      <c r="GJ488" s="252"/>
      <c r="GK488" s="251"/>
      <c r="GL488" s="250"/>
      <c r="GM488" s="250"/>
      <c r="GN488" s="250"/>
      <c r="GO488" s="250"/>
      <c r="GP488" s="250"/>
      <c r="GQ488" s="250"/>
      <c r="GR488" s="250"/>
      <c r="GS488" s="250"/>
      <c r="GT488" s="250"/>
      <c r="GU488" s="251"/>
      <c r="GV488" s="250"/>
      <c r="GW488" s="250"/>
      <c r="GX488" s="250"/>
      <c r="GY488" s="250"/>
      <c r="GZ488" s="250"/>
      <c r="HA488" s="250"/>
      <c r="HB488" s="250"/>
      <c r="HC488" s="250"/>
      <c r="HD488" s="250"/>
      <c r="HE488" s="250"/>
      <c r="HF488" s="250"/>
      <c r="HG488" s="250"/>
      <c r="HH488" s="251"/>
      <c r="HI488" s="424"/>
      <c r="HJ488" s="255"/>
      <c r="HK488" s="255"/>
      <c r="HL488" s="250"/>
      <c r="HM488" s="255"/>
      <c r="HN488" s="255"/>
      <c r="HO488" s="255"/>
      <c r="HP488" s="250"/>
      <c r="HQ488" s="250"/>
      <c r="HR488" s="250"/>
      <c r="HS488" s="250"/>
      <c r="HT488" s="250"/>
      <c r="HU488" s="251"/>
      <c r="HX488" s="252"/>
      <c r="HY488" s="252"/>
      <c r="HZ488" s="252"/>
      <c r="ID488" s="252"/>
      <c r="IE488" s="252"/>
      <c r="IF488" s="252"/>
      <c r="IJ488" s="252"/>
      <c r="IK488" s="252"/>
      <c r="IL488" s="252"/>
      <c r="IP488" s="252"/>
      <c r="IQ488" s="252"/>
      <c r="IR488" s="252"/>
      <c r="IY488" s="66"/>
      <c r="IZ488" s="66"/>
      <c r="JA488" s="66"/>
      <c r="JB488" s="250"/>
      <c r="JC488" s="66"/>
      <c r="JD488" s="66"/>
      <c r="JE488" s="66"/>
      <c r="JF488" s="66"/>
      <c r="JG488" s="66"/>
      <c r="JH488" s="66"/>
      <c r="JI488" s="66"/>
      <c r="JJ488" s="66"/>
      <c r="JK488" s="8"/>
      <c r="JN488" s="252"/>
      <c r="JO488" s="252"/>
      <c r="JP488" s="252"/>
      <c r="JT488" s="252"/>
      <c r="JU488" s="252"/>
      <c r="JV488" s="252"/>
      <c r="JZ488" s="252"/>
      <c r="KA488" s="252"/>
      <c r="KB488" s="252"/>
      <c r="KF488" s="252"/>
      <c r="KG488" s="252"/>
      <c r="KH488" s="252"/>
      <c r="KO488" s="66"/>
      <c r="KP488" s="66"/>
      <c r="KQ488" s="66"/>
      <c r="KR488" s="66"/>
      <c r="KS488" s="66"/>
      <c r="KT488" s="66"/>
      <c r="KU488" s="66"/>
      <c r="KV488" s="66"/>
      <c r="KW488" s="66"/>
      <c r="KX488" s="66"/>
      <c r="KY488" s="66"/>
      <c r="KZ488" s="66"/>
      <c r="LA488" s="8"/>
      <c r="LD488" s="252"/>
      <c r="LE488" s="252"/>
      <c r="LF488" s="252"/>
      <c r="LJ488" s="252"/>
      <c r="LK488" s="252"/>
      <c r="LN488" s="252"/>
      <c r="LO488" s="252"/>
      <c r="LP488" s="252"/>
      <c r="LT488" s="271"/>
      <c r="LU488" s="250"/>
      <c r="LV488" s="250"/>
      <c r="LW488" s="250"/>
      <c r="LX488" s="250"/>
      <c r="LY488" s="250"/>
      <c r="LZ488" s="250"/>
      <c r="MA488" s="250"/>
      <c r="MB488" s="250"/>
      <c r="MC488" s="250"/>
      <c r="MD488" s="250"/>
      <c r="ME488" s="250"/>
      <c r="MF488" s="250"/>
      <c r="MG488" s="250"/>
      <c r="MH488" s="250"/>
      <c r="MI488" s="250"/>
      <c r="MJ488" s="250"/>
      <c r="MK488" s="424"/>
      <c r="ML488" s="640"/>
      <c r="MM488" s="251"/>
      <c r="MN488" s="252"/>
      <c r="MO488" s="252"/>
      <c r="MP488" s="252"/>
      <c r="MQ488" s="252"/>
      <c r="MR488" s="252"/>
      <c r="MS488" s="252"/>
      <c r="MT488" s="252"/>
      <c r="MU488" s="252"/>
      <c r="MV488" s="252"/>
      <c r="MW488" s="252"/>
      <c r="MX488" s="252"/>
      <c r="MY488" s="252"/>
      <c r="MZ488" s="252"/>
      <c r="NA488" s="252"/>
      <c r="NB488" s="252"/>
      <c r="NC488" s="251"/>
      <c r="ND488" s="250"/>
      <c r="NE488" s="250"/>
      <c r="NF488" s="250"/>
      <c r="NG488" s="250"/>
      <c r="NH488" s="250"/>
      <c r="NI488" s="250"/>
      <c r="NJ488" s="250"/>
      <c r="NK488" s="250"/>
      <c r="NL488" s="250"/>
      <c r="NM488" s="250"/>
      <c r="NN488" s="250"/>
      <c r="NO488" s="250"/>
      <c r="NP488" s="250"/>
      <c r="NQ488" s="250"/>
      <c r="NR488" s="250"/>
      <c r="NS488" s="250"/>
      <c r="NT488" s="250"/>
      <c r="NU488" s="250"/>
      <c r="NV488" s="250"/>
      <c r="NW488" s="251"/>
      <c r="OT488" s="8"/>
      <c r="QG488" s="8"/>
      <c r="RT488" s="8"/>
    </row>
    <row r="489" spans="1:488" s="282" customFormat="1" x14ac:dyDescent="0.25">
      <c r="A489" s="66"/>
      <c r="B489" s="8"/>
      <c r="C489" s="66"/>
      <c r="D489" s="66"/>
      <c r="E489" s="66"/>
      <c r="F489" s="66"/>
      <c r="G489" s="66"/>
      <c r="H489" s="66"/>
      <c r="I489" s="66"/>
      <c r="J489" s="66"/>
      <c r="K489" s="66"/>
      <c r="L489" s="66"/>
      <c r="M489" s="66"/>
      <c r="N489" s="66"/>
      <c r="O489" s="66"/>
      <c r="P489" s="66"/>
      <c r="Q489" s="66"/>
      <c r="R489" s="66"/>
      <c r="S489" s="66"/>
      <c r="T489" s="68"/>
      <c r="AC489" s="66"/>
      <c r="AD489" s="66"/>
      <c r="AE489" s="68"/>
      <c r="AN489" s="66"/>
      <c r="AO489" s="66"/>
      <c r="AP489" s="68"/>
      <c r="AW489" s="66"/>
      <c r="AX489" s="68"/>
      <c r="BD489" s="66"/>
      <c r="BE489" s="68"/>
      <c r="BF489" s="66"/>
      <c r="BG489" s="66"/>
      <c r="BH489" s="66"/>
      <c r="BI489" s="66"/>
      <c r="BJ489" s="66"/>
      <c r="BK489" s="66"/>
      <c r="BL489" s="68"/>
      <c r="BO489" s="66"/>
      <c r="BP489" s="68"/>
      <c r="BV489" s="66"/>
      <c r="BW489" s="68"/>
      <c r="CB489" s="8"/>
      <c r="CH489" s="8"/>
      <c r="CK489" s="299"/>
      <c r="CL489" s="299"/>
      <c r="CM489" s="66"/>
      <c r="CN489" s="66"/>
      <c r="CO489" s="68"/>
      <c r="CR489" s="8"/>
      <c r="CX489" s="66"/>
      <c r="CY489" s="532"/>
      <c r="DE489" s="66"/>
      <c r="DF489" s="66"/>
      <c r="DG489" s="68"/>
      <c r="DH489" s="68"/>
      <c r="DK489" s="66"/>
      <c r="DL489" s="66"/>
      <c r="DM489" s="66"/>
      <c r="DN489" s="66"/>
      <c r="DO489" s="66"/>
      <c r="DP489" s="66"/>
      <c r="DQ489" s="66"/>
      <c r="DR489" s="66"/>
      <c r="DS489" s="66"/>
      <c r="DT489" s="68"/>
      <c r="DU489" s="66"/>
      <c r="DV489" s="296"/>
      <c r="DW489" s="330"/>
      <c r="DX489" s="631"/>
      <c r="DY489" s="631"/>
      <c r="DZ489" s="631"/>
      <c r="EA489" s="330"/>
      <c r="EC489" s="66"/>
      <c r="ED489" s="68"/>
      <c r="EH489" s="66"/>
      <c r="EI489" s="66"/>
      <c r="EJ489" s="68"/>
      <c r="EK489" s="252"/>
      <c r="EL489" s="252"/>
      <c r="EM489" s="252"/>
      <c r="EO489" s="252"/>
      <c r="EP489" s="252"/>
      <c r="EQ489" s="252"/>
      <c r="ES489" s="252"/>
      <c r="ET489" s="252"/>
      <c r="EU489" s="252"/>
      <c r="EW489" s="252"/>
      <c r="EX489" s="252"/>
      <c r="EY489" s="252"/>
      <c r="FA489" s="250"/>
      <c r="FB489" s="250"/>
      <c r="FC489" s="250"/>
      <c r="FD489" s="250"/>
      <c r="FE489" s="250"/>
      <c r="FF489" s="250"/>
      <c r="FG489" s="250"/>
      <c r="FH489" s="424"/>
      <c r="FI489" s="250"/>
      <c r="FJ489" s="250"/>
      <c r="FK489" s="250"/>
      <c r="FL489" s="256"/>
      <c r="FM489" s="250"/>
      <c r="FN489" s="256"/>
      <c r="FO489" s="250"/>
      <c r="FP489" s="256"/>
      <c r="FQ489" s="250"/>
      <c r="FR489" s="256"/>
      <c r="FS489" s="250"/>
      <c r="FT489" s="256"/>
      <c r="FU489" s="256"/>
      <c r="FV489" s="256"/>
      <c r="FW489" s="250"/>
      <c r="FX489" s="424"/>
      <c r="FY489" s="251"/>
      <c r="GC489" s="252"/>
      <c r="GF489" s="252"/>
      <c r="GG489" s="252"/>
      <c r="GH489" s="252"/>
      <c r="GI489" s="252"/>
      <c r="GJ489" s="252"/>
      <c r="GK489" s="251"/>
      <c r="GL489" s="250"/>
      <c r="GM489" s="250"/>
      <c r="GN489" s="250"/>
      <c r="GO489" s="250"/>
      <c r="GP489" s="250"/>
      <c r="GQ489" s="250"/>
      <c r="GR489" s="250"/>
      <c r="GS489" s="250"/>
      <c r="GT489" s="250"/>
      <c r="GU489" s="251"/>
      <c r="GV489" s="250"/>
      <c r="GW489" s="250"/>
      <c r="GX489" s="250"/>
      <c r="GY489" s="250"/>
      <c r="GZ489" s="250"/>
      <c r="HA489" s="250"/>
      <c r="HB489" s="250"/>
      <c r="HC489" s="250"/>
      <c r="HD489" s="250"/>
      <c r="HE489" s="250"/>
      <c r="HF489" s="250"/>
      <c r="HG489" s="250"/>
      <c r="HH489" s="251"/>
      <c r="HI489" s="424"/>
      <c r="HJ489" s="255"/>
      <c r="HK489" s="255"/>
      <c r="HL489" s="250"/>
      <c r="HM489" s="255"/>
      <c r="HN489" s="255"/>
      <c r="HO489" s="255"/>
      <c r="HP489" s="250"/>
      <c r="HQ489" s="250"/>
      <c r="HR489" s="250"/>
      <c r="HS489" s="250"/>
      <c r="HT489" s="250"/>
      <c r="HU489" s="251"/>
      <c r="HX489" s="252"/>
      <c r="HY489" s="252"/>
      <c r="HZ489" s="252"/>
      <c r="ID489" s="252"/>
      <c r="IE489" s="252"/>
      <c r="IF489" s="252"/>
      <c r="IJ489" s="252"/>
      <c r="IK489" s="252"/>
      <c r="IL489" s="252"/>
      <c r="IP489" s="252"/>
      <c r="IQ489" s="252"/>
      <c r="IR489" s="252"/>
      <c r="IY489" s="66"/>
      <c r="IZ489" s="66"/>
      <c r="JA489" s="66"/>
      <c r="JB489" s="250"/>
      <c r="JC489" s="66"/>
      <c r="JD489" s="66"/>
      <c r="JE489" s="66"/>
      <c r="JF489" s="66"/>
      <c r="JG489" s="66"/>
      <c r="JH489" s="66"/>
      <c r="JI489" s="66"/>
      <c r="JJ489" s="66"/>
      <c r="JK489" s="8"/>
      <c r="JN489" s="252"/>
      <c r="JO489" s="252"/>
      <c r="JP489" s="252"/>
      <c r="JT489" s="252"/>
      <c r="JU489" s="252"/>
      <c r="JV489" s="252"/>
      <c r="JZ489" s="252"/>
      <c r="KA489" s="252"/>
      <c r="KB489" s="252"/>
      <c r="KF489" s="252"/>
      <c r="KG489" s="252"/>
      <c r="KH489" s="252"/>
      <c r="KO489" s="66"/>
      <c r="KP489" s="66"/>
      <c r="KQ489" s="66"/>
      <c r="KR489" s="66"/>
      <c r="KS489" s="66"/>
      <c r="KT489" s="66"/>
      <c r="KU489" s="66"/>
      <c r="KV489" s="66"/>
      <c r="KW489" s="66"/>
      <c r="KX489" s="66"/>
      <c r="KY489" s="66"/>
      <c r="KZ489" s="66"/>
      <c r="LA489" s="8"/>
      <c r="LD489" s="252"/>
      <c r="LE489" s="252"/>
      <c r="LF489" s="252"/>
      <c r="LJ489" s="252"/>
      <c r="LK489" s="252"/>
      <c r="LN489" s="252"/>
      <c r="LO489" s="252"/>
      <c r="LP489" s="252"/>
      <c r="LT489" s="271"/>
      <c r="LU489" s="250"/>
      <c r="LV489" s="250"/>
      <c r="LW489" s="250"/>
      <c r="LX489" s="250"/>
      <c r="LY489" s="250"/>
      <c r="LZ489" s="250"/>
      <c r="MA489" s="250"/>
      <c r="MB489" s="250"/>
      <c r="MC489" s="250"/>
      <c r="MD489" s="250"/>
      <c r="ME489" s="250"/>
      <c r="MF489" s="250"/>
      <c r="MG489" s="250"/>
      <c r="MH489" s="250"/>
      <c r="MI489" s="250"/>
      <c r="MJ489" s="250"/>
      <c r="MK489" s="424"/>
      <c r="ML489" s="640"/>
      <c r="MM489" s="251"/>
      <c r="MN489" s="252"/>
      <c r="MO489" s="252"/>
      <c r="MP489" s="252"/>
      <c r="MQ489" s="252"/>
      <c r="MR489" s="252"/>
      <c r="MS489" s="252"/>
      <c r="MT489" s="252"/>
      <c r="MU489" s="252"/>
      <c r="MV489" s="252"/>
      <c r="MW489" s="252"/>
      <c r="MX489" s="252"/>
      <c r="MY489" s="252"/>
      <c r="MZ489" s="252"/>
      <c r="NA489" s="252"/>
      <c r="NB489" s="252"/>
      <c r="NC489" s="251"/>
      <c r="ND489" s="250"/>
      <c r="NE489" s="250"/>
      <c r="NF489" s="250"/>
      <c r="NG489" s="250"/>
      <c r="NH489" s="250"/>
      <c r="NI489" s="250"/>
      <c r="NJ489" s="250"/>
      <c r="NK489" s="250"/>
      <c r="NL489" s="250"/>
      <c r="NM489" s="250"/>
      <c r="NN489" s="250"/>
      <c r="NO489" s="250"/>
      <c r="NP489" s="250"/>
      <c r="NQ489" s="250"/>
      <c r="NR489" s="250"/>
      <c r="NS489" s="250"/>
      <c r="NT489" s="250"/>
      <c r="NU489" s="250"/>
      <c r="NV489" s="250"/>
      <c r="NW489" s="251"/>
      <c r="OT489" s="8"/>
      <c r="QG489" s="8"/>
      <c r="RT489" s="8"/>
    </row>
    <row r="490" spans="1:488" s="282" customFormat="1" x14ac:dyDescent="0.25">
      <c r="A490" s="66"/>
      <c r="B490" s="8"/>
      <c r="C490" s="66"/>
      <c r="D490" s="66"/>
      <c r="E490" s="66"/>
      <c r="F490" s="66"/>
      <c r="G490" s="66"/>
      <c r="H490" s="66"/>
      <c r="I490" s="66"/>
      <c r="J490" s="66"/>
      <c r="K490" s="66"/>
      <c r="L490" s="66"/>
      <c r="M490" s="66"/>
      <c r="N490" s="66"/>
      <c r="O490" s="66"/>
      <c r="P490" s="66"/>
      <c r="Q490" s="66"/>
      <c r="R490" s="66"/>
      <c r="S490" s="66"/>
      <c r="T490" s="68"/>
      <c r="AC490" s="66"/>
      <c r="AD490" s="66"/>
      <c r="AE490" s="68"/>
      <c r="AN490" s="66"/>
      <c r="AO490" s="66"/>
      <c r="AP490" s="68"/>
      <c r="AW490" s="66"/>
      <c r="AX490" s="68"/>
      <c r="BD490" s="66"/>
      <c r="BE490" s="68"/>
      <c r="BF490" s="66"/>
      <c r="BG490" s="66"/>
      <c r="BH490" s="66"/>
      <c r="BI490" s="66"/>
      <c r="BJ490" s="66"/>
      <c r="BK490" s="66"/>
      <c r="BL490" s="68"/>
      <c r="BO490" s="66"/>
      <c r="BP490" s="68"/>
      <c r="BV490" s="66"/>
      <c r="BW490" s="68"/>
      <c r="CB490" s="8"/>
      <c r="CH490" s="8"/>
      <c r="CK490" s="299"/>
      <c r="CL490" s="299"/>
      <c r="CM490" s="66"/>
      <c r="CN490" s="66"/>
      <c r="CO490" s="68"/>
      <c r="CR490" s="8"/>
      <c r="CX490" s="66"/>
      <c r="CY490" s="532"/>
      <c r="DE490" s="66"/>
      <c r="DF490" s="66"/>
      <c r="DG490" s="68"/>
      <c r="DH490" s="68"/>
      <c r="DK490" s="66"/>
      <c r="DL490" s="66"/>
      <c r="DM490" s="66"/>
      <c r="DN490" s="66"/>
      <c r="DO490" s="66"/>
      <c r="DP490" s="66"/>
      <c r="DQ490" s="66"/>
      <c r="DR490" s="66"/>
      <c r="DS490" s="66"/>
      <c r="DT490" s="68"/>
      <c r="DU490" s="66"/>
      <c r="DV490" s="296"/>
      <c r="DW490" s="330"/>
      <c r="DX490" s="631"/>
      <c r="DY490" s="631"/>
      <c r="DZ490" s="631"/>
      <c r="EA490" s="330"/>
      <c r="EC490" s="66"/>
      <c r="ED490" s="68"/>
      <c r="EH490" s="66"/>
      <c r="EI490" s="66"/>
      <c r="EJ490" s="68"/>
      <c r="EK490" s="252"/>
      <c r="EL490" s="252"/>
      <c r="EM490" s="252"/>
      <c r="EO490" s="252"/>
      <c r="EP490" s="252"/>
      <c r="EQ490" s="252"/>
      <c r="ES490" s="252"/>
      <c r="ET490" s="252"/>
      <c r="EU490" s="252"/>
      <c r="EW490" s="252"/>
      <c r="EX490" s="252"/>
      <c r="EY490" s="252"/>
      <c r="FA490" s="250"/>
      <c r="FB490" s="250"/>
      <c r="FC490" s="250"/>
      <c r="FD490" s="250"/>
      <c r="FE490" s="250"/>
      <c r="FF490" s="250"/>
      <c r="FG490" s="250"/>
      <c r="FH490" s="424"/>
      <c r="FI490" s="250"/>
      <c r="FJ490" s="250"/>
      <c r="FK490" s="250"/>
      <c r="FL490" s="256"/>
      <c r="FM490" s="250"/>
      <c r="FN490" s="256"/>
      <c r="FO490" s="250"/>
      <c r="FP490" s="256"/>
      <c r="FQ490" s="250"/>
      <c r="FR490" s="256"/>
      <c r="FS490" s="250"/>
      <c r="FT490" s="256"/>
      <c r="FU490" s="256"/>
      <c r="FV490" s="256"/>
      <c r="FW490" s="250"/>
      <c r="FX490" s="424"/>
      <c r="FY490" s="251"/>
      <c r="GC490" s="252"/>
      <c r="GF490" s="252"/>
      <c r="GG490" s="252"/>
      <c r="GH490" s="252"/>
      <c r="GI490" s="252"/>
      <c r="GJ490" s="252"/>
      <c r="GK490" s="251"/>
      <c r="GL490" s="250"/>
      <c r="GM490" s="250"/>
      <c r="GN490" s="250"/>
      <c r="GO490" s="250"/>
      <c r="GP490" s="250"/>
      <c r="GQ490" s="250"/>
      <c r="GR490" s="250"/>
      <c r="GS490" s="250"/>
      <c r="GT490" s="250"/>
      <c r="GU490" s="251"/>
      <c r="GV490" s="250"/>
      <c r="GW490" s="250"/>
      <c r="GX490" s="250"/>
      <c r="GY490" s="250"/>
      <c r="GZ490" s="250"/>
      <c r="HA490" s="250"/>
      <c r="HB490" s="250"/>
      <c r="HC490" s="250"/>
      <c r="HD490" s="250"/>
      <c r="HE490" s="250"/>
      <c r="HF490" s="250"/>
      <c r="HG490" s="250"/>
      <c r="HH490" s="251"/>
      <c r="HI490" s="424"/>
      <c r="HJ490" s="255"/>
      <c r="HK490" s="255"/>
      <c r="HL490" s="250"/>
      <c r="HM490" s="255"/>
      <c r="HN490" s="255"/>
      <c r="HO490" s="255"/>
      <c r="HP490" s="250"/>
      <c r="HQ490" s="250"/>
      <c r="HR490" s="250"/>
      <c r="HS490" s="250"/>
      <c r="HT490" s="250"/>
      <c r="HU490" s="251"/>
      <c r="HX490" s="252"/>
      <c r="HY490" s="252"/>
      <c r="HZ490" s="252"/>
      <c r="ID490" s="252"/>
      <c r="IE490" s="252"/>
      <c r="IF490" s="252"/>
      <c r="IJ490" s="252"/>
      <c r="IK490" s="252"/>
      <c r="IL490" s="252"/>
      <c r="IP490" s="252"/>
      <c r="IQ490" s="252"/>
      <c r="IR490" s="252"/>
      <c r="IY490" s="66"/>
      <c r="IZ490" s="66"/>
      <c r="JA490" s="66"/>
      <c r="JB490" s="250"/>
      <c r="JC490" s="66"/>
      <c r="JD490" s="66"/>
      <c r="JE490" s="66"/>
      <c r="JF490" s="66"/>
      <c r="JG490" s="66"/>
      <c r="JH490" s="66"/>
      <c r="JI490" s="66"/>
      <c r="JJ490" s="66"/>
      <c r="JK490" s="8"/>
      <c r="JN490" s="252"/>
      <c r="JO490" s="252"/>
      <c r="JP490" s="252"/>
      <c r="JT490" s="252"/>
      <c r="JU490" s="252"/>
      <c r="JV490" s="252"/>
      <c r="JZ490" s="252"/>
      <c r="KA490" s="252"/>
      <c r="KB490" s="252"/>
      <c r="KF490" s="252"/>
      <c r="KG490" s="252"/>
      <c r="KH490" s="252"/>
      <c r="KO490" s="66"/>
      <c r="KP490" s="66"/>
      <c r="KQ490" s="66"/>
      <c r="KR490" s="66"/>
      <c r="KS490" s="66"/>
      <c r="KT490" s="66"/>
      <c r="KU490" s="66"/>
      <c r="KV490" s="66"/>
      <c r="KW490" s="66"/>
      <c r="KX490" s="66"/>
      <c r="KY490" s="66"/>
      <c r="KZ490" s="66"/>
      <c r="LA490" s="8"/>
      <c r="LD490" s="252"/>
      <c r="LE490" s="252"/>
      <c r="LF490" s="252"/>
      <c r="LJ490" s="252"/>
      <c r="LK490" s="252"/>
      <c r="LN490" s="252"/>
      <c r="LO490" s="252"/>
      <c r="LP490" s="252"/>
      <c r="LT490" s="271"/>
      <c r="LU490" s="250"/>
      <c r="LV490" s="250"/>
      <c r="LW490" s="250"/>
      <c r="LX490" s="250"/>
      <c r="LY490" s="250"/>
      <c r="LZ490" s="250"/>
      <c r="MA490" s="250"/>
      <c r="MB490" s="250"/>
      <c r="MC490" s="250"/>
      <c r="MD490" s="250"/>
      <c r="ME490" s="250"/>
      <c r="MF490" s="250"/>
      <c r="MG490" s="250"/>
      <c r="MH490" s="250"/>
      <c r="MI490" s="250"/>
      <c r="MJ490" s="250"/>
      <c r="MK490" s="424"/>
      <c r="ML490" s="640"/>
      <c r="MM490" s="251"/>
      <c r="MN490" s="252"/>
      <c r="MO490" s="252"/>
      <c r="MP490" s="252"/>
      <c r="MQ490" s="252"/>
      <c r="MR490" s="252"/>
      <c r="MS490" s="252"/>
      <c r="MT490" s="252"/>
      <c r="MU490" s="252"/>
      <c r="MV490" s="252"/>
      <c r="MW490" s="252"/>
      <c r="MX490" s="252"/>
      <c r="MY490" s="252"/>
      <c r="MZ490" s="252"/>
      <c r="NA490" s="252"/>
      <c r="NB490" s="252"/>
      <c r="NC490" s="251"/>
      <c r="ND490" s="250"/>
      <c r="NE490" s="250"/>
      <c r="NF490" s="250"/>
      <c r="NG490" s="250"/>
      <c r="NH490" s="250"/>
      <c r="NI490" s="250"/>
      <c r="NJ490" s="250"/>
      <c r="NK490" s="250"/>
      <c r="NL490" s="250"/>
      <c r="NM490" s="250"/>
      <c r="NN490" s="250"/>
      <c r="NO490" s="250"/>
      <c r="NP490" s="250"/>
      <c r="NQ490" s="250"/>
      <c r="NR490" s="250"/>
      <c r="NS490" s="250"/>
      <c r="NT490" s="250"/>
      <c r="NU490" s="250"/>
      <c r="NV490" s="250"/>
      <c r="NW490" s="251"/>
      <c r="OT490" s="8"/>
      <c r="QG490" s="8"/>
      <c r="RT490" s="8"/>
    </row>
    <row r="491" spans="1:488" s="282" customFormat="1" x14ac:dyDescent="0.25">
      <c r="A491" s="66"/>
      <c r="B491" s="8"/>
      <c r="C491" s="66"/>
      <c r="D491" s="66"/>
      <c r="E491" s="66"/>
      <c r="F491" s="66"/>
      <c r="G491" s="66"/>
      <c r="H491" s="66"/>
      <c r="I491" s="66"/>
      <c r="J491" s="66"/>
      <c r="K491" s="66"/>
      <c r="L491" s="66"/>
      <c r="M491" s="66"/>
      <c r="N491" s="66"/>
      <c r="O491" s="66"/>
      <c r="P491" s="66"/>
      <c r="Q491" s="66"/>
      <c r="R491" s="66"/>
      <c r="S491" s="66"/>
      <c r="T491" s="68"/>
      <c r="AC491" s="66"/>
      <c r="AD491" s="66"/>
      <c r="AE491" s="68"/>
      <c r="AN491" s="66"/>
      <c r="AO491" s="66"/>
      <c r="AP491" s="68"/>
      <c r="AW491" s="66"/>
      <c r="AX491" s="68"/>
      <c r="BD491" s="66"/>
      <c r="BE491" s="68"/>
      <c r="BF491" s="66"/>
      <c r="BG491" s="66"/>
      <c r="BH491" s="66"/>
      <c r="BI491" s="66"/>
      <c r="BJ491" s="66"/>
      <c r="BK491" s="66"/>
      <c r="BL491" s="68"/>
      <c r="BO491" s="66"/>
      <c r="BP491" s="68"/>
      <c r="BV491" s="66"/>
      <c r="BW491" s="68"/>
      <c r="CB491" s="8"/>
      <c r="CH491" s="8"/>
      <c r="CK491" s="299"/>
      <c r="CL491" s="299"/>
      <c r="CM491" s="66"/>
      <c r="CN491" s="66"/>
      <c r="CO491" s="68"/>
      <c r="CR491" s="8"/>
      <c r="CX491" s="66"/>
      <c r="CY491" s="532"/>
      <c r="DE491" s="66"/>
      <c r="DF491" s="66"/>
      <c r="DG491" s="68"/>
      <c r="DH491" s="68"/>
      <c r="DK491" s="66"/>
      <c r="DL491" s="66"/>
      <c r="DM491" s="66"/>
      <c r="DN491" s="66"/>
      <c r="DO491" s="66"/>
      <c r="DP491" s="66"/>
      <c r="DQ491" s="66"/>
      <c r="DR491" s="66"/>
      <c r="DS491" s="66"/>
      <c r="DT491" s="68"/>
      <c r="DU491" s="66"/>
      <c r="DV491" s="296"/>
      <c r="DW491" s="330"/>
      <c r="DX491" s="631"/>
      <c r="DY491" s="631"/>
      <c r="DZ491" s="631"/>
      <c r="EA491" s="330"/>
      <c r="EC491" s="66"/>
      <c r="ED491" s="68"/>
      <c r="EH491" s="66"/>
      <c r="EI491" s="66"/>
      <c r="EJ491" s="68"/>
      <c r="EK491" s="252"/>
      <c r="EL491" s="252"/>
      <c r="EM491" s="252"/>
      <c r="EO491" s="252"/>
      <c r="EP491" s="252"/>
      <c r="EQ491" s="252"/>
      <c r="ES491" s="252"/>
      <c r="ET491" s="252"/>
      <c r="EU491" s="252"/>
      <c r="EW491" s="252"/>
      <c r="EX491" s="252"/>
      <c r="EY491" s="252"/>
      <c r="FA491" s="250"/>
      <c r="FB491" s="250"/>
      <c r="FC491" s="250"/>
      <c r="FD491" s="250"/>
      <c r="FE491" s="250"/>
      <c r="FF491" s="250"/>
      <c r="FG491" s="250"/>
      <c r="FH491" s="424"/>
      <c r="FI491" s="250"/>
      <c r="FJ491" s="250"/>
      <c r="FK491" s="250"/>
      <c r="FL491" s="256"/>
      <c r="FM491" s="250"/>
      <c r="FN491" s="256"/>
      <c r="FO491" s="250"/>
      <c r="FP491" s="256"/>
      <c r="FQ491" s="250"/>
      <c r="FR491" s="256"/>
      <c r="FS491" s="250"/>
      <c r="FT491" s="256"/>
      <c r="FU491" s="256"/>
      <c r="FV491" s="256"/>
      <c r="FW491" s="250"/>
      <c r="FX491" s="424"/>
      <c r="FY491" s="251"/>
      <c r="GC491" s="252"/>
      <c r="GF491" s="252"/>
      <c r="GG491" s="252"/>
      <c r="GH491" s="252"/>
      <c r="GI491" s="252"/>
      <c r="GJ491" s="252"/>
      <c r="GK491" s="251"/>
      <c r="GL491" s="250"/>
      <c r="GM491" s="250"/>
      <c r="GN491" s="250"/>
      <c r="GO491" s="250"/>
      <c r="GP491" s="250"/>
      <c r="GQ491" s="250"/>
      <c r="GR491" s="250"/>
      <c r="GS491" s="250"/>
      <c r="GT491" s="250"/>
      <c r="GU491" s="251"/>
      <c r="GV491" s="250"/>
      <c r="GW491" s="250"/>
      <c r="GX491" s="250"/>
      <c r="GY491" s="250"/>
      <c r="GZ491" s="250"/>
      <c r="HA491" s="250"/>
      <c r="HB491" s="250"/>
      <c r="HC491" s="250"/>
      <c r="HD491" s="250"/>
      <c r="HE491" s="250"/>
      <c r="HF491" s="250"/>
      <c r="HG491" s="250"/>
      <c r="HH491" s="251"/>
      <c r="HI491" s="424"/>
      <c r="HJ491" s="255"/>
      <c r="HK491" s="255"/>
      <c r="HL491" s="250"/>
      <c r="HM491" s="255"/>
      <c r="HN491" s="255"/>
      <c r="HO491" s="255"/>
      <c r="HP491" s="250"/>
      <c r="HQ491" s="250"/>
      <c r="HR491" s="250"/>
      <c r="HS491" s="250"/>
      <c r="HT491" s="250"/>
      <c r="HU491" s="251"/>
      <c r="HX491" s="252"/>
      <c r="HY491" s="252"/>
      <c r="HZ491" s="252"/>
      <c r="ID491" s="252"/>
      <c r="IE491" s="252"/>
      <c r="IF491" s="252"/>
      <c r="IJ491" s="252"/>
      <c r="IK491" s="252"/>
      <c r="IL491" s="252"/>
      <c r="IP491" s="252"/>
      <c r="IQ491" s="252"/>
      <c r="IR491" s="252"/>
      <c r="IY491" s="66"/>
      <c r="IZ491" s="66"/>
      <c r="JA491" s="66"/>
      <c r="JB491" s="250"/>
      <c r="JC491" s="66"/>
      <c r="JD491" s="66"/>
      <c r="JE491" s="66"/>
      <c r="JF491" s="66"/>
      <c r="JG491" s="66"/>
      <c r="JH491" s="66"/>
      <c r="JI491" s="66"/>
      <c r="JJ491" s="66"/>
      <c r="JK491" s="8"/>
      <c r="JN491" s="252"/>
      <c r="JO491" s="252"/>
      <c r="JP491" s="252"/>
      <c r="JT491" s="252"/>
      <c r="JU491" s="252"/>
      <c r="JV491" s="252"/>
      <c r="JZ491" s="252"/>
      <c r="KA491" s="252"/>
      <c r="KB491" s="252"/>
      <c r="KF491" s="252"/>
      <c r="KG491" s="252"/>
      <c r="KH491" s="252"/>
      <c r="KO491" s="66"/>
      <c r="KP491" s="66"/>
      <c r="KQ491" s="66"/>
      <c r="KR491" s="66"/>
      <c r="KS491" s="66"/>
      <c r="KT491" s="66"/>
      <c r="KU491" s="66"/>
      <c r="KV491" s="66"/>
      <c r="KW491" s="66"/>
      <c r="KX491" s="66"/>
      <c r="KY491" s="66"/>
      <c r="KZ491" s="66"/>
      <c r="LA491" s="8"/>
      <c r="LD491" s="252"/>
      <c r="LE491" s="252"/>
      <c r="LF491" s="252"/>
      <c r="LJ491" s="252"/>
      <c r="LK491" s="252"/>
      <c r="LN491" s="252"/>
      <c r="LO491" s="252"/>
      <c r="LP491" s="252"/>
      <c r="LT491" s="271"/>
      <c r="LU491" s="250"/>
      <c r="LV491" s="250"/>
      <c r="LW491" s="250"/>
      <c r="LX491" s="250"/>
      <c r="LY491" s="250"/>
      <c r="LZ491" s="250"/>
      <c r="MA491" s="250"/>
      <c r="MB491" s="250"/>
      <c r="MC491" s="250"/>
      <c r="MD491" s="250"/>
      <c r="ME491" s="250"/>
      <c r="MF491" s="250"/>
      <c r="MG491" s="250"/>
      <c r="MH491" s="250"/>
      <c r="MI491" s="250"/>
      <c r="MJ491" s="250"/>
      <c r="MK491" s="424"/>
      <c r="ML491" s="640"/>
      <c r="MM491" s="251"/>
      <c r="MN491" s="252"/>
      <c r="MO491" s="252"/>
      <c r="MP491" s="252"/>
      <c r="MQ491" s="252"/>
      <c r="MR491" s="252"/>
      <c r="MS491" s="252"/>
      <c r="MT491" s="252"/>
      <c r="MU491" s="252"/>
      <c r="MV491" s="252"/>
      <c r="MW491" s="252"/>
      <c r="MX491" s="252"/>
      <c r="MY491" s="252"/>
      <c r="MZ491" s="252"/>
      <c r="NA491" s="252"/>
      <c r="NB491" s="252"/>
      <c r="NC491" s="251"/>
      <c r="ND491" s="250"/>
      <c r="NE491" s="250"/>
      <c r="NF491" s="250"/>
      <c r="NG491" s="250"/>
      <c r="NH491" s="250"/>
      <c r="NI491" s="250"/>
      <c r="NJ491" s="250"/>
      <c r="NK491" s="250"/>
      <c r="NL491" s="250"/>
      <c r="NM491" s="250"/>
      <c r="NN491" s="250"/>
      <c r="NO491" s="250"/>
      <c r="NP491" s="250"/>
      <c r="NQ491" s="250"/>
      <c r="NR491" s="250"/>
      <c r="NS491" s="250"/>
      <c r="NT491" s="250"/>
      <c r="NU491" s="250"/>
      <c r="NV491" s="250"/>
      <c r="NW491" s="251"/>
      <c r="OT491" s="8"/>
      <c r="QG491" s="8"/>
      <c r="RT491" s="8"/>
    </row>
    <row r="492" spans="1:488" s="282" customFormat="1" x14ac:dyDescent="0.25">
      <c r="A492" s="66"/>
      <c r="B492" s="8"/>
      <c r="C492" s="66"/>
      <c r="D492" s="66"/>
      <c r="E492" s="66"/>
      <c r="F492" s="66"/>
      <c r="G492" s="66"/>
      <c r="H492" s="66"/>
      <c r="I492" s="66"/>
      <c r="J492" s="66"/>
      <c r="K492" s="66"/>
      <c r="L492" s="66"/>
      <c r="M492" s="66"/>
      <c r="N492" s="66"/>
      <c r="O492" s="66"/>
      <c r="P492" s="66"/>
      <c r="Q492" s="66"/>
      <c r="R492" s="66"/>
      <c r="S492" s="66"/>
      <c r="T492" s="68"/>
      <c r="AC492" s="66"/>
      <c r="AD492" s="66"/>
      <c r="AE492" s="68"/>
      <c r="AN492" s="66"/>
      <c r="AO492" s="66"/>
      <c r="AP492" s="68"/>
      <c r="AW492" s="66"/>
      <c r="AX492" s="68"/>
      <c r="BD492" s="66"/>
      <c r="BE492" s="68"/>
      <c r="BF492" s="66"/>
      <c r="BG492" s="66"/>
      <c r="BH492" s="66"/>
      <c r="BI492" s="66"/>
      <c r="BJ492" s="66"/>
      <c r="BK492" s="66"/>
      <c r="BL492" s="68"/>
      <c r="BO492" s="66"/>
      <c r="BP492" s="68"/>
      <c r="BV492" s="66"/>
      <c r="BW492" s="68"/>
      <c r="CB492" s="8"/>
      <c r="CH492" s="8"/>
      <c r="CK492" s="299"/>
      <c r="CL492" s="299"/>
      <c r="CM492" s="66"/>
      <c r="CN492" s="66"/>
      <c r="CO492" s="68"/>
      <c r="CR492" s="8"/>
      <c r="CX492" s="66"/>
      <c r="CY492" s="532"/>
      <c r="DE492" s="66"/>
      <c r="DF492" s="66"/>
      <c r="DG492" s="68"/>
      <c r="DH492" s="68"/>
      <c r="DK492" s="66"/>
      <c r="DL492" s="66"/>
      <c r="DM492" s="66"/>
      <c r="DN492" s="66"/>
      <c r="DO492" s="66"/>
      <c r="DP492" s="66"/>
      <c r="DQ492" s="66"/>
      <c r="DR492" s="66"/>
      <c r="DS492" s="66"/>
      <c r="DT492" s="68"/>
      <c r="DU492" s="66"/>
      <c r="DV492" s="296"/>
      <c r="DW492" s="330"/>
      <c r="DX492" s="631"/>
      <c r="DY492" s="631"/>
      <c r="DZ492" s="631"/>
      <c r="EA492" s="330"/>
      <c r="EC492" s="66"/>
      <c r="ED492" s="68"/>
      <c r="EH492" s="66"/>
      <c r="EI492" s="66"/>
      <c r="EJ492" s="68"/>
      <c r="EK492" s="252"/>
      <c r="EL492" s="252"/>
      <c r="EM492" s="252"/>
      <c r="EO492" s="252"/>
      <c r="EP492" s="252"/>
      <c r="EQ492" s="252"/>
      <c r="ES492" s="252"/>
      <c r="ET492" s="252"/>
      <c r="EU492" s="252"/>
      <c r="EW492" s="252"/>
      <c r="EX492" s="252"/>
      <c r="EY492" s="252"/>
      <c r="FA492" s="250"/>
      <c r="FB492" s="250"/>
      <c r="FC492" s="250"/>
      <c r="FD492" s="250"/>
      <c r="FE492" s="250"/>
      <c r="FF492" s="250"/>
      <c r="FG492" s="250"/>
      <c r="FH492" s="424"/>
      <c r="FI492" s="250"/>
      <c r="FJ492" s="250"/>
      <c r="FK492" s="250"/>
      <c r="FL492" s="256"/>
      <c r="FM492" s="250"/>
      <c r="FN492" s="256"/>
      <c r="FO492" s="250"/>
      <c r="FP492" s="256"/>
      <c r="FQ492" s="250"/>
      <c r="FR492" s="256"/>
      <c r="FS492" s="250"/>
      <c r="FT492" s="256"/>
      <c r="FU492" s="256"/>
      <c r="FV492" s="256"/>
      <c r="FW492" s="250"/>
      <c r="FX492" s="424"/>
      <c r="FY492" s="251"/>
      <c r="GC492" s="252"/>
      <c r="GF492" s="252"/>
      <c r="GG492" s="252"/>
      <c r="GH492" s="252"/>
      <c r="GI492" s="252"/>
      <c r="GJ492" s="252"/>
      <c r="GK492" s="251"/>
      <c r="GL492" s="250"/>
      <c r="GM492" s="250"/>
      <c r="GN492" s="250"/>
      <c r="GO492" s="250"/>
      <c r="GP492" s="250"/>
      <c r="GQ492" s="250"/>
      <c r="GR492" s="250"/>
      <c r="GS492" s="250"/>
      <c r="GT492" s="250"/>
      <c r="GU492" s="251"/>
      <c r="GV492" s="250"/>
      <c r="GW492" s="250"/>
      <c r="GX492" s="250"/>
      <c r="GY492" s="250"/>
      <c r="GZ492" s="250"/>
      <c r="HA492" s="250"/>
      <c r="HB492" s="250"/>
      <c r="HC492" s="250"/>
      <c r="HD492" s="250"/>
      <c r="HE492" s="250"/>
      <c r="HF492" s="250"/>
      <c r="HG492" s="250"/>
      <c r="HH492" s="251"/>
      <c r="HI492" s="424"/>
      <c r="HJ492" s="255"/>
      <c r="HK492" s="255"/>
      <c r="HL492" s="250"/>
      <c r="HM492" s="255"/>
      <c r="HN492" s="255"/>
      <c r="HO492" s="255"/>
      <c r="HP492" s="250"/>
      <c r="HQ492" s="250"/>
      <c r="HR492" s="250"/>
      <c r="HS492" s="250"/>
      <c r="HT492" s="250"/>
      <c r="HU492" s="251"/>
      <c r="HX492" s="252"/>
      <c r="HY492" s="252"/>
      <c r="HZ492" s="252"/>
      <c r="ID492" s="252"/>
      <c r="IE492" s="252"/>
      <c r="IF492" s="252"/>
      <c r="IJ492" s="252"/>
      <c r="IK492" s="252"/>
      <c r="IL492" s="252"/>
      <c r="IP492" s="252"/>
      <c r="IQ492" s="252"/>
      <c r="IR492" s="252"/>
      <c r="IY492" s="66"/>
      <c r="IZ492" s="66"/>
      <c r="JA492" s="66"/>
      <c r="JB492" s="250"/>
      <c r="JC492" s="66"/>
      <c r="JD492" s="66"/>
      <c r="JE492" s="66"/>
      <c r="JF492" s="66"/>
      <c r="JG492" s="66"/>
      <c r="JH492" s="66"/>
      <c r="JI492" s="66"/>
      <c r="JJ492" s="66"/>
      <c r="JK492" s="8"/>
      <c r="JN492" s="252"/>
      <c r="JO492" s="252"/>
      <c r="JP492" s="252"/>
      <c r="JT492" s="252"/>
      <c r="JU492" s="252"/>
      <c r="JV492" s="252"/>
      <c r="JZ492" s="252"/>
      <c r="KA492" s="252"/>
      <c r="KB492" s="252"/>
      <c r="KF492" s="252"/>
      <c r="KG492" s="252"/>
      <c r="KH492" s="252"/>
      <c r="KO492" s="66"/>
      <c r="KP492" s="66"/>
      <c r="KQ492" s="66"/>
      <c r="KR492" s="66"/>
      <c r="KS492" s="66"/>
      <c r="KT492" s="66"/>
      <c r="KU492" s="66"/>
      <c r="KV492" s="66"/>
      <c r="KW492" s="66"/>
      <c r="KX492" s="66"/>
      <c r="KY492" s="66"/>
      <c r="KZ492" s="66"/>
      <c r="LA492" s="8"/>
      <c r="LD492" s="252"/>
      <c r="LE492" s="252"/>
      <c r="LF492" s="252"/>
      <c r="LJ492" s="252"/>
      <c r="LK492" s="252"/>
      <c r="LN492" s="252"/>
      <c r="LO492" s="252"/>
      <c r="LP492" s="252"/>
      <c r="LT492" s="271"/>
      <c r="LU492" s="250"/>
      <c r="LV492" s="250"/>
      <c r="LW492" s="250"/>
      <c r="LX492" s="250"/>
      <c r="LY492" s="250"/>
      <c r="LZ492" s="250"/>
      <c r="MA492" s="250"/>
      <c r="MB492" s="250"/>
      <c r="MC492" s="250"/>
      <c r="MD492" s="250"/>
      <c r="ME492" s="250"/>
      <c r="MF492" s="250"/>
      <c r="MG492" s="250"/>
      <c r="MH492" s="250"/>
      <c r="MI492" s="250"/>
      <c r="MJ492" s="250"/>
      <c r="MK492" s="424"/>
      <c r="ML492" s="640"/>
      <c r="MM492" s="251"/>
      <c r="MN492" s="252"/>
      <c r="MO492" s="252"/>
      <c r="MP492" s="252"/>
      <c r="MQ492" s="252"/>
      <c r="MR492" s="252"/>
      <c r="MS492" s="252"/>
      <c r="MT492" s="252"/>
      <c r="MU492" s="252"/>
      <c r="MV492" s="252"/>
      <c r="MW492" s="252"/>
      <c r="MX492" s="252"/>
      <c r="MY492" s="252"/>
      <c r="MZ492" s="252"/>
      <c r="NA492" s="252"/>
      <c r="NB492" s="252"/>
      <c r="NC492" s="251"/>
      <c r="ND492" s="250"/>
      <c r="NE492" s="250"/>
      <c r="NF492" s="250"/>
      <c r="NG492" s="250"/>
      <c r="NH492" s="250"/>
      <c r="NI492" s="250"/>
      <c r="NJ492" s="250"/>
      <c r="NK492" s="250"/>
      <c r="NL492" s="250"/>
      <c r="NM492" s="250"/>
      <c r="NN492" s="250"/>
      <c r="NO492" s="250"/>
      <c r="NP492" s="250"/>
      <c r="NQ492" s="250"/>
      <c r="NR492" s="250"/>
      <c r="NS492" s="250"/>
      <c r="NT492" s="250"/>
      <c r="NU492" s="250"/>
      <c r="NV492" s="250"/>
      <c r="NW492" s="251"/>
      <c r="OT492" s="8"/>
      <c r="QG492" s="8"/>
      <c r="RT492" s="8"/>
    </row>
    <row r="493" spans="1:488" s="282" customFormat="1" x14ac:dyDescent="0.25">
      <c r="A493" s="66"/>
      <c r="B493" s="8"/>
      <c r="C493" s="66"/>
      <c r="D493" s="66"/>
      <c r="E493" s="66"/>
      <c r="F493" s="66"/>
      <c r="G493" s="66"/>
      <c r="H493" s="66"/>
      <c r="I493" s="66"/>
      <c r="J493" s="66"/>
      <c r="K493" s="66"/>
      <c r="L493" s="66"/>
      <c r="M493" s="66"/>
      <c r="N493" s="66"/>
      <c r="O493" s="66"/>
      <c r="P493" s="66"/>
      <c r="Q493" s="66"/>
      <c r="R493" s="66"/>
      <c r="S493" s="66"/>
      <c r="T493" s="68"/>
      <c r="AC493" s="66"/>
      <c r="AD493" s="66"/>
      <c r="AE493" s="68"/>
      <c r="AN493" s="66"/>
      <c r="AO493" s="66"/>
      <c r="AP493" s="68"/>
      <c r="AW493" s="66"/>
      <c r="AX493" s="68"/>
      <c r="BD493" s="66"/>
      <c r="BE493" s="68"/>
      <c r="BF493" s="66"/>
      <c r="BG493" s="66"/>
      <c r="BH493" s="66"/>
      <c r="BI493" s="66"/>
      <c r="BJ493" s="66"/>
      <c r="BK493" s="66"/>
      <c r="BL493" s="68"/>
      <c r="BO493" s="66"/>
      <c r="BP493" s="68"/>
      <c r="BV493" s="66"/>
      <c r="BW493" s="68"/>
      <c r="CB493" s="8"/>
      <c r="CH493" s="8"/>
      <c r="CK493" s="299"/>
      <c r="CL493" s="299"/>
      <c r="CM493" s="66"/>
      <c r="CN493" s="66"/>
      <c r="CO493" s="68"/>
      <c r="CR493" s="8"/>
      <c r="CX493" s="66"/>
      <c r="CY493" s="532"/>
      <c r="DE493" s="66"/>
      <c r="DF493" s="66"/>
      <c r="DG493" s="68"/>
      <c r="DH493" s="68"/>
      <c r="DK493" s="66"/>
      <c r="DL493" s="66"/>
      <c r="DM493" s="66"/>
      <c r="DN493" s="66"/>
      <c r="DO493" s="66"/>
      <c r="DP493" s="66"/>
      <c r="DQ493" s="66"/>
      <c r="DR493" s="66"/>
      <c r="DS493" s="66"/>
      <c r="DT493" s="68"/>
      <c r="DU493" s="66"/>
      <c r="DV493" s="296"/>
      <c r="DW493" s="330"/>
      <c r="DX493" s="631"/>
      <c r="DY493" s="631"/>
      <c r="DZ493" s="631"/>
      <c r="EA493" s="330"/>
      <c r="EC493" s="66"/>
      <c r="ED493" s="68"/>
      <c r="EH493" s="66"/>
      <c r="EI493" s="66"/>
      <c r="EJ493" s="68"/>
      <c r="EK493" s="252"/>
      <c r="EL493" s="252"/>
      <c r="EM493" s="252"/>
      <c r="EO493" s="252"/>
      <c r="EP493" s="252"/>
      <c r="EQ493" s="252"/>
      <c r="ES493" s="252"/>
      <c r="ET493" s="252"/>
      <c r="EU493" s="252"/>
      <c r="EW493" s="252"/>
      <c r="EX493" s="252"/>
      <c r="EY493" s="252"/>
      <c r="FA493" s="250"/>
      <c r="FB493" s="250"/>
      <c r="FC493" s="250"/>
      <c r="FD493" s="250"/>
      <c r="FE493" s="250"/>
      <c r="FF493" s="250"/>
      <c r="FG493" s="250"/>
      <c r="FH493" s="424"/>
      <c r="FI493" s="250"/>
      <c r="FJ493" s="250"/>
      <c r="FK493" s="250"/>
      <c r="FL493" s="256"/>
      <c r="FM493" s="250"/>
      <c r="FN493" s="256"/>
      <c r="FO493" s="250"/>
      <c r="FP493" s="256"/>
      <c r="FQ493" s="250"/>
      <c r="FR493" s="256"/>
      <c r="FS493" s="250"/>
      <c r="FT493" s="256"/>
      <c r="FU493" s="256"/>
      <c r="FV493" s="256"/>
      <c r="FW493" s="250"/>
      <c r="FX493" s="424"/>
      <c r="FY493" s="251"/>
      <c r="GC493" s="252"/>
      <c r="GF493" s="252"/>
      <c r="GG493" s="252"/>
      <c r="GH493" s="252"/>
      <c r="GI493" s="252"/>
      <c r="GJ493" s="252"/>
      <c r="GK493" s="251"/>
      <c r="GL493" s="250"/>
      <c r="GM493" s="250"/>
      <c r="GN493" s="250"/>
      <c r="GO493" s="250"/>
      <c r="GP493" s="250"/>
      <c r="GQ493" s="250"/>
      <c r="GR493" s="250"/>
      <c r="GS493" s="250"/>
      <c r="GT493" s="250"/>
      <c r="GU493" s="251"/>
      <c r="GV493" s="250"/>
      <c r="GW493" s="250"/>
      <c r="GX493" s="250"/>
      <c r="GY493" s="250"/>
      <c r="GZ493" s="250"/>
      <c r="HA493" s="250"/>
      <c r="HB493" s="250"/>
      <c r="HC493" s="250"/>
      <c r="HD493" s="250"/>
      <c r="HE493" s="250"/>
      <c r="HF493" s="250"/>
      <c r="HG493" s="250"/>
      <c r="HH493" s="251"/>
      <c r="HI493" s="424"/>
      <c r="HJ493" s="255"/>
      <c r="HK493" s="255"/>
      <c r="HL493" s="250"/>
      <c r="HM493" s="255"/>
      <c r="HN493" s="255"/>
      <c r="HO493" s="255"/>
      <c r="HP493" s="250"/>
      <c r="HQ493" s="250"/>
      <c r="HR493" s="250"/>
      <c r="HS493" s="250"/>
      <c r="HT493" s="250"/>
      <c r="HU493" s="251"/>
      <c r="HX493" s="252"/>
      <c r="HY493" s="252"/>
      <c r="HZ493" s="252"/>
      <c r="ID493" s="252"/>
      <c r="IE493" s="252"/>
      <c r="IF493" s="252"/>
      <c r="IJ493" s="252"/>
      <c r="IK493" s="252"/>
      <c r="IL493" s="252"/>
      <c r="IP493" s="252"/>
      <c r="IQ493" s="252"/>
      <c r="IR493" s="252"/>
      <c r="IY493" s="66"/>
      <c r="IZ493" s="66"/>
      <c r="JA493" s="66"/>
      <c r="JB493" s="250"/>
      <c r="JC493" s="66"/>
      <c r="JD493" s="66"/>
      <c r="JE493" s="66"/>
      <c r="JF493" s="66"/>
      <c r="JG493" s="66"/>
      <c r="JH493" s="66"/>
      <c r="JI493" s="66"/>
      <c r="JJ493" s="66"/>
      <c r="JK493" s="8"/>
      <c r="JN493" s="252"/>
      <c r="JO493" s="252"/>
      <c r="JP493" s="252"/>
      <c r="JT493" s="252"/>
      <c r="JU493" s="252"/>
      <c r="JV493" s="252"/>
      <c r="JZ493" s="252"/>
      <c r="KA493" s="252"/>
      <c r="KB493" s="252"/>
      <c r="KF493" s="252"/>
      <c r="KG493" s="252"/>
      <c r="KH493" s="252"/>
      <c r="KO493" s="66"/>
      <c r="KP493" s="66"/>
      <c r="KQ493" s="66"/>
      <c r="KR493" s="66"/>
      <c r="KS493" s="66"/>
      <c r="KT493" s="66"/>
      <c r="KU493" s="66"/>
      <c r="KV493" s="66"/>
      <c r="KW493" s="66"/>
      <c r="KX493" s="66"/>
      <c r="KY493" s="66"/>
      <c r="KZ493" s="66"/>
      <c r="LA493" s="8"/>
      <c r="LD493" s="252"/>
      <c r="LE493" s="252"/>
      <c r="LF493" s="252"/>
      <c r="LJ493" s="252"/>
      <c r="LK493" s="252"/>
      <c r="LN493" s="252"/>
      <c r="LO493" s="252"/>
      <c r="LP493" s="252"/>
      <c r="LT493" s="271"/>
      <c r="LU493" s="250"/>
      <c r="LV493" s="250"/>
      <c r="LW493" s="250"/>
      <c r="LX493" s="250"/>
      <c r="LY493" s="250"/>
      <c r="LZ493" s="250"/>
      <c r="MA493" s="250"/>
      <c r="MB493" s="250"/>
      <c r="MC493" s="250"/>
      <c r="MD493" s="250"/>
      <c r="ME493" s="250"/>
      <c r="MF493" s="250"/>
      <c r="MG493" s="250"/>
      <c r="MH493" s="250"/>
      <c r="MI493" s="250"/>
      <c r="MJ493" s="250"/>
      <c r="MK493" s="424"/>
      <c r="ML493" s="640"/>
      <c r="MM493" s="251"/>
      <c r="MN493" s="252"/>
      <c r="MO493" s="252"/>
      <c r="MP493" s="252"/>
      <c r="MQ493" s="252"/>
      <c r="MR493" s="252"/>
      <c r="MS493" s="252"/>
      <c r="MT493" s="252"/>
      <c r="MU493" s="252"/>
      <c r="MV493" s="252"/>
      <c r="MW493" s="252"/>
      <c r="MX493" s="252"/>
      <c r="MY493" s="252"/>
      <c r="MZ493" s="252"/>
      <c r="NA493" s="252"/>
      <c r="NB493" s="252"/>
      <c r="NC493" s="251"/>
      <c r="ND493" s="250"/>
      <c r="NE493" s="250"/>
      <c r="NF493" s="250"/>
      <c r="NG493" s="250"/>
      <c r="NH493" s="250"/>
      <c r="NI493" s="250"/>
      <c r="NJ493" s="250"/>
      <c r="NK493" s="250"/>
      <c r="NL493" s="250"/>
      <c r="NM493" s="250"/>
      <c r="NN493" s="250"/>
      <c r="NO493" s="250"/>
      <c r="NP493" s="250"/>
      <c r="NQ493" s="250"/>
      <c r="NR493" s="250"/>
      <c r="NS493" s="250"/>
      <c r="NT493" s="250"/>
      <c r="NU493" s="250"/>
      <c r="NV493" s="250"/>
      <c r="NW493" s="251"/>
      <c r="OT493" s="8"/>
      <c r="QG493" s="8"/>
      <c r="RT493" s="8"/>
    </row>
    <row r="494" spans="1:488" s="282" customFormat="1" x14ac:dyDescent="0.25">
      <c r="A494" s="66"/>
      <c r="B494" s="8"/>
      <c r="C494" s="66"/>
      <c r="D494" s="66"/>
      <c r="E494" s="66"/>
      <c r="F494" s="66"/>
      <c r="G494" s="66"/>
      <c r="H494" s="66"/>
      <c r="I494" s="66"/>
      <c r="J494" s="66"/>
      <c r="K494" s="66"/>
      <c r="L494" s="66"/>
      <c r="M494" s="66"/>
      <c r="N494" s="66"/>
      <c r="O494" s="66"/>
      <c r="P494" s="66"/>
      <c r="Q494" s="66"/>
      <c r="R494" s="66"/>
      <c r="S494" s="66"/>
      <c r="T494" s="68"/>
      <c r="AC494" s="66"/>
      <c r="AD494" s="66"/>
      <c r="AE494" s="68"/>
      <c r="AN494" s="66"/>
      <c r="AO494" s="66"/>
      <c r="AP494" s="68"/>
      <c r="AW494" s="66"/>
      <c r="AX494" s="68"/>
      <c r="BD494" s="66"/>
      <c r="BE494" s="68"/>
      <c r="BF494" s="66"/>
      <c r="BG494" s="66"/>
      <c r="BH494" s="66"/>
      <c r="BI494" s="66"/>
      <c r="BJ494" s="66"/>
      <c r="BK494" s="66"/>
      <c r="BL494" s="68"/>
      <c r="BO494" s="66"/>
      <c r="BP494" s="68"/>
      <c r="BV494" s="66"/>
      <c r="BW494" s="68"/>
      <c r="CB494" s="8"/>
      <c r="CH494" s="8"/>
      <c r="CK494" s="299"/>
      <c r="CL494" s="299"/>
      <c r="CM494" s="66"/>
      <c r="CN494" s="66"/>
      <c r="CO494" s="68"/>
      <c r="CR494" s="8"/>
      <c r="CX494" s="66"/>
      <c r="CY494" s="532"/>
      <c r="DE494" s="66"/>
      <c r="DF494" s="66"/>
      <c r="DG494" s="68"/>
      <c r="DH494" s="68"/>
      <c r="DK494" s="66"/>
      <c r="DL494" s="66"/>
      <c r="DM494" s="66"/>
      <c r="DN494" s="66"/>
      <c r="DO494" s="66"/>
      <c r="DP494" s="66"/>
      <c r="DQ494" s="66"/>
      <c r="DR494" s="66"/>
      <c r="DS494" s="66"/>
      <c r="DT494" s="68"/>
      <c r="DU494" s="66"/>
      <c r="DV494" s="296"/>
      <c r="DW494" s="330"/>
      <c r="DX494" s="631"/>
      <c r="DY494" s="631"/>
      <c r="DZ494" s="631"/>
      <c r="EA494" s="330"/>
      <c r="EC494" s="66"/>
      <c r="ED494" s="68"/>
      <c r="EH494" s="66"/>
      <c r="EI494" s="66"/>
      <c r="EJ494" s="68"/>
      <c r="EK494" s="252"/>
      <c r="EL494" s="252"/>
      <c r="EM494" s="252"/>
      <c r="EO494" s="252"/>
      <c r="EP494" s="252"/>
      <c r="EQ494" s="252"/>
      <c r="ES494" s="252"/>
      <c r="ET494" s="252"/>
      <c r="EU494" s="252"/>
      <c r="EW494" s="252"/>
      <c r="EX494" s="252"/>
      <c r="EY494" s="252"/>
      <c r="FA494" s="250"/>
      <c r="FB494" s="250"/>
      <c r="FC494" s="250"/>
      <c r="FD494" s="250"/>
      <c r="FE494" s="250"/>
      <c r="FF494" s="250"/>
      <c r="FG494" s="250"/>
      <c r="FH494" s="424"/>
      <c r="FI494" s="250"/>
      <c r="FJ494" s="250"/>
      <c r="FK494" s="250"/>
      <c r="FL494" s="256"/>
      <c r="FM494" s="250"/>
      <c r="FN494" s="256"/>
      <c r="FO494" s="250"/>
      <c r="FP494" s="256"/>
      <c r="FQ494" s="250"/>
      <c r="FR494" s="256"/>
      <c r="FS494" s="250"/>
      <c r="FT494" s="256"/>
      <c r="FU494" s="256"/>
      <c r="FV494" s="256"/>
      <c r="FW494" s="250"/>
      <c r="FX494" s="424"/>
      <c r="FY494" s="251"/>
      <c r="GC494" s="252"/>
      <c r="GF494" s="252"/>
      <c r="GG494" s="252"/>
      <c r="GH494" s="252"/>
      <c r="GI494" s="252"/>
      <c r="GJ494" s="252"/>
      <c r="GK494" s="251"/>
      <c r="GL494" s="250"/>
      <c r="GM494" s="250"/>
      <c r="GN494" s="250"/>
      <c r="GO494" s="250"/>
      <c r="GP494" s="250"/>
      <c r="GQ494" s="250"/>
      <c r="GR494" s="250"/>
      <c r="GS494" s="250"/>
      <c r="GT494" s="250"/>
      <c r="GU494" s="251"/>
      <c r="GV494" s="250"/>
      <c r="GW494" s="250"/>
      <c r="GX494" s="250"/>
      <c r="GY494" s="250"/>
      <c r="GZ494" s="250"/>
      <c r="HA494" s="250"/>
      <c r="HB494" s="250"/>
      <c r="HC494" s="250"/>
      <c r="HD494" s="250"/>
      <c r="HE494" s="250"/>
      <c r="HF494" s="250"/>
      <c r="HG494" s="250"/>
      <c r="HH494" s="251"/>
      <c r="HI494" s="424"/>
      <c r="HJ494" s="255"/>
      <c r="HK494" s="255"/>
      <c r="HL494" s="250"/>
      <c r="HM494" s="255"/>
      <c r="HN494" s="255"/>
      <c r="HO494" s="255"/>
      <c r="HP494" s="250"/>
      <c r="HQ494" s="250"/>
      <c r="HR494" s="250"/>
      <c r="HS494" s="250"/>
      <c r="HT494" s="250"/>
      <c r="HU494" s="251"/>
      <c r="HX494" s="252"/>
      <c r="HY494" s="252"/>
      <c r="HZ494" s="252"/>
      <c r="ID494" s="252"/>
      <c r="IE494" s="252"/>
      <c r="IF494" s="252"/>
      <c r="IJ494" s="252"/>
      <c r="IK494" s="252"/>
      <c r="IL494" s="252"/>
      <c r="IP494" s="252"/>
      <c r="IQ494" s="252"/>
      <c r="IR494" s="252"/>
      <c r="IY494" s="66"/>
      <c r="IZ494" s="66"/>
      <c r="JA494" s="66"/>
      <c r="JB494" s="250"/>
      <c r="JC494" s="66"/>
      <c r="JD494" s="66"/>
      <c r="JE494" s="66"/>
      <c r="JF494" s="66"/>
      <c r="JG494" s="66"/>
      <c r="JH494" s="66"/>
      <c r="JI494" s="66"/>
      <c r="JJ494" s="66"/>
      <c r="JK494" s="8"/>
      <c r="JN494" s="252"/>
      <c r="JO494" s="252"/>
      <c r="JP494" s="252"/>
      <c r="JT494" s="252"/>
      <c r="JU494" s="252"/>
      <c r="JV494" s="252"/>
      <c r="JZ494" s="252"/>
      <c r="KA494" s="252"/>
      <c r="KB494" s="252"/>
      <c r="KF494" s="252"/>
      <c r="KG494" s="252"/>
      <c r="KH494" s="252"/>
      <c r="KO494" s="66"/>
      <c r="KP494" s="66"/>
      <c r="KQ494" s="66"/>
      <c r="KR494" s="66"/>
      <c r="KS494" s="66"/>
      <c r="KT494" s="66"/>
      <c r="KU494" s="66"/>
      <c r="KV494" s="66"/>
      <c r="KW494" s="66"/>
      <c r="KX494" s="66"/>
      <c r="KY494" s="66"/>
      <c r="KZ494" s="66"/>
      <c r="LA494" s="8"/>
      <c r="LD494" s="252"/>
      <c r="LE494" s="252"/>
      <c r="LF494" s="252"/>
      <c r="LJ494" s="252"/>
      <c r="LK494" s="252"/>
      <c r="LN494" s="252"/>
      <c r="LO494" s="252"/>
      <c r="LP494" s="252"/>
      <c r="LT494" s="271"/>
      <c r="LU494" s="250"/>
      <c r="LV494" s="250"/>
      <c r="LW494" s="250"/>
      <c r="LX494" s="250"/>
      <c r="LY494" s="250"/>
      <c r="LZ494" s="250"/>
      <c r="MA494" s="250"/>
      <c r="MB494" s="250"/>
      <c r="MC494" s="250"/>
      <c r="MD494" s="250"/>
      <c r="ME494" s="250"/>
      <c r="MF494" s="250"/>
      <c r="MG494" s="250"/>
      <c r="MH494" s="250"/>
      <c r="MI494" s="250"/>
      <c r="MJ494" s="250"/>
      <c r="MK494" s="424"/>
      <c r="ML494" s="640"/>
      <c r="MM494" s="251"/>
      <c r="MN494" s="252"/>
      <c r="MO494" s="252"/>
      <c r="MP494" s="252"/>
      <c r="MQ494" s="252"/>
      <c r="MR494" s="252"/>
      <c r="MS494" s="252"/>
      <c r="MT494" s="252"/>
      <c r="MU494" s="252"/>
      <c r="MV494" s="252"/>
      <c r="MW494" s="252"/>
      <c r="MX494" s="252"/>
      <c r="MY494" s="252"/>
      <c r="MZ494" s="252"/>
      <c r="NA494" s="252"/>
      <c r="NB494" s="252"/>
      <c r="NC494" s="251"/>
      <c r="ND494" s="250"/>
      <c r="NE494" s="250"/>
      <c r="NF494" s="250"/>
      <c r="NG494" s="250"/>
      <c r="NH494" s="250"/>
      <c r="NI494" s="250"/>
      <c r="NJ494" s="250"/>
      <c r="NK494" s="250"/>
      <c r="NL494" s="250"/>
      <c r="NM494" s="250"/>
      <c r="NN494" s="250"/>
      <c r="NO494" s="250"/>
      <c r="NP494" s="250"/>
      <c r="NQ494" s="250"/>
      <c r="NR494" s="250"/>
      <c r="NS494" s="250"/>
      <c r="NT494" s="250"/>
      <c r="NU494" s="250"/>
      <c r="NV494" s="250"/>
      <c r="NW494" s="251"/>
      <c r="OT494" s="8"/>
      <c r="QG494" s="8"/>
      <c r="RT494" s="8"/>
    </row>
    <row r="495" spans="1:488" s="282" customFormat="1" x14ac:dyDescent="0.25">
      <c r="A495" s="66"/>
      <c r="B495" s="8"/>
      <c r="C495" s="66"/>
      <c r="D495" s="66"/>
      <c r="E495" s="66"/>
      <c r="F495" s="66"/>
      <c r="G495" s="66"/>
      <c r="H495" s="66"/>
      <c r="I495" s="66"/>
      <c r="J495" s="66"/>
      <c r="K495" s="66"/>
      <c r="L495" s="66"/>
      <c r="M495" s="66"/>
      <c r="N495" s="66"/>
      <c r="O495" s="66"/>
      <c r="P495" s="66"/>
      <c r="Q495" s="66"/>
      <c r="R495" s="66"/>
      <c r="S495" s="66"/>
      <c r="T495" s="68"/>
      <c r="AC495" s="66"/>
      <c r="AD495" s="66"/>
      <c r="AE495" s="68"/>
      <c r="AN495" s="66"/>
      <c r="AO495" s="66"/>
      <c r="AP495" s="68"/>
      <c r="AW495" s="66"/>
      <c r="AX495" s="68"/>
      <c r="BD495" s="66"/>
      <c r="BE495" s="68"/>
      <c r="BF495" s="66"/>
      <c r="BG495" s="66"/>
      <c r="BH495" s="66"/>
      <c r="BI495" s="66"/>
      <c r="BJ495" s="66"/>
      <c r="BK495" s="66"/>
      <c r="BL495" s="68"/>
      <c r="BO495" s="66"/>
      <c r="BP495" s="68"/>
      <c r="BV495" s="66"/>
      <c r="BW495" s="68"/>
      <c r="CB495" s="8"/>
      <c r="CH495" s="8"/>
      <c r="CK495" s="299"/>
      <c r="CL495" s="299"/>
      <c r="CM495" s="66"/>
      <c r="CN495" s="66"/>
      <c r="CO495" s="68"/>
      <c r="CR495" s="8"/>
      <c r="CX495" s="66"/>
      <c r="CY495" s="532"/>
      <c r="DE495" s="66"/>
      <c r="DF495" s="66"/>
      <c r="DG495" s="68"/>
      <c r="DH495" s="68"/>
      <c r="DK495" s="66"/>
      <c r="DL495" s="66"/>
      <c r="DM495" s="66"/>
      <c r="DN495" s="66"/>
      <c r="DO495" s="66"/>
      <c r="DP495" s="66"/>
      <c r="DQ495" s="66"/>
      <c r="DR495" s="66"/>
      <c r="DS495" s="66"/>
      <c r="DT495" s="68"/>
      <c r="DU495" s="66"/>
      <c r="DV495" s="296"/>
      <c r="DW495" s="330"/>
      <c r="DX495" s="631"/>
      <c r="DY495" s="631"/>
      <c r="DZ495" s="631"/>
      <c r="EA495" s="330"/>
      <c r="EC495" s="66"/>
      <c r="ED495" s="68"/>
      <c r="EH495" s="66"/>
      <c r="EI495" s="66"/>
      <c r="EJ495" s="68"/>
      <c r="EK495" s="252"/>
      <c r="EL495" s="252"/>
      <c r="EM495" s="252"/>
      <c r="EO495" s="252"/>
      <c r="EP495" s="252"/>
      <c r="EQ495" s="252"/>
      <c r="ES495" s="252"/>
      <c r="ET495" s="252"/>
      <c r="EU495" s="252"/>
      <c r="EW495" s="252"/>
      <c r="EX495" s="252"/>
      <c r="EY495" s="252"/>
      <c r="FA495" s="250"/>
      <c r="FB495" s="250"/>
      <c r="FC495" s="250"/>
      <c r="FD495" s="250"/>
      <c r="FE495" s="250"/>
      <c r="FF495" s="250"/>
      <c r="FG495" s="250"/>
      <c r="FH495" s="424"/>
      <c r="FI495" s="250"/>
      <c r="FJ495" s="250"/>
      <c r="FK495" s="250"/>
      <c r="FL495" s="256"/>
      <c r="FM495" s="250"/>
      <c r="FN495" s="256"/>
      <c r="FO495" s="250"/>
      <c r="FP495" s="256"/>
      <c r="FQ495" s="250"/>
      <c r="FR495" s="256"/>
      <c r="FS495" s="250"/>
      <c r="FT495" s="256"/>
      <c r="FU495" s="256"/>
      <c r="FV495" s="256"/>
      <c r="FW495" s="250"/>
      <c r="FX495" s="424"/>
      <c r="FY495" s="251"/>
      <c r="GC495" s="252"/>
      <c r="GF495" s="252"/>
      <c r="GG495" s="252"/>
      <c r="GH495" s="252"/>
      <c r="GI495" s="252"/>
      <c r="GJ495" s="252"/>
      <c r="GK495" s="251"/>
      <c r="GL495" s="250"/>
      <c r="GM495" s="250"/>
      <c r="GN495" s="250"/>
      <c r="GO495" s="250"/>
      <c r="GP495" s="250"/>
      <c r="GQ495" s="250"/>
      <c r="GR495" s="250"/>
      <c r="GS495" s="250"/>
      <c r="GT495" s="250"/>
      <c r="GU495" s="251"/>
      <c r="GV495" s="250"/>
      <c r="GW495" s="250"/>
      <c r="GX495" s="250"/>
      <c r="GY495" s="250"/>
      <c r="GZ495" s="250"/>
      <c r="HA495" s="250"/>
      <c r="HB495" s="250"/>
      <c r="HC495" s="250"/>
      <c r="HD495" s="250"/>
      <c r="HE495" s="250"/>
      <c r="HF495" s="250"/>
      <c r="HG495" s="250"/>
      <c r="HH495" s="251"/>
      <c r="HI495" s="424"/>
      <c r="HJ495" s="255"/>
      <c r="HK495" s="255"/>
      <c r="HL495" s="250"/>
      <c r="HM495" s="255"/>
      <c r="HN495" s="255"/>
      <c r="HO495" s="255"/>
      <c r="HP495" s="250"/>
      <c r="HQ495" s="250"/>
      <c r="HR495" s="250"/>
      <c r="HS495" s="250"/>
      <c r="HT495" s="250"/>
      <c r="HU495" s="251"/>
      <c r="HX495" s="252"/>
      <c r="HY495" s="252"/>
      <c r="HZ495" s="252"/>
      <c r="ID495" s="252"/>
      <c r="IE495" s="252"/>
      <c r="IF495" s="252"/>
      <c r="IJ495" s="252"/>
      <c r="IK495" s="252"/>
      <c r="IL495" s="252"/>
      <c r="IP495" s="252"/>
      <c r="IQ495" s="252"/>
      <c r="IR495" s="252"/>
      <c r="IY495" s="66"/>
      <c r="IZ495" s="66"/>
      <c r="JA495" s="66"/>
      <c r="JB495" s="250"/>
      <c r="JC495" s="66"/>
      <c r="JD495" s="66"/>
      <c r="JE495" s="66"/>
      <c r="JF495" s="66"/>
      <c r="JG495" s="66"/>
      <c r="JH495" s="66"/>
      <c r="JI495" s="66"/>
      <c r="JJ495" s="66"/>
      <c r="JK495" s="8"/>
      <c r="JN495" s="252"/>
      <c r="JO495" s="252"/>
      <c r="JP495" s="252"/>
      <c r="JT495" s="252"/>
      <c r="JU495" s="252"/>
      <c r="JV495" s="252"/>
      <c r="JZ495" s="252"/>
      <c r="KA495" s="252"/>
      <c r="KB495" s="252"/>
      <c r="KF495" s="252"/>
      <c r="KG495" s="252"/>
      <c r="KH495" s="252"/>
      <c r="KO495" s="66"/>
      <c r="KP495" s="66"/>
      <c r="KQ495" s="66"/>
      <c r="KR495" s="66"/>
      <c r="KS495" s="66"/>
      <c r="KT495" s="66"/>
      <c r="KU495" s="66"/>
      <c r="KV495" s="66"/>
      <c r="KW495" s="66"/>
      <c r="KX495" s="66"/>
      <c r="KY495" s="66"/>
      <c r="KZ495" s="66"/>
      <c r="LA495" s="8"/>
      <c r="LD495" s="252"/>
      <c r="LE495" s="252"/>
      <c r="LF495" s="252"/>
      <c r="LJ495" s="252"/>
      <c r="LK495" s="252"/>
      <c r="LN495" s="252"/>
      <c r="LO495" s="252"/>
      <c r="LP495" s="252"/>
      <c r="LT495" s="271"/>
      <c r="LU495" s="250"/>
      <c r="LV495" s="250"/>
      <c r="LW495" s="250"/>
      <c r="LX495" s="250"/>
      <c r="LY495" s="250"/>
      <c r="LZ495" s="250"/>
      <c r="MA495" s="250"/>
      <c r="MB495" s="250"/>
      <c r="MC495" s="250"/>
      <c r="MD495" s="250"/>
      <c r="ME495" s="250"/>
      <c r="MF495" s="250"/>
      <c r="MG495" s="250"/>
      <c r="MH495" s="250"/>
      <c r="MI495" s="250"/>
      <c r="MJ495" s="250"/>
      <c r="MK495" s="424"/>
      <c r="ML495" s="640"/>
      <c r="MM495" s="251"/>
      <c r="MN495" s="252"/>
      <c r="MO495" s="252"/>
      <c r="MP495" s="252"/>
      <c r="MQ495" s="252"/>
      <c r="MR495" s="252"/>
      <c r="MS495" s="252"/>
      <c r="MT495" s="252"/>
      <c r="MU495" s="252"/>
      <c r="MV495" s="252"/>
      <c r="MW495" s="252"/>
      <c r="MX495" s="252"/>
      <c r="MY495" s="252"/>
      <c r="MZ495" s="252"/>
      <c r="NA495" s="252"/>
      <c r="NB495" s="252"/>
      <c r="NC495" s="251"/>
      <c r="ND495" s="250"/>
      <c r="NE495" s="250"/>
      <c r="NF495" s="250"/>
      <c r="NG495" s="250"/>
      <c r="NH495" s="250"/>
      <c r="NI495" s="250"/>
      <c r="NJ495" s="250"/>
      <c r="NK495" s="250"/>
      <c r="NL495" s="250"/>
      <c r="NM495" s="250"/>
      <c r="NN495" s="250"/>
      <c r="NO495" s="250"/>
      <c r="NP495" s="250"/>
      <c r="NQ495" s="250"/>
      <c r="NR495" s="250"/>
      <c r="NS495" s="250"/>
      <c r="NT495" s="250"/>
      <c r="NU495" s="250"/>
      <c r="NV495" s="250"/>
      <c r="NW495" s="251"/>
      <c r="OT495" s="8"/>
      <c r="QG495" s="8"/>
      <c r="RT495" s="8"/>
    </row>
    <row r="496" spans="1:488" s="282" customFormat="1" x14ac:dyDescent="0.25">
      <c r="A496" s="66"/>
      <c r="B496" s="8"/>
      <c r="C496" s="66"/>
      <c r="D496" s="66"/>
      <c r="E496" s="66"/>
      <c r="F496" s="66"/>
      <c r="G496" s="66"/>
      <c r="H496" s="66"/>
      <c r="I496" s="66"/>
      <c r="J496" s="66"/>
      <c r="K496" s="66"/>
      <c r="L496" s="66"/>
      <c r="M496" s="66"/>
      <c r="N496" s="66"/>
      <c r="O496" s="66"/>
      <c r="P496" s="66"/>
      <c r="Q496" s="66"/>
      <c r="R496" s="66"/>
      <c r="S496" s="66"/>
      <c r="T496" s="68"/>
      <c r="AC496" s="66"/>
      <c r="AD496" s="66"/>
      <c r="AE496" s="68"/>
      <c r="AN496" s="66"/>
      <c r="AO496" s="66"/>
      <c r="AP496" s="68"/>
      <c r="AW496" s="66"/>
      <c r="AX496" s="68"/>
      <c r="BD496" s="66"/>
      <c r="BE496" s="68"/>
      <c r="BF496" s="66"/>
      <c r="BG496" s="66"/>
      <c r="BH496" s="66"/>
      <c r="BI496" s="66"/>
      <c r="BJ496" s="66"/>
      <c r="BK496" s="66"/>
      <c r="BL496" s="68"/>
      <c r="BO496" s="66"/>
      <c r="BP496" s="68"/>
      <c r="BV496" s="66"/>
      <c r="BW496" s="68"/>
      <c r="CB496" s="8"/>
      <c r="CH496" s="8"/>
      <c r="CK496" s="299"/>
      <c r="CL496" s="299"/>
      <c r="CM496" s="66"/>
      <c r="CN496" s="66"/>
      <c r="CO496" s="68"/>
      <c r="CR496" s="8"/>
      <c r="CX496" s="66"/>
      <c r="CY496" s="532"/>
      <c r="DE496" s="66"/>
      <c r="DF496" s="66"/>
      <c r="DG496" s="68"/>
      <c r="DH496" s="68"/>
      <c r="DK496" s="66"/>
      <c r="DL496" s="66"/>
      <c r="DM496" s="66"/>
      <c r="DN496" s="66"/>
      <c r="DO496" s="66"/>
      <c r="DP496" s="66"/>
      <c r="DQ496" s="66"/>
      <c r="DR496" s="66"/>
      <c r="DS496" s="66"/>
      <c r="DT496" s="68"/>
      <c r="DU496" s="66"/>
      <c r="DV496" s="296"/>
      <c r="DW496" s="330"/>
      <c r="DX496" s="631"/>
      <c r="DY496" s="631"/>
      <c r="DZ496" s="631"/>
      <c r="EA496" s="330"/>
      <c r="EC496" s="66"/>
      <c r="ED496" s="68"/>
      <c r="EH496" s="66"/>
      <c r="EI496" s="66"/>
      <c r="EJ496" s="68"/>
      <c r="EK496" s="252"/>
      <c r="EL496" s="252"/>
      <c r="EM496" s="252"/>
      <c r="EO496" s="252"/>
      <c r="EP496" s="252"/>
      <c r="EQ496" s="252"/>
      <c r="ES496" s="252"/>
      <c r="ET496" s="252"/>
      <c r="EU496" s="252"/>
      <c r="EW496" s="252"/>
      <c r="EX496" s="252"/>
      <c r="EY496" s="252"/>
      <c r="FA496" s="250"/>
      <c r="FB496" s="250"/>
      <c r="FC496" s="250"/>
      <c r="FD496" s="250"/>
      <c r="FE496" s="250"/>
      <c r="FF496" s="250"/>
      <c r="FG496" s="250"/>
      <c r="FH496" s="424"/>
      <c r="FI496" s="250"/>
      <c r="FJ496" s="250"/>
      <c r="FK496" s="250"/>
      <c r="FL496" s="256"/>
      <c r="FM496" s="250"/>
      <c r="FN496" s="256"/>
      <c r="FO496" s="250"/>
      <c r="FP496" s="256"/>
      <c r="FQ496" s="250"/>
      <c r="FR496" s="256"/>
      <c r="FS496" s="250"/>
      <c r="FT496" s="256"/>
      <c r="FU496" s="256"/>
      <c r="FV496" s="256"/>
      <c r="FW496" s="250"/>
      <c r="FX496" s="424"/>
      <c r="FY496" s="251"/>
      <c r="GC496" s="252"/>
      <c r="GF496" s="252"/>
      <c r="GG496" s="252"/>
      <c r="GH496" s="252"/>
      <c r="GI496" s="252"/>
      <c r="GJ496" s="252"/>
      <c r="GK496" s="251"/>
      <c r="GL496" s="250"/>
      <c r="GM496" s="250"/>
      <c r="GN496" s="250"/>
      <c r="GO496" s="250"/>
      <c r="GP496" s="250"/>
      <c r="GQ496" s="250"/>
      <c r="GR496" s="250"/>
      <c r="GS496" s="250"/>
      <c r="GT496" s="250"/>
      <c r="GU496" s="251"/>
      <c r="GV496" s="250"/>
      <c r="GW496" s="250"/>
      <c r="GX496" s="250"/>
      <c r="GY496" s="250"/>
      <c r="GZ496" s="250"/>
      <c r="HA496" s="250"/>
      <c r="HB496" s="250"/>
      <c r="HC496" s="250"/>
      <c r="HD496" s="250"/>
      <c r="HE496" s="250"/>
      <c r="HF496" s="250"/>
      <c r="HG496" s="250"/>
      <c r="HH496" s="251"/>
      <c r="HI496" s="424"/>
      <c r="HJ496" s="255"/>
      <c r="HK496" s="255"/>
      <c r="HL496" s="250"/>
      <c r="HM496" s="255"/>
      <c r="HN496" s="255"/>
      <c r="HO496" s="255"/>
      <c r="HP496" s="250"/>
      <c r="HQ496" s="250"/>
      <c r="HR496" s="250"/>
      <c r="HS496" s="250"/>
      <c r="HT496" s="250"/>
      <c r="HU496" s="251"/>
      <c r="HX496" s="252"/>
      <c r="HY496" s="252"/>
      <c r="HZ496" s="252"/>
      <c r="ID496" s="252"/>
      <c r="IE496" s="252"/>
      <c r="IF496" s="252"/>
      <c r="IJ496" s="252"/>
      <c r="IK496" s="252"/>
      <c r="IL496" s="252"/>
      <c r="IP496" s="252"/>
      <c r="IQ496" s="252"/>
      <c r="IR496" s="252"/>
      <c r="IY496" s="66"/>
      <c r="IZ496" s="66"/>
      <c r="JA496" s="66"/>
      <c r="JB496" s="250"/>
      <c r="JC496" s="66"/>
      <c r="JD496" s="66"/>
      <c r="JE496" s="66"/>
      <c r="JF496" s="66"/>
      <c r="JG496" s="66"/>
      <c r="JH496" s="66"/>
      <c r="JI496" s="66"/>
      <c r="JJ496" s="66"/>
      <c r="JK496" s="8"/>
      <c r="JN496" s="252"/>
      <c r="JO496" s="252"/>
      <c r="JP496" s="252"/>
      <c r="JT496" s="252"/>
      <c r="JU496" s="252"/>
      <c r="JV496" s="252"/>
      <c r="JZ496" s="252"/>
      <c r="KA496" s="252"/>
      <c r="KB496" s="252"/>
      <c r="KF496" s="252"/>
      <c r="KG496" s="252"/>
      <c r="KH496" s="252"/>
      <c r="KO496" s="66"/>
      <c r="KP496" s="66"/>
      <c r="KQ496" s="66"/>
      <c r="KR496" s="66"/>
      <c r="KS496" s="66"/>
      <c r="KT496" s="66"/>
      <c r="KU496" s="66"/>
      <c r="KV496" s="66"/>
      <c r="KW496" s="66"/>
      <c r="KX496" s="66"/>
      <c r="KY496" s="66"/>
      <c r="KZ496" s="66"/>
      <c r="LA496" s="8"/>
      <c r="LD496" s="252"/>
      <c r="LE496" s="252"/>
      <c r="LF496" s="252"/>
      <c r="LJ496" s="252"/>
      <c r="LK496" s="252"/>
      <c r="LN496" s="252"/>
      <c r="LO496" s="252"/>
      <c r="LP496" s="252"/>
      <c r="LT496" s="271"/>
      <c r="LU496" s="250"/>
      <c r="LV496" s="250"/>
      <c r="LW496" s="250"/>
      <c r="LX496" s="250"/>
      <c r="LY496" s="250"/>
      <c r="LZ496" s="250"/>
      <c r="MA496" s="250"/>
      <c r="MB496" s="250"/>
      <c r="MC496" s="250"/>
      <c r="MD496" s="250"/>
      <c r="ME496" s="250"/>
      <c r="MF496" s="250"/>
      <c r="MG496" s="250"/>
      <c r="MH496" s="250"/>
      <c r="MI496" s="250"/>
      <c r="MJ496" s="250"/>
      <c r="MK496" s="424"/>
      <c r="ML496" s="640"/>
      <c r="MM496" s="251"/>
      <c r="MN496" s="252"/>
      <c r="MO496" s="252"/>
      <c r="MP496" s="252"/>
      <c r="MQ496" s="252"/>
      <c r="MR496" s="252"/>
      <c r="MS496" s="252"/>
      <c r="MT496" s="252"/>
      <c r="MU496" s="252"/>
      <c r="MV496" s="252"/>
      <c r="MW496" s="252"/>
      <c r="MX496" s="252"/>
      <c r="MY496" s="252"/>
      <c r="MZ496" s="252"/>
      <c r="NA496" s="252"/>
      <c r="NB496" s="252"/>
      <c r="NC496" s="251"/>
      <c r="ND496" s="250"/>
      <c r="NE496" s="250"/>
      <c r="NF496" s="250"/>
      <c r="NG496" s="250"/>
      <c r="NH496" s="250"/>
      <c r="NI496" s="250"/>
      <c r="NJ496" s="250"/>
      <c r="NK496" s="250"/>
      <c r="NL496" s="250"/>
      <c r="NM496" s="250"/>
      <c r="NN496" s="250"/>
      <c r="NO496" s="250"/>
      <c r="NP496" s="250"/>
      <c r="NQ496" s="250"/>
      <c r="NR496" s="250"/>
      <c r="NS496" s="250"/>
      <c r="NT496" s="250"/>
      <c r="NU496" s="250"/>
      <c r="NV496" s="250"/>
      <c r="NW496" s="251"/>
      <c r="OT496" s="8"/>
      <c r="QG496" s="8"/>
      <c r="RT496" s="8"/>
    </row>
    <row r="497" spans="1:488" s="282" customFormat="1" x14ac:dyDescent="0.25">
      <c r="A497" s="66"/>
      <c r="B497" s="8"/>
      <c r="C497" s="66"/>
      <c r="D497" s="66"/>
      <c r="E497" s="66"/>
      <c r="F497" s="66"/>
      <c r="G497" s="66"/>
      <c r="H497" s="66"/>
      <c r="I497" s="66"/>
      <c r="J497" s="66"/>
      <c r="K497" s="66"/>
      <c r="L497" s="66"/>
      <c r="M497" s="66"/>
      <c r="N497" s="66"/>
      <c r="O497" s="66"/>
      <c r="P497" s="66"/>
      <c r="Q497" s="66"/>
      <c r="R497" s="66"/>
      <c r="S497" s="66"/>
      <c r="T497" s="68"/>
      <c r="AC497" s="66"/>
      <c r="AD497" s="66"/>
      <c r="AE497" s="68"/>
      <c r="AN497" s="66"/>
      <c r="AO497" s="66"/>
      <c r="AP497" s="68"/>
      <c r="AW497" s="66"/>
      <c r="AX497" s="68"/>
      <c r="BD497" s="66"/>
      <c r="BE497" s="68"/>
      <c r="BF497" s="66"/>
      <c r="BG497" s="66"/>
      <c r="BH497" s="66"/>
      <c r="BI497" s="66"/>
      <c r="BJ497" s="66"/>
      <c r="BK497" s="66"/>
      <c r="BL497" s="68"/>
      <c r="BO497" s="66"/>
      <c r="BP497" s="68"/>
      <c r="BV497" s="66"/>
      <c r="BW497" s="68"/>
      <c r="CB497" s="8"/>
      <c r="CH497" s="8"/>
      <c r="CK497" s="299"/>
      <c r="CL497" s="299"/>
      <c r="CM497" s="66"/>
      <c r="CN497" s="66"/>
      <c r="CO497" s="68"/>
      <c r="CR497" s="8"/>
      <c r="CX497" s="66"/>
      <c r="CY497" s="532"/>
      <c r="DE497" s="66"/>
      <c r="DF497" s="66"/>
      <c r="DG497" s="68"/>
      <c r="DH497" s="68"/>
      <c r="DK497" s="66"/>
      <c r="DL497" s="66"/>
      <c r="DM497" s="66"/>
      <c r="DN497" s="66"/>
      <c r="DO497" s="66"/>
      <c r="DP497" s="66"/>
      <c r="DQ497" s="66"/>
      <c r="DR497" s="66"/>
      <c r="DS497" s="66"/>
      <c r="DT497" s="68"/>
      <c r="DU497" s="66"/>
      <c r="DV497" s="296"/>
      <c r="DW497" s="330"/>
      <c r="DX497" s="631"/>
      <c r="DY497" s="631"/>
      <c r="DZ497" s="631"/>
      <c r="EA497" s="330"/>
      <c r="EC497" s="66"/>
      <c r="ED497" s="68"/>
      <c r="EH497" s="66"/>
      <c r="EI497" s="66"/>
      <c r="EJ497" s="68"/>
      <c r="EK497" s="252"/>
      <c r="EL497" s="252"/>
      <c r="EM497" s="252"/>
      <c r="EO497" s="252"/>
      <c r="EP497" s="252"/>
      <c r="EQ497" s="252"/>
      <c r="ES497" s="252"/>
      <c r="ET497" s="252"/>
      <c r="EU497" s="252"/>
      <c r="EW497" s="252"/>
      <c r="EX497" s="252"/>
      <c r="EY497" s="252"/>
      <c r="FA497" s="250"/>
      <c r="FB497" s="250"/>
      <c r="FC497" s="250"/>
      <c r="FD497" s="250"/>
      <c r="FE497" s="250"/>
      <c r="FF497" s="250"/>
      <c r="FG497" s="250"/>
      <c r="FH497" s="424"/>
      <c r="FI497" s="250"/>
      <c r="FJ497" s="250"/>
      <c r="FK497" s="250"/>
      <c r="FL497" s="256"/>
      <c r="FM497" s="250"/>
      <c r="FN497" s="256"/>
      <c r="FO497" s="250"/>
      <c r="FP497" s="256"/>
      <c r="FQ497" s="250"/>
      <c r="FR497" s="256"/>
      <c r="FS497" s="250"/>
      <c r="FT497" s="256"/>
      <c r="FU497" s="256"/>
      <c r="FV497" s="256"/>
      <c r="FW497" s="250"/>
      <c r="FX497" s="424"/>
      <c r="FY497" s="251"/>
      <c r="GC497" s="252"/>
      <c r="GF497" s="252"/>
      <c r="GG497" s="252"/>
      <c r="GH497" s="252"/>
      <c r="GI497" s="252"/>
      <c r="GJ497" s="252"/>
      <c r="GK497" s="251"/>
      <c r="GL497" s="250"/>
      <c r="GM497" s="250"/>
      <c r="GN497" s="250"/>
      <c r="GO497" s="250"/>
      <c r="GP497" s="250"/>
      <c r="GQ497" s="250"/>
      <c r="GR497" s="250"/>
      <c r="GS497" s="250"/>
      <c r="GT497" s="250"/>
      <c r="GU497" s="251"/>
      <c r="GV497" s="250"/>
      <c r="GW497" s="250"/>
      <c r="GX497" s="250"/>
      <c r="GY497" s="250"/>
      <c r="GZ497" s="250"/>
      <c r="HA497" s="250"/>
      <c r="HB497" s="250"/>
      <c r="HC497" s="250"/>
      <c r="HD497" s="250"/>
      <c r="HE497" s="250"/>
      <c r="HF497" s="250"/>
      <c r="HG497" s="250"/>
      <c r="HH497" s="251"/>
      <c r="HI497" s="424"/>
      <c r="HJ497" s="255"/>
      <c r="HK497" s="255"/>
      <c r="HL497" s="250"/>
      <c r="HM497" s="255"/>
      <c r="HN497" s="255"/>
      <c r="HO497" s="255"/>
      <c r="HP497" s="250"/>
      <c r="HQ497" s="250"/>
      <c r="HR497" s="250"/>
      <c r="HS497" s="250"/>
      <c r="HT497" s="250"/>
      <c r="HU497" s="251"/>
      <c r="HX497" s="252"/>
      <c r="HY497" s="252"/>
      <c r="HZ497" s="252"/>
      <c r="ID497" s="252"/>
      <c r="IE497" s="252"/>
      <c r="IF497" s="252"/>
      <c r="IJ497" s="252"/>
      <c r="IK497" s="252"/>
      <c r="IL497" s="252"/>
      <c r="IP497" s="252"/>
      <c r="IQ497" s="252"/>
      <c r="IR497" s="252"/>
      <c r="IY497" s="66"/>
      <c r="IZ497" s="66"/>
      <c r="JA497" s="66"/>
      <c r="JB497" s="250"/>
      <c r="JC497" s="66"/>
      <c r="JD497" s="66"/>
      <c r="JE497" s="66"/>
      <c r="JF497" s="66"/>
      <c r="JG497" s="66"/>
      <c r="JH497" s="66"/>
      <c r="JI497" s="66"/>
      <c r="JJ497" s="66"/>
      <c r="JK497" s="8"/>
      <c r="JN497" s="252"/>
      <c r="JO497" s="252"/>
      <c r="JP497" s="252"/>
      <c r="JT497" s="252"/>
      <c r="JU497" s="252"/>
      <c r="JV497" s="252"/>
      <c r="JZ497" s="252"/>
      <c r="KA497" s="252"/>
      <c r="KB497" s="252"/>
      <c r="KF497" s="252"/>
      <c r="KG497" s="252"/>
      <c r="KH497" s="252"/>
      <c r="KO497" s="66"/>
      <c r="KP497" s="66"/>
      <c r="KQ497" s="66"/>
      <c r="KR497" s="66"/>
      <c r="KS497" s="66"/>
      <c r="KT497" s="66"/>
      <c r="KU497" s="66"/>
      <c r="KV497" s="66"/>
      <c r="KW497" s="66"/>
      <c r="KX497" s="66"/>
      <c r="KY497" s="66"/>
      <c r="KZ497" s="66"/>
      <c r="LA497" s="8"/>
      <c r="LD497" s="252"/>
      <c r="LE497" s="252"/>
      <c r="LF497" s="252"/>
      <c r="LJ497" s="252"/>
      <c r="LK497" s="252"/>
      <c r="LN497" s="252"/>
      <c r="LO497" s="252"/>
      <c r="LP497" s="252"/>
      <c r="LT497" s="271"/>
      <c r="LU497" s="250"/>
      <c r="LV497" s="250"/>
      <c r="LW497" s="250"/>
      <c r="LX497" s="250"/>
      <c r="LY497" s="250"/>
      <c r="LZ497" s="250"/>
      <c r="MA497" s="250"/>
      <c r="MB497" s="250"/>
      <c r="MC497" s="250"/>
      <c r="MD497" s="250"/>
      <c r="ME497" s="250"/>
      <c r="MF497" s="250"/>
      <c r="MG497" s="250"/>
      <c r="MH497" s="250"/>
      <c r="MI497" s="250"/>
      <c r="MJ497" s="250"/>
      <c r="MK497" s="424"/>
      <c r="ML497" s="640"/>
      <c r="MM497" s="251"/>
      <c r="MN497" s="252"/>
      <c r="MO497" s="252"/>
      <c r="MP497" s="252"/>
      <c r="MQ497" s="252"/>
      <c r="MR497" s="252"/>
      <c r="MS497" s="252"/>
      <c r="MT497" s="252"/>
      <c r="MU497" s="252"/>
      <c r="MV497" s="252"/>
      <c r="MW497" s="252"/>
      <c r="MX497" s="252"/>
      <c r="MY497" s="252"/>
      <c r="MZ497" s="252"/>
      <c r="NA497" s="252"/>
      <c r="NB497" s="252"/>
      <c r="NC497" s="251"/>
      <c r="ND497" s="250"/>
      <c r="NE497" s="250"/>
      <c r="NF497" s="250"/>
      <c r="NG497" s="250"/>
      <c r="NH497" s="250"/>
      <c r="NI497" s="250"/>
      <c r="NJ497" s="250"/>
      <c r="NK497" s="250"/>
      <c r="NL497" s="250"/>
      <c r="NM497" s="250"/>
      <c r="NN497" s="250"/>
      <c r="NO497" s="250"/>
      <c r="NP497" s="250"/>
      <c r="NQ497" s="250"/>
      <c r="NR497" s="250"/>
      <c r="NS497" s="250"/>
      <c r="NT497" s="250"/>
      <c r="NU497" s="250"/>
      <c r="NV497" s="250"/>
      <c r="NW497" s="251"/>
      <c r="OT497" s="8"/>
      <c r="QG497" s="8"/>
      <c r="RT497" s="8"/>
    </row>
    <row r="498" spans="1:488" s="282" customFormat="1" x14ac:dyDescent="0.25">
      <c r="A498" s="66"/>
      <c r="B498" s="8"/>
      <c r="C498" s="66"/>
      <c r="D498" s="66"/>
      <c r="E498" s="66"/>
      <c r="F498" s="66"/>
      <c r="G498" s="66"/>
      <c r="H498" s="66"/>
      <c r="I498" s="66"/>
      <c r="J498" s="66"/>
      <c r="K498" s="66"/>
      <c r="L498" s="66"/>
      <c r="M498" s="66"/>
      <c r="N498" s="66"/>
      <c r="O498" s="66"/>
      <c r="P498" s="66"/>
      <c r="Q498" s="66"/>
      <c r="R498" s="66"/>
      <c r="S498" s="66"/>
      <c r="T498" s="68"/>
      <c r="AC498" s="66"/>
      <c r="AD498" s="66"/>
      <c r="AE498" s="68"/>
      <c r="AN498" s="66"/>
      <c r="AO498" s="66"/>
      <c r="AP498" s="68"/>
      <c r="AW498" s="66"/>
      <c r="AX498" s="68"/>
      <c r="BD498" s="66"/>
      <c r="BE498" s="68"/>
      <c r="BF498" s="66"/>
      <c r="BG498" s="66"/>
      <c r="BH498" s="66"/>
      <c r="BI498" s="66"/>
      <c r="BJ498" s="66"/>
      <c r="BK498" s="66"/>
      <c r="BL498" s="68"/>
      <c r="BO498" s="66"/>
      <c r="BP498" s="68"/>
      <c r="BV498" s="66"/>
      <c r="BW498" s="68"/>
      <c r="CB498" s="8"/>
      <c r="CH498" s="8"/>
      <c r="CK498" s="299"/>
      <c r="CL498" s="299"/>
      <c r="CM498" s="66"/>
      <c r="CN498" s="66"/>
      <c r="CO498" s="68"/>
      <c r="CR498" s="8"/>
      <c r="CX498" s="66"/>
      <c r="CY498" s="532"/>
      <c r="DE498" s="66"/>
      <c r="DF498" s="66"/>
      <c r="DG498" s="68"/>
      <c r="DH498" s="68"/>
      <c r="DK498" s="66"/>
      <c r="DL498" s="66"/>
      <c r="DM498" s="66"/>
      <c r="DN498" s="66"/>
      <c r="DO498" s="66"/>
      <c r="DP498" s="66"/>
      <c r="DQ498" s="66"/>
      <c r="DR498" s="66"/>
      <c r="DS498" s="66"/>
      <c r="DT498" s="68"/>
      <c r="DU498" s="66"/>
      <c r="DV498" s="296"/>
      <c r="DW498" s="330"/>
      <c r="DX498" s="631"/>
      <c r="DY498" s="631"/>
      <c r="DZ498" s="631"/>
      <c r="EA498" s="330"/>
      <c r="EC498" s="66"/>
      <c r="ED498" s="68"/>
      <c r="EH498" s="66"/>
      <c r="EI498" s="66"/>
      <c r="EJ498" s="68"/>
      <c r="EK498" s="252"/>
      <c r="EL498" s="252"/>
      <c r="EM498" s="252"/>
      <c r="EO498" s="252"/>
      <c r="EP498" s="252"/>
      <c r="EQ498" s="252"/>
      <c r="ES498" s="252"/>
      <c r="ET498" s="252"/>
      <c r="EU498" s="252"/>
      <c r="EW498" s="252"/>
      <c r="EX498" s="252"/>
      <c r="EY498" s="252"/>
      <c r="FA498" s="250"/>
      <c r="FB498" s="250"/>
      <c r="FC498" s="250"/>
      <c r="FD498" s="250"/>
      <c r="FE498" s="250"/>
      <c r="FF498" s="250"/>
      <c r="FG498" s="250"/>
      <c r="FH498" s="424"/>
      <c r="FI498" s="250"/>
      <c r="FJ498" s="250"/>
      <c r="FK498" s="250"/>
      <c r="FL498" s="256"/>
      <c r="FM498" s="250"/>
      <c r="FN498" s="256"/>
      <c r="FO498" s="250"/>
      <c r="FP498" s="256"/>
      <c r="FQ498" s="250"/>
      <c r="FR498" s="256"/>
      <c r="FS498" s="250"/>
      <c r="FT498" s="256"/>
      <c r="FU498" s="256"/>
      <c r="FV498" s="256"/>
      <c r="FW498" s="250"/>
      <c r="FX498" s="424"/>
      <c r="FY498" s="251"/>
      <c r="GC498" s="252"/>
      <c r="GF498" s="252"/>
      <c r="GG498" s="252"/>
      <c r="GH498" s="252"/>
      <c r="GI498" s="252"/>
      <c r="GJ498" s="252"/>
      <c r="GK498" s="251"/>
      <c r="GL498" s="250"/>
      <c r="GM498" s="250"/>
      <c r="GN498" s="250"/>
      <c r="GO498" s="250"/>
      <c r="GP498" s="250"/>
      <c r="GQ498" s="250"/>
      <c r="GR498" s="250"/>
      <c r="GS498" s="250"/>
      <c r="GT498" s="250"/>
      <c r="GU498" s="251"/>
      <c r="GV498" s="250"/>
      <c r="GW498" s="250"/>
      <c r="GX498" s="250"/>
      <c r="GY498" s="250"/>
      <c r="GZ498" s="250"/>
      <c r="HA498" s="250"/>
      <c r="HB498" s="250"/>
      <c r="HC498" s="250"/>
      <c r="HD498" s="250"/>
      <c r="HE498" s="250"/>
      <c r="HF498" s="250"/>
      <c r="HG498" s="250"/>
      <c r="HH498" s="251"/>
      <c r="HI498" s="424"/>
      <c r="HJ498" s="255"/>
      <c r="HK498" s="255"/>
      <c r="HL498" s="250"/>
      <c r="HM498" s="255"/>
      <c r="HN498" s="255"/>
      <c r="HO498" s="255"/>
      <c r="HP498" s="250"/>
      <c r="HQ498" s="250"/>
      <c r="HR498" s="250"/>
      <c r="HS498" s="250"/>
      <c r="HT498" s="250"/>
      <c r="HU498" s="251"/>
      <c r="HX498" s="252"/>
      <c r="HY498" s="252"/>
      <c r="HZ498" s="252"/>
      <c r="ID498" s="252"/>
      <c r="IE498" s="252"/>
      <c r="IF498" s="252"/>
      <c r="IJ498" s="252"/>
      <c r="IK498" s="252"/>
      <c r="IL498" s="252"/>
      <c r="IP498" s="252"/>
      <c r="IQ498" s="252"/>
      <c r="IR498" s="252"/>
      <c r="IY498" s="66"/>
      <c r="IZ498" s="66"/>
      <c r="JA498" s="66"/>
      <c r="JB498" s="250"/>
      <c r="JC498" s="66"/>
      <c r="JD498" s="66"/>
      <c r="JE498" s="66"/>
      <c r="JF498" s="66"/>
      <c r="JG498" s="66"/>
      <c r="JH498" s="66"/>
      <c r="JI498" s="66"/>
      <c r="JJ498" s="66"/>
      <c r="JK498" s="8"/>
      <c r="JN498" s="252"/>
      <c r="JO498" s="252"/>
      <c r="JP498" s="252"/>
      <c r="JT498" s="252"/>
      <c r="JU498" s="252"/>
      <c r="JV498" s="252"/>
      <c r="JZ498" s="252"/>
      <c r="KA498" s="252"/>
      <c r="KB498" s="252"/>
      <c r="KF498" s="252"/>
      <c r="KG498" s="252"/>
      <c r="KH498" s="252"/>
      <c r="KO498" s="66"/>
      <c r="KP498" s="66"/>
      <c r="KQ498" s="66"/>
      <c r="KR498" s="66"/>
      <c r="KS498" s="66"/>
      <c r="KT498" s="66"/>
      <c r="KU498" s="66"/>
      <c r="KV498" s="66"/>
      <c r="KW498" s="66"/>
      <c r="KX498" s="66"/>
      <c r="KY498" s="66"/>
      <c r="KZ498" s="66"/>
      <c r="LA498" s="8"/>
      <c r="LD498" s="252"/>
      <c r="LE498" s="252"/>
      <c r="LF498" s="252"/>
      <c r="LJ498" s="252"/>
      <c r="LK498" s="252"/>
      <c r="LN498" s="252"/>
      <c r="LO498" s="252"/>
      <c r="LP498" s="252"/>
      <c r="LT498" s="271"/>
      <c r="LU498" s="250"/>
      <c r="LV498" s="250"/>
      <c r="LW498" s="250"/>
      <c r="LX498" s="250"/>
      <c r="LY498" s="250"/>
      <c r="LZ498" s="250"/>
      <c r="MA498" s="250"/>
      <c r="MB498" s="250"/>
      <c r="MC498" s="250"/>
      <c r="MD498" s="250"/>
      <c r="ME498" s="250"/>
      <c r="MF498" s="250"/>
      <c r="MG498" s="250"/>
      <c r="MH498" s="250"/>
      <c r="MI498" s="250"/>
      <c r="MJ498" s="250"/>
      <c r="MK498" s="424"/>
      <c r="ML498" s="640"/>
      <c r="MM498" s="251"/>
      <c r="MN498" s="252"/>
      <c r="MO498" s="252"/>
      <c r="MP498" s="252"/>
      <c r="MQ498" s="252"/>
      <c r="MR498" s="252"/>
      <c r="MS498" s="252"/>
      <c r="MT498" s="252"/>
      <c r="MU498" s="252"/>
      <c r="MV498" s="252"/>
      <c r="MW498" s="252"/>
      <c r="MX498" s="252"/>
      <c r="MY498" s="252"/>
      <c r="MZ498" s="252"/>
      <c r="NA498" s="252"/>
      <c r="NB498" s="252"/>
      <c r="NC498" s="251"/>
      <c r="ND498" s="250"/>
      <c r="NE498" s="250"/>
      <c r="NF498" s="250"/>
      <c r="NG498" s="250"/>
      <c r="NH498" s="250"/>
      <c r="NI498" s="250"/>
      <c r="NJ498" s="250"/>
      <c r="NK498" s="250"/>
      <c r="NL498" s="250"/>
      <c r="NM498" s="250"/>
      <c r="NN498" s="250"/>
      <c r="NO498" s="250"/>
      <c r="NP498" s="250"/>
      <c r="NQ498" s="250"/>
      <c r="NR498" s="250"/>
      <c r="NS498" s="250"/>
      <c r="NT498" s="250"/>
      <c r="NU498" s="250"/>
      <c r="NV498" s="250"/>
      <c r="NW498" s="251"/>
      <c r="OT498" s="8"/>
      <c r="QG498" s="8"/>
      <c r="RT498" s="8"/>
    </row>
    <row r="499" spans="1:488" s="282" customFormat="1" x14ac:dyDescent="0.25">
      <c r="A499" s="66"/>
      <c r="B499" s="8"/>
      <c r="C499" s="66"/>
      <c r="D499" s="66"/>
      <c r="E499" s="66"/>
      <c r="F499" s="66"/>
      <c r="G499" s="66"/>
      <c r="H499" s="66"/>
      <c r="I499" s="66"/>
      <c r="J499" s="66"/>
      <c r="K499" s="66"/>
      <c r="L499" s="66"/>
      <c r="M499" s="66"/>
      <c r="N499" s="66"/>
      <c r="O499" s="66"/>
      <c r="P499" s="66"/>
      <c r="Q499" s="66"/>
      <c r="R499" s="66"/>
      <c r="S499" s="66"/>
      <c r="T499" s="68"/>
      <c r="AC499" s="66"/>
      <c r="AD499" s="66"/>
      <c r="AE499" s="68"/>
      <c r="AN499" s="66"/>
      <c r="AO499" s="66"/>
      <c r="AP499" s="68"/>
      <c r="AW499" s="66"/>
      <c r="AX499" s="68"/>
      <c r="BD499" s="66"/>
      <c r="BE499" s="68"/>
      <c r="BF499" s="66"/>
      <c r="BG499" s="66"/>
      <c r="BH499" s="66"/>
      <c r="BI499" s="66"/>
      <c r="BJ499" s="66"/>
      <c r="BK499" s="66"/>
      <c r="BL499" s="68"/>
      <c r="BO499" s="66"/>
      <c r="BP499" s="68"/>
      <c r="BV499" s="66"/>
      <c r="BW499" s="68"/>
      <c r="CB499" s="8"/>
      <c r="CH499" s="8"/>
      <c r="CK499" s="299"/>
      <c r="CL499" s="299"/>
      <c r="CM499" s="66"/>
      <c r="CN499" s="66"/>
      <c r="CO499" s="68"/>
      <c r="CR499" s="8"/>
      <c r="CX499" s="66"/>
      <c r="CY499" s="532"/>
      <c r="DE499" s="66"/>
      <c r="DF499" s="66"/>
      <c r="DG499" s="68"/>
      <c r="DH499" s="68"/>
      <c r="DK499" s="66"/>
      <c r="DL499" s="66"/>
      <c r="DM499" s="66"/>
      <c r="DN499" s="66"/>
      <c r="DO499" s="66"/>
      <c r="DP499" s="66"/>
      <c r="DQ499" s="66"/>
      <c r="DR499" s="66"/>
      <c r="DS499" s="66"/>
      <c r="DT499" s="68"/>
      <c r="DU499" s="66"/>
      <c r="DV499" s="296"/>
      <c r="DW499" s="330"/>
      <c r="DX499" s="631"/>
      <c r="DY499" s="631"/>
      <c r="DZ499" s="631"/>
      <c r="EA499" s="330"/>
      <c r="EC499" s="66"/>
      <c r="ED499" s="68"/>
      <c r="EH499" s="66"/>
      <c r="EI499" s="66"/>
      <c r="EJ499" s="68"/>
      <c r="EK499" s="252"/>
      <c r="EL499" s="252"/>
      <c r="EM499" s="252"/>
      <c r="EO499" s="252"/>
      <c r="EP499" s="252"/>
      <c r="EQ499" s="252"/>
      <c r="ES499" s="252"/>
      <c r="ET499" s="252"/>
      <c r="EU499" s="252"/>
      <c r="EW499" s="252"/>
      <c r="EX499" s="252"/>
      <c r="EY499" s="252"/>
      <c r="FA499" s="250"/>
      <c r="FB499" s="250"/>
      <c r="FC499" s="250"/>
      <c r="FD499" s="250"/>
      <c r="FE499" s="250"/>
      <c r="FF499" s="250"/>
      <c r="FG499" s="250"/>
      <c r="FH499" s="424"/>
      <c r="FI499" s="250"/>
      <c r="FJ499" s="250"/>
      <c r="FK499" s="250"/>
      <c r="FL499" s="256"/>
      <c r="FM499" s="250"/>
      <c r="FN499" s="256"/>
      <c r="FO499" s="250"/>
      <c r="FP499" s="256"/>
      <c r="FQ499" s="250"/>
      <c r="FR499" s="256"/>
      <c r="FS499" s="250"/>
      <c r="FT499" s="256"/>
      <c r="FU499" s="256"/>
      <c r="FV499" s="256"/>
      <c r="FW499" s="250"/>
      <c r="FX499" s="424"/>
      <c r="FY499" s="251"/>
      <c r="GC499" s="252"/>
      <c r="GF499" s="252"/>
      <c r="GG499" s="252"/>
      <c r="GH499" s="252"/>
      <c r="GI499" s="252"/>
      <c r="GJ499" s="252"/>
      <c r="GK499" s="251"/>
      <c r="GL499" s="250"/>
      <c r="GM499" s="250"/>
      <c r="GN499" s="250"/>
      <c r="GO499" s="250"/>
      <c r="GP499" s="250"/>
      <c r="GQ499" s="250"/>
      <c r="GR499" s="250"/>
      <c r="GS499" s="250"/>
      <c r="GT499" s="250"/>
      <c r="GU499" s="251"/>
      <c r="GV499" s="250"/>
      <c r="GW499" s="250"/>
      <c r="GX499" s="250"/>
      <c r="GY499" s="250"/>
      <c r="GZ499" s="250"/>
      <c r="HA499" s="250"/>
      <c r="HB499" s="250"/>
      <c r="HC499" s="250"/>
      <c r="HD499" s="250"/>
      <c r="HE499" s="250"/>
      <c r="HF499" s="250"/>
      <c r="HG499" s="250"/>
      <c r="HH499" s="251"/>
      <c r="HI499" s="424"/>
      <c r="HJ499" s="255"/>
      <c r="HK499" s="255"/>
      <c r="HL499" s="250"/>
      <c r="HM499" s="255"/>
      <c r="HN499" s="255"/>
      <c r="HO499" s="255"/>
      <c r="HP499" s="250"/>
      <c r="HQ499" s="250"/>
      <c r="HR499" s="250"/>
      <c r="HS499" s="250"/>
      <c r="HT499" s="250"/>
      <c r="HU499" s="251"/>
      <c r="HX499" s="252"/>
      <c r="HY499" s="252"/>
      <c r="HZ499" s="252"/>
      <c r="ID499" s="252"/>
      <c r="IE499" s="252"/>
      <c r="IF499" s="252"/>
      <c r="IJ499" s="252"/>
      <c r="IK499" s="252"/>
      <c r="IL499" s="252"/>
      <c r="IP499" s="252"/>
      <c r="IQ499" s="252"/>
      <c r="IR499" s="252"/>
      <c r="IY499" s="66"/>
      <c r="IZ499" s="66"/>
      <c r="JA499" s="66"/>
      <c r="JB499" s="250"/>
      <c r="JC499" s="66"/>
      <c r="JD499" s="66"/>
      <c r="JE499" s="66"/>
      <c r="JF499" s="66"/>
      <c r="JG499" s="66"/>
      <c r="JH499" s="66"/>
      <c r="JI499" s="66"/>
      <c r="JJ499" s="66"/>
      <c r="JK499" s="8"/>
      <c r="JN499" s="252"/>
      <c r="JO499" s="252"/>
      <c r="JP499" s="252"/>
      <c r="JT499" s="252"/>
      <c r="JU499" s="252"/>
      <c r="JV499" s="252"/>
      <c r="JZ499" s="252"/>
      <c r="KA499" s="252"/>
      <c r="KB499" s="252"/>
      <c r="KF499" s="252"/>
      <c r="KG499" s="252"/>
      <c r="KH499" s="252"/>
      <c r="KO499" s="66"/>
      <c r="KP499" s="66"/>
      <c r="KQ499" s="66"/>
      <c r="KR499" s="66"/>
      <c r="KS499" s="66"/>
      <c r="KT499" s="66"/>
      <c r="KU499" s="66"/>
      <c r="KV499" s="66"/>
      <c r="KW499" s="66"/>
      <c r="KX499" s="66"/>
      <c r="KY499" s="66"/>
      <c r="KZ499" s="66"/>
      <c r="LA499" s="8"/>
      <c r="LD499" s="252"/>
      <c r="LE499" s="252"/>
      <c r="LF499" s="252"/>
      <c r="LJ499" s="252"/>
      <c r="LK499" s="252"/>
      <c r="LN499" s="252"/>
      <c r="LO499" s="252"/>
      <c r="LP499" s="252"/>
      <c r="LT499" s="271"/>
      <c r="LU499" s="250"/>
      <c r="LV499" s="250"/>
      <c r="LW499" s="250"/>
      <c r="LX499" s="250"/>
      <c r="LY499" s="250"/>
      <c r="LZ499" s="250"/>
      <c r="MA499" s="250"/>
      <c r="MB499" s="250"/>
      <c r="MC499" s="250"/>
      <c r="MD499" s="250"/>
      <c r="ME499" s="250"/>
      <c r="MF499" s="250"/>
      <c r="MG499" s="250"/>
      <c r="MH499" s="250"/>
      <c r="MI499" s="250"/>
      <c r="MJ499" s="250"/>
      <c r="MK499" s="424"/>
      <c r="ML499" s="640"/>
      <c r="MM499" s="251"/>
      <c r="MN499" s="252"/>
      <c r="MO499" s="252"/>
      <c r="MP499" s="252"/>
      <c r="MQ499" s="252"/>
      <c r="MR499" s="252"/>
      <c r="MS499" s="252"/>
      <c r="MT499" s="252"/>
      <c r="MU499" s="252"/>
      <c r="MV499" s="252"/>
      <c r="MW499" s="252"/>
      <c r="MX499" s="252"/>
      <c r="MY499" s="252"/>
      <c r="MZ499" s="252"/>
      <c r="NA499" s="252"/>
      <c r="NB499" s="252"/>
      <c r="NC499" s="251"/>
      <c r="ND499" s="250"/>
      <c r="NE499" s="250"/>
      <c r="NF499" s="250"/>
      <c r="NG499" s="250"/>
      <c r="NH499" s="250"/>
      <c r="NI499" s="250"/>
      <c r="NJ499" s="250"/>
      <c r="NK499" s="250"/>
      <c r="NL499" s="250"/>
      <c r="NM499" s="250"/>
      <c r="NN499" s="250"/>
      <c r="NO499" s="250"/>
      <c r="NP499" s="250"/>
      <c r="NQ499" s="250"/>
      <c r="NR499" s="250"/>
      <c r="NS499" s="250"/>
      <c r="NT499" s="250"/>
      <c r="NU499" s="250"/>
      <c r="NV499" s="250"/>
      <c r="NW499" s="251"/>
      <c r="OT499" s="8"/>
      <c r="QG499" s="8"/>
      <c r="RT499" s="8"/>
    </row>
    <row r="500" spans="1:488" s="282" customFormat="1" x14ac:dyDescent="0.25">
      <c r="A500" s="66"/>
      <c r="B500" s="8"/>
      <c r="C500" s="66"/>
      <c r="D500" s="66"/>
      <c r="E500" s="66"/>
      <c r="F500" s="66"/>
      <c r="G500" s="66"/>
      <c r="H500" s="66"/>
      <c r="I500" s="66"/>
      <c r="J500" s="66"/>
      <c r="K500" s="66"/>
      <c r="L500" s="66"/>
      <c r="M500" s="66"/>
      <c r="N500" s="66"/>
      <c r="O500" s="66"/>
      <c r="P500" s="66"/>
      <c r="Q500" s="66"/>
      <c r="R500" s="66"/>
      <c r="S500" s="66"/>
      <c r="T500" s="68"/>
      <c r="AC500" s="66"/>
      <c r="AD500" s="66"/>
      <c r="AE500" s="68"/>
      <c r="AN500" s="66"/>
      <c r="AO500" s="66"/>
      <c r="AP500" s="68"/>
      <c r="AW500" s="66"/>
      <c r="AX500" s="68"/>
      <c r="BD500" s="66"/>
      <c r="BE500" s="68"/>
      <c r="BF500" s="66"/>
      <c r="BG500" s="66"/>
      <c r="BH500" s="66"/>
      <c r="BI500" s="66"/>
      <c r="BJ500" s="66"/>
      <c r="BK500" s="66"/>
      <c r="BL500" s="68"/>
      <c r="BO500" s="66"/>
      <c r="BP500" s="68"/>
      <c r="BV500" s="66"/>
      <c r="BW500" s="68"/>
      <c r="CB500" s="8"/>
      <c r="CH500" s="8"/>
      <c r="CK500" s="299"/>
      <c r="CL500" s="299"/>
      <c r="CM500" s="66"/>
      <c r="CN500" s="66"/>
      <c r="CO500" s="68"/>
      <c r="CR500" s="8"/>
      <c r="CX500" s="66"/>
      <c r="CY500" s="532"/>
      <c r="DE500" s="66"/>
      <c r="DF500" s="66"/>
      <c r="DG500" s="68"/>
      <c r="DH500" s="68"/>
      <c r="DK500" s="66"/>
      <c r="DL500" s="66"/>
      <c r="DM500" s="66"/>
      <c r="DN500" s="66"/>
      <c r="DO500" s="66"/>
      <c r="DP500" s="66"/>
      <c r="DQ500" s="66"/>
      <c r="DR500" s="66"/>
      <c r="DS500" s="66"/>
      <c r="DT500" s="68"/>
      <c r="DU500" s="66"/>
      <c r="DV500" s="296"/>
      <c r="DW500" s="330"/>
      <c r="DX500" s="631"/>
      <c r="DY500" s="631"/>
      <c r="DZ500" s="631"/>
      <c r="EA500" s="330"/>
      <c r="EC500" s="66"/>
      <c r="ED500" s="68"/>
      <c r="EH500" s="66"/>
      <c r="EI500" s="66"/>
      <c r="EJ500" s="68"/>
      <c r="EK500" s="252"/>
      <c r="EL500" s="252"/>
      <c r="EM500" s="252"/>
      <c r="EO500" s="252"/>
      <c r="EP500" s="252"/>
      <c r="EQ500" s="252"/>
      <c r="ES500" s="252"/>
      <c r="ET500" s="252"/>
      <c r="EU500" s="252"/>
      <c r="EW500" s="252"/>
      <c r="EX500" s="252"/>
      <c r="EY500" s="252"/>
      <c r="FA500" s="250"/>
      <c r="FB500" s="250"/>
      <c r="FC500" s="250"/>
      <c r="FD500" s="250"/>
      <c r="FE500" s="250"/>
      <c r="FF500" s="250"/>
      <c r="FG500" s="250"/>
      <c r="FH500" s="424"/>
      <c r="FI500" s="250"/>
      <c r="FJ500" s="250"/>
      <c r="FK500" s="250"/>
      <c r="FL500" s="256"/>
      <c r="FM500" s="250"/>
      <c r="FN500" s="256"/>
      <c r="FO500" s="250"/>
      <c r="FP500" s="256"/>
      <c r="FQ500" s="250"/>
      <c r="FR500" s="256"/>
      <c r="FS500" s="250"/>
      <c r="FT500" s="256"/>
      <c r="FU500" s="256"/>
      <c r="FV500" s="256"/>
      <c r="FW500" s="250"/>
      <c r="FX500" s="424"/>
      <c r="FY500" s="251"/>
      <c r="GC500" s="252"/>
      <c r="GF500" s="252"/>
      <c r="GG500" s="252"/>
      <c r="GH500" s="252"/>
      <c r="GI500" s="252"/>
      <c r="GJ500" s="252"/>
      <c r="GK500" s="251"/>
      <c r="GL500" s="250"/>
      <c r="GM500" s="250"/>
      <c r="GN500" s="250"/>
      <c r="GO500" s="250"/>
      <c r="GP500" s="250"/>
      <c r="GQ500" s="250"/>
      <c r="GR500" s="250"/>
      <c r="GS500" s="250"/>
      <c r="GT500" s="250"/>
      <c r="GU500" s="251"/>
      <c r="GV500" s="250"/>
      <c r="GW500" s="250"/>
      <c r="GX500" s="250"/>
      <c r="GY500" s="250"/>
      <c r="GZ500" s="250"/>
      <c r="HA500" s="250"/>
      <c r="HB500" s="250"/>
      <c r="HC500" s="250"/>
      <c r="HD500" s="250"/>
      <c r="HE500" s="250"/>
      <c r="HF500" s="250"/>
      <c r="HG500" s="250"/>
      <c r="HH500" s="251"/>
      <c r="HI500" s="424"/>
      <c r="HJ500" s="255"/>
      <c r="HK500" s="255"/>
      <c r="HL500" s="250"/>
      <c r="HM500" s="255"/>
      <c r="HN500" s="255"/>
      <c r="HO500" s="255"/>
      <c r="HP500" s="250"/>
      <c r="HQ500" s="250"/>
      <c r="HR500" s="250"/>
      <c r="HS500" s="250"/>
      <c r="HT500" s="250"/>
      <c r="HU500" s="251"/>
      <c r="HX500" s="252"/>
      <c r="HY500" s="252"/>
      <c r="HZ500" s="252"/>
      <c r="ID500" s="252"/>
      <c r="IE500" s="252"/>
      <c r="IF500" s="252"/>
      <c r="IJ500" s="252"/>
      <c r="IK500" s="252"/>
      <c r="IL500" s="252"/>
      <c r="IP500" s="252"/>
      <c r="IQ500" s="252"/>
      <c r="IR500" s="252"/>
      <c r="IY500" s="66"/>
      <c r="IZ500" s="66"/>
      <c r="JA500" s="66"/>
      <c r="JB500" s="250"/>
      <c r="JC500" s="66"/>
      <c r="JD500" s="66"/>
      <c r="JE500" s="66"/>
      <c r="JF500" s="66"/>
      <c r="JG500" s="66"/>
      <c r="JH500" s="66"/>
      <c r="JI500" s="66"/>
      <c r="JJ500" s="66"/>
      <c r="JK500" s="8"/>
      <c r="JN500" s="252"/>
      <c r="JO500" s="252"/>
      <c r="JP500" s="252"/>
      <c r="JT500" s="252"/>
      <c r="JU500" s="252"/>
      <c r="JV500" s="252"/>
      <c r="JZ500" s="252"/>
      <c r="KA500" s="252"/>
      <c r="KB500" s="252"/>
      <c r="KF500" s="252"/>
      <c r="KG500" s="252"/>
      <c r="KH500" s="252"/>
      <c r="KO500" s="66"/>
      <c r="KP500" s="66"/>
      <c r="KQ500" s="66"/>
      <c r="KR500" s="66"/>
      <c r="KS500" s="66"/>
      <c r="KT500" s="66"/>
      <c r="KU500" s="66"/>
      <c r="KV500" s="66"/>
      <c r="KW500" s="66"/>
      <c r="KX500" s="66"/>
      <c r="KY500" s="66"/>
      <c r="KZ500" s="66"/>
      <c r="LA500" s="8"/>
      <c r="LD500" s="252"/>
      <c r="LE500" s="252"/>
      <c r="LF500" s="252"/>
      <c r="LJ500" s="252"/>
      <c r="LK500" s="252"/>
      <c r="LN500" s="252"/>
      <c r="LO500" s="252"/>
      <c r="LP500" s="252"/>
      <c r="LT500" s="271"/>
      <c r="LU500" s="250"/>
      <c r="LV500" s="250"/>
      <c r="LW500" s="250"/>
      <c r="LX500" s="250"/>
      <c r="LY500" s="250"/>
      <c r="LZ500" s="250"/>
      <c r="MA500" s="250"/>
      <c r="MB500" s="250"/>
      <c r="MC500" s="250"/>
      <c r="MD500" s="250"/>
      <c r="ME500" s="250"/>
      <c r="MF500" s="250"/>
      <c r="MG500" s="250"/>
      <c r="MH500" s="250"/>
      <c r="MI500" s="250"/>
      <c r="MJ500" s="250"/>
      <c r="MK500" s="424"/>
      <c r="ML500" s="640"/>
      <c r="MM500" s="251"/>
      <c r="MN500" s="252"/>
      <c r="MO500" s="252"/>
      <c r="MP500" s="252"/>
      <c r="MQ500" s="252"/>
      <c r="MR500" s="252"/>
      <c r="MS500" s="252"/>
      <c r="MT500" s="252"/>
      <c r="MU500" s="252"/>
      <c r="MV500" s="252"/>
      <c r="MW500" s="252"/>
      <c r="MX500" s="252"/>
      <c r="MY500" s="252"/>
      <c r="MZ500" s="252"/>
      <c r="NA500" s="252"/>
      <c r="NB500" s="252"/>
      <c r="NC500" s="251"/>
      <c r="ND500" s="250"/>
      <c r="NE500" s="250"/>
      <c r="NF500" s="250"/>
      <c r="NG500" s="250"/>
      <c r="NH500" s="250"/>
      <c r="NI500" s="250"/>
      <c r="NJ500" s="250"/>
      <c r="NK500" s="250"/>
      <c r="NL500" s="250"/>
      <c r="NM500" s="250"/>
      <c r="NN500" s="250"/>
      <c r="NO500" s="250"/>
      <c r="NP500" s="250"/>
      <c r="NQ500" s="250"/>
      <c r="NR500" s="250"/>
      <c r="NS500" s="250"/>
      <c r="NT500" s="250"/>
      <c r="NU500" s="250"/>
      <c r="NV500" s="250"/>
      <c r="NW500" s="251"/>
      <c r="OT500" s="8"/>
      <c r="QG500" s="8"/>
      <c r="RT500" s="8"/>
    </row>
    <row r="501" spans="1:488" s="282" customFormat="1" x14ac:dyDescent="0.25">
      <c r="A501" s="66"/>
      <c r="B501" s="8"/>
      <c r="C501" s="66"/>
      <c r="D501" s="66"/>
      <c r="E501" s="66"/>
      <c r="F501" s="66"/>
      <c r="G501" s="66"/>
      <c r="H501" s="66"/>
      <c r="I501" s="66"/>
      <c r="J501" s="66"/>
      <c r="K501" s="66"/>
      <c r="L501" s="66"/>
      <c r="M501" s="66"/>
      <c r="N501" s="66"/>
      <c r="O501" s="66"/>
      <c r="P501" s="66"/>
      <c r="Q501" s="66"/>
      <c r="R501" s="66"/>
      <c r="S501" s="66"/>
      <c r="T501" s="68"/>
      <c r="AC501" s="66"/>
      <c r="AD501" s="66"/>
      <c r="AE501" s="68"/>
      <c r="AN501" s="66"/>
      <c r="AO501" s="66"/>
      <c r="AP501" s="68"/>
      <c r="AW501" s="66"/>
      <c r="AX501" s="68"/>
      <c r="BD501" s="66"/>
      <c r="BE501" s="68"/>
      <c r="BF501" s="66"/>
      <c r="BG501" s="66"/>
      <c r="BH501" s="66"/>
      <c r="BI501" s="66"/>
      <c r="BJ501" s="66"/>
      <c r="BK501" s="66"/>
      <c r="BL501" s="68"/>
      <c r="BO501" s="66"/>
      <c r="BP501" s="68"/>
      <c r="BV501" s="66"/>
      <c r="BW501" s="68"/>
      <c r="CB501" s="8"/>
      <c r="CH501" s="8"/>
      <c r="CK501" s="299"/>
      <c r="CL501" s="299"/>
      <c r="CM501" s="66"/>
      <c r="CN501" s="66"/>
      <c r="CO501" s="68"/>
      <c r="CR501" s="8"/>
      <c r="CX501" s="66"/>
      <c r="CY501" s="532"/>
      <c r="DE501" s="66"/>
      <c r="DF501" s="66"/>
      <c r="DG501" s="68"/>
      <c r="DH501" s="68"/>
      <c r="DK501" s="66"/>
      <c r="DL501" s="66"/>
      <c r="DM501" s="66"/>
      <c r="DN501" s="66"/>
      <c r="DO501" s="66"/>
      <c r="DP501" s="66"/>
      <c r="DQ501" s="66"/>
      <c r="DR501" s="66"/>
      <c r="DS501" s="66"/>
      <c r="DT501" s="68"/>
      <c r="DU501" s="66"/>
      <c r="DV501" s="296"/>
      <c r="DW501" s="330"/>
      <c r="DX501" s="631"/>
      <c r="DY501" s="631"/>
      <c r="DZ501" s="631"/>
      <c r="EA501" s="330"/>
      <c r="EC501" s="66"/>
      <c r="ED501" s="68"/>
      <c r="EH501" s="66"/>
      <c r="EI501" s="66"/>
      <c r="EJ501" s="68"/>
      <c r="EK501" s="252"/>
      <c r="EL501" s="252"/>
      <c r="EM501" s="252"/>
      <c r="EO501" s="252"/>
      <c r="EP501" s="252"/>
      <c r="EQ501" s="252"/>
      <c r="ES501" s="252"/>
      <c r="ET501" s="252"/>
      <c r="EU501" s="252"/>
      <c r="EW501" s="252"/>
      <c r="EX501" s="252"/>
      <c r="EY501" s="252"/>
      <c r="FA501" s="250"/>
      <c r="FB501" s="250"/>
      <c r="FC501" s="250"/>
      <c r="FD501" s="250"/>
      <c r="FE501" s="250"/>
      <c r="FF501" s="250"/>
      <c r="FG501" s="250"/>
      <c r="FH501" s="424"/>
      <c r="FI501" s="250"/>
      <c r="FJ501" s="250"/>
      <c r="FK501" s="250"/>
      <c r="FL501" s="256"/>
      <c r="FM501" s="250"/>
      <c r="FN501" s="256"/>
      <c r="FO501" s="250"/>
      <c r="FP501" s="256"/>
      <c r="FQ501" s="250"/>
      <c r="FR501" s="256"/>
      <c r="FS501" s="250"/>
      <c r="FT501" s="256"/>
      <c r="FU501" s="256"/>
      <c r="FV501" s="256"/>
      <c r="FW501" s="250"/>
      <c r="FX501" s="424"/>
      <c r="FY501" s="251"/>
      <c r="GC501" s="252"/>
      <c r="GF501" s="252"/>
      <c r="GG501" s="252"/>
      <c r="GH501" s="252"/>
      <c r="GI501" s="252"/>
      <c r="GJ501" s="252"/>
      <c r="GK501" s="251"/>
      <c r="GL501" s="250"/>
      <c r="GM501" s="250"/>
      <c r="GN501" s="250"/>
      <c r="GO501" s="250"/>
      <c r="GP501" s="250"/>
      <c r="GQ501" s="250"/>
      <c r="GR501" s="250"/>
      <c r="GS501" s="250"/>
      <c r="GT501" s="250"/>
      <c r="GU501" s="251"/>
      <c r="GV501" s="250"/>
      <c r="GW501" s="250"/>
      <c r="GX501" s="250"/>
      <c r="GY501" s="250"/>
      <c r="GZ501" s="250"/>
      <c r="HA501" s="250"/>
      <c r="HB501" s="250"/>
      <c r="HC501" s="250"/>
      <c r="HD501" s="250"/>
      <c r="HE501" s="250"/>
      <c r="HF501" s="250"/>
      <c r="HG501" s="250"/>
      <c r="HH501" s="251"/>
      <c r="HI501" s="424"/>
      <c r="HJ501" s="255"/>
      <c r="HK501" s="255"/>
      <c r="HL501" s="250"/>
      <c r="HM501" s="255"/>
      <c r="HN501" s="255"/>
      <c r="HO501" s="255"/>
      <c r="HP501" s="250"/>
      <c r="HQ501" s="250"/>
      <c r="HR501" s="250"/>
      <c r="HS501" s="250"/>
      <c r="HT501" s="250"/>
      <c r="HU501" s="251"/>
      <c r="HX501" s="252"/>
      <c r="HY501" s="252"/>
      <c r="HZ501" s="252"/>
      <c r="ID501" s="252"/>
      <c r="IE501" s="252"/>
      <c r="IF501" s="252"/>
      <c r="IJ501" s="252"/>
      <c r="IK501" s="252"/>
      <c r="IL501" s="252"/>
      <c r="IP501" s="252"/>
      <c r="IQ501" s="252"/>
      <c r="IR501" s="252"/>
      <c r="IY501" s="66"/>
      <c r="IZ501" s="66"/>
      <c r="JA501" s="66"/>
      <c r="JB501" s="250"/>
      <c r="JC501" s="66"/>
      <c r="JD501" s="66"/>
      <c r="JE501" s="66"/>
      <c r="JF501" s="66"/>
      <c r="JG501" s="66"/>
      <c r="JH501" s="66"/>
      <c r="JI501" s="66"/>
      <c r="JJ501" s="66"/>
      <c r="JK501" s="8"/>
      <c r="JN501" s="252"/>
      <c r="JO501" s="252"/>
      <c r="JP501" s="252"/>
      <c r="JT501" s="252"/>
      <c r="JU501" s="252"/>
      <c r="JV501" s="252"/>
      <c r="JZ501" s="252"/>
      <c r="KA501" s="252"/>
      <c r="KB501" s="252"/>
      <c r="KF501" s="252"/>
      <c r="KG501" s="252"/>
      <c r="KH501" s="252"/>
      <c r="KO501" s="66"/>
      <c r="KP501" s="66"/>
      <c r="KQ501" s="66"/>
      <c r="KR501" s="66"/>
      <c r="KS501" s="66"/>
      <c r="KT501" s="66"/>
      <c r="KU501" s="66"/>
      <c r="KV501" s="66"/>
      <c r="KW501" s="66"/>
      <c r="KX501" s="66"/>
      <c r="KY501" s="66"/>
      <c r="KZ501" s="66"/>
      <c r="LA501" s="8"/>
      <c r="LD501" s="252"/>
      <c r="LE501" s="252"/>
      <c r="LF501" s="252"/>
      <c r="LJ501" s="252"/>
      <c r="LK501" s="252"/>
      <c r="LN501" s="252"/>
      <c r="LO501" s="252"/>
      <c r="LP501" s="252"/>
      <c r="LT501" s="271"/>
      <c r="LU501" s="250"/>
      <c r="LV501" s="250"/>
      <c r="LW501" s="250"/>
      <c r="LX501" s="250"/>
      <c r="LY501" s="250"/>
      <c r="LZ501" s="250"/>
      <c r="MA501" s="250"/>
      <c r="MB501" s="250"/>
      <c r="MC501" s="250"/>
      <c r="MD501" s="250"/>
      <c r="ME501" s="250"/>
      <c r="MF501" s="250"/>
      <c r="MG501" s="250"/>
      <c r="MH501" s="250"/>
      <c r="MI501" s="250"/>
      <c r="MJ501" s="250"/>
      <c r="MK501" s="424"/>
      <c r="ML501" s="640"/>
      <c r="MM501" s="251"/>
      <c r="MN501" s="252"/>
      <c r="MO501" s="252"/>
      <c r="MP501" s="252"/>
      <c r="MQ501" s="252"/>
      <c r="MR501" s="252"/>
      <c r="MS501" s="252"/>
      <c r="MT501" s="252"/>
      <c r="MU501" s="252"/>
      <c r="MV501" s="252"/>
      <c r="MW501" s="252"/>
      <c r="MX501" s="252"/>
      <c r="MY501" s="252"/>
      <c r="MZ501" s="252"/>
      <c r="NA501" s="252"/>
      <c r="NB501" s="252"/>
      <c r="NC501" s="251"/>
      <c r="ND501" s="250"/>
      <c r="NE501" s="250"/>
      <c r="NF501" s="250"/>
      <c r="NG501" s="250"/>
      <c r="NH501" s="250"/>
      <c r="NI501" s="250"/>
      <c r="NJ501" s="250"/>
      <c r="NK501" s="250"/>
      <c r="NL501" s="250"/>
      <c r="NM501" s="250"/>
      <c r="NN501" s="250"/>
      <c r="NO501" s="250"/>
      <c r="NP501" s="250"/>
      <c r="NQ501" s="250"/>
      <c r="NR501" s="250"/>
      <c r="NS501" s="250"/>
      <c r="NT501" s="250"/>
      <c r="NU501" s="250"/>
      <c r="NV501" s="250"/>
      <c r="NW501" s="251"/>
      <c r="OT501" s="8"/>
      <c r="QG501" s="8"/>
      <c r="RT501" s="8"/>
    </row>
    <row r="502" spans="1:488" s="282" customFormat="1" x14ac:dyDescent="0.25">
      <c r="A502" s="66"/>
      <c r="B502" s="8"/>
      <c r="C502" s="66"/>
      <c r="D502" s="66"/>
      <c r="E502" s="66"/>
      <c r="F502" s="66"/>
      <c r="G502" s="66"/>
      <c r="H502" s="66"/>
      <c r="I502" s="66"/>
      <c r="J502" s="66"/>
      <c r="K502" s="66"/>
      <c r="L502" s="66"/>
      <c r="M502" s="66"/>
      <c r="N502" s="66"/>
      <c r="O502" s="66"/>
      <c r="P502" s="66"/>
      <c r="Q502" s="66"/>
      <c r="R502" s="66"/>
      <c r="S502" s="66"/>
      <c r="T502" s="68"/>
      <c r="AC502" s="66"/>
      <c r="AD502" s="66"/>
      <c r="AE502" s="68"/>
      <c r="AN502" s="66"/>
      <c r="AO502" s="66"/>
      <c r="AP502" s="68"/>
      <c r="AW502" s="66"/>
      <c r="AX502" s="68"/>
      <c r="BD502" s="66"/>
      <c r="BE502" s="68"/>
      <c r="BF502" s="66"/>
      <c r="BG502" s="66"/>
      <c r="BH502" s="66"/>
      <c r="BI502" s="66"/>
      <c r="BJ502" s="66"/>
      <c r="BK502" s="66"/>
      <c r="BL502" s="68"/>
      <c r="BO502" s="66"/>
      <c r="BP502" s="68"/>
      <c r="BV502" s="66"/>
      <c r="BW502" s="68"/>
      <c r="CB502" s="8"/>
      <c r="CH502" s="8"/>
      <c r="CK502" s="299"/>
      <c r="CL502" s="299"/>
      <c r="CM502" s="66"/>
      <c r="CN502" s="66"/>
      <c r="CO502" s="68"/>
      <c r="CR502" s="8"/>
      <c r="CX502" s="66"/>
      <c r="CY502" s="532"/>
      <c r="DE502" s="66"/>
      <c r="DF502" s="66"/>
      <c r="DG502" s="68"/>
      <c r="DH502" s="68"/>
      <c r="DK502" s="66"/>
      <c r="DL502" s="66"/>
      <c r="DM502" s="66"/>
      <c r="DN502" s="66"/>
      <c r="DO502" s="66"/>
      <c r="DP502" s="66"/>
      <c r="DQ502" s="66"/>
      <c r="DR502" s="66"/>
      <c r="DS502" s="66"/>
      <c r="DT502" s="68"/>
      <c r="DU502" s="66"/>
      <c r="DV502" s="296"/>
      <c r="DW502" s="330"/>
      <c r="DX502" s="631"/>
      <c r="DY502" s="631"/>
      <c r="DZ502" s="631"/>
      <c r="EA502" s="330"/>
      <c r="EC502" s="66"/>
      <c r="ED502" s="68"/>
      <c r="EH502" s="66"/>
      <c r="EI502" s="66"/>
      <c r="EJ502" s="68"/>
      <c r="EK502" s="252"/>
      <c r="EL502" s="252"/>
      <c r="EM502" s="252"/>
      <c r="EO502" s="252"/>
      <c r="EP502" s="252"/>
      <c r="EQ502" s="252"/>
      <c r="ES502" s="252"/>
      <c r="ET502" s="252"/>
      <c r="EU502" s="252"/>
      <c r="EW502" s="252"/>
      <c r="EX502" s="252"/>
      <c r="EY502" s="252"/>
      <c r="FA502" s="250"/>
      <c r="FB502" s="250"/>
      <c r="FC502" s="250"/>
      <c r="FD502" s="250"/>
      <c r="FE502" s="250"/>
      <c r="FF502" s="250"/>
      <c r="FG502" s="250"/>
      <c r="FH502" s="424"/>
      <c r="FI502" s="250"/>
      <c r="FJ502" s="250"/>
      <c r="FK502" s="250"/>
      <c r="FL502" s="256"/>
      <c r="FM502" s="250"/>
      <c r="FN502" s="256"/>
      <c r="FO502" s="250"/>
      <c r="FP502" s="256"/>
      <c r="FQ502" s="250"/>
      <c r="FR502" s="256"/>
      <c r="FS502" s="250"/>
      <c r="FT502" s="256"/>
      <c r="FU502" s="256"/>
      <c r="FV502" s="256"/>
      <c r="FW502" s="250"/>
      <c r="FX502" s="424"/>
      <c r="FY502" s="251"/>
      <c r="GC502" s="252"/>
      <c r="GF502" s="252"/>
      <c r="GG502" s="252"/>
      <c r="GH502" s="252"/>
      <c r="GI502" s="252"/>
      <c r="GJ502" s="252"/>
      <c r="GK502" s="251"/>
      <c r="GL502" s="250"/>
      <c r="GM502" s="250"/>
      <c r="GN502" s="250"/>
      <c r="GO502" s="250"/>
      <c r="GP502" s="250"/>
      <c r="GQ502" s="250"/>
      <c r="GR502" s="250"/>
      <c r="GS502" s="250"/>
      <c r="GT502" s="250"/>
      <c r="GU502" s="251"/>
      <c r="GV502" s="250"/>
      <c r="GW502" s="250"/>
      <c r="GX502" s="250"/>
      <c r="GY502" s="250"/>
      <c r="GZ502" s="250"/>
      <c r="HA502" s="250"/>
      <c r="HB502" s="250"/>
      <c r="HC502" s="250"/>
      <c r="HD502" s="250"/>
      <c r="HE502" s="250"/>
      <c r="HF502" s="250"/>
      <c r="HG502" s="250"/>
      <c r="HH502" s="251"/>
      <c r="HI502" s="424"/>
      <c r="HJ502" s="255"/>
      <c r="HK502" s="255"/>
      <c r="HL502" s="250"/>
      <c r="HM502" s="255"/>
      <c r="HN502" s="255"/>
      <c r="HO502" s="255"/>
      <c r="HP502" s="250"/>
      <c r="HQ502" s="250"/>
      <c r="HR502" s="250"/>
      <c r="HS502" s="250"/>
      <c r="HT502" s="250"/>
      <c r="HU502" s="251"/>
      <c r="HX502" s="252"/>
      <c r="HY502" s="252"/>
      <c r="HZ502" s="252"/>
      <c r="ID502" s="252"/>
      <c r="IE502" s="252"/>
      <c r="IF502" s="252"/>
      <c r="IJ502" s="252"/>
      <c r="IK502" s="252"/>
      <c r="IL502" s="252"/>
      <c r="IP502" s="252"/>
      <c r="IQ502" s="252"/>
      <c r="IR502" s="252"/>
      <c r="IY502" s="66"/>
      <c r="IZ502" s="66"/>
      <c r="JA502" s="66"/>
      <c r="JB502" s="250"/>
      <c r="JC502" s="66"/>
      <c r="JD502" s="66"/>
      <c r="JE502" s="66"/>
      <c r="JF502" s="66"/>
      <c r="JG502" s="66"/>
      <c r="JH502" s="66"/>
      <c r="JI502" s="66"/>
      <c r="JJ502" s="66"/>
      <c r="JK502" s="8"/>
      <c r="JN502" s="252"/>
      <c r="JO502" s="252"/>
      <c r="JP502" s="252"/>
      <c r="JT502" s="252"/>
      <c r="JU502" s="252"/>
      <c r="JV502" s="252"/>
      <c r="JZ502" s="252"/>
      <c r="KA502" s="252"/>
      <c r="KB502" s="252"/>
      <c r="KF502" s="252"/>
      <c r="KG502" s="252"/>
      <c r="KH502" s="252"/>
      <c r="KO502" s="66"/>
      <c r="KP502" s="66"/>
      <c r="KQ502" s="66"/>
      <c r="KR502" s="66"/>
      <c r="KS502" s="66"/>
      <c r="KT502" s="66"/>
      <c r="KU502" s="66"/>
      <c r="KV502" s="66"/>
      <c r="KW502" s="66"/>
      <c r="KX502" s="66"/>
      <c r="KY502" s="66"/>
      <c r="KZ502" s="66"/>
      <c r="LA502" s="8"/>
      <c r="LD502" s="252"/>
      <c r="LE502" s="252"/>
      <c r="LF502" s="252"/>
      <c r="LJ502" s="252"/>
      <c r="LK502" s="252"/>
      <c r="LN502" s="252"/>
      <c r="LO502" s="252"/>
      <c r="LP502" s="252"/>
      <c r="LT502" s="271"/>
      <c r="LU502" s="250"/>
      <c r="LV502" s="250"/>
      <c r="LW502" s="250"/>
      <c r="LX502" s="250"/>
      <c r="LY502" s="250"/>
      <c r="LZ502" s="250"/>
      <c r="MA502" s="250"/>
      <c r="MB502" s="250"/>
      <c r="MC502" s="250"/>
      <c r="MD502" s="250"/>
      <c r="ME502" s="250"/>
      <c r="MF502" s="250"/>
      <c r="MG502" s="250"/>
      <c r="MH502" s="250"/>
      <c r="MI502" s="250"/>
      <c r="MJ502" s="250"/>
      <c r="MK502" s="424"/>
      <c r="ML502" s="640"/>
      <c r="MM502" s="251"/>
      <c r="MN502" s="252"/>
      <c r="MO502" s="252"/>
      <c r="MP502" s="252"/>
      <c r="MQ502" s="252"/>
      <c r="MR502" s="252"/>
      <c r="MS502" s="252"/>
      <c r="MT502" s="252"/>
      <c r="MU502" s="252"/>
      <c r="MV502" s="252"/>
      <c r="MW502" s="252"/>
      <c r="MX502" s="252"/>
      <c r="MY502" s="252"/>
      <c r="MZ502" s="252"/>
      <c r="NA502" s="252"/>
      <c r="NB502" s="252"/>
      <c r="NC502" s="251"/>
      <c r="ND502" s="250"/>
      <c r="NE502" s="250"/>
      <c r="NF502" s="250"/>
      <c r="NG502" s="250"/>
      <c r="NH502" s="250"/>
      <c r="NI502" s="250"/>
      <c r="NJ502" s="250"/>
      <c r="NK502" s="250"/>
      <c r="NL502" s="250"/>
      <c r="NM502" s="250"/>
      <c r="NN502" s="250"/>
      <c r="NO502" s="250"/>
      <c r="NP502" s="250"/>
      <c r="NQ502" s="250"/>
      <c r="NR502" s="250"/>
      <c r="NS502" s="250"/>
      <c r="NT502" s="250"/>
      <c r="NU502" s="250"/>
      <c r="NV502" s="250"/>
      <c r="NW502" s="251"/>
      <c r="OT502" s="8"/>
      <c r="QG502" s="8"/>
      <c r="RT502" s="8"/>
    </row>
    <row r="503" spans="1:488" s="282" customFormat="1" x14ac:dyDescent="0.25">
      <c r="A503" s="66"/>
      <c r="B503" s="8"/>
      <c r="C503" s="66"/>
      <c r="D503" s="66"/>
      <c r="E503" s="66"/>
      <c r="F503" s="66"/>
      <c r="G503" s="66"/>
      <c r="H503" s="66"/>
      <c r="I503" s="66"/>
      <c r="J503" s="66"/>
      <c r="K503" s="66"/>
      <c r="L503" s="66"/>
      <c r="M503" s="66"/>
      <c r="N503" s="66"/>
      <c r="O503" s="66"/>
      <c r="P503" s="66"/>
      <c r="Q503" s="66"/>
      <c r="R503" s="66"/>
      <c r="S503" s="66"/>
      <c r="T503" s="68"/>
      <c r="AC503" s="66"/>
      <c r="AD503" s="66"/>
      <c r="AE503" s="68"/>
      <c r="AN503" s="66"/>
      <c r="AO503" s="66"/>
      <c r="AP503" s="68"/>
      <c r="AW503" s="66"/>
      <c r="AX503" s="68"/>
      <c r="BD503" s="66"/>
      <c r="BE503" s="68"/>
      <c r="BF503" s="66"/>
      <c r="BG503" s="66"/>
      <c r="BH503" s="66"/>
      <c r="BI503" s="66"/>
      <c r="BJ503" s="66"/>
      <c r="BK503" s="66"/>
      <c r="BL503" s="68"/>
      <c r="BO503" s="66"/>
      <c r="BP503" s="68"/>
      <c r="BV503" s="66"/>
      <c r="BW503" s="68"/>
      <c r="CB503" s="8"/>
      <c r="CH503" s="8"/>
      <c r="CK503" s="299"/>
      <c r="CL503" s="299"/>
      <c r="CM503" s="66"/>
      <c r="CN503" s="66"/>
      <c r="CO503" s="68"/>
      <c r="CR503" s="8"/>
      <c r="CX503" s="66"/>
      <c r="CY503" s="532"/>
      <c r="DE503" s="66"/>
      <c r="DF503" s="66"/>
      <c r="DG503" s="68"/>
      <c r="DH503" s="68"/>
      <c r="DK503" s="66"/>
      <c r="DL503" s="66"/>
      <c r="DM503" s="66"/>
      <c r="DN503" s="66"/>
      <c r="DO503" s="66"/>
      <c r="DP503" s="66"/>
      <c r="DQ503" s="66"/>
      <c r="DR503" s="66"/>
      <c r="DS503" s="66"/>
      <c r="DT503" s="68"/>
      <c r="DU503" s="66"/>
      <c r="DV503" s="296"/>
      <c r="DW503" s="330"/>
      <c r="DX503" s="631"/>
      <c r="DY503" s="631"/>
      <c r="DZ503" s="631"/>
      <c r="EA503" s="330"/>
      <c r="EC503" s="66"/>
      <c r="ED503" s="68"/>
      <c r="EH503" s="66"/>
      <c r="EI503" s="66"/>
      <c r="EJ503" s="68"/>
      <c r="EK503" s="252"/>
      <c r="EL503" s="252"/>
      <c r="EM503" s="252"/>
      <c r="EO503" s="252"/>
      <c r="EP503" s="252"/>
      <c r="EQ503" s="252"/>
      <c r="ES503" s="252"/>
      <c r="ET503" s="252"/>
      <c r="EU503" s="252"/>
      <c r="EW503" s="252"/>
      <c r="EX503" s="252"/>
      <c r="EY503" s="252"/>
      <c r="FA503" s="250"/>
      <c r="FB503" s="250"/>
      <c r="FC503" s="250"/>
      <c r="FD503" s="250"/>
      <c r="FE503" s="250"/>
      <c r="FF503" s="250"/>
      <c r="FG503" s="250"/>
      <c r="FH503" s="424"/>
      <c r="FI503" s="250"/>
      <c r="FJ503" s="250"/>
      <c r="FK503" s="250"/>
      <c r="FL503" s="256"/>
      <c r="FM503" s="250"/>
      <c r="FN503" s="256"/>
      <c r="FO503" s="250"/>
      <c r="FP503" s="256"/>
      <c r="FQ503" s="250"/>
      <c r="FR503" s="256"/>
      <c r="FS503" s="250"/>
      <c r="FT503" s="256"/>
      <c r="FU503" s="256"/>
      <c r="FV503" s="256"/>
      <c r="FW503" s="250"/>
      <c r="FX503" s="424"/>
      <c r="FY503" s="251"/>
      <c r="GC503" s="252"/>
      <c r="GF503" s="252"/>
      <c r="GG503" s="252"/>
      <c r="GH503" s="252"/>
      <c r="GI503" s="252"/>
      <c r="GJ503" s="252"/>
      <c r="GK503" s="251"/>
      <c r="GL503" s="250"/>
      <c r="GM503" s="250"/>
      <c r="GN503" s="250"/>
      <c r="GO503" s="250"/>
      <c r="GP503" s="250"/>
      <c r="GQ503" s="250"/>
      <c r="GR503" s="250"/>
      <c r="GS503" s="250"/>
      <c r="GT503" s="250"/>
      <c r="GU503" s="251"/>
      <c r="GV503" s="250"/>
      <c r="GW503" s="250"/>
      <c r="GX503" s="250"/>
      <c r="GY503" s="250"/>
      <c r="GZ503" s="250"/>
      <c r="HA503" s="250"/>
      <c r="HB503" s="250"/>
      <c r="HC503" s="250"/>
      <c r="HD503" s="250"/>
      <c r="HE503" s="250"/>
      <c r="HF503" s="250"/>
      <c r="HG503" s="250"/>
      <c r="HH503" s="251"/>
      <c r="HI503" s="424"/>
      <c r="HJ503" s="255"/>
      <c r="HK503" s="255"/>
      <c r="HL503" s="250"/>
      <c r="HM503" s="255"/>
      <c r="HN503" s="255"/>
      <c r="HO503" s="255"/>
      <c r="HP503" s="250"/>
      <c r="HQ503" s="250"/>
      <c r="HR503" s="250"/>
      <c r="HS503" s="250"/>
      <c r="HT503" s="250"/>
      <c r="HU503" s="251"/>
      <c r="HX503" s="252"/>
      <c r="HY503" s="252"/>
      <c r="HZ503" s="252"/>
      <c r="ID503" s="252"/>
      <c r="IE503" s="252"/>
      <c r="IF503" s="252"/>
      <c r="IJ503" s="252"/>
      <c r="IK503" s="252"/>
      <c r="IL503" s="252"/>
      <c r="IP503" s="252"/>
      <c r="IQ503" s="252"/>
      <c r="IR503" s="252"/>
      <c r="IY503" s="66"/>
      <c r="IZ503" s="66"/>
      <c r="JA503" s="66"/>
      <c r="JB503" s="250"/>
      <c r="JC503" s="66"/>
      <c r="JD503" s="66"/>
      <c r="JE503" s="66"/>
      <c r="JF503" s="66"/>
      <c r="JG503" s="66"/>
      <c r="JH503" s="66"/>
      <c r="JI503" s="66"/>
      <c r="JJ503" s="66"/>
      <c r="JK503" s="8"/>
      <c r="JN503" s="252"/>
      <c r="JO503" s="252"/>
      <c r="JP503" s="252"/>
      <c r="JT503" s="252"/>
      <c r="JU503" s="252"/>
      <c r="JV503" s="252"/>
      <c r="JZ503" s="252"/>
      <c r="KA503" s="252"/>
      <c r="KB503" s="252"/>
      <c r="KF503" s="252"/>
      <c r="KG503" s="252"/>
      <c r="KH503" s="252"/>
      <c r="KO503" s="66"/>
      <c r="KP503" s="66"/>
      <c r="KQ503" s="66"/>
      <c r="KR503" s="66"/>
      <c r="KS503" s="66"/>
      <c r="KT503" s="66"/>
      <c r="KU503" s="66"/>
      <c r="KV503" s="66"/>
      <c r="KW503" s="66"/>
      <c r="KX503" s="66"/>
      <c r="KY503" s="66"/>
      <c r="KZ503" s="66"/>
      <c r="LA503" s="8"/>
      <c r="LD503" s="252"/>
      <c r="LE503" s="252"/>
      <c r="LF503" s="252"/>
      <c r="LJ503" s="252"/>
      <c r="LK503" s="252"/>
      <c r="LN503" s="252"/>
      <c r="LO503" s="252"/>
      <c r="LP503" s="252"/>
      <c r="LT503" s="271"/>
      <c r="LU503" s="250"/>
      <c r="LV503" s="250"/>
      <c r="LW503" s="250"/>
      <c r="LX503" s="250"/>
      <c r="LY503" s="250"/>
      <c r="LZ503" s="250"/>
      <c r="MA503" s="250"/>
      <c r="MB503" s="250"/>
      <c r="MC503" s="250"/>
      <c r="MD503" s="250"/>
      <c r="ME503" s="250"/>
      <c r="MF503" s="250"/>
      <c r="MG503" s="250"/>
      <c r="MH503" s="250"/>
      <c r="MI503" s="250"/>
      <c r="MJ503" s="250"/>
      <c r="MK503" s="424"/>
      <c r="ML503" s="640"/>
      <c r="MM503" s="251"/>
      <c r="MN503" s="252"/>
      <c r="MO503" s="252"/>
      <c r="MP503" s="252"/>
      <c r="MQ503" s="252"/>
      <c r="MR503" s="252"/>
      <c r="MS503" s="252"/>
      <c r="MT503" s="252"/>
      <c r="MU503" s="252"/>
      <c r="MV503" s="252"/>
      <c r="MW503" s="252"/>
      <c r="MX503" s="252"/>
      <c r="MY503" s="252"/>
      <c r="MZ503" s="252"/>
      <c r="NA503" s="252"/>
      <c r="NB503" s="252"/>
      <c r="NC503" s="251"/>
      <c r="ND503" s="250"/>
      <c r="NE503" s="250"/>
      <c r="NF503" s="250"/>
      <c r="NG503" s="250"/>
      <c r="NH503" s="250"/>
      <c r="NI503" s="250"/>
      <c r="NJ503" s="250"/>
      <c r="NK503" s="250"/>
      <c r="NL503" s="250"/>
      <c r="NM503" s="250"/>
      <c r="NN503" s="250"/>
      <c r="NO503" s="250"/>
      <c r="NP503" s="250"/>
      <c r="NQ503" s="250"/>
      <c r="NR503" s="250"/>
      <c r="NS503" s="250"/>
      <c r="NT503" s="250"/>
      <c r="NU503" s="250"/>
      <c r="NV503" s="250"/>
      <c r="NW503" s="251"/>
      <c r="OT503" s="8"/>
      <c r="QG503" s="8"/>
      <c r="RT503" s="8"/>
    </row>
    <row r="504" spans="1:488" s="282" customFormat="1" x14ac:dyDescent="0.25">
      <c r="A504" s="66"/>
      <c r="B504" s="8"/>
      <c r="C504" s="66"/>
      <c r="D504" s="66"/>
      <c r="E504" s="66"/>
      <c r="F504" s="66"/>
      <c r="G504" s="66"/>
      <c r="H504" s="66"/>
      <c r="I504" s="66"/>
      <c r="J504" s="66"/>
      <c r="K504" s="66"/>
      <c r="L504" s="66"/>
      <c r="M504" s="66"/>
      <c r="N504" s="66"/>
      <c r="O504" s="66"/>
      <c r="P504" s="66"/>
      <c r="Q504" s="66"/>
      <c r="R504" s="66"/>
      <c r="S504" s="66"/>
      <c r="T504" s="68"/>
      <c r="AC504" s="66"/>
      <c r="AD504" s="66"/>
      <c r="AE504" s="68"/>
      <c r="AN504" s="66"/>
      <c r="AO504" s="66"/>
      <c r="AP504" s="68"/>
      <c r="AW504" s="66"/>
      <c r="AX504" s="68"/>
      <c r="BD504" s="66"/>
      <c r="BE504" s="68"/>
      <c r="BF504" s="66"/>
      <c r="BG504" s="66"/>
      <c r="BH504" s="66"/>
      <c r="BI504" s="66"/>
      <c r="BJ504" s="66"/>
      <c r="BK504" s="66"/>
      <c r="BL504" s="68"/>
      <c r="BO504" s="66"/>
      <c r="BP504" s="68"/>
      <c r="BV504" s="66"/>
      <c r="BW504" s="68"/>
      <c r="CB504" s="8"/>
      <c r="CH504" s="8"/>
      <c r="CK504" s="299"/>
      <c r="CL504" s="299"/>
      <c r="CM504" s="66"/>
      <c r="CN504" s="66"/>
      <c r="CO504" s="68"/>
      <c r="CR504" s="8"/>
      <c r="CX504" s="66"/>
      <c r="CY504" s="532"/>
      <c r="DE504" s="66"/>
      <c r="DF504" s="66"/>
      <c r="DG504" s="68"/>
      <c r="DH504" s="68"/>
      <c r="DK504" s="66"/>
      <c r="DL504" s="66"/>
      <c r="DM504" s="66"/>
      <c r="DN504" s="66"/>
      <c r="DO504" s="66"/>
      <c r="DP504" s="66"/>
      <c r="DQ504" s="66"/>
      <c r="DR504" s="66"/>
      <c r="DS504" s="66"/>
      <c r="DT504" s="68"/>
      <c r="DU504" s="66"/>
      <c r="DV504" s="296"/>
      <c r="DW504" s="330"/>
      <c r="DX504" s="631"/>
      <c r="DY504" s="631"/>
      <c r="DZ504" s="631"/>
      <c r="EA504" s="330"/>
      <c r="EC504" s="66"/>
      <c r="ED504" s="68"/>
      <c r="EH504" s="66"/>
      <c r="EI504" s="66"/>
      <c r="EJ504" s="68"/>
      <c r="EK504" s="252"/>
      <c r="EL504" s="252"/>
      <c r="EM504" s="252"/>
      <c r="EO504" s="252"/>
      <c r="EP504" s="252"/>
      <c r="EQ504" s="252"/>
      <c r="ES504" s="252"/>
      <c r="ET504" s="252"/>
      <c r="EU504" s="252"/>
      <c r="EW504" s="252"/>
      <c r="EX504" s="252"/>
      <c r="EY504" s="252"/>
      <c r="FA504" s="250"/>
      <c r="FB504" s="250"/>
      <c r="FC504" s="250"/>
      <c r="FD504" s="250"/>
      <c r="FE504" s="250"/>
      <c r="FF504" s="250"/>
      <c r="FG504" s="250"/>
      <c r="FH504" s="424"/>
      <c r="FI504" s="250"/>
      <c r="FJ504" s="250"/>
      <c r="FK504" s="250"/>
      <c r="FL504" s="256"/>
      <c r="FM504" s="250"/>
      <c r="FN504" s="256"/>
      <c r="FO504" s="250"/>
      <c r="FP504" s="256"/>
      <c r="FQ504" s="250"/>
      <c r="FR504" s="256"/>
      <c r="FS504" s="250"/>
      <c r="FT504" s="256"/>
      <c r="FU504" s="256"/>
      <c r="FV504" s="256"/>
      <c r="FW504" s="250"/>
      <c r="FX504" s="424"/>
      <c r="FY504" s="251"/>
      <c r="GC504" s="252"/>
      <c r="GF504" s="252"/>
      <c r="GG504" s="252"/>
      <c r="GH504" s="252"/>
      <c r="GI504" s="252"/>
      <c r="GJ504" s="252"/>
      <c r="GK504" s="251"/>
      <c r="GL504" s="250"/>
      <c r="GM504" s="250"/>
      <c r="GN504" s="250"/>
      <c r="GO504" s="250"/>
      <c r="GP504" s="250"/>
      <c r="GQ504" s="250"/>
      <c r="GR504" s="250"/>
      <c r="GS504" s="250"/>
      <c r="GT504" s="250"/>
      <c r="GU504" s="251"/>
      <c r="GV504" s="250"/>
      <c r="GW504" s="250"/>
      <c r="GX504" s="250"/>
      <c r="GY504" s="250"/>
      <c r="GZ504" s="250"/>
      <c r="HA504" s="250"/>
      <c r="HB504" s="250"/>
      <c r="HC504" s="250"/>
      <c r="HD504" s="250"/>
      <c r="HE504" s="250"/>
      <c r="HF504" s="250"/>
      <c r="HG504" s="250"/>
      <c r="HH504" s="251"/>
      <c r="HI504" s="424"/>
      <c r="HJ504" s="255"/>
      <c r="HK504" s="255"/>
      <c r="HL504" s="250"/>
      <c r="HM504" s="255"/>
      <c r="HN504" s="255"/>
      <c r="HO504" s="255"/>
      <c r="HP504" s="250"/>
      <c r="HQ504" s="250"/>
      <c r="HR504" s="250"/>
      <c r="HS504" s="250"/>
      <c r="HT504" s="250"/>
      <c r="HU504" s="251"/>
      <c r="HX504" s="252"/>
      <c r="HY504" s="252"/>
      <c r="HZ504" s="252"/>
      <c r="ID504" s="252"/>
      <c r="IE504" s="252"/>
      <c r="IF504" s="252"/>
      <c r="IJ504" s="252"/>
      <c r="IK504" s="252"/>
      <c r="IL504" s="252"/>
      <c r="IP504" s="252"/>
      <c r="IQ504" s="252"/>
      <c r="IR504" s="252"/>
      <c r="IY504" s="66"/>
      <c r="IZ504" s="66"/>
      <c r="JA504" s="66"/>
      <c r="JB504" s="250"/>
      <c r="JC504" s="66"/>
      <c r="JD504" s="66"/>
      <c r="JE504" s="66"/>
      <c r="JF504" s="66"/>
      <c r="JG504" s="66"/>
      <c r="JH504" s="66"/>
      <c r="JI504" s="66"/>
      <c r="JJ504" s="66"/>
      <c r="JK504" s="8"/>
      <c r="JN504" s="252"/>
      <c r="JO504" s="252"/>
      <c r="JP504" s="252"/>
      <c r="JT504" s="252"/>
      <c r="JU504" s="252"/>
      <c r="JV504" s="252"/>
      <c r="JZ504" s="252"/>
      <c r="KA504" s="252"/>
      <c r="KB504" s="252"/>
      <c r="KF504" s="252"/>
      <c r="KG504" s="252"/>
      <c r="KH504" s="252"/>
      <c r="KO504" s="66"/>
      <c r="KP504" s="66"/>
      <c r="KQ504" s="66"/>
      <c r="KR504" s="66"/>
      <c r="KS504" s="66"/>
      <c r="KT504" s="66"/>
      <c r="KU504" s="66"/>
      <c r="KV504" s="66"/>
      <c r="KW504" s="66"/>
      <c r="KX504" s="66"/>
      <c r="KY504" s="66"/>
      <c r="KZ504" s="66"/>
      <c r="LA504" s="8"/>
      <c r="LD504" s="252"/>
      <c r="LE504" s="252"/>
      <c r="LF504" s="252"/>
      <c r="LJ504" s="252"/>
      <c r="LK504" s="252"/>
      <c r="LN504" s="252"/>
      <c r="LO504" s="252"/>
      <c r="LP504" s="252"/>
      <c r="LT504" s="271"/>
      <c r="LU504" s="250"/>
      <c r="LV504" s="250"/>
      <c r="LW504" s="250"/>
      <c r="LX504" s="250"/>
      <c r="LY504" s="250"/>
      <c r="LZ504" s="250"/>
      <c r="MA504" s="250"/>
      <c r="MB504" s="250"/>
      <c r="MC504" s="250"/>
      <c r="MD504" s="250"/>
      <c r="ME504" s="250"/>
      <c r="MF504" s="250"/>
      <c r="MG504" s="250"/>
      <c r="MH504" s="250"/>
      <c r="MI504" s="250"/>
      <c r="MJ504" s="250"/>
      <c r="MK504" s="424"/>
      <c r="ML504" s="640"/>
      <c r="MM504" s="251"/>
      <c r="MN504" s="252"/>
      <c r="MO504" s="252"/>
      <c r="MP504" s="252"/>
      <c r="MQ504" s="252"/>
      <c r="MR504" s="252"/>
      <c r="MS504" s="252"/>
      <c r="MT504" s="252"/>
      <c r="MU504" s="252"/>
      <c r="MV504" s="252"/>
      <c r="MW504" s="252"/>
      <c r="MX504" s="252"/>
      <c r="MY504" s="252"/>
      <c r="MZ504" s="252"/>
      <c r="NA504" s="252"/>
      <c r="NB504" s="252"/>
      <c r="NC504" s="251"/>
      <c r="ND504" s="250"/>
      <c r="NE504" s="250"/>
      <c r="NF504" s="250"/>
      <c r="NG504" s="250"/>
      <c r="NH504" s="250"/>
      <c r="NI504" s="250"/>
      <c r="NJ504" s="250"/>
      <c r="NK504" s="250"/>
      <c r="NL504" s="250"/>
      <c r="NM504" s="250"/>
      <c r="NN504" s="250"/>
      <c r="NO504" s="250"/>
      <c r="NP504" s="250"/>
      <c r="NQ504" s="250"/>
      <c r="NR504" s="250"/>
      <c r="NS504" s="250"/>
      <c r="NT504" s="250"/>
      <c r="NU504" s="250"/>
      <c r="NV504" s="250"/>
      <c r="NW504" s="251"/>
      <c r="OT504" s="8"/>
      <c r="QG504" s="8"/>
      <c r="RT504" s="8"/>
    </row>
    <row r="505" spans="1:488" s="282" customFormat="1" x14ac:dyDescent="0.25">
      <c r="A505" s="66"/>
      <c r="B505" s="8"/>
      <c r="C505" s="66"/>
      <c r="D505" s="66"/>
      <c r="E505" s="66"/>
      <c r="F505" s="66"/>
      <c r="G505" s="66"/>
      <c r="H505" s="66"/>
      <c r="I505" s="66"/>
      <c r="J505" s="66"/>
      <c r="K505" s="66"/>
      <c r="L505" s="66"/>
      <c r="M505" s="66"/>
      <c r="N505" s="66"/>
      <c r="O505" s="66"/>
      <c r="P505" s="66"/>
      <c r="Q505" s="66"/>
      <c r="R505" s="66"/>
      <c r="S505" s="66"/>
      <c r="T505" s="68"/>
      <c r="AC505" s="66"/>
      <c r="AD505" s="66"/>
      <c r="AE505" s="68"/>
      <c r="AN505" s="66"/>
      <c r="AO505" s="66"/>
      <c r="AP505" s="68"/>
      <c r="AW505" s="66"/>
      <c r="AX505" s="68"/>
      <c r="BD505" s="66"/>
      <c r="BE505" s="68"/>
      <c r="BF505" s="66"/>
      <c r="BG505" s="66"/>
      <c r="BH505" s="66"/>
      <c r="BI505" s="66"/>
      <c r="BJ505" s="66"/>
      <c r="BK505" s="66"/>
      <c r="BL505" s="68"/>
      <c r="BO505" s="66"/>
      <c r="BP505" s="68"/>
      <c r="BV505" s="66"/>
      <c r="BW505" s="68"/>
      <c r="CB505" s="8"/>
      <c r="CH505" s="8"/>
      <c r="CK505" s="299"/>
      <c r="CL505" s="299"/>
      <c r="CM505" s="66"/>
      <c r="CN505" s="66"/>
      <c r="CO505" s="68"/>
      <c r="CR505" s="8"/>
      <c r="CX505" s="66"/>
      <c r="CY505" s="532"/>
      <c r="DE505" s="66"/>
      <c r="DF505" s="66"/>
      <c r="DG505" s="68"/>
      <c r="DH505" s="68"/>
      <c r="DK505" s="66"/>
      <c r="DL505" s="66"/>
      <c r="DM505" s="66"/>
      <c r="DN505" s="66"/>
      <c r="DO505" s="66"/>
      <c r="DP505" s="66"/>
      <c r="DQ505" s="66"/>
      <c r="DR505" s="66"/>
      <c r="DS505" s="66"/>
      <c r="DT505" s="68"/>
      <c r="DU505" s="66"/>
      <c r="DV505" s="296"/>
      <c r="DW505" s="330"/>
      <c r="DX505" s="631"/>
      <c r="DY505" s="631"/>
      <c r="DZ505" s="631"/>
      <c r="EA505" s="330"/>
      <c r="EC505" s="66"/>
      <c r="ED505" s="68"/>
      <c r="EH505" s="66"/>
      <c r="EI505" s="66"/>
      <c r="EJ505" s="68"/>
      <c r="EK505" s="252"/>
      <c r="EL505" s="252"/>
      <c r="EM505" s="252"/>
      <c r="EO505" s="252"/>
      <c r="EP505" s="252"/>
      <c r="EQ505" s="252"/>
      <c r="ES505" s="252"/>
      <c r="ET505" s="252"/>
      <c r="EU505" s="252"/>
      <c r="EW505" s="252"/>
      <c r="EX505" s="252"/>
      <c r="EY505" s="252"/>
      <c r="FA505" s="250"/>
      <c r="FB505" s="250"/>
      <c r="FC505" s="250"/>
      <c r="FD505" s="250"/>
      <c r="FE505" s="250"/>
      <c r="FF505" s="250"/>
      <c r="FG505" s="250"/>
      <c r="FH505" s="424"/>
      <c r="FI505" s="250"/>
      <c r="FJ505" s="250"/>
      <c r="FK505" s="250"/>
      <c r="FL505" s="256"/>
      <c r="FM505" s="250"/>
      <c r="FN505" s="256"/>
      <c r="FO505" s="250"/>
      <c r="FP505" s="256"/>
      <c r="FQ505" s="250"/>
      <c r="FR505" s="256"/>
      <c r="FS505" s="250"/>
      <c r="FT505" s="256"/>
      <c r="FU505" s="256"/>
      <c r="FV505" s="256"/>
      <c r="FW505" s="250"/>
      <c r="FX505" s="424"/>
      <c r="FY505" s="251"/>
      <c r="GC505" s="252"/>
      <c r="GF505" s="252"/>
      <c r="GG505" s="252"/>
      <c r="GH505" s="252"/>
      <c r="GI505" s="252"/>
      <c r="GJ505" s="252"/>
      <c r="GK505" s="251"/>
      <c r="GL505" s="250"/>
      <c r="GM505" s="250"/>
      <c r="GN505" s="250"/>
      <c r="GO505" s="250"/>
      <c r="GP505" s="250"/>
      <c r="GQ505" s="250"/>
      <c r="GR505" s="250"/>
      <c r="GS505" s="250"/>
      <c r="GT505" s="250"/>
      <c r="GU505" s="251"/>
      <c r="GV505" s="250"/>
      <c r="GW505" s="250"/>
      <c r="GX505" s="250"/>
      <c r="GY505" s="250"/>
      <c r="GZ505" s="250"/>
      <c r="HA505" s="250"/>
      <c r="HB505" s="250"/>
      <c r="HC505" s="250"/>
      <c r="HD505" s="250"/>
      <c r="HE505" s="250"/>
      <c r="HF505" s="250"/>
      <c r="HG505" s="250"/>
      <c r="HH505" s="251"/>
      <c r="HI505" s="424"/>
      <c r="HJ505" s="255"/>
      <c r="HK505" s="255"/>
      <c r="HL505" s="250"/>
      <c r="HM505" s="255"/>
      <c r="HN505" s="255"/>
      <c r="HO505" s="255"/>
      <c r="HP505" s="250"/>
      <c r="HQ505" s="250"/>
      <c r="HR505" s="250"/>
      <c r="HS505" s="250"/>
      <c r="HT505" s="250"/>
      <c r="HU505" s="251"/>
      <c r="HX505" s="252"/>
      <c r="HY505" s="252"/>
      <c r="HZ505" s="252"/>
      <c r="ID505" s="252"/>
      <c r="IE505" s="252"/>
      <c r="IF505" s="252"/>
      <c r="IJ505" s="252"/>
      <c r="IK505" s="252"/>
      <c r="IL505" s="252"/>
      <c r="IP505" s="252"/>
      <c r="IQ505" s="252"/>
      <c r="IR505" s="252"/>
      <c r="IY505" s="66"/>
      <c r="IZ505" s="66"/>
      <c r="JA505" s="66"/>
      <c r="JB505" s="250"/>
      <c r="JC505" s="66"/>
      <c r="JD505" s="66"/>
      <c r="JE505" s="66"/>
      <c r="JF505" s="66"/>
      <c r="JG505" s="66"/>
      <c r="JH505" s="66"/>
      <c r="JI505" s="66"/>
      <c r="JJ505" s="66"/>
      <c r="JK505" s="8"/>
      <c r="JN505" s="252"/>
      <c r="JO505" s="252"/>
      <c r="JP505" s="252"/>
      <c r="JT505" s="252"/>
      <c r="JU505" s="252"/>
      <c r="JV505" s="252"/>
      <c r="JZ505" s="252"/>
      <c r="KA505" s="252"/>
      <c r="KB505" s="252"/>
      <c r="KF505" s="252"/>
      <c r="KG505" s="252"/>
      <c r="KH505" s="252"/>
      <c r="KO505" s="66"/>
      <c r="KP505" s="66"/>
      <c r="KQ505" s="66"/>
      <c r="KR505" s="66"/>
      <c r="KS505" s="66"/>
      <c r="KT505" s="66"/>
      <c r="KU505" s="66"/>
      <c r="KV505" s="66"/>
      <c r="KW505" s="66"/>
      <c r="KX505" s="66"/>
      <c r="KY505" s="66"/>
      <c r="KZ505" s="66"/>
      <c r="LA505" s="8"/>
      <c r="LD505" s="252"/>
      <c r="LE505" s="252"/>
      <c r="LF505" s="252"/>
      <c r="LJ505" s="252"/>
      <c r="LK505" s="252"/>
      <c r="LN505" s="252"/>
      <c r="LO505" s="252"/>
      <c r="LP505" s="252"/>
      <c r="LT505" s="271"/>
      <c r="LU505" s="250"/>
      <c r="LV505" s="250"/>
      <c r="LW505" s="250"/>
      <c r="LX505" s="250"/>
      <c r="LY505" s="250"/>
      <c r="LZ505" s="250"/>
      <c r="MA505" s="250"/>
      <c r="MB505" s="250"/>
      <c r="MC505" s="250"/>
      <c r="MD505" s="250"/>
      <c r="ME505" s="250"/>
      <c r="MF505" s="250"/>
      <c r="MG505" s="250"/>
      <c r="MH505" s="250"/>
      <c r="MI505" s="250"/>
      <c r="MJ505" s="250"/>
      <c r="MK505" s="424"/>
      <c r="ML505" s="640"/>
      <c r="MM505" s="251"/>
      <c r="MN505" s="252"/>
      <c r="MO505" s="252"/>
      <c r="MP505" s="252"/>
      <c r="MQ505" s="252"/>
      <c r="MR505" s="252"/>
      <c r="MS505" s="252"/>
      <c r="MT505" s="252"/>
      <c r="MU505" s="252"/>
      <c r="MV505" s="252"/>
      <c r="MW505" s="252"/>
      <c r="MX505" s="252"/>
      <c r="MY505" s="252"/>
      <c r="MZ505" s="252"/>
      <c r="NA505" s="252"/>
      <c r="NB505" s="252"/>
      <c r="NC505" s="251"/>
      <c r="ND505" s="250"/>
      <c r="NE505" s="250"/>
      <c r="NF505" s="250"/>
      <c r="NG505" s="250"/>
      <c r="NH505" s="250"/>
      <c r="NI505" s="250"/>
      <c r="NJ505" s="250"/>
      <c r="NK505" s="250"/>
      <c r="NL505" s="250"/>
      <c r="NM505" s="250"/>
      <c r="NN505" s="250"/>
      <c r="NO505" s="250"/>
      <c r="NP505" s="250"/>
      <c r="NQ505" s="250"/>
      <c r="NR505" s="250"/>
      <c r="NS505" s="250"/>
      <c r="NT505" s="250"/>
      <c r="NU505" s="250"/>
      <c r="NV505" s="250"/>
      <c r="NW505" s="251"/>
      <c r="OT505" s="8"/>
      <c r="QG505" s="8"/>
      <c r="RT505" s="8"/>
    </row>
    <row r="506" spans="1:488" s="282" customFormat="1" x14ac:dyDescent="0.25">
      <c r="A506" s="66"/>
      <c r="B506" s="8"/>
      <c r="C506" s="66"/>
      <c r="D506" s="66"/>
      <c r="E506" s="66"/>
      <c r="F506" s="66"/>
      <c r="G506" s="66"/>
      <c r="H506" s="66"/>
      <c r="I506" s="66"/>
      <c r="J506" s="66"/>
      <c r="K506" s="66"/>
      <c r="L506" s="66"/>
      <c r="M506" s="66"/>
      <c r="N506" s="66"/>
      <c r="O506" s="66"/>
      <c r="P506" s="66"/>
      <c r="Q506" s="66"/>
      <c r="R506" s="66"/>
      <c r="S506" s="66"/>
      <c r="T506" s="68"/>
      <c r="AC506" s="66"/>
      <c r="AD506" s="66"/>
      <c r="AE506" s="68"/>
      <c r="AN506" s="66"/>
      <c r="AO506" s="66"/>
      <c r="AP506" s="68"/>
      <c r="AW506" s="66"/>
      <c r="AX506" s="68"/>
      <c r="BD506" s="66"/>
      <c r="BE506" s="68"/>
      <c r="BF506" s="66"/>
      <c r="BG506" s="66"/>
      <c r="BH506" s="66"/>
      <c r="BI506" s="66"/>
      <c r="BJ506" s="66"/>
      <c r="BK506" s="66"/>
      <c r="BL506" s="68"/>
      <c r="BO506" s="66"/>
      <c r="BP506" s="68"/>
      <c r="BV506" s="66"/>
      <c r="BW506" s="68"/>
      <c r="CB506" s="8"/>
      <c r="CH506" s="8"/>
      <c r="CK506" s="299"/>
      <c r="CL506" s="299"/>
      <c r="CM506" s="66"/>
      <c r="CN506" s="66"/>
      <c r="CO506" s="68"/>
      <c r="CR506" s="8"/>
      <c r="CX506" s="66"/>
      <c r="CY506" s="532"/>
      <c r="DE506" s="66"/>
      <c r="DF506" s="66"/>
      <c r="DG506" s="68"/>
      <c r="DH506" s="68"/>
      <c r="DK506" s="66"/>
      <c r="DL506" s="66"/>
      <c r="DM506" s="66"/>
      <c r="DN506" s="66"/>
      <c r="DO506" s="66"/>
      <c r="DP506" s="66"/>
      <c r="DQ506" s="66"/>
      <c r="DR506" s="66"/>
      <c r="DS506" s="66"/>
      <c r="DT506" s="68"/>
      <c r="DU506" s="66"/>
      <c r="DV506" s="296"/>
      <c r="DW506" s="330"/>
      <c r="DX506" s="631"/>
      <c r="DY506" s="631"/>
      <c r="DZ506" s="631"/>
      <c r="EA506" s="330"/>
      <c r="EC506" s="66"/>
      <c r="ED506" s="68"/>
      <c r="EH506" s="66"/>
      <c r="EI506" s="66"/>
      <c r="EJ506" s="68"/>
      <c r="EK506" s="252"/>
      <c r="EL506" s="252"/>
      <c r="EM506" s="252"/>
      <c r="EO506" s="252"/>
      <c r="EP506" s="252"/>
      <c r="EQ506" s="252"/>
      <c r="ES506" s="252"/>
      <c r="ET506" s="252"/>
      <c r="EU506" s="252"/>
      <c r="EW506" s="252"/>
      <c r="EX506" s="252"/>
      <c r="EY506" s="252"/>
      <c r="FA506" s="250"/>
      <c r="FB506" s="250"/>
      <c r="FC506" s="250"/>
      <c r="FD506" s="250"/>
      <c r="FE506" s="250"/>
      <c r="FF506" s="250"/>
      <c r="FG506" s="250"/>
      <c r="FH506" s="424"/>
      <c r="FI506" s="250"/>
      <c r="FJ506" s="250"/>
      <c r="FK506" s="250"/>
      <c r="FL506" s="256"/>
      <c r="FM506" s="250"/>
      <c r="FN506" s="256"/>
      <c r="FO506" s="250"/>
      <c r="FP506" s="256"/>
      <c r="FQ506" s="250"/>
      <c r="FR506" s="256"/>
      <c r="FS506" s="250"/>
      <c r="FT506" s="256"/>
      <c r="FU506" s="256"/>
      <c r="FV506" s="256"/>
      <c r="FW506" s="250"/>
      <c r="FX506" s="424"/>
      <c r="FY506" s="251"/>
      <c r="GC506" s="252"/>
      <c r="GF506" s="252"/>
      <c r="GG506" s="252"/>
      <c r="GH506" s="252"/>
      <c r="GI506" s="252"/>
      <c r="GJ506" s="252"/>
      <c r="GK506" s="251"/>
      <c r="GL506" s="250"/>
      <c r="GM506" s="250"/>
      <c r="GN506" s="250"/>
      <c r="GO506" s="250"/>
      <c r="GP506" s="250"/>
      <c r="GQ506" s="250"/>
      <c r="GR506" s="250"/>
      <c r="GS506" s="250"/>
      <c r="GT506" s="250"/>
      <c r="GU506" s="251"/>
      <c r="GV506" s="250"/>
      <c r="GW506" s="250"/>
      <c r="GX506" s="250"/>
      <c r="GY506" s="250"/>
      <c r="GZ506" s="250"/>
      <c r="HA506" s="250"/>
      <c r="HB506" s="250"/>
      <c r="HC506" s="250"/>
      <c r="HD506" s="250"/>
      <c r="HE506" s="250"/>
      <c r="HF506" s="250"/>
      <c r="HG506" s="250"/>
      <c r="HH506" s="251"/>
      <c r="HI506" s="424"/>
      <c r="HJ506" s="255"/>
      <c r="HK506" s="255"/>
      <c r="HL506" s="250"/>
      <c r="HM506" s="255"/>
      <c r="HN506" s="255"/>
      <c r="HO506" s="255"/>
      <c r="HP506" s="250"/>
      <c r="HQ506" s="250"/>
      <c r="HR506" s="250"/>
      <c r="HS506" s="250"/>
      <c r="HT506" s="250"/>
      <c r="HU506" s="251"/>
      <c r="HX506" s="252"/>
      <c r="HY506" s="252"/>
      <c r="HZ506" s="252"/>
      <c r="ID506" s="252"/>
      <c r="IE506" s="252"/>
      <c r="IF506" s="252"/>
      <c r="IJ506" s="252"/>
      <c r="IK506" s="252"/>
      <c r="IL506" s="252"/>
      <c r="IP506" s="252"/>
      <c r="IQ506" s="252"/>
      <c r="IR506" s="252"/>
      <c r="IY506" s="66"/>
      <c r="IZ506" s="66"/>
      <c r="JA506" s="66"/>
      <c r="JB506" s="250"/>
      <c r="JC506" s="66"/>
      <c r="JD506" s="66"/>
      <c r="JE506" s="66"/>
      <c r="JF506" s="66"/>
      <c r="JG506" s="66"/>
      <c r="JH506" s="66"/>
      <c r="JI506" s="66"/>
      <c r="JJ506" s="66"/>
      <c r="JK506" s="8"/>
      <c r="JN506" s="252"/>
      <c r="JO506" s="252"/>
      <c r="JP506" s="252"/>
      <c r="JT506" s="252"/>
      <c r="JU506" s="252"/>
      <c r="JV506" s="252"/>
      <c r="JZ506" s="252"/>
      <c r="KA506" s="252"/>
      <c r="KB506" s="252"/>
      <c r="KF506" s="252"/>
      <c r="KG506" s="252"/>
      <c r="KH506" s="252"/>
      <c r="KO506" s="66"/>
      <c r="KP506" s="66"/>
      <c r="KQ506" s="66"/>
      <c r="KR506" s="66"/>
      <c r="KS506" s="66"/>
      <c r="KT506" s="66"/>
      <c r="KU506" s="66"/>
      <c r="KV506" s="66"/>
      <c r="KW506" s="66"/>
      <c r="KX506" s="66"/>
      <c r="KY506" s="66"/>
      <c r="KZ506" s="66"/>
      <c r="LA506" s="8"/>
      <c r="LD506" s="252"/>
      <c r="LE506" s="252"/>
      <c r="LF506" s="252"/>
      <c r="LJ506" s="252"/>
      <c r="LK506" s="252"/>
      <c r="LN506" s="252"/>
      <c r="LO506" s="252"/>
      <c r="LP506" s="252"/>
      <c r="LT506" s="271"/>
      <c r="LU506" s="250"/>
      <c r="LV506" s="250"/>
      <c r="LW506" s="250"/>
      <c r="LX506" s="250"/>
      <c r="LY506" s="250"/>
      <c r="LZ506" s="250"/>
      <c r="MA506" s="250"/>
      <c r="MB506" s="250"/>
      <c r="MC506" s="250"/>
      <c r="MD506" s="250"/>
      <c r="ME506" s="250"/>
      <c r="MF506" s="250"/>
      <c r="MG506" s="250"/>
      <c r="MH506" s="250"/>
      <c r="MI506" s="250"/>
      <c r="MJ506" s="250"/>
      <c r="MK506" s="424"/>
      <c r="ML506" s="640"/>
      <c r="MM506" s="251"/>
      <c r="MN506" s="252"/>
      <c r="MO506" s="252"/>
      <c r="MP506" s="252"/>
      <c r="MQ506" s="252"/>
      <c r="MR506" s="252"/>
      <c r="MS506" s="252"/>
      <c r="MT506" s="252"/>
      <c r="MU506" s="252"/>
      <c r="MV506" s="252"/>
      <c r="MW506" s="252"/>
      <c r="MX506" s="252"/>
      <c r="MY506" s="252"/>
      <c r="MZ506" s="252"/>
      <c r="NA506" s="252"/>
      <c r="NB506" s="252"/>
      <c r="NC506" s="251"/>
      <c r="ND506" s="250"/>
      <c r="NE506" s="250"/>
      <c r="NF506" s="250"/>
      <c r="NG506" s="250"/>
      <c r="NH506" s="250"/>
      <c r="NI506" s="250"/>
      <c r="NJ506" s="250"/>
      <c r="NK506" s="250"/>
      <c r="NL506" s="250"/>
      <c r="NM506" s="250"/>
      <c r="NN506" s="250"/>
      <c r="NO506" s="250"/>
      <c r="NP506" s="250"/>
      <c r="NQ506" s="250"/>
      <c r="NR506" s="250"/>
      <c r="NS506" s="250"/>
      <c r="NT506" s="250"/>
      <c r="NU506" s="250"/>
      <c r="NV506" s="250"/>
      <c r="NW506" s="251"/>
      <c r="OT506" s="8"/>
      <c r="QG506" s="8"/>
      <c r="RT506" s="8"/>
    </row>
    <row r="507" spans="1:488" s="282" customFormat="1" x14ac:dyDescent="0.25">
      <c r="A507" s="66"/>
      <c r="B507" s="8"/>
      <c r="C507" s="66"/>
      <c r="D507" s="66"/>
      <c r="E507" s="66"/>
      <c r="F507" s="66"/>
      <c r="G507" s="66"/>
      <c r="H507" s="66"/>
      <c r="I507" s="66"/>
      <c r="J507" s="66"/>
      <c r="K507" s="66"/>
      <c r="L507" s="66"/>
      <c r="M507" s="66"/>
      <c r="N507" s="66"/>
      <c r="O507" s="66"/>
      <c r="P507" s="66"/>
      <c r="Q507" s="66"/>
      <c r="R507" s="66"/>
      <c r="S507" s="66"/>
      <c r="T507" s="68"/>
      <c r="AC507" s="66"/>
      <c r="AD507" s="66"/>
      <c r="AE507" s="68"/>
      <c r="AN507" s="66"/>
      <c r="AO507" s="66"/>
      <c r="AP507" s="68"/>
      <c r="AW507" s="66"/>
      <c r="AX507" s="68"/>
      <c r="BD507" s="66"/>
      <c r="BE507" s="68"/>
      <c r="BF507" s="66"/>
      <c r="BG507" s="66"/>
      <c r="BH507" s="66"/>
      <c r="BI507" s="66"/>
      <c r="BJ507" s="66"/>
      <c r="BK507" s="66"/>
      <c r="BL507" s="68"/>
      <c r="BO507" s="66"/>
      <c r="BP507" s="68"/>
      <c r="BV507" s="66"/>
      <c r="BW507" s="68"/>
      <c r="CB507" s="8"/>
      <c r="CH507" s="8"/>
      <c r="CK507" s="299"/>
      <c r="CL507" s="299"/>
      <c r="CM507" s="66"/>
      <c r="CN507" s="66"/>
      <c r="CO507" s="68"/>
      <c r="CR507" s="8"/>
      <c r="CX507" s="66"/>
      <c r="CY507" s="532"/>
      <c r="DE507" s="66"/>
      <c r="DF507" s="66"/>
      <c r="DG507" s="68"/>
      <c r="DH507" s="68"/>
      <c r="DK507" s="66"/>
      <c r="DL507" s="66"/>
      <c r="DM507" s="66"/>
      <c r="DN507" s="66"/>
      <c r="DO507" s="66"/>
      <c r="DP507" s="66"/>
      <c r="DQ507" s="66"/>
      <c r="DR507" s="66"/>
      <c r="DS507" s="66"/>
      <c r="DT507" s="68"/>
      <c r="DU507" s="66"/>
      <c r="DV507" s="296"/>
      <c r="DW507" s="330"/>
      <c r="DX507" s="631"/>
      <c r="DY507" s="631"/>
      <c r="DZ507" s="631"/>
      <c r="EA507" s="330"/>
      <c r="EC507" s="66"/>
      <c r="ED507" s="68"/>
      <c r="EH507" s="66"/>
      <c r="EI507" s="66"/>
      <c r="EJ507" s="68"/>
      <c r="EK507" s="252"/>
      <c r="EL507" s="252"/>
      <c r="EM507" s="252"/>
      <c r="EO507" s="252"/>
      <c r="EP507" s="252"/>
      <c r="EQ507" s="252"/>
      <c r="ES507" s="252"/>
      <c r="ET507" s="252"/>
      <c r="EU507" s="252"/>
      <c r="EW507" s="252"/>
      <c r="EX507" s="252"/>
      <c r="EY507" s="252"/>
      <c r="FA507" s="250"/>
      <c r="FB507" s="250"/>
      <c r="FC507" s="250"/>
      <c r="FD507" s="250"/>
      <c r="FE507" s="250"/>
      <c r="FF507" s="250"/>
      <c r="FG507" s="250"/>
      <c r="FH507" s="424"/>
      <c r="FI507" s="250"/>
      <c r="FJ507" s="250"/>
      <c r="FK507" s="250"/>
      <c r="FL507" s="256"/>
      <c r="FM507" s="250"/>
      <c r="FN507" s="256"/>
      <c r="FO507" s="250"/>
      <c r="FP507" s="256"/>
      <c r="FQ507" s="250"/>
      <c r="FR507" s="256"/>
      <c r="FS507" s="250"/>
      <c r="FT507" s="256"/>
      <c r="FU507" s="256"/>
      <c r="FV507" s="256"/>
      <c r="FW507" s="250"/>
      <c r="FX507" s="424"/>
      <c r="FY507" s="251"/>
      <c r="GC507" s="252"/>
      <c r="GF507" s="252"/>
      <c r="GG507" s="252"/>
      <c r="GH507" s="252"/>
      <c r="GI507" s="252"/>
      <c r="GJ507" s="252"/>
      <c r="GK507" s="251"/>
      <c r="GL507" s="250"/>
      <c r="GM507" s="250"/>
      <c r="GN507" s="250"/>
      <c r="GO507" s="250"/>
      <c r="GP507" s="250"/>
      <c r="GQ507" s="250"/>
      <c r="GR507" s="250"/>
      <c r="GS507" s="250"/>
      <c r="GT507" s="250"/>
      <c r="GU507" s="251"/>
      <c r="GV507" s="250"/>
      <c r="GW507" s="250"/>
      <c r="GX507" s="250"/>
      <c r="GY507" s="250"/>
      <c r="GZ507" s="250"/>
      <c r="HA507" s="250"/>
      <c r="HB507" s="250"/>
      <c r="HC507" s="250"/>
      <c r="HD507" s="250"/>
      <c r="HE507" s="250"/>
      <c r="HF507" s="250"/>
      <c r="HG507" s="250"/>
      <c r="HH507" s="251"/>
      <c r="HI507" s="424"/>
      <c r="HJ507" s="255"/>
      <c r="HK507" s="255"/>
      <c r="HL507" s="250"/>
      <c r="HM507" s="255"/>
      <c r="HN507" s="255"/>
      <c r="HO507" s="255"/>
      <c r="HP507" s="250"/>
      <c r="HQ507" s="250"/>
      <c r="HR507" s="250"/>
      <c r="HS507" s="250"/>
      <c r="HT507" s="250"/>
      <c r="HU507" s="251"/>
      <c r="HX507" s="252"/>
      <c r="HY507" s="252"/>
      <c r="HZ507" s="252"/>
      <c r="ID507" s="252"/>
      <c r="IE507" s="252"/>
      <c r="IF507" s="252"/>
      <c r="IJ507" s="252"/>
      <c r="IK507" s="252"/>
      <c r="IL507" s="252"/>
      <c r="IP507" s="252"/>
      <c r="IQ507" s="252"/>
      <c r="IR507" s="252"/>
      <c r="IY507" s="66"/>
      <c r="IZ507" s="66"/>
      <c r="JA507" s="66"/>
      <c r="JB507" s="250"/>
      <c r="JC507" s="66"/>
      <c r="JD507" s="66"/>
      <c r="JE507" s="66"/>
      <c r="JF507" s="66"/>
      <c r="JG507" s="66"/>
      <c r="JH507" s="66"/>
      <c r="JI507" s="66"/>
      <c r="JJ507" s="66"/>
      <c r="JK507" s="8"/>
      <c r="JN507" s="252"/>
      <c r="JO507" s="252"/>
      <c r="JP507" s="252"/>
      <c r="JT507" s="252"/>
      <c r="JU507" s="252"/>
      <c r="JV507" s="252"/>
      <c r="JZ507" s="252"/>
      <c r="KA507" s="252"/>
      <c r="KB507" s="252"/>
      <c r="KF507" s="252"/>
      <c r="KG507" s="252"/>
      <c r="KH507" s="252"/>
      <c r="KO507" s="66"/>
      <c r="KP507" s="66"/>
      <c r="KQ507" s="66"/>
      <c r="KR507" s="66"/>
      <c r="KS507" s="66"/>
      <c r="KT507" s="66"/>
      <c r="KU507" s="66"/>
      <c r="KV507" s="66"/>
      <c r="KW507" s="66"/>
      <c r="KX507" s="66"/>
      <c r="KY507" s="66"/>
      <c r="KZ507" s="66"/>
      <c r="LA507" s="8"/>
      <c r="LD507" s="252"/>
      <c r="LE507" s="252"/>
      <c r="LF507" s="252"/>
      <c r="LJ507" s="252"/>
      <c r="LK507" s="252"/>
      <c r="LN507" s="252"/>
      <c r="LO507" s="252"/>
      <c r="LP507" s="252"/>
      <c r="LT507" s="271"/>
      <c r="LU507" s="250"/>
      <c r="LV507" s="250"/>
      <c r="LW507" s="250"/>
      <c r="LX507" s="250"/>
      <c r="LY507" s="250"/>
      <c r="LZ507" s="250"/>
      <c r="MA507" s="250"/>
      <c r="MB507" s="250"/>
      <c r="MC507" s="250"/>
      <c r="MD507" s="250"/>
      <c r="ME507" s="250"/>
      <c r="MF507" s="250"/>
      <c r="MG507" s="250"/>
      <c r="MH507" s="250"/>
      <c r="MI507" s="250"/>
      <c r="MJ507" s="250"/>
      <c r="MK507" s="424"/>
      <c r="ML507" s="640"/>
      <c r="MM507" s="251"/>
      <c r="MN507" s="252"/>
      <c r="MO507" s="252"/>
      <c r="MP507" s="252"/>
      <c r="MQ507" s="252"/>
      <c r="MR507" s="252"/>
      <c r="MS507" s="252"/>
      <c r="MT507" s="252"/>
      <c r="MU507" s="252"/>
      <c r="MV507" s="252"/>
      <c r="MW507" s="252"/>
      <c r="MX507" s="252"/>
      <c r="MY507" s="252"/>
      <c r="MZ507" s="252"/>
      <c r="NA507" s="252"/>
      <c r="NB507" s="252"/>
      <c r="NC507" s="251"/>
      <c r="ND507" s="250"/>
      <c r="NE507" s="250"/>
      <c r="NF507" s="250"/>
      <c r="NG507" s="250"/>
      <c r="NH507" s="250"/>
      <c r="NI507" s="250"/>
      <c r="NJ507" s="250"/>
      <c r="NK507" s="250"/>
      <c r="NL507" s="250"/>
      <c r="NM507" s="250"/>
      <c r="NN507" s="250"/>
      <c r="NO507" s="250"/>
      <c r="NP507" s="250"/>
      <c r="NQ507" s="250"/>
      <c r="NR507" s="250"/>
      <c r="NS507" s="250"/>
      <c r="NT507" s="250"/>
      <c r="NU507" s="250"/>
      <c r="NV507" s="250"/>
      <c r="NW507" s="251"/>
      <c r="OT507" s="8"/>
      <c r="QG507" s="8"/>
      <c r="RT507" s="8"/>
    </row>
    <row r="508" spans="1:488" s="282" customFormat="1" x14ac:dyDescent="0.25">
      <c r="A508" s="66"/>
      <c r="B508" s="8"/>
      <c r="C508" s="66"/>
      <c r="D508" s="66"/>
      <c r="E508" s="66"/>
      <c r="F508" s="66"/>
      <c r="G508" s="66"/>
      <c r="H508" s="66"/>
      <c r="I508" s="66"/>
      <c r="J508" s="66"/>
      <c r="K508" s="66"/>
      <c r="L508" s="66"/>
      <c r="M508" s="66"/>
      <c r="N508" s="66"/>
      <c r="O508" s="66"/>
      <c r="P508" s="66"/>
      <c r="Q508" s="66"/>
      <c r="R508" s="66"/>
      <c r="S508" s="66"/>
      <c r="T508" s="68"/>
      <c r="AC508" s="66"/>
      <c r="AD508" s="66"/>
      <c r="AE508" s="68"/>
      <c r="AN508" s="66"/>
      <c r="AO508" s="66"/>
      <c r="AP508" s="68"/>
      <c r="AW508" s="66"/>
      <c r="AX508" s="68"/>
      <c r="BD508" s="66"/>
      <c r="BE508" s="68"/>
      <c r="BF508" s="66"/>
      <c r="BG508" s="66"/>
      <c r="BH508" s="66"/>
      <c r="BI508" s="66"/>
      <c r="BJ508" s="66"/>
      <c r="BK508" s="66"/>
      <c r="BL508" s="68"/>
      <c r="BO508" s="66"/>
      <c r="BP508" s="68"/>
      <c r="BV508" s="66"/>
      <c r="BW508" s="68"/>
      <c r="CB508" s="8"/>
      <c r="CH508" s="8"/>
      <c r="CK508" s="299"/>
      <c r="CL508" s="299"/>
      <c r="CM508" s="66"/>
      <c r="CN508" s="66"/>
      <c r="CO508" s="68"/>
      <c r="CR508" s="8"/>
      <c r="CX508" s="66"/>
      <c r="CY508" s="532"/>
      <c r="DE508" s="66"/>
      <c r="DF508" s="66"/>
      <c r="DG508" s="68"/>
      <c r="DH508" s="68"/>
      <c r="DK508" s="66"/>
      <c r="DL508" s="66"/>
      <c r="DM508" s="66"/>
      <c r="DN508" s="66"/>
      <c r="DO508" s="66"/>
      <c r="DP508" s="66"/>
      <c r="DQ508" s="66"/>
      <c r="DR508" s="66"/>
      <c r="DS508" s="66"/>
      <c r="DT508" s="68"/>
      <c r="DU508" s="66"/>
      <c r="DV508" s="296"/>
      <c r="DW508" s="330"/>
      <c r="DX508" s="631"/>
      <c r="DY508" s="631"/>
      <c r="DZ508" s="631"/>
      <c r="EA508" s="330"/>
      <c r="EC508" s="66"/>
      <c r="ED508" s="68"/>
      <c r="EH508" s="66"/>
      <c r="EI508" s="66"/>
      <c r="EJ508" s="68"/>
      <c r="EK508" s="252"/>
      <c r="EL508" s="252"/>
      <c r="EM508" s="252"/>
      <c r="EO508" s="252"/>
      <c r="EP508" s="252"/>
      <c r="EQ508" s="252"/>
      <c r="ES508" s="252"/>
      <c r="ET508" s="252"/>
      <c r="EU508" s="252"/>
      <c r="EW508" s="252"/>
      <c r="EX508" s="252"/>
      <c r="EY508" s="252"/>
      <c r="FA508" s="250"/>
      <c r="FB508" s="250"/>
      <c r="FC508" s="250"/>
      <c r="FD508" s="250"/>
      <c r="FE508" s="250"/>
      <c r="FF508" s="250"/>
      <c r="FG508" s="250"/>
      <c r="FH508" s="424"/>
      <c r="FI508" s="250"/>
      <c r="FJ508" s="250"/>
      <c r="FK508" s="250"/>
      <c r="FL508" s="256"/>
      <c r="FM508" s="250"/>
      <c r="FN508" s="256"/>
      <c r="FO508" s="250"/>
      <c r="FP508" s="256"/>
      <c r="FQ508" s="250"/>
      <c r="FR508" s="256"/>
      <c r="FS508" s="250"/>
      <c r="FT508" s="256"/>
      <c r="FU508" s="256"/>
      <c r="FV508" s="256"/>
      <c r="FW508" s="250"/>
      <c r="FX508" s="424"/>
      <c r="FY508" s="251"/>
      <c r="GC508" s="252"/>
      <c r="GF508" s="252"/>
      <c r="GG508" s="252"/>
      <c r="GH508" s="252"/>
      <c r="GI508" s="252"/>
      <c r="GJ508" s="252"/>
      <c r="GK508" s="251"/>
      <c r="GL508" s="250"/>
      <c r="GM508" s="250"/>
      <c r="GN508" s="250"/>
      <c r="GO508" s="250"/>
      <c r="GP508" s="250"/>
      <c r="GQ508" s="250"/>
      <c r="GR508" s="250"/>
      <c r="GS508" s="250"/>
      <c r="GT508" s="250"/>
      <c r="GU508" s="251"/>
      <c r="GV508" s="250"/>
      <c r="GW508" s="250"/>
      <c r="GX508" s="250"/>
      <c r="GY508" s="250"/>
      <c r="GZ508" s="250"/>
      <c r="HA508" s="250"/>
      <c r="HB508" s="250"/>
      <c r="HC508" s="250"/>
      <c r="HD508" s="250"/>
      <c r="HE508" s="250"/>
      <c r="HF508" s="250"/>
      <c r="HG508" s="250"/>
      <c r="HH508" s="251"/>
      <c r="HI508" s="424"/>
      <c r="HJ508" s="255"/>
      <c r="HK508" s="255"/>
      <c r="HL508" s="250"/>
      <c r="HM508" s="255"/>
      <c r="HN508" s="255"/>
      <c r="HO508" s="255"/>
      <c r="HP508" s="250"/>
      <c r="HQ508" s="250"/>
      <c r="HR508" s="250"/>
      <c r="HS508" s="250"/>
      <c r="HT508" s="250"/>
      <c r="HU508" s="251"/>
      <c r="HX508" s="252"/>
      <c r="HY508" s="252"/>
      <c r="HZ508" s="252"/>
      <c r="ID508" s="252"/>
      <c r="IE508" s="252"/>
      <c r="IF508" s="252"/>
      <c r="IJ508" s="252"/>
      <c r="IK508" s="252"/>
      <c r="IL508" s="252"/>
      <c r="IP508" s="252"/>
      <c r="IQ508" s="252"/>
      <c r="IR508" s="252"/>
      <c r="IY508" s="66"/>
      <c r="IZ508" s="66"/>
      <c r="JA508" s="66"/>
      <c r="JB508" s="250"/>
      <c r="JC508" s="66"/>
      <c r="JD508" s="66"/>
      <c r="JE508" s="66"/>
      <c r="JF508" s="66"/>
      <c r="JG508" s="66"/>
      <c r="JH508" s="66"/>
      <c r="JI508" s="66"/>
      <c r="JJ508" s="66"/>
      <c r="JK508" s="8"/>
      <c r="JN508" s="252"/>
      <c r="JO508" s="252"/>
      <c r="JP508" s="252"/>
      <c r="JT508" s="252"/>
      <c r="JU508" s="252"/>
      <c r="JV508" s="252"/>
      <c r="JZ508" s="252"/>
      <c r="KA508" s="252"/>
      <c r="KB508" s="252"/>
      <c r="KF508" s="252"/>
      <c r="KG508" s="252"/>
      <c r="KH508" s="252"/>
      <c r="KO508" s="66"/>
      <c r="KP508" s="66"/>
      <c r="KQ508" s="66"/>
      <c r="KR508" s="66"/>
      <c r="KS508" s="66"/>
      <c r="KT508" s="66"/>
      <c r="KU508" s="66"/>
      <c r="KV508" s="66"/>
      <c r="KW508" s="66"/>
      <c r="KX508" s="66"/>
      <c r="KY508" s="66"/>
      <c r="KZ508" s="66"/>
      <c r="LA508" s="8"/>
      <c r="LD508" s="252"/>
      <c r="LE508" s="252"/>
      <c r="LF508" s="252"/>
      <c r="LJ508" s="252"/>
      <c r="LK508" s="252"/>
      <c r="LN508" s="252"/>
      <c r="LO508" s="252"/>
      <c r="LP508" s="252"/>
      <c r="LT508" s="271"/>
      <c r="LU508" s="250"/>
      <c r="LV508" s="250"/>
      <c r="LW508" s="250"/>
      <c r="LX508" s="250"/>
      <c r="LY508" s="250"/>
      <c r="LZ508" s="250"/>
      <c r="MA508" s="250"/>
      <c r="MB508" s="250"/>
      <c r="MC508" s="250"/>
      <c r="MD508" s="250"/>
      <c r="ME508" s="250"/>
      <c r="MF508" s="250"/>
      <c r="MG508" s="250"/>
      <c r="MH508" s="250"/>
      <c r="MI508" s="250"/>
      <c r="MJ508" s="250"/>
      <c r="MK508" s="424"/>
      <c r="ML508" s="640"/>
      <c r="MM508" s="251"/>
      <c r="MN508" s="252"/>
      <c r="MO508" s="252"/>
      <c r="MP508" s="252"/>
      <c r="MQ508" s="252"/>
      <c r="MR508" s="252"/>
      <c r="MS508" s="252"/>
      <c r="MT508" s="252"/>
      <c r="MU508" s="252"/>
      <c r="MV508" s="252"/>
      <c r="MW508" s="252"/>
      <c r="MX508" s="252"/>
      <c r="MY508" s="252"/>
      <c r="MZ508" s="252"/>
      <c r="NA508" s="252"/>
      <c r="NB508" s="252"/>
      <c r="NC508" s="251"/>
      <c r="ND508" s="250"/>
      <c r="NE508" s="250"/>
      <c r="NF508" s="250"/>
      <c r="NG508" s="250"/>
      <c r="NH508" s="250"/>
      <c r="NI508" s="250"/>
      <c r="NJ508" s="250"/>
      <c r="NK508" s="250"/>
      <c r="NL508" s="250"/>
      <c r="NM508" s="250"/>
      <c r="NN508" s="250"/>
      <c r="NO508" s="250"/>
      <c r="NP508" s="250"/>
      <c r="NQ508" s="250"/>
      <c r="NR508" s="250"/>
      <c r="NS508" s="250"/>
      <c r="NT508" s="250"/>
      <c r="NU508" s="250"/>
      <c r="NV508" s="250"/>
      <c r="NW508" s="251"/>
      <c r="OT508" s="8"/>
      <c r="QG508" s="8"/>
      <c r="RT508" s="8"/>
    </row>
    <row r="509" spans="1:488" s="282" customFormat="1" x14ac:dyDescent="0.25">
      <c r="A509" s="66"/>
      <c r="B509" s="8"/>
      <c r="C509" s="66"/>
      <c r="D509" s="66"/>
      <c r="E509" s="66"/>
      <c r="F509" s="66"/>
      <c r="G509" s="66"/>
      <c r="H509" s="66"/>
      <c r="I509" s="66"/>
      <c r="J509" s="66"/>
      <c r="K509" s="66"/>
      <c r="L509" s="66"/>
      <c r="M509" s="66"/>
      <c r="N509" s="66"/>
      <c r="O509" s="66"/>
      <c r="P509" s="66"/>
      <c r="Q509" s="66"/>
      <c r="R509" s="66"/>
      <c r="S509" s="66"/>
      <c r="T509" s="68"/>
      <c r="AC509" s="66"/>
      <c r="AD509" s="66"/>
      <c r="AE509" s="68"/>
      <c r="AN509" s="66"/>
      <c r="AO509" s="66"/>
      <c r="AP509" s="68"/>
      <c r="AW509" s="66"/>
      <c r="AX509" s="68"/>
      <c r="BD509" s="66"/>
      <c r="BE509" s="68"/>
      <c r="BF509" s="66"/>
      <c r="BG509" s="66"/>
      <c r="BH509" s="66"/>
      <c r="BI509" s="66"/>
      <c r="BJ509" s="66"/>
      <c r="BK509" s="66"/>
      <c r="BL509" s="68"/>
      <c r="BO509" s="66"/>
      <c r="BP509" s="68"/>
      <c r="BV509" s="66"/>
      <c r="BW509" s="68"/>
      <c r="CB509" s="8"/>
      <c r="CH509" s="8"/>
      <c r="CK509" s="299"/>
      <c r="CL509" s="299"/>
      <c r="CM509" s="66"/>
      <c r="CN509" s="66"/>
      <c r="CO509" s="68"/>
      <c r="CR509" s="8"/>
      <c r="CX509" s="66"/>
      <c r="CY509" s="532"/>
      <c r="DE509" s="66"/>
      <c r="DF509" s="66"/>
      <c r="DG509" s="68"/>
      <c r="DH509" s="68"/>
      <c r="DK509" s="66"/>
      <c r="DL509" s="66"/>
      <c r="DM509" s="66"/>
      <c r="DN509" s="66"/>
      <c r="DO509" s="66"/>
      <c r="DP509" s="66"/>
      <c r="DQ509" s="66"/>
      <c r="DR509" s="66"/>
      <c r="DS509" s="66"/>
      <c r="DT509" s="68"/>
      <c r="DU509" s="66"/>
      <c r="DV509" s="296"/>
      <c r="DW509" s="330"/>
      <c r="DX509" s="631"/>
      <c r="DY509" s="631"/>
      <c r="DZ509" s="631"/>
      <c r="EA509" s="330"/>
      <c r="EC509" s="66"/>
      <c r="ED509" s="68"/>
      <c r="EH509" s="66"/>
      <c r="EI509" s="66"/>
      <c r="EJ509" s="68"/>
      <c r="EK509" s="252"/>
      <c r="EL509" s="252"/>
      <c r="EM509" s="252"/>
      <c r="EO509" s="252"/>
      <c r="EP509" s="252"/>
      <c r="EQ509" s="252"/>
      <c r="ES509" s="252"/>
      <c r="ET509" s="252"/>
      <c r="EU509" s="252"/>
      <c r="EW509" s="252"/>
      <c r="EX509" s="252"/>
      <c r="EY509" s="252"/>
      <c r="FA509" s="250"/>
      <c r="FB509" s="250"/>
      <c r="FC509" s="250"/>
      <c r="FD509" s="250"/>
      <c r="FE509" s="250"/>
      <c r="FF509" s="250"/>
      <c r="FG509" s="250"/>
      <c r="FH509" s="424"/>
      <c r="FI509" s="250"/>
      <c r="FJ509" s="250"/>
      <c r="FK509" s="250"/>
      <c r="FL509" s="256"/>
      <c r="FM509" s="250"/>
      <c r="FN509" s="256"/>
      <c r="FO509" s="250"/>
      <c r="FP509" s="256"/>
      <c r="FQ509" s="250"/>
      <c r="FR509" s="256"/>
      <c r="FS509" s="250"/>
      <c r="FT509" s="256"/>
      <c r="FU509" s="256"/>
      <c r="FV509" s="256"/>
      <c r="FW509" s="250"/>
      <c r="FX509" s="424"/>
      <c r="FY509" s="251"/>
      <c r="GC509" s="252"/>
      <c r="GF509" s="252"/>
      <c r="GG509" s="252"/>
      <c r="GH509" s="252"/>
      <c r="GI509" s="252"/>
      <c r="GJ509" s="252"/>
      <c r="GK509" s="251"/>
      <c r="GL509" s="250"/>
      <c r="GM509" s="250"/>
      <c r="GN509" s="250"/>
      <c r="GO509" s="250"/>
      <c r="GP509" s="250"/>
      <c r="GQ509" s="250"/>
      <c r="GR509" s="250"/>
      <c r="GS509" s="250"/>
      <c r="GT509" s="250"/>
      <c r="GU509" s="251"/>
      <c r="GV509" s="250"/>
      <c r="GW509" s="250"/>
      <c r="GX509" s="250"/>
      <c r="GY509" s="250"/>
      <c r="GZ509" s="250"/>
      <c r="HA509" s="250"/>
      <c r="HB509" s="250"/>
      <c r="HC509" s="250"/>
      <c r="HD509" s="250"/>
      <c r="HE509" s="250"/>
      <c r="HF509" s="250"/>
      <c r="HG509" s="250"/>
      <c r="HH509" s="251"/>
      <c r="HI509" s="424"/>
      <c r="HJ509" s="255"/>
      <c r="HK509" s="255"/>
      <c r="HL509" s="250"/>
      <c r="HM509" s="255"/>
      <c r="HN509" s="255"/>
      <c r="HO509" s="255"/>
      <c r="HP509" s="250"/>
      <c r="HQ509" s="250"/>
      <c r="HR509" s="250"/>
      <c r="HS509" s="250"/>
      <c r="HT509" s="250"/>
      <c r="HU509" s="251"/>
      <c r="HX509" s="252"/>
      <c r="HY509" s="252"/>
      <c r="HZ509" s="252"/>
      <c r="ID509" s="252"/>
      <c r="IE509" s="252"/>
      <c r="IF509" s="252"/>
      <c r="IJ509" s="252"/>
      <c r="IK509" s="252"/>
      <c r="IL509" s="252"/>
      <c r="IP509" s="252"/>
      <c r="IQ509" s="252"/>
      <c r="IR509" s="252"/>
      <c r="IY509" s="66"/>
      <c r="IZ509" s="66"/>
      <c r="JA509" s="66"/>
      <c r="JB509" s="250"/>
      <c r="JC509" s="66"/>
      <c r="JD509" s="66"/>
      <c r="JE509" s="66"/>
      <c r="JF509" s="66"/>
      <c r="JG509" s="66"/>
      <c r="JH509" s="66"/>
      <c r="JI509" s="66"/>
      <c r="JJ509" s="66"/>
      <c r="JK509" s="8"/>
      <c r="JN509" s="252"/>
      <c r="JO509" s="252"/>
      <c r="JP509" s="252"/>
      <c r="JT509" s="252"/>
      <c r="JU509" s="252"/>
      <c r="JV509" s="252"/>
      <c r="JZ509" s="252"/>
      <c r="KA509" s="252"/>
      <c r="KB509" s="252"/>
      <c r="KF509" s="252"/>
      <c r="KG509" s="252"/>
      <c r="KH509" s="252"/>
      <c r="KO509" s="66"/>
      <c r="KP509" s="66"/>
      <c r="KQ509" s="66"/>
      <c r="KR509" s="66"/>
      <c r="KS509" s="66"/>
      <c r="KT509" s="66"/>
      <c r="KU509" s="66"/>
      <c r="KV509" s="66"/>
      <c r="KW509" s="66"/>
      <c r="KX509" s="66"/>
      <c r="KY509" s="66"/>
      <c r="KZ509" s="66"/>
      <c r="LA509" s="8"/>
      <c r="LD509" s="252"/>
      <c r="LE509" s="252"/>
      <c r="LF509" s="252"/>
      <c r="LJ509" s="252"/>
      <c r="LK509" s="252"/>
      <c r="LN509" s="252"/>
      <c r="LO509" s="252"/>
      <c r="LP509" s="252"/>
      <c r="LT509" s="271"/>
      <c r="LU509" s="250"/>
      <c r="LV509" s="250"/>
      <c r="LW509" s="250"/>
      <c r="LX509" s="250"/>
      <c r="LY509" s="250"/>
      <c r="LZ509" s="250"/>
      <c r="MA509" s="250"/>
      <c r="MB509" s="250"/>
      <c r="MC509" s="250"/>
      <c r="MD509" s="250"/>
      <c r="ME509" s="250"/>
      <c r="MF509" s="250"/>
      <c r="MG509" s="250"/>
      <c r="MH509" s="250"/>
      <c r="MI509" s="250"/>
      <c r="MJ509" s="250"/>
      <c r="MK509" s="424"/>
      <c r="ML509" s="640"/>
      <c r="MM509" s="251"/>
      <c r="MN509" s="252"/>
      <c r="MO509" s="252"/>
      <c r="MP509" s="252"/>
      <c r="MQ509" s="252"/>
      <c r="MR509" s="252"/>
      <c r="MS509" s="252"/>
      <c r="MT509" s="252"/>
      <c r="MU509" s="252"/>
      <c r="MV509" s="252"/>
      <c r="MW509" s="252"/>
      <c r="MX509" s="252"/>
      <c r="MY509" s="252"/>
      <c r="MZ509" s="252"/>
      <c r="NA509" s="252"/>
      <c r="NB509" s="252"/>
      <c r="NC509" s="251"/>
      <c r="ND509" s="250"/>
      <c r="NE509" s="250"/>
      <c r="NF509" s="250"/>
      <c r="NG509" s="250"/>
      <c r="NH509" s="250"/>
      <c r="NI509" s="250"/>
      <c r="NJ509" s="250"/>
      <c r="NK509" s="250"/>
      <c r="NL509" s="250"/>
      <c r="NM509" s="250"/>
      <c r="NN509" s="250"/>
      <c r="NO509" s="250"/>
      <c r="NP509" s="250"/>
      <c r="NQ509" s="250"/>
      <c r="NR509" s="250"/>
      <c r="NS509" s="250"/>
      <c r="NT509" s="250"/>
      <c r="NU509" s="250"/>
      <c r="NV509" s="250"/>
      <c r="NW509" s="251"/>
      <c r="OT509" s="8"/>
      <c r="QG509" s="8"/>
      <c r="RT509" s="8"/>
    </row>
    <row r="510" spans="1:488" s="282" customFormat="1" x14ac:dyDescent="0.25">
      <c r="A510" s="66"/>
      <c r="B510" s="8"/>
      <c r="C510" s="66"/>
      <c r="D510" s="66"/>
      <c r="E510" s="66"/>
      <c r="F510" s="66"/>
      <c r="G510" s="66"/>
      <c r="H510" s="66"/>
      <c r="I510" s="66"/>
      <c r="J510" s="66"/>
      <c r="K510" s="66"/>
      <c r="L510" s="66"/>
      <c r="M510" s="66"/>
      <c r="N510" s="66"/>
      <c r="O510" s="66"/>
      <c r="P510" s="66"/>
      <c r="Q510" s="66"/>
      <c r="R510" s="66"/>
      <c r="S510" s="66"/>
      <c r="T510" s="68"/>
      <c r="AC510" s="66"/>
      <c r="AD510" s="66"/>
      <c r="AE510" s="68"/>
      <c r="AN510" s="66"/>
      <c r="AO510" s="66"/>
      <c r="AP510" s="68"/>
      <c r="AW510" s="66"/>
      <c r="AX510" s="68"/>
      <c r="BD510" s="66"/>
      <c r="BE510" s="68"/>
      <c r="BF510" s="66"/>
      <c r="BG510" s="66"/>
      <c r="BH510" s="66"/>
      <c r="BI510" s="66"/>
      <c r="BJ510" s="66"/>
      <c r="BK510" s="66"/>
      <c r="BL510" s="68"/>
      <c r="BO510" s="66"/>
      <c r="BP510" s="68"/>
      <c r="BV510" s="66"/>
      <c r="BW510" s="68"/>
      <c r="CB510" s="8"/>
      <c r="CH510" s="8"/>
      <c r="CK510" s="299"/>
      <c r="CL510" s="299"/>
      <c r="CM510" s="66"/>
      <c r="CN510" s="66"/>
      <c r="CO510" s="68"/>
      <c r="CR510" s="8"/>
      <c r="CX510" s="66"/>
      <c r="CY510" s="532"/>
      <c r="DE510" s="66"/>
      <c r="DF510" s="66"/>
      <c r="DG510" s="68"/>
      <c r="DH510" s="68"/>
      <c r="DK510" s="66"/>
      <c r="DL510" s="66"/>
      <c r="DM510" s="66"/>
      <c r="DN510" s="66"/>
      <c r="DO510" s="66"/>
      <c r="DP510" s="66"/>
      <c r="DQ510" s="66"/>
      <c r="DR510" s="66"/>
      <c r="DS510" s="66"/>
      <c r="DT510" s="68"/>
      <c r="DU510" s="66"/>
      <c r="DV510" s="296"/>
      <c r="DW510" s="330"/>
      <c r="DX510" s="631"/>
      <c r="DY510" s="631"/>
      <c r="DZ510" s="631"/>
      <c r="EA510" s="330"/>
      <c r="EC510" s="66"/>
      <c r="ED510" s="68"/>
      <c r="EH510" s="66"/>
      <c r="EI510" s="66"/>
      <c r="EJ510" s="68"/>
      <c r="EK510" s="252"/>
      <c r="EL510" s="252"/>
      <c r="EM510" s="252"/>
      <c r="EO510" s="252"/>
      <c r="EP510" s="252"/>
      <c r="EQ510" s="252"/>
      <c r="ES510" s="252"/>
      <c r="ET510" s="252"/>
      <c r="EU510" s="252"/>
      <c r="EW510" s="252"/>
      <c r="EX510" s="252"/>
      <c r="EY510" s="252"/>
      <c r="FA510" s="250"/>
      <c r="FB510" s="250"/>
      <c r="FC510" s="250"/>
      <c r="FD510" s="250"/>
      <c r="FE510" s="250"/>
      <c r="FF510" s="250"/>
      <c r="FG510" s="250"/>
      <c r="FH510" s="424"/>
      <c r="FI510" s="250"/>
      <c r="FJ510" s="250"/>
      <c r="FK510" s="250"/>
      <c r="FL510" s="256"/>
      <c r="FM510" s="250"/>
      <c r="FN510" s="256"/>
      <c r="FO510" s="250"/>
      <c r="FP510" s="256"/>
      <c r="FQ510" s="250"/>
      <c r="FR510" s="256"/>
      <c r="FS510" s="250"/>
      <c r="FT510" s="256"/>
      <c r="FU510" s="256"/>
      <c r="FV510" s="256"/>
      <c r="FW510" s="250"/>
      <c r="FX510" s="424"/>
      <c r="FY510" s="251"/>
      <c r="GC510" s="252"/>
      <c r="GF510" s="252"/>
      <c r="GG510" s="252"/>
      <c r="GH510" s="252"/>
      <c r="GI510" s="252"/>
      <c r="GJ510" s="252"/>
      <c r="GK510" s="251"/>
      <c r="GL510" s="250"/>
      <c r="GM510" s="250"/>
      <c r="GN510" s="250"/>
      <c r="GO510" s="250"/>
      <c r="GP510" s="250"/>
      <c r="GQ510" s="250"/>
      <c r="GR510" s="250"/>
      <c r="GS510" s="250"/>
      <c r="GT510" s="250"/>
      <c r="GU510" s="251"/>
      <c r="GV510" s="250"/>
      <c r="GW510" s="250"/>
      <c r="GX510" s="250"/>
      <c r="GY510" s="250"/>
      <c r="GZ510" s="250"/>
      <c r="HA510" s="250"/>
      <c r="HB510" s="250"/>
      <c r="HC510" s="250"/>
      <c r="HD510" s="250"/>
      <c r="HE510" s="250"/>
      <c r="HF510" s="250"/>
      <c r="HG510" s="250"/>
      <c r="HH510" s="251"/>
      <c r="HI510" s="424"/>
      <c r="HJ510" s="255"/>
      <c r="HK510" s="255"/>
      <c r="HL510" s="250"/>
      <c r="HM510" s="255"/>
      <c r="HN510" s="255"/>
      <c r="HO510" s="255"/>
      <c r="HP510" s="250"/>
      <c r="HQ510" s="250"/>
      <c r="HR510" s="250"/>
      <c r="HS510" s="250"/>
      <c r="HT510" s="250"/>
      <c r="HU510" s="251"/>
      <c r="HX510" s="252"/>
      <c r="HY510" s="252"/>
      <c r="HZ510" s="252"/>
      <c r="ID510" s="252"/>
      <c r="IE510" s="252"/>
      <c r="IF510" s="252"/>
      <c r="IJ510" s="252"/>
      <c r="IK510" s="252"/>
      <c r="IL510" s="252"/>
      <c r="IP510" s="252"/>
      <c r="IQ510" s="252"/>
      <c r="IR510" s="252"/>
      <c r="IY510" s="66"/>
      <c r="IZ510" s="66"/>
      <c r="JA510" s="66"/>
      <c r="JB510" s="250"/>
      <c r="JC510" s="66"/>
      <c r="JD510" s="66"/>
      <c r="JE510" s="66"/>
      <c r="JF510" s="66"/>
      <c r="JG510" s="66"/>
      <c r="JH510" s="66"/>
      <c r="JI510" s="66"/>
      <c r="JJ510" s="66"/>
      <c r="JK510" s="8"/>
      <c r="JN510" s="252"/>
      <c r="JO510" s="252"/>
      <c r="JP510" s="252"/>
      <c r="JT510" s="252"/>
      <c r="JU510" s="252"/>
      <c r="JV510" s="252"/>
      <c r="JZ510" s="252"/>
      <c r="KA510" s="252"/>
      <c r="KB510" s="252"/>
      <c r="KF510" s="252"/>
      <c r="KG510" s="252"/>
      <c r="KH510" s="252"/>
      <c r="KO510" s="66"/>
      <c r="KP510" s="66"/>
      <c r="KQ510" s="66"/>
      <c r="KR510" s="66"/>
      <c r="KS510" s="66"/>
      <c r="KT510" s="66"/>
      <c r="KU510" s="66"/>
      <c r="KV510" s="66"/>
      <c r="KW510" s="66"/>
      <c r="KX510" s="66"/>
      <c r="KY510" s="66"/>
      <c r="KZ510" s="66"/>
      <c r="LA510" s="8"/>
      <c r="LD510" s="252"/>
      <c r="LE510" s="252"/>
      <c r="LF510" s="252"/>
      <c r="LJ510" s="252"/>
      <c r="LK510" s="252"/>
      <c r="LN510" s="252"/>
      <c r="LO510" s="252"/>
      <c r="LP510" s="252"/>
      <c r="LT510" s="271"/>
      <c r="LU510" s="250"/>
      <c r="LV510" s="250"/>
      <c r="LW510" s="250"/>
      <c r="LX510" s="250"/>
      <c r="LY510" s="250"/>
      <c r="LZ510" s="250"/>
      <c r="MA510" s="250"/>
      <c r="MB510" s="250"/>
      <c r="MC510" s="250"/>
      <c r="MD510" s="250"/>
      <c r="ME510" s="250"/>
      <c r="MF510" s="250"/>
      <c r="MG510" s="250"/>
      <c r="MH510" s="250"/>
      <c r="MI510" s="250"/>
      <c r="MJ510" s="250"/>
      <c r="MK510" s="424"/>
      <c r="ML510" s="640"/>
      <c r="MM510" s="251"/>
      <c r="MN510" s="252"/>
      <c r="MO510" s="252"/>
      <c r="MP510" s="252"/>
      <c r="MQ510" s="252"/>
      <c r="MR510" s="252"/>
      <c r="MS510" s="252"/>
      <c r="MT510" s="252"/>
      <c r="MU510" s="252"/>
      <c r="MV510" s="252"/>
      <c r="MW510" s="252"/>
      <c r="MX510" s="252"/>
      <c r="MY510" s="252"/>
      <c r="MZ510" s="252"/>
      <c r="NA510" s="252"/>
      <c r="NB510" s="252"/>
      <c r="NC510" s="251"/>
      <c r="ND510" s="250"/>
      <c r="NE510" s="250"/>
      <c r="NF510" s="250"/>
      <c r="NG510" s="250"/>
      <c r="NH510" s="250"/>
      <c r="NI510" s="250"/>
      <c r="NJ510" s="250"/>
      <c r="NK510" s="250"/>
      <c r="NL510" s="250"/>
      <c r="NM510" s="250"/>
      <c r="NN510" s="250"/>
      <c r="NO510" s="250"/>
      <c r="NP510" s="250"/>
      <c r="NQ510" s="250"/>
      <c r="NR510" s="250"/>
      <c r="NS510" s="250"/>
      <c r="NT510" s="250"/>
      <c r="NU510" s="250"/>
      <c r="NV510" s="250"/>
      <c r="NW510" s="251"/>
      <c r="OT510" s="8"/>
      <c r="QG510" s="8"/>
      <c r="RT510" s="8"/>
    </row>
    <row r="511" spans="1:488" s="282" customFormat="1" x14ac:dyDescent="0.25">
      <c r="A511" s="66"/>
      <c r="B511" s="8"/>
      <c r="C511" s="66"/>
      <c r="D511" s="66"/>
      <c r="E511" s="66"/>
      <c r="F511" s="66"/>
      <c r="G511" s="66"/>
      <c r="H511" s="66"/>
      <c r="I511" s="66"/>
      <c r="J511" s="66"/>
      <c r="K511" s="66"/>
      <c r="L511" s="66"/>
      <c r="M511" s="66"/>
      <c r="N511" s="66"/>
      <c r="O511" s="66"/>
      <c r="P511" s="66"/>
      <c r="Q511" s="66"/>
      <c r="R511" s="66"/>
      <c r="S511" s="66"/>
      <c r="T511" s="68"/>
      <c r="AC511" s="66"/>
      <c r="AD511" s="66"/>
      <c r="AE511" s="68"/>
      <c r="AN511" s="66"/>
      <c r="AO511" s="66"/>
      <c r="AP511" s="68"/>
      <c r="AW511" s="66"/>
      <c r="AX511" s="68"/>
      <c r="BD511" s="66"/>
      <c r="BE511" s="68"/>
      <c r="BF511" s="66"/>
      <c r="BG511" s="66"/>
      <c r="BH511" s="66"/>
      <c r="BI511" s="66"/>
      <c r="BJ511" s="66"/>
      <c r="BK511" s="66"/>
      <c r="BL511" s="68"/>
      <c r="BO511" s="66"/>
      <c r="BP511" s="68"/>
      <c r="BV511" s="66"/>
      <c r="BW511" s="68"/>
      <c r="CB511" s="8"/>
      <c r="CH511" s="8"/>
      <c r="CK511" s="299"/>
      <c r="CL511" s="299"/>
      <c r="CM511" s="66"/>
      <c r="CN511" s="66"/>
      <c r="CO511" s="68"/>
      <c r="CR511" s="8"/>
      <c r="CX511" s="66"/>
      <c r="CY511" s="532"/>
      <c r="DE511" s="66"/>
      <c r="DF511" s="66"/>
      <c r="DG511" s="68"/>
      <c r="DH511" s="68"/>
      <c r="DK511" s="66"/>
      <c r="DL511" s="66"/>
      <c r="DM511" s="66"/>
      <c r="DN511" s="66"/>
      <c r="DO511" s="66"/>
      <c r="DP511" s="66"/>
      <c r="DQ511" s="66"/>
      <c r="DR511" s="66"/>
      <c r="DS511" s="66"/>
      <c r="DT511" s="68"/>
      <c r="DU511" s="66"/>
      <c r="DV511" s="296"/>
      <c r="DW511" s="330"/>
      <c r="DX511" s="631"/>
      <c r="DY511" s="631"/>
      <c r="DZ511" s="631"/>
      <c r="EA511" s="330"/>
      <c r="EC511" s="66"/>
      <c r="ED511" s="68"/>
      <c r="EH511" s="66"/>
      <c r="EI511" s="66"/>
      <c r="EJ511" s="68"/>
      <c r="EK511" s="252"/>
      <c r="EL511" s="252"/>
      <c r="EM511" s="252"/>
      <c r="EO511" s="252"/>
      <c r="EP511" s="252"/>
      <c r="EQ511" s="252"/>
      <c r="ES511" s="252"/>
      <c r="ET511" s="252"/>
      <c r="EU511" s="252"/>
      <c r="EW511" s="252"/>
      <c r="EX511" s="252"/>
      <c r="EY511" s="252"/>
      <c r="FA511" s="250"/>
      <c r="FB511" s="250"/>
      <c r="FC511" s="250"/>
      <c r="FD511" s="250"/>
      <c r="FE511" s="250"/>
      <c r="FF511" s="250"/>
      <c r="FG511" s="250"/>
      <c r="FH511" s="424"/>
      <c r="FI511" s="250"/>
      <c r="FJ511" s="250"/>
      <c r="FK511" s="250"/>
      <c r="FL511" s="256"/>
      <c r="FM511" s="250"/>
      <c r="FN511" s="256"/>
      <c r="FO511" s="250"/>
      <c r="FP511" s="256"/>
      <c r="FQ511" s="250"/>
      <c r="FR511" s="256"/>
      <c r="FS511" s="250"/>
      <c r="FT511" s="256"/>
      <c r="FU511" s="256"/>
      <c r="FV511" s="256"/>
      <c r="FW511" s="250"/>
      <c r="FX511" s="424"/>
      <c r="FY511" s="251"/>
      <c r="GC511" s="252"/>
      <c r="GF511" s="252"/>
      <c r="GG511" s="252"/>
      <c r="GH511" s="252"/>
      <c r="GI511" s="252"/>
      <c r="GJ511" s="252"/>
      <c r="GK511" s="251"/>
      <c r="GL511" s="250"/>
      <c r="GM511" s="250"/>
      <c r="GN511" s="250"/>
      <c r="GO511" s="250"/>
      <c r="GP511" s="250"/>
      <c r="GQ511" s="250"/>
      <c r="GR511" s="250"/>
      <c r="GS511" s="250"/>
      <c r="GT511" s="250"/>
      <c r="GU511" s="251"/>
      <c r="GV511" s="250"/>
      <c r="GW511" s="250"/>
      <c r="GX511" s="250"/>
      <c r="GY511" s="250"/>
      <c r="GZ511" s="250"/>
      <c r="HA511" s="250"/>
      <c r="HB511" s="250"/>
      <c r="HC511" s="250"/>
      <c r="HD511" s="250"/>
      <c r="HE511" s="250"/>
      <c r="HF511" s="250"/>
      <c r="HG511" s="250"/>
      <c r="HH511" s="251"/>
      <c r="HI511" s="424"/>
      <c r="HJ511" s="255"/>
      <c r="HK511" s="255"/>
      <c r="HL511" s="250"/>
      <c r="HM511" s="255"/>
      <c r="HN511" s="255"/>
      <c r="HO511" s="255"/>
      <c r="HP511" s="250"/>
      <c r="HQ511" s="250"/>
      <c r="HR511" s="250"/>
      <c r="HS511" s="250"/>
      <c r="HT511" s="250"/>
      <c r="HU511" s="251"/>
      <c r="HX511" s="252"/>
      <c r="HY511" s="252"/>
      <c r="HZ511" s="252"/>
      <c r="ID511" s="252"/>
      <c r="IE511" s="252"/>
      <c r="IF511" s="252"/>
      <c r="IJ511" s="252"/>
      <c r="IK511" s="252"/>
      <c r="IL511" s="252"/>
      <c r="IP511" s="252"/>
      <c r="IQ511" s="252"/>
      <c r="IR511" s="252"/>
      <c r="IY511" s="66"/>
      <c r="IZ511" s="66"/>
      <c r="JA511" s="66"/>
      <c r="JB511" s="250"/>
      <c r="JC511" s="66"/>
      <c r="JD511" s="66"/>
      <c r="JE511" s="66"/>
      <c r="JF511" s="66"/>
      <c r="JG511" s="66"/>
      <c r="JH511" s="66"/>
      <c r="JI511" s="66"/>
      <c r="JJ511" s="66"/>
      <c r="JK511" s="8"/>
      <c r="JN511" s="252"/>
      <c r="JO511" s="252"/>
      <c r="JP511" s="252"/>
      <c r="JT511" s="252"/>
      <c r="JU511" s="252"/>
      <c r="JV511" s="252"/>
      <c r="JZ511" s="252"/>
      <c r="KA511" s="252"/>
      <c r="KB511" s="252"/>
      <c r="KF511" s="252"/>
      <c r="KG511" s="252"/>
      <c r="KH511" s="252"/>
      <c r="KO511" s="66"/>
      <c r="KP511" s="66"/>
      <c r="KQ511" s="66"/>
      <c r="KR511" s="66"/>
      <c r="KS511" s="66"/>
      <c r="KT511" s="66"/>
      <c r="KU511" s="66"/>
      <c r="KV511" s="66"/>
      <c r="KW511" s="66"/>
      <c r="KX511" s="66"/>
      <c r="KY511" s="66"/>
      <c r="KZ511" s="66"/>
      <c r="LA511" s="8"/>
      <c r="LD511" s="252"/>
      <c r="LE511" s="252"/>
      <c r="LF511" s="252"/>
      <c r="LJ511" s="252"/>
      <c r="LK511" s="252"/>
      <c r="LN511" s="252"/>
      <c r="LO511" s="252"/>
      <c r="LP511" s="252"/>
      <c r="LT511" s="271"/>
      <c r="LU511" s="250"/>
      <c r="LV511" s="250"/>
      <c r="LW511" s="250"/>
      <c r="LX511" s="250"/>
      <c r="LY511" s="250"/>
      <c r="LZ511" s="250"/>
      <c r="MA511" s="250"/>
      <c r="MB511" s="250"/>
      <c r="MC511" s="250"/>
      <c r="MD511" s="250"/>
      <c r="ME511" s="250"/>
      <c r="MF511" s="250"/>
      <c r="MG511" s="250"/>
      <c r="MH511" s="250"/>
      <c r="MI511" s="250"/>
      <c r="MJ511" s="250"/>
      <c r="MK511" s="424"/>
      <c r="ML511" s="640"/>
      <c r="MM511" s="251"/>
      <c r="MN511" s="252"/>
      <c r="MO511" s="252"/>
      <c r="MP511" s="252"/>
      <c r="MQ511" s="252"/>
      <c r="MR511" s="252"/>
      <c r="MS511" s="252"/>
      <c r="MT511" s="252"/>
      <c r="MU511" s="252"/>
      <c r="MV511" s="252"/>
      <c r="MW511" s="252"/>
      <c r="MX511" s="252"/>
      <c r="MY511" s="252"/>
      <c r="MZ511" s="252"/>
      <c r="NA511" s="252"/>
      <c r="NB511" s="252"/>
      <c r="NC511" s="251"/>
      <c r="ND511" s="250"/>
      <c r="NE511" s="250"/>
      <c r="NF511" s="250"/>
      <c r="NG511" s="250"/>
      <c r="NH511" s="250"/>
      <c r="NI511" s="250"/>
      <c r="NJ511" s="250"/>
      <c r="NK511" s="250"/>
      <c r="NL511" s="250"/>
      <c r="NM511" s="250"/>
      <c r="NN511" s="250"/>
      <c r="NO511" s="250"/>
      <c r="NP511" s="250"/>
      <c r="NQ511" s="250"/>
      <c r="NR511" s="250"/>
      <c r="NS511" s="250"/>
      <c r="NT511" s="250"/>
      <c r="NU511" s="250"/>
      <c r="NV511" s="250"/>
      <c r="NW511" s="251"/>
      <c r="OT511" s="8"/>
      <c r="QG511" s="8"/>
      <c r="RT511" s="8"/>
    </row>
    <row r="512" spans="1:488" s="282" customFormat="1" x14ac:dyDescent="0.25">
      <c r="A512" s="66"/>
      <c r="B512" s="8"/>
      <c r="C512" s="66"/>
      <c r="D512" s="66"/>
      <c r="E512" s="66"/>
      <c r="F512" s="66"/>
      <c r="G512" s="66"/>
      <c r="H512" s="66"/>
      <c r="I512" s="66"/>
      <c r="J512" s="66"/>
      <c r="K512" s="66"/>
      <c r="L512" s="66"/>
      <c r="M512" s="66"/>
      <c r="N512" s="66"/>
      <c r="O512" s="66"/>
      <c r="P512" s="66"/>
      <c r="Q512" s="66"/>
      <c r="R512" s="66"/>
      <c r="S512" s="66"/>
      <c r="T512" s="68"/>
      <c r="AC512" s="66"/>
      <c r="AD512" s="66"/>
      <c r="AE512" s="68"/>
      <c r="AN512" s="66"/>
      <c r="AO512" s="66"/>
      <c r="AP512" s="68"/>
      <c r="AW512" s="66"/>
      <c r="AX512" s="68"/>
      <c r="BD512" s="66"/>
      <c r="BE512" s="68"/>
      <c r="BF512" s="66"/>
      <c r="BG512" s="66"/>
      <c r="BH512" s="66"/>
      <c r="BI512" s="66"/>
      <c r="BJ512" s="66"/>
      <c r="BK512" s="66"/>
      <c r="BL512" s="68"/>
      <c r="BO512" s="66"/>
      <c r="BP512" s="68"/>
      <c r="BV512" s="66"/>
      <c r="BW512" s="68"/>
      <c r="CB512" s="8"/>
      <c r="CH512" s="8"/>
      <c r="CK512" s="299"/>
      <c r="CL512" s="299"/>
      <c r="CM512" s="66"/>
      <c r="CN512" s="66"/>
      <c r="CO512" s="68"/>
      <c r="CR512" s="8"/>
      <c r="CX512" s="66"/>
      <c r="CY512" s="532"/>
      <c r="DE512" s="66"/>
      <c r="DF512" s="66"/>
      <c r="DG512" s="68"/>
      <c r="DH512" s="68"/>
      <c r="DK512" s="66"/>
      <c r="DL512" s="66"/>
      <c r="DM512" s="66"/>
      <c r="DN512" s="66"/>
      <c r="DO512" s="66"/>
      <c r="DP512" s="66"/>
      <c r="DQ512" s="66"/>
      <c r="DR512" s="66"/>
      <c r="DS512" s="66"/>
      <c r="DT512" s="68"/>
      <c r="DU512" s="66"/>
      <c r="DV512" s="296"/>
      <c r="DW512" s="330"/>
      <c r="DX512" s="631"/>
      <c r="DY512" s="631"/>
      <c r="DZ512" s="631"/>
      <c r="EA512" s="330"/>
      <c r="EC512" s="66"/>
      <c r="ED512" s="68"/>
      <c r="EH512" s="66"/>
      <c r="EI512" s="66"/>
      <c r="EJ512" s="68"/>
      <c r="EK512" s="252"/>
      <c r="EL512" s="252"/>
      <c r="EM512" s="252"/>
      <c r="EO512" s="252"/>
      <c r="EP512" s="252"/>
      <c r="EQ512" s="252"/>
      <c r="ES512" s="252"/>
      <c r="ET512" s="252"/>
      <c r="EU512" s="252"/>
      <c r="EW512" s="252"/>
      <c r="EX512" s="252"/>
      <c r="EY512" s="252"/>
      <c r="FA512" s="250"/>
      <c r="FB512" s="250"/>
      <c r="FC512" s="250"/>
      <c r="FD512" s="250"/>
      <c r="FE512" s="250"/>
      <c r="FF512" s="250"/>
      <c r="FG512" s="250"/>
      <c r="FH512" s="424"/>
      <c r="FI512" s="250"/>
      <c r="FJ512" s="250"/>
      <c r="FK512" s="250"/>
      <c r="FL512" s="256"/>
      <c r="FM512" s="250"/>
      <c r="FN512" s="256"/>
      <c r="FO512" s="250"/>
      <c r="FP512" s="256"/>
      <c r="FQ512" s="250"/>
      <c r="FR512" s="256"/>
      <c r="FS512" s="250"/>
      <c r="FT512" s="256"/>
      <c r="FU512" s="256"/>
      <c r="FV512" s="256"/>
      <c r="FW512" s="250"/>
      <c r="FX512" s="424"/>
      <c r="FY512" s="251"/>
      <c r="GC512" s="252"/>
      <c r="GF512" s="252"/>
      <c r="GG512" s="252"/>
      <c r="GH512" s="252"/>
      <c r="GI512" s="252"/>
      <c r="GJ512" s="252"/>
      <c r="GK512" s="251"/>
      <c r="GL512" s="250"/>
      <c r="GM512" s="250"/>
      <c r="GN512" s="250"/>
      <c r="GO512" s="250"/>
      <c r="GP512" s="250"/>
      <c r="GQ512" s="250"/>
      <c r="GR512" s="250"/>
      <c r="GS512" s="250"/>
      <c r="GT512" s="250"/>
      <c r="GU512" s="251"/>
      <c r="GV512" s="250"/>
      <c r="GW512" s="250"/>
      <c r="GX512" s="250"/>
      <c r="GY512" s="250"/>
      <c r="GZ512" s="250"/>
      <c r="HA512" s="250"/>
      <c r="HB512" s="250"/>
      <c r="HC512" s="250"/>
      <c r="HD512" s="250"/>
      <c r="HE512" s="250"/>
      <c r="HF512" s="250"/>
      <c r="HG512" s="250"/>
      <c r="HH512" s="251"/>
      <c r="HI512" s="424"/>
      <c r="HJ512" s="255"/>
      <c r="HK512" s="255"/>
      <c r="HL512" s="250"/>
      <c r="HM512" s="255"/>
      <c r="HN512" s="255"/>
      <c r="HO512" s="255"/>
      <c r="HP512" s="250"/>
      <c r="HQ512" s="250"/>
      <c r="HR512" s="250"/>
      <c r="HS512" s="250"/>
      <c r="HT512" s="250"/>
      <c r="HU512" s="251"/>
      <c r="HX512" s="252"/>
      <c r="HY512" s="252"/>
      <c r="HZ512" s="252"/>
      <c r="ID512" s="252"/>
      <c r="IE512" s="252"/>
      <c r="IF512" s="252"/>
      <c r="IJ512" s="252"/>
      <c r="IK512" s="252"/>
      <c r="IL512" s="252"/>
      <c r="IP512" s="252"/>
      <c r="IQ512" s="252"/>
      <c r="IR512" s="252"/>
      <c r="IY512" s="66"/>
      <c r="IZ512" s="66"/>
      <c r="JA512" s="66"/>
      <c r="JB512" s="250"/>
      <c r="JC512" s="66"/>
      <c r="JD512" s="66"/>
      <c r="JE512" s="66"/>
      <c r="JF512" s="66"/>
      <c r="JG512" s="66"/>
      <c r="JH512" s="66"/>
      <c r="JI512" s="66"/>
      <c r="JJ512" s="66"/>
      <c r="JK512" s="8"/>
      <c r="JN512" s="252"/>
      <c r="JO512" s="252"/>
      <c r="JP512" s="252"/>
      <c r="JT512" s="252"/>
      <c r="JU512" s="252"/>
      <c r="JV512" s="252"/>
      <c r="JZ512" s="252"/>
      <c r="KA512" s="252"/>
      <c r="KB512" s="252"/>
      <c r="KF512" s="252"/>
      <c r="KG512" s="252"/>
      <c r="KH512" s="252"/>
      <c r="KO512" s="66"/>
      <c r="KP512" s="66"/>
      <c r="KQ512" s="66"/>
      <c r="KR512" s="66"/>
      <c r="KS512" s="66"/>
      <c r="KT512" s="66"/>
      <c r="KU512" s="66"/>
      <c r="KV512" s="66"/>
      <c r="KW512" s="66"/>
      <c r="KX512" s="66"/>
      <c r="KY512" s="66"/>
      <c r="KZ512" s="66"/>
      <c r="LA512" s="8"/>
      <c r="LD512" s="252"/>
      <c r="LE512" s="252"/>
      <c r="LF512" s="252"/>
      <c r="LJ512" s="252"/>
      <c r="LK512" s="252"/>
      <c r="LN512" s="252"/>
      <c r="LO512" s="252"/>
      <c r="LP512" s="252"/>
      <c r="LT512" s="271"/>
      <c r="LU512" s="250"/>
      <c r="LV512" s="250"/>
      <c r="LW512" s="250"/>
      <c r="LX512" s="250"/>
      <c r="LY512" s="250"/>
      <c r="LZ512" s="250"/>
      <c r="MA512" s="250"/>
      <c r="MB512" s="250"/>
      <c r="MC512" s="250"/>
      <c r="MD512" s="250"/>
      <c r="ME512" s="250"/>
      <c r="MF512" s="250"/>
      <c r="MG512" s="250"/>
      <c r="MH512" s="250"/>
      <c r="MI512" s="250"/>
      <c r="MJ512" s="250"/>
      <c r="MK512" s="424"/>
      <c r="ML512" s="640"/>
      <c r="MM512" s="251"/>
      <c r="MN512" s="252"/>
      <c r="MO512" s="252"/>
      <c r="MP512" s="252"/>
      <c r="MQ512" s="252"/>
      <c r="MR512" s="252"/>
      <c r="MS512" s="252"/>
      <c r="MT512" s="252"/>
      <c r="MU512" s="252"/>
      <c r="MV512" s="252"/>
      <c r="MW512" s="252"/>
      <c r="MX512" s="252"/>
      <c r="MY512" s="252"/>
      <c r="MZ512" s="252"/>
      <c r="NA512" s="252"/>
      <c r="NB512" s="252"/>
      <c r="NC512" s="251"/>
      <c r="ND512" s="250"/>
      <c r="NE512" s="250"/>
      <c r="NF512" s="250"/>
      <c r="NG512" s="250"/>
      <c r="NH512" s="250"/>
      <c r="NI512" s="250"/>
      <c r="NJ512" s="250"/>
      <c r="NK512" s="250"/>
      <c r="NL512" s="250"/>
      <c r="NM512" s="250"/>
      <c r="NN512" s="250"/>
      <c r="NO512" s="250"/>
      <c r="NP512" s="250"/>
      <c r="NQ512" s="250"/>
      <c r="NR512" s="250"/>
      <c r="NS512" s="250"/>
      <c r="NT512" s="250"/>
      <c r="NU512" s="250"/>
      <c r="NV512" s="250"/>
      <c r="NW512" s="251"/>
      <c r="OT512" s="8"/>
      <c r="QG512" s="8"/>
      <c r="RT512" s="8"/>
    </row>
  </sheetData>
  <sheetProtection sheet="1" objects="1" scenarios="1"/>
  <sortState ref="A6:OA48">
    <sortCondition ref="A6"/>
  </sortState>
  <mergeCells count="52">
    <mergeCell ref="BP4:BV4"/>
    <mergeCell ref="BW4:CB4"/>
    <mergeCell ref="CC4:CH4"/>
    <mergeCell ref="CO4:CR4"/>
    <mergeCell ref="CS4:CY4"/>
    <mergeCell ref="CI4:CN4"/>
    <mergeCell ref="T4:AD4"/>
    <mergeCell ref="AP4:AW4"/>
    <mergeCell ref="AX4:BD4"/>
    <mergeCell ref="BL4:BO4"/>
    <mergeCell ref="BE4:BK4"/>
    <mergeCell ref="AE4:AO4"/>
    <mergeCell ref="CZ4:DF4"/>
    <mergeCell ref="IT4:IY4"/>
    <mergeCell ref="JL4:JQ4"/>
    <mergeCell ref="JR4:JW4"/>
    <mergeCell ref="KP4:KU4"/>
    <mergeCell ref="KD4:KI4"/>
    <mergeCell ref="KJ4:KO4"/>
    <mergeCell ref="JX4:KC4"/>
    <mergeCell ref="IZ4:JE4"/>
    <mergeCell ref="JF4:JK4"/>
    <mergeCell ref="DX4:DY4"/>
    <mergeCell ref="DZ4:EA4"/>
    <mergeCell ref="DG2:DG4"/>
    <mergeCell ref="GV4:HH4"/>
    <mergeCell ref="GL4:GU4"/>
    <mergeCell ref="LB3:MD3"/>
    <mergeCell ref="ND4:NW4"/>
    <mergeCell ref="OU4:QG4"/>
    <mergeCell ref="MN4:NC4"/>
    <mergeCell ref="NX4:OT4"/>
    <mergeCell ref="LB4:LK4"/>
    <mergeCell ref="LL4:LU4"/>
    <mergeCell ref="LV4:MD4"/>
    <mergeCell ref="ME4:MM4"/>
    <mergeCell ref="QH4:RT4"/>
    <mergeCell ref="KV4:LA4"/>
    <mergeCell ref="JL3:LA3"/>
    <mergeCell ref="DH4:DS4"/>
    <mergeCell ref="EJ4:FK4"/>
    <mergeCell ref="FL4:FY4"/>
    <mergeCell ref="ED4:EI4"/>
    <mergeCell ref="EB4:EC4"/>
    <mergeCell ref="DT4:DU4"/>
    <mergeCell ref="HI4:HU4"/>
    <mergeCell ref="FZ4:GK4"/>
    <mergeCell ref="HV4:IA4"/>
    <mergeCell ref="IB4:IG4"/>
    <mergeCell ref="IH4:IM4"/>
    <mergeCell ref="HV3:JK3"/>
    <mergeCell ref="IN4:IS4"/>
  </mergeCells>
  <hyperlinks>
    <hyperlink ref="S46" r:id="rId1"/>
    <hyperlink ref="S48" r:id="rId2"/>
    <hyperlink ref="S17" r:id="rId3"/>
    <hyperlink ref="S7" r:id="rId4"/>
    <hyperlink ref="S11" r:id="rId5"/>
    <hyperlink ref="S24" r:id="rId6"/>
    <hyperlink ref="S30" r:id="rId7"/>
    <hyperlink ref="S32" r:id="rId8"/>
    <hyperlink ref="S40" r:id="rId9"/>
    <hyperlink ref="S6" r:id="rId10"/>
    <hyperlink ref="S16" r:id="rId11"/>
    <hyperlink ref="S26" r:id="rId12"/>
    <hyperlink ref="S22" r:id="rId13"/>
    <hyperlink ref="S42" r:id="rId14"/>
    <hyperlink ref="S23" r:id="rId15"/>
    <hyperlink ref="S9" r:id="rId16"/>
    <hyperlink ref="S12" r:id="rId17"/>
    <hyperlink ref="S21" r:id="rId18"/>
    <hyperlink ref="S29" r:id="rId19"/>
    <hyperlink ref="S31" r:id="rId20"/>
    <hyperlink ref="S35" r:id="rId21"/>
    <hyperlink ref="S37" r:id="rId22"/>
    <hyperlink ref="S18" r:id="rId23"/>
    <hyperlink ref="S13" r:id="rId24"/>
    <hyperlink ref="S27" r:id="rId25"/>
    <hyperlink ref="S44" r:id="rId26"/>
    <hyperlink ref="S38" r:id="rId27"/>
    <hyperlink ref="S34" r:id="rId28"/>
    <hyperlink ref="S28" r:id="rId29"/>
    <hyperlink ref="S20" r:id="rId30"/>
    <hyperlink ref="S14" r:id="rId31"/>
    <hyperlink ref="S19" r:id="rId32"/>
    <hyperlink ref="S47" r:id="rId33"/>
  </hyperlinks>
  <pageMargins left="0.7" right="0.7" top="0.75" bottom="0.75" header="0.3" footer="0.3"/>
  <pageSetup paperSize="9" orientation="portrait" r:id="rId34"/>
  <ignoredErrors>
    <ignoredError sqref="IZ80:JA80 IZ81:IZ83 IZ79:JA79 JA81:JA83 LB86:LC86 AD82:AD83 AD80 JF79:JG83 KV79:KW83 ME79:MF83 CY82 CY80 CY79 CY81 DF79 DF80:DF83" formulaRange="1"/>
  </ignoredErrors>
  <legacyDrawing r:id="rId3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B17"/>
  <sheetViews>
    <sheetView workbookViewId="0">
      <selection activeCell="J27" sqref="J27"/>
    </sheetView>
  </sheetViews>
  <sheetFormatPr defaultColWidth="8.796875" defaultRowHeight="15" x14ac:dyDescent="0.25"/>
  <cols>
    <col min="1" max="16384" width="8.796875" style="2"/>
  </cols>
  <sheetData>
    <row r="1" spans="1:2" s="26" customFormat="1" x14ac:dyDescent="0.25">
      <c r="A1" s="26" t="s">
        <v>97</v>
      </c>
      <c r="B1" s="26" t="s">
        <v>96</v>
      </c>
    </row>
    <row r="2" spans="1:2" x14ac:dyDescent="0.25">
      <c r="A2" s="2" t="s">
        <v>95</v>
      </c>
      <c r="B2" s="2" t="s">
        <v>101</v>
      </c>
    </row>
    <row r="3" spans="1:2" x14ac:dyDescent="0.25">
      <c r="A3" s="2" t="s">
        <v>100</v>
      </c>
      <c r="B3" s="2" t="s">
        <v>99</v>
      </c>
    </row>
    <row r="4" spans="1:2" x14ac:dyDescent="0.25">
      <c r="A4" s="2" t="s">
        <v>102</v>
      </c>
      <c r="B4" s="2" t="s">
        <v>98</v>
      </c>
    </row>
    <row r="5" spans="1:2" x14ac:dyDescent="0.25">
      <c r="A5" s="2" t="s">
        <v>280</v>
      </c>
      <c r="B5" s="2" t="s">
        <v>281</v>
      </c>
    </row>
    <row r="6" spans="1:2" x14ac:dyDescent="0.25">
      <c r="A6" s="2" t="s">
        <v>318</v>
      </c>
    </row>
    <row r="7" spans="1:2" x14ac:dyDescent="0.25">
      <c r="A7" s="2" t="s">
        <v>319</v>
      </c>
    </row>
    <row r="8" spans="1:2" x14ac:dyDescent="0.25">
      <c r="A8" s="2" t="s">
        <v>320</v>
      </c>
    </row>
    <row r="9" spans="1:2" x14ac:dyDescent="0.25">
      <c r="A9" s="2" t="s">
        <v>321</v>
      </c>
    </row>
    <row r="10" spans="1:2" x14ac:dyDescent="0.25">
      <c r="A10" s="2" t="s">
        <v>322</v>
      </c>
    </row>
    <row r="11" spans="1:2" x14ac:dyDescent="0.25">
      <c r="A11" s="2" t="s">
        <v>442</v>
      </c>
      <c r="B11" s="2" t="s">
        <v>443</v>
      </c>
    </row>
    <row r="12" spans="1:2" x14ac:dyDescent="0.25">
      <c r="A12" s="2" t="s">
        <v>462</v>
      </c>
    </row>
    <row r="13" spans="1:2" x14ac:dyDescent="0.25">
      <c r="A13" s="2" t="s">
        <v>481</v>
      </c>
    </row>
    <row r="14" spans="1:2" x14ac:dyDescent="0.25">
      <c r="A14" s="2" t="s">
        <v>488</v>
      </c>
    </row>
    <row r="15" spans="1:2" x14ac:dyDescent="0.25">
      <c r="A15" s="2" t="s">
        <v>556</v>
      </c>
      <c r="B15" s="2" t="s">
        <v>638</v>
      </c>
    </row>
    <row r="16" spans="1:2" x14ac:dyDescent="0.25">
      <c r="A16" s="2" t="s">
        <v>650</v>
      </c>
      <c r="B16" s="2" t="s">
        <v>651</v>
      </c>
    </row>
    <row r="17" spans="1:1" x14ac:dyDescent="0.25">
      <c r="A17" s="2" t="s">
        <v>715</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BQ32"/>
  <sheetViews>
    <sheetView zoomScale="80" zoomScaleNormal="80" workbookViewId="0">
      <selection activeCell="B31" sqref="B31"/>
    </sheetView>
  </sheetViews>
  <sheetFormatPr defaultRowHeight="14.25" x14ac:dyDescent="0.2"/>
  <cols>
    <col min="1" max="1" width="10.5" bestFit="1" customWidth="1"/>
    <col min="2" max="3" width="9.3984375" customWidth="1"/>
    <col min="4" max="4" width="11.3984375" customWidth="1"/>
    <col min="5" max="6" width="8.8984375" customWidth="1"/>
    <col min="7" max="7" width="8.796875" customWidth="1"/>
    <col min="8" max="9" width="8.8984375" customWidth="1"/>
    <col min="10" max="17" width="8.796875" customWidth="1"/>
    <col min="19" max="28" width="8.796875" customWidth="1"/>
    <col min="29" max="35" width="8.8984375" customWidth="1"/>
    <col min="36" max="36" width="9.3984375" customWidth="1"/>
    <col min="37" max="39" width="8.8984375" customWidth="1"/>
    <col min="40" max="40" width="10.3984375" customWidth="1"/>
    <col min="41" max="51" width="8.796875" customWidth="1"/>
    <col min="53" max="68" width="8.796875" customWidth="1"/>
  </cols>
  <sheetData>
    <row r="1" spans="1:69" x14ac:dyDescent="0.2">
      <c r="A1">
        <v>4</v>
      </c>
      <c r="B1">
        <v>3</v>
      </c>
    </row>
    <row r="2" spans="1:69" x14ac:dyDescent="0.2">
      <c r="B2" s="1453" t="s">
        <v>436</v>
      </c>
      <c r="C2" s="1454"/>
      <c r="D2" s="1454"/>
      <c r="E2" s="1454"/>
      <c r="F2" s="1454"/>
      <c r="G2" s="1454"/>
      <c r="H2" s="1454"/>
      <c r="I2" s="1454"/>
      <c r="J2" s="1454"/>
      <c r="K2" s="1454"/>
      <c r="L2" s="1454"/>
      <c r="M2" s="1454"/>
      <c r="N2" s="1454"/>
      <c r="O2" s="1454"/>
      <c r="P2" s="1454"/>
      <c r="Q2" s="1454"/>
      <c r="R2" s="1455"/>
      <c r="S2" s="1453" t="s">
        <v>418</v>
      </c>
      <c r="T2" s="1454"/>
      <c r="U2" s="1454"/>
      <c r="V2" s="1454"/>
      <c r="W2" s="1454"/>
      <c r="X2" s="1454"/>
      <c r="Y2" s="1454"/>
      <c r="Z2" s="1454"/>
      <c r="AA2" s="1454"/>
      <c r="AB2" s="1454"/>
      <c r="AC2" s="1454"/>
      <c r="AD2" s="1454"/>
      <c r="AE2" s="1454"/>
      <c r="AF2" s="1454"/>
      <c r="AG2" s="1454"/>
      <c r="AH2" s="1454"/>
      <c r="AI2" s="1455"/>
      <c r="AJ2" s="1453" t="s">
        <v>419</v>
      </c>
      <c r="AK2" s="1454"/>
      <c r="AL2" s="1454"/>
      <c r="AM2" s="1454"/>
      <c r="AN2" s="1454"/>
      <c r="AO2" s="1454"/>
      <c r="AP2" s="1454"/>
      <c r="AQ2" s="1454"/>
      <c r="AR2" s="1454"/>
      <c r="AS2" s="1454"/>
      <c r="AT2" s="1454"/>
      <c r="AU2" s="1454"/>
      <c r="AV2" s="1454"/>
      <c r="AW2" s="1454"/>
      <c r="AX2" s="1454"/>
      <c r="AY2" s="1454"/>
      <c r="AZ2" s="1455"/>
      <c r="BA2" s="1453" t="s">
        <v>437</v>
      </c>
      <c r="BB2" s="1454"/>
      <c r="BC2" s="1454"/>
      <c r="BD2" s="1454"/>
      <c r="BE2" s="1454"/>
      <c r="BF2" s="1454"/>
      <c r="BG2" s="1454"/>
      <c r="BH2" s="1454"/>
      <c r="BI2" s="1454"/>
      <c r="BJ2" s="1454"/>
      <c r="BK2" s="1454"/>
      <c r="BL2" s="1454"/>
      <c r="BM2" s="1454"/>
      <c r="BN2" s="1454"/>
      <c r="BO2" s="1454"/>
      <c r="BP2" s="1454"/>
      <c r="BQ2" s="1455"/>
    </row>
    <row r="3" spans="1:69" x14ac:dyDescent="0.2">
      <c r="A3" s="78"/>
      <c r="B3" s="78" t="s">
        <v>420</v>
      </c>
      <c r="C3" s="78" t="s">
        <v>421</v>
      </c>
      <c r="D3" s="78" t="s">
        <v>422</v>
      </c>
      <c r="E3" s="78" t="s">
        <v>423</v>
      </c>
      <c r="F3" s="78" t="s">
        <v>424</v>
      </c>
      <c r="G3" s="78" t="s">
        <v>425</v>
      </c>
      <c r="H3" s="78" t="s">
        <v>426</v>
      </c>
      <c r="I3" s="78" t="s">
        <v>427</v>
      </c>
      <c r="J3" s="78" t="s">
        <v>428</v>
      </c>
      <c r="K3" s="78" t="s">
        <v>429</v>
      </c>
      <c r="L3" s="78" t="s">
        <v>430</v>
      </c>
      <c r="M3" s="78" t="s">
        <v>431</v>
      </c>
      <c r="N3" s="78" t="s">
        <v>432</v>
      </c>
      <c r="O3" s="78" t="s">
        <v>433</v>
      </c>
      <c r="P3" s="78" t="s">
        <v>434</v>
      </c>
      <c r="Q3" s="78" t="s">
        <v>435</v>
      </c>
      <c r="R3" s="78">
        <v>2014</v>
      </c>
      <c r="S3" s="78" t="s">
        <v>420</v>
      </c>
      <c r="T3" s="78" t="s">
        <v>421</v>
      </c>
      <c r="U3" s="78" t="s">
        <v>422</v>
      </c>
      <c r="V3" s="78" t="s">
        <v>423</v>
      </c>
      <c r="W3" s="78" t="s">
        <v>424</v>
      </c>
      <c r="X3" s="78" t="s">
        <v>425</v>
      </c>
      <c r="Y3" s="78" t="s">
        <v>426</v>
      </c>
      <c r="Z3" s="78" t="s">
        <v>427</v>
      </c>
      <c r="AA3" s="78" t="s">
        <v>428</v>
      </c>
      <c r="AB3" s="78" t="s">
        <v>429</v>
      </c>
      <c r="AC3" s="78" t="s">
        <v>430</v>
      </c>
      <c r="AD3" s="78" t="s">
        <v>431</v>
      </c>
      <c r="AE3" s="78" t="s">
        <v>432</v>
      </c>
      <c r="AF3" s="78" t="s">
        <v>433</v>
      </c>
      <c r="AG3" s="78" t="s">
        <v>434</v>
      </c>
      <c r="AH3" s="78" t="s">
        <v>435</v>
      </c>
      <c r="AI3" s="78">
        <v>2014</v>
      </c>
      <c r="AJ3" s="78" t="s">
        <v>420</v>
      </c>
      <c r="AK3" s="78" t="s">
        <v>421</v>
      </c>
      <c r="AL3" s="78" t="s">
        <v>422</v>
      </c>
      <c r="AM3" s="78" t="s">
        <v>423</v>
      </c>
      <c r="AN3" s="78" t="s">
        <v>424</v>
      </c>
      <c r="AO3" s="78" t="s">
        <v>425</v>
      </c>
      <c r="AP3" s="78" t="s">
        <v>426</v>
      </c>
      <c r="AQ3" s="78" t="s">
        <v>427</v>
      </c>
      <c r="AR3" s="78" t="s">
        <v>428</v>
      </c>
      <c r="AS3" s="78" t="s">
        <v>429</v>
      </c>
      <c r="AT3" s="78" t="s">
        <v>430</v>
      </c>
      <c r="AU3" s="78" t="s">
        <v>431</v>
      </c>
      <c r="AV3" s="78" t="s">
        <v>432</v>
      </c>
      <c r="AW3" s="78" t="s">
        <v>433</v>
      </c>
      <c r="AX3" s="78" t="s">
        <v>434</v>
      </c>
      <c r="AY3" s="78" t="s">
        <v>435</v>
      </c>
      <c r="AZ3" s="78">
        <v>2014</v>
      </c>
      <c r="BA3" s="78" t="s">
        <v>420</v>
      </c>
      <c r="BB3" s="78" t="s">
        <v>421</v>
      </c>
      <c r="BC3" s="78" t="s">
        <v>422</v>
      </c>
      <c r="BD3" s="78" t="s">
        <v>423</v>
      </c>
      <c r="BE3" s="78" t="s">
        <v>424</v>
      </c>
      <c r="BF3" s="78" t="s">
        <v>425</v>
      </c>
      <c r="BG3" s="78" t="s">
        <v>426</v>
      </c>
      <c r="BH3" s="78" t="s">
        <v>427</v>
      </c>
      <c r="BI3" s="78" t="s">
        <v>428</v>
      </c>
      <c r="BJ3" s="78" t="s">
        <v>429</v>
      </c>
      <c r="BK3" s="78" t="s">
        <v>430</v>
      </c>
      <c r="BL3" s="78" t="s">
        <v>431</v>
      </c>
      <c r="BM3" s="78" t="s">
        <v>432</v>
      </c>
      <c r="BN3" s="78" t="s">
        <v>433</v>
      </c>
      <c r="BO3" s="78" t="s">
        <v>434</v>
      </c>
      <c r="BP3" s="78" t="s">
        <v>435</v>
      </c>
      <c r="BQ3" s="78">
        <v>2014</v>
      </c>
    </row>
    <row r="4" spans="1:69" x14ac:dyDescent="0.2">
      <c r="A4" s="81" t="s">
        <v>398</v>
      </c>
      <c r="B4" s="79">
        <v>38.702928870292901</v>
      </c>
      <c r="C4" s="79">
        <v>38.144329896907202</v>
      </c>
      <c r="D4" s="79">
        <v>40.598290598290603</v>
      </c>
      <c r="E4" s="79">
        <v>37.305699481865297</v>
      </c>
      <c r="F4" s="79">
        <v>36.489151873767298</v>
      </c>
      <c r="G4" s="79">
        <v>27.649769585253502</v>
      </c>
      <c r="H4" s="79">
        <v>39.963669391462297</v>
      </c>
      <c r="I4" s="79">
        <v>41.519434628975297</v>
      </c>
      <c r="J4" s="79">
        <v>39.180765805877101</v>
      </c>
      <c r="K4" s="79">
        <v>36.020583190394497</v>
      </c>
      <c r="L4" s="79">
        <v>28.795811518324602</v>
      </c>
      <c r="M4" s="79">
        <v>40.036396724294796</v>
      </c>
      <c r="N4" s="79">
        <v>27.5229357798165</v>
      </c>
      <c r="O4" s="79">
        <v>31.954887218045101</v>
      </c>
      <c r="P4" s="79">
        <v>32.567049808429097</v>
      </c>
      <c r="Q4" s="79">
        <v>33.932135728542903</v>
      </c>
      <c r="R4" s="79">
        <v>21.319796954314718</v>
      </c>
      <c r="S4" s="79">
        <v>27.250433647600399</v>
      </c>
      <c r="T4" s="79">
        <v>26.857128419696899</v>
      </c>
      <c r="U4" s="79">
        <v>28.729766714953101</v>
      </c>
      <c r="V4" s="79">
        <v>26.128453282191899</v>
      </c>
      <c r="W4" s="79">
        <v>25.691730342313601</v>
      </c>
      <c r="X4" s="79">
        <v>18.655183429880999</v>
      </c>
      <c r="Y4" s="79">
        <v>29.037663358895799</v>
      </c>
      <c r="Z4" s="79">
        <v>30.5069188754998</v>
      </c>
      <c r="AA4" s="79">
        <v>28.4688044150884</v>
      </c>
      <c r="AB4" s="79">
        <v>25.9604680381455</v>
      </c>
      <c r="AC4" s="79">
        <v>19.8217116690487</v>
      </c>
      <c r="AD4" s="79">
        <v>29.090507150267801</v>
      </c>
      <c r="AE4" s="79">
        <v>18.569609193964101</v>
      </c>
      <c r="AF4" s="79">
        <v>22.1296883313649</v>
      </c>
      <c r="AG4" s="79">
        <v>22.5536287208547</v>
      </c>
      <c r="AH4" s="79">
        <v>23.498990403764701</v>
      </c>
      <c r="AI4" s="580">
        <v>13.197290339163642</v>
      </c>
      <c r="AJ4" s="79">
        <v>53.346889269802098</v>
      </c>
      <c r="AK4" s="79">
        <v>52.576934166938997</v>
      </c>
      <c r="AL4" s="79">
        <v>55.724325768439797</v>
      </c>
      <c r="AM4" s="79">
        <v>51.6468129422137</v>
      </c>
      <c r="AN4" s="79">
        <v>50.295489291845001</v>
      </c>
      <c r="AO4" s="79">
        <v>39.471765340836598</v>
      </c>
      <c r="AP4" s="79">
        <v>53.649360835883499</v>
      </c>
      <c r="AQ4" s="79">
        <v>55.2120462373206</v>
      </c>
      <c r="AR4" s="79">
        <v>52.598349314610601</v>
      </c>
      <c r="AS4" s="79">
        <v>48.689364304022902</v>
      </c>
      <c r="AT4" s="79">
        <v>40.440025540287301</v>
      </c>
      <c r="AU4" s="79">
        <v>53.746993885630303</v>
      </c>
      <c r="AV4" s="79">
        <v>39.290702197071298</v>
      </c>
      <c r="AW4" s="79">
        <v>44.653751969175801</v>
      </c>
      <c r="AX4" s="79">
        <v>45.509187830654298</v>
      </c>
      <c r="AY4" s="79">
        <v>47.416758578047002</v>
      </c>
      <c r="AZ4" s="580">
        <v>32.589574350196337</v>
      </c>
      <c r="BA4" s="78">
        <v>37</v>
      </c>
      <c r="BB4" s="78">
        <v>37</v>
      </c>
      <c r="BC4" s="78">
        <v>38</v>
      </c>
      <c r="BD4" s="78">
        <v>36</v>
      </c>
      <c r="BE4" s="78">
        <v>37</v>
      </c>
      <c r="BF4" s="78">
        <v>30</v>
      </c>
      <c r="BG4" s="78">
        <v>44</v>
      </c>
      <c r="BH4" s="78">
        <v>47</v>
      </c>
      <c r="BI4" s="78">
        <v>44</v>
      </c>
      <c r="BJ4" s="78">
        <v>42</v>
      </c>
      <c r="BK4" s="78">
        <v>33</v>
      </c>
      <c r="BL4" s="78">
        <v>44</v>
      </c>
      <c r="BM4" s="78">
        <v>30</v>
      </c>
      <c r="BN4" s="78">
        <v>34</v>
      </c>
      <c r="BO4" s="78">
        <v>34</v>
      </c>
      <c r="BP4" s="78">
        <v>34</v>
      </c>
      <c r="BQ4" s="78">
        <v>21</v>
      </c>
    </row>
    <row r="5" spans="1:69" x14ac:dyDescent="0.2">
      <c r="A5" s="81" t="s">
        <v>82</v>
      </c>
      <c r="B5" s="79">
        <v>46.131667467563702</v>
      </c>
      <c r="C5" s="79">
        <v>36.891293654697499</v>
      </c>
      <c r="D5" s="79">
        <v>42.606516290726802</v>
      </c>
      <c r="E5" s="79">
        <v>43.158410985777302</v>
      </c>
      <c r="F5" s="79">
        <v>30.064754856614201</v>
      </c>
      <c r="G5" s="79">
        <v>32.909170688898598</v>
      </c>
      <c r="H5" s="79">
        <v>30.659386812263801</v>
      </c>
      <c r="I5" s="79">
        <v>35.173824130879296</v>
      </c>
      <c r="J5" s="79">
        <v>34.100246507806098</v>
      </c>
      <c r="K5" s="79">
        <v>33.9685169842585</v>
      </c>
      <c r="L5" s="79">
        <v>47.129391602399302</v>
      </c>
      <c r="M5" s="79">
        <v>29.5154185022026</v>
      </c>
      <c r="N5" s="79">
        <v>39.787798408488101</v>
      </c>
      <c r="O5" s="79">
        <v>32.537960954446902</v>
      </c>
      <c r="P5" s="79">
        <v>24.165202108963101</v>
      </c>
      <c r="Q5" s="79">
        <v>25.1433612704014</v>
      </c>
      <c r="R5" s="79">
        <v>25.412394115024519</v>
      </c>
      <c r="S5" s="79">
        <v>37.366798757806102</v>
      </c>
      <c r="T5" s="79">
        <v>29.017342696237801</v>
      </c>
      <c r="U5" s="79">
        <v>34.032571932227803</v>
      </c>
      <c r="V5" s="79">
        <v>34.614307636634003</v>
      </c>
      <c r="W5" s="79">
        <v>23.2033430755015</v>
      </c>
      <c r="X5" s="79">
        <v>25.885150373607502</v>
      </c>
      <c r="Y5" s="79">
        <v>24.032065066148299</v>
      </c>
      <c r="Z5" s="79">
        <v>28.1345191182699</v>
      </c>
      <c r="AA5" s="79">
        <v>27.160655997454</v>
      </c>
      <c r="AB5" s="79">
        <v>27.016169622164199</v>
      </c>
      <c r="AC5" s="79">
        <v>38.734628145842201</v>
      </c>
      <c r="AD5" s="79">
        <v>22.874043931806401</v>
      </c>
      <c r="AE5" s="79">
        <v>31.994088475289999</v>
      </c>
      <c r="AF5" s="79">
        <v>25.593170369393299</v>
      </c>
      <c r="AG5" s="79">
        <v>18.204537333672398</v>
      </c>
      <c r="AH5" s="79">
        <v>19.043336287130501</v>
      </c>
      <c r="AI5" s="580">
        <v>19.247099136390879</v>
      </c>
      <c r="AJ5" s="79">
        <v>56.334661700782597</v>
      </c>
      <c r="AK5" s="79">
        <v>46.243556049597998</v>
      </c>
      <c r="AL5" s="79">
        <v>52.683617202455601</v>
      </c>
      <c r="AM5" s="79">
        <v>53.172369417584299</v>
      </c>
      <c r="AN5" s="79">
        <v>38.319998064695497</v>
      </c>
      <c r="AO5" s="79">
        <v>41.251930429501002</v>
      </c>
      <c r="AP5" s="79">
        <v>38.549575885334498</v>
      </c>
      <c r="AQ5" s="79">
        <v>43.439386659283102</v>
      </c>
      <c r="AR5" s="79">
        <v>42.272386112270397</v>
      </c>
      <c r="AS5" s="79">
        <v>42.163886137559302</v>
      </c>
      <c r="AT5" s="79">
        <v>56.8036619652204</v>
      </c>
      <c r="AU5" s="79">
        <v>37.4835381620248</v>
      </c>
      <c r="AV5" s="79">
        <v>48.9059592351487</v>
      </c>
      <c r="AW5" s="79">
        <v>40.7866158129426</v>
      </c>
      <c r="AX5" s="79">
        <v>31.4543321511245</v>
      </c>
      <c r="AY5" s="79">
        <v>32.576140892352399</v>
      </c>
      <c r="AZ5" s="580">
        <v>32.924704147553634</v>
      </c>
      <c r="BA5" s="78">
        <v>96</v>
      </c>
      <c r="BB5" s="78">
        <v>75</v>
      </c>
      <c r="BC5" s="78">
        <v>85</v>
      </c>
      <c r="BD5" s="78">
        <v>88</v>
      </c>
      <c r="BE5" s="78">
        <v>65</v>
      </c>
      <c r="BF5" s="78">
        <v>75</v>
      </c>
      <c r="BG5" s="78">
        <v>73</v>
      </c>
      <c r="BH5" s="78">
        <v>86</v>
      </c>
      <c r="BI5" s="78">
        <v>83</v>
      </c>
      <c r="BJ5" s="78">
        <v>82</v>
      </c>
      <c r="BK5" s="78">
        <v>110</v>
      </c>
      <c r="BL5" s="78">
        <v>67</v>
      </c>
      <c r="BM5" s="78">
        <v>90</v>
      </c>
      <c r="BN5" s="78">
        <v>75</v>
      </c>
      <c r="BO5" s="78">
        <v>55</v>
      </c>
      <c r="BP5" s="78">
        <v>57</v>
      </c>
      <c r="BQ5" s="78">
        <v>57</v>
      </c>
    </row>
    <row r="6" spans="1:69" x14ac:dyDescent="0.2">
      <c r="A6" s="81" t="s">
        <v>44</v>
      </c>
      <c r="B6" s="79">
        <v>31.464530892448501</v>
      </c>
      <c r="C6" s="79">
        <v>23.1615518239722</v>
      </c>
      <c r="D6" s="79">
        <v>25</v>
      </c>
      <c r="E6" s="79">
        <v>25.2293577981651</v>
      </c>
      <c r="F6" s="79">
        <v>16.8800931315483</v>
      </c>
      <c r="G6" s="79">
        <v>23.216308040770102</v>
      </c>
      <c r="H6" s="79">
        <v>26.849315068493201</v>
      </c>
      <c r="I6" s="79">
        <v>31.847133757961799</v>
      </c>
      <c r="J6" s="79">
        <v>20.144628099173602</v>
      </c>
      <c r="K6" s="79">
        <v>29.912325941206799</v>
      </c>
      <c r="L6" s="79">
        <v>33.437826541274802</v>
      </c>
      <c r="M6" s="79">
        <v>23.217247097844101</v>
      </c>
      <c r="N6" s="79">
        <v>23.282226007950001</v>
      </c>
      <c r="O6" s="79">
        <v>28.152492668621701</v>
      </c>
      <c r="P6" s="79">
        <v>24.769585253456199</v>
      </c>
      <c r="Q6" s="79">
        <v>14.0924464487035</v>
      </c>
      <c r="R6" s="79">
        <v>14.985590778097983</v>
      </c>
      <c r="S6" s="79">
        <v>23.703390715925899</v>
      </c>
      <c r="T6" s="79">
        <v>16.546952195592901</v>
      </c>
      <c r="U6" s="79">
        <v>18.165038271672898</v>
      </c>
      <c r="V6" s="79">
        <v>18.331689998936</v>
      </c>
      <c r="W6" s="79">
        <v>11.304863293101199</v>
      </c>
      <c r="X6" s="79">
        <v>16.660423481571499</v>
      </c>
      <c r="Y6" s="79">
        <v>19.863271095248798</v>
      </c>
      <c r="Z6" s="79">
        <v>24.302718126330799</v>
      </c>
      <c r="AA6" s="79">
        <v>14.324799839584999</v>
      </c>
      <c r="AB6" s="79">
        <v>22.713683177024102</v>
      </c>
      <c r="AC6" s="79">
        <v>25.7512009123487</v>
      </c>
      <c r="AD6" s="79">
        <v>16.732949548080502</v>
      </c>
      <c r="AE6" s="79">
        <v>16.707727352899099</v>
      </c>
      <c r="AF6" s="79">
        <v>20.757425702922699</v>
      </c>
      <c r="AG6" s="79">
        <v>17.925871665879701</v>
      </c>
      <c r="AH6" s="79">
        <v>9.1198883020458403</v>
      </c>
      <c r="AI6" s="580">
        <v>9.7890854268566816</v>
      </c>
      <c r="AJ6" s="79">
        <v>40.955411885560302</v>
      </c>
      <c r="AK6" s="79">
        <v>31.539459735949102</v>
      </c>
      <c r="AL6" s="79">
        <v>33.561333113811202</v>
      </c>
      <c r="AM6" s="79">
        <v>33.869235252469998</v>
      </c>
      <c r="AN6" s="79">
        <v>24.242629475312299</v>
      </c>
      <c r="AO6" s="79">
        <v>31.495543355455801</v>
      </c>
      <c r="AP6" s="79">
        <v>35.496218407078501</v>
      </c>
      <c r="AQ6" s="79">
        <v>40.9935739950336</v>
      </c>
      <c r="AR6" s="79">
        <v>27.538369765409499</v>
      </c>
      <c r="AS6" s="79">
        <v>38.668617712581003</v>
      </c>
      <c r="AT6" s="79">
        <v>42.699357998372498</v>
      </c>
      <c r="AU6" s="79">
        <v>31.382973343554799</v>
      </c>
      <c r="AV6" s="79">
        <v>31.584968521144202</v>
      </c>
      <c r="AW6" s="79">
        <v>37.3261209279339</v>
      </c>
      <c r="AX6" s="79">
        <v>33.364468784783199</v>
      </c>
      <c r="AY6" s="79">
        <v>20.8032309456203</v>
      </c>
      <c r="AZ6" s="580">
        <v>21.957362583933733</v>
      </c>
      <c r="BA6" s="78">
        <v>55</v>
      </c>
      <c r="BB6" s="78">
        <v>40</v>
      </c>
      <c r="BC6" s="78">
        <v>44</v>
      </c>
      <c r="BD6" s="78">
        <v>44</v>
      </c>
      <c r="BE6" s="78">
        <v>29</v>
      </c>
      <c r="BF6" s="78">
        <v>41</v>
      </c>
      <c r="BG6" s="78">
        <v>49</v>
      </c>
      <c r="BH6" s="78">
        <v>60</v>
      </c>
      <c r="BI6" s="78">
        <v>39</v>
      </c>
      <c r="BJ6" s="78">
        <v>58</v>
      </c>
      <c r="BK6" s="78">
        <v>64</v>
      </c>
      <c r="BL6" s="78">
        <v>42</v>
      </c>
      <c r="BM6" s="78">
        <v>41</v>
      </c>
      <c r="BN6" s="78">
        <v>48</v>
      </c>
      <c r="BO6" s="78">
        <v>43</v>
      </c>
      <c r="BP6" s="78">
        <v>25</v>
      </c>
      <c r="BQ6" s="78">
        <v>26</v>
      </c>
    </row>
    <row r="7" spans="1:69" x14ac:dyDescent="0.2">
      <c r="A7" s="81" t="s">
        <v>79</v>
      </c>
      <c r="B7" s="79">
        <v>56.009334889148199</v>
      </c>
      <c r="C7" s="79">
        <v>46.995835812016701</v>
      </c>
      <c r="D7" s="79">
        <v>53.148469093009801</v>
      </c>
      <c r="E7" s="79">
        <v>39.370078740157503</v>
      </c>
      <c r="F7" s="79">
        <v>49.637479085331798</v>
      </c>
      <c r="G7" s="79">
        <v>40.794979079497899</v>
      </c>
      <c r="H7" s="79">
        <v>42.0040485829959</v>
      </c>
      <c r="I7" s="79">
        <v>38.365719980069798</v>
      </c>
      <c r="J7" s="79">
        <v>39.325842696629202</v>
      </c>
      <c r="K7" s="79">
        <v>39.573820395738203</v>
      </c>
      <c r="L7" s="79">
        <v>50.479555779909099</v>
      </c>
      <c r="M7" s="79">
        <v>42.126379137412201</v>
      </c>
      <c r="N7" s="79">
        <v>39.772727272727302</v>
      </c>
      <c r="O7" s="79">
        <v>31.0199789695058</v>
      </c>
      <c r="P7" s="79">
        <v>29.966703662597101</v>
      </c>
      <c r="Q7" s="79">
        <v>26.121521862578099</v>
      </c>
      <c r="R7" s="79">
        <v>24.915062287655722</v>
      </c>
      <c r="S7" s="79">
        <v>45.367741082260501</v>
      </c>
      <c r="T7" s="79">
        <v>37.2070457820315</v>
      </c>
      <c r="U7" s="79">
        <v>42.845167398187399</v>
      </c>
      <c r="V7" s="79">
        <v>30.690907822241599</v>
      </c>
      <c r="W7" s="79">
        <v>39.862971635443799</v>
      </c>
      <c r="X7" s="79">
        <v>32.246738077939497</v>
      </c>
      <c r="Y7" s="79">
        <v>33.455990231681703</v>
      </c>
      <c r="Z7" s="79">
        <v>30.277626235399399</v>
      </c>
      <c r="AA7" s="79">
        <v>31.035340068665199</v>
      </c>
      <c r="AB7" s="79">
        <v>31.281462813303101</v>
      </c>
      <c r="AC7" s="79">
        <v>41.072181348270099</v>
      </c>
      <c r="AD7" s="79">
        <v>33.601649819351103</v>
      </c>
      <c r="AE7" s="79">
        <v>31.388014387627301</v>
      </c>
      <c r="AF7" s="79">
        <v>23.613845230648501</v>
      </c>
      <c r="AG7" s="79">
        <v>22.511910084653</v>
      </c>
      <c r="AH7" s="79">
        <v>19.124237029512699</v>
      </c>
      <c r="AI7" s="580">
        <v>18.103322399855227</v>
      </c>
      <c r="AJ7" s="79">
        <v>68.396984246982797</v>
      </c>
      <c r="AK7" s="79">
        <v>58.570833530443601</v>
      </c>
      <c r="AL7" s="79">
        <v>65.181879261511298</v>
      </c>
      <c r="AM7" s="79">
        <v>49.741726002271598</v>
      </c>
      <c r="AN7" s="79">
        <v>61.083189288207699</v>
      </c>
      <c r="AO7" s="79">
        <v>50.913980152128502</v>
      </c>
      <c r="AP7" s="79">
        <v>52.070337954081999</v>
      </c>
      <c r="AQ7" s="79">
        <v>47.950567264635197</v>
      </c>
      <c r="AR7" s="79">
        <v>49.150555924475398</v>
      </c>
      <c r="AS7" s="79">
        <v>49.389918848741601</v>
      </c>
      <c r="AT7" s="79">
        <v>61.396665215762901</v>
      </c>
      <c r="AU7" s="79">
        <v>52.155323856513398</v>
      </c>
      <c r="AV7" s="79">
        <v>49.709084969071696</v>
      </c>
      <c r="AW7" s="79">
        <v>40.013512808925199</v>
      </c>
      <c r="AX7" s="79">
        <v>39.100047943235701</v>
      </c>
      <c r="AY7" s="79">
        <v>34.842449580116998</v>
      </c>
      <c r="AZ7" s="580">
        <v>33.447308199494763</v>
      </c>
      <c r="BA7" s="78">
        <v>96</v>
      </c>
      <c r="BB7" s="78">
        <v>79</v>
      </c>
      <c r="BC7" s="78">
        <v>92</v>
      </c>
      <c r="BD7" s="78">
        <v>70</v>
      </c>
      <c r="BE7" s="78">
        <v>89</v>
      </c>
      <c r="BF7" s="78">
        <v>78</v>
      </c>
      <c r="BG7" s="78">
        <v>83</v>
      </c>
      <c r="BH7" s="78">
        <v>77</v>
      </c>
      <c r="BI7" s="78">
        <v>77</v>
      </c>
      <c r="BJ7" s="78">
        <v>78</v>
      </c>
      <c r="BK7" s="78">
        <v>100</v>
      </c>
      <c r="BL7" s="78">
        <v>84</v>
      </c>
      <c r="BM7" s="78">
        <v>77</v>
      </c>
      <c r="BN7" s="78">
        <v>59</v>
      </c>
      <c r="BO7" s="78">
        <v>54</v>
      </c>
      <c r="BP7" s="78">
        <v>46</v>
      </c>
      <c r="BQ7" s="78">
        <v>44</v>
      </c>
    </row>
    <row r="8" spans="1:69" x14ac:dyDescent="0.2">
      <c r="A8" s="81" t="s">
        <v>83</v>
      </c>
      <c r="B8" s="79">
        <v>29.491833030853002</v>
      </c>
      <c r="C8" s="79">
        <v>14.971378247468101</v>
      </c>
      <c r="D8" s="79">
        <v>18.3691756272401</v>
      </c>
      <c r="E8" s="79">
        <v>21.758436944937799</v>
      </c>
      <c r="F8" s="79">
        <v>21.891418563922901</v>
      </c>
      <c r="G8" s="79">
        <v>19.524617996604398</v>
      </c>
      <c r="H8" s="79">
        <v>19.140791152700999</v>
      </c>
      <c r="I8" s="79">
        <v>19.2939244663383</v>
      </c>
      <c r="J8" s="79">
        <v>22.610075366917901</v>
      </c>
      <c r="K8" s="79">
        <v>16.962524654832301</v>
      </c>
      <c r="L8" s="79">
        <v>23.068050749711599</v>
      </c>
      <c r="M8" s="79">
        <v>20.139426800929499</v>
      </c>
      <c r="N8" s="79">
        <v>16.3170163170163</v>
      </c>
      <c r="O8" s="79">
        <v>13.215859030837001</v>
      </c>
      <c r="P8" s="79">
        <v>13.295729250604399</v>
      </c>
      <c r="Q8" s="79">
        <v>9.0515545060999596</v>
      </c>
      <c r="R8" s="79">
        <v>12.398295234405269</v>
      </c>
      <c r="S8" s="79">
        <v>22.761174105823201</v>
      </c>
      <c r="T8" s="79">
        <v>10.368114656350601</v>
      </c>
      <c r="U8" s="79">
        <v>13.182037575472799</v>
      </c>
      <c r="V8" s="79">
        <v>16.097011433760699</v>
      </c>
      <c r="W8" s="79">
        <v>16.248232809746899</v>
      </c>
      <c r="X8" s="79">
        <v>14.2944742822461</v>
      </c>
      <c r="Y8" s="79">
        <v>13.961424410137999</v>
      </c>
      <c r="Z8" s="79">
        <v>14.1764499864802</v>
      </c>
      <c r="AA8" s="79">
        <v>17.124650282794398</v>
      </c>
      <c r="AB8" s="79">
        <v>12.2758631999871</v>
      </c>
      <c r="AC8" s="79">
        <v>17.603352921955899</v>
      </c>
      <c r="AD8" s="79">
        <v>15.041087219388499</v>
      </c>
      <c r="AE8" s="79">
        <v>11.7598701369377</v>
      </c>
      <c r="AF8" s="79">
        <v>9.0971892561993801</v>
      </c>
      <c r="AG8" s="79">
        <v>9.1521682404229807</v>
      </c>
      <c r="AH8" s="79">
        <v>5.7379091054878701</v>
      </c>
      <c r="AI8" s="580">
        <v>8.4804247622179645</v>
      </c>
      <c r="AJ8" s="79">
        <v>37.589762166910901</v>
      </c>
      <c r="AK8" s="79">
        <v>20.921000482255899</v>
      </c>
      <c r="AL8" s="79">
        <v>24.919860916547901</v>
      </c>
      <c r="AM8" s="79">
        <v>28.765807545700799</v>
      </c>
      <c r="AN8" s="79">
        <v>28.861106245331399</v>
      </c>
      <c r="AO8" s="79">
        <v>26.0431042914202</v>
      </c>
      <c r="AP8" s="79">
        <v>25.611884515933099</v>
      </c>
      <c r="AQ8" s="79">
        <v>25.656829368081699</v>
      </c>
      <c r="AR8" s="79">
        <v>29.293975169759101</v>
      </c>
      <c r="AS8" s="79">
        <v>22.848409392656301</v>
      </c>
      <c r="AT8" s="79">
        <v>29.6931539433461</v>
      </c>
      <c r="AU8" s="79">
        <v>26.410178830702101</v>
      </c>
      <c r="AV8" s="79">
        <v>22.055865881309501</v>
      </c>
      <c r="AW8" s="79">
        <v>18.5599796832877</v>
      </c>
      <c r="AX8" s="79">
        <v>18.672147167272101</v>
      </c>
      <c r="AY8" s="79">
        <v>13.5817760310244</v>
      </c>
      <c r="AZ8" s="580">
        <v>17.502693560410872</v>
      </c>
      <c r="BA8" s="78">
        <v>65</v>
      </c>
      <c r="BB8" s="78">
        <v>34</v>
      </c>
      <c r="BC8" s="78">
        <v>41</v>
      </c>
      <c r="BD8" s="78">
        <v>49</v>
      </c>
      <c r="BE8" s="78">
        <v>50</v>
      </c>
      <c r="BF8" s="78">
        <v>46</v>
      </c>
      <c r="BG8" s="78">
        <v>45</v>
      </c>
      <c r="BH8" s="78">
        <v>47</v>
      </c>
      <c r="BI8" s="78">
        <v>57</v>
      </c>
      <c r="BJ8" s="78">
        <v>43</v>
      </c>
      <c r="BK8" s="78">
        <v>60</v>
      </c>
      <c r="BL8" s="78">
        <v>52</v>
      </c>
      <c r="BM8" s="78">
        <v>42</v>
      </c>
      <c r="BN8" s="78">
        <v>33</v>
      </c>
      <c r="BO8" s="78">
        <v>33</v>
      </c>
      <c r="BP8" s="78">
        <v>23</v>
      </c>
      <c r="BQ8" s="78">
        <v>32</v>
      </c>
    </row>
    <row r="9" spans="1:69" x14ac:dyDescent="0.2">
      <c r="A9" s="81" t="s">
        <v>80</v>
      </c>
      <c r="B9" s="79">
        <v>19.7594501718213</v>
      </c>
      <c r="C9" s="79">
        <v>24.882024882024901</v>
      </c>
      <c r="D9" s="79">
        <v>14.3353605560382</v>
      </c>
      <c r="E9" s="79">
        <v>27.1416454622562</v>
      </c>
      <c r="F9" s="79">
        <v>23.708721422523301</v>
      </c>
      <c r="G9" s="79">
        <v>19.7530864197531</v>
      </c>
      <c r="H9" s="79">
        <v>19.8621807863802</v>
      </c>
      <c r="I9" s="79">
        <v>25.380710659898501</v>
      </c>
      <c r="J9" s="79">
        <v>18.482107746755801</v>
      </c>
      <c r="K9" s="79">
        <v>20.241339042429001</v>
      </c>
      <c r="L9" s="79">
        <v>25.879498584714899</v>
      </c>
      <c r="M9" s="79">
        <v>24.667188723570899</v>
      </c>
      <c r="N9" s="79">
        <v>17.357001972386598</v>
      </c>
      <c r="O9" s="79">
        <v>12.9032258064516</v>
      </c>
      <c r="P9" s="79">
        <v>14.9425287356322</v>
      </c>
      <c r="Q9" s="79">
        <v>13.079222720478301</v>
      </c>
      <c r="R9" s="79">
        <v>14.002333722287048</v>
      </c>
      <c r="S9" s="79">
        <v>14.466400948871099</v>
      </c>
      <c r="T9" s="79">
        <v>18.893964684791801</v>
      </c>
      <c r="U9" s="79">
        <v>9.8678025945828995</v>
      </c>
      <c r="V9" s="79">
        <v>20.9023742774535</v>
      </c>
      <c r="W9" s="79">
        <v>17.909313371139</v>
      </c>
      <c r="X9" s="79">
        <v>14.564366594026</v>
      </c>
      <c r="Y9" s="79">
        <v>14.6941506886215</v>
      </c>
      <c r="Z9" s="79">
        <v>19.5882966533519</v>
      </c>
      <c r="AA9" s="79">
        <v>13.5799575961721</v>
      </c>
      <c r="AB9" s="79">
        <v>15.117200155882101</v>
      </c>
      <c r="AC9" s="79">
        <v>19.9303673862659</v>
      </c>
      <c r="AD9" s="79">
        <v>18.954945103949601</v>
      </c>
      <c r="AE9" s="79">
        <v>12.6116242043962</v>
      </c>
      <c r="AF9" s="79">
        <v>8.93585896947714</v>
      </c>
      <c r="AG9" s="79">
        <v>10.6255986549565</v>
      </c>
      <c r="AH9" s="79">
        <v>9.1101578484752395</v>
      </c>
      <c r="AI9" s="580">
        <v>9.8070623949106306</v>
      </c>
      <c r="AJ9" s="79">
        <v>26.356337504547199</v>
      </c>
      <c r="AK9" s="79">
        <v>32.165787106261099</v>
      </c>
      <c r="AL9" s="79">
        <v>20.132176050898899</v>
      </c>
      <c r="AM9" s="79">
        <v>34.659275321834201</v>
      </c>
      <c r="AN9" s="79">
        <v>30.787746827936001</v>
      </c>
      <c r="AO9" s="79">
        <v>26.189726823920701</v>
      </c>
      <c r="AP9" s="79">
        <v>26.258856340866799</v>
      </c>
      <c r="AQ9" s="79">
        <v>32.349799225252497</v>
      </c>
      <c r="AR9" s="79">
        <v>24.577285230297701</v>
      </c>
      <c r="AS9" s="79">
        <v>26.543823176673001</v>
      </c>
      <c r="AT9" s="79">
        <v>33.047541936467901</v>
      </c>
      <c r="AU9" s="79">
        <v>31.560049838249999</v>
      </c>
      <c r="AV9" s="79">
        <v>23.3009650020938</v>
      </c>
      <c r="AW9" s="79">
        <v>18.0309647420126</v>
      </c>
      <c r="AX9" s="79">
        <v>20.4269286842272</v>
      </c>
      <c r="AY9" s="79">
        <v>18.190032649134199</v>
      </c>
      <c r="AZ9" s="580">
        <v>19.385132045599452</v>
      </c>
      <c r="BA9" s="78">
        <v>46</v>
      </c>
      <c r="BB9" s="78">
        <v>58</v>
      </c>
      <c r="BC9" s="78">
        <v>33</v>
      </c>
      <c r="BD9" s="78">
        <v>64</v>
      </c>
      <c r="BE9" s="78">
        <v>56</v>
      </c>
      <c r="BF9" s="78">
        <v>48</v>
      </c>
      <c r="BG9" s="78">
        <v>49</v>
      </c>
      <c r="BH9" s="78">
        <v>65</v>
      </c>
      <c r="BI9" s="78">
        <v>47</v>
      </c>
      <c r="BJ9" s="78">
        <v>52</v>
      </c>
      <c r="BK9" s="78">
        <v>64</v>
      </c>
      <c r="BL9" s="78">
        <v>63</v>
      </c>
      <c r="BM9" s="78">
        <v>44</v>
      </c>
      <c r="BN9" s="78">
        <v>34</v>
      </c>
      <c r="BO9" s="78">
        <v>39</v>
      </c>
      <c r="BP9" s="78">
        <v>35</v>
      </c>
      <c r="BQ9" s="78">
        <v>36</v>
      </c>
    </row>
    <row r="10" spans="1:69" x14ac:dyDescent="0.2">
      <c r="A10" s="81" t="s">
        <v>81</v>
      </c>
      <c r="B10" s="79">
        <v>45.634920634920597</v>
      </c>
      <c r="C10" s="79">
        <v>45.068582625734798</v>
      </c>
      <c r="D10" s="79">
        <v>51.5532055518837</v>
      </c>
      <c r="E10" s="79">
        <v>37.659717552118401</v>
      </c>
      <c r="F10" s="79">
        <v>43.281653746769997</v>
      </c>
      <c r="G10" s="79">
        <v>47.619047619047599</v>
      </c>
      <c r="H10" s="79">
        <v>36.299765807962501</v>
      </c>
      <c r="I10" s="79">
        <v>35.575319622012202</v>
      </c>
      <c r="J10" s="79">
        <v>33.369803063457297</v>
      </c>
      <c r="K10" s="79">
        <v>40.805223068552799</v>
      </c>
      <c r="L10" s="79">
        <v>37.321624588364401</v>
      </c>
      <c r="M10" s="79">
        <v>35.523978685612803</v>
      </c>
      <c r="N10" s="79">
        <v>27.9975654290931</v>
      </c>
      <c r="O10" s="79">
        <v>33.292978208232398</v>
      </c>
      <c r="P10" s="79">
        <v>29.256875365710901</v>
      </c>
      <c r="Q10" s="79">
        <v>22.948938611589199</v>
      </c>
      <c r="R10" s="79">
        <v>18.539325842696631</v>
      </c>
      <c r="S10" s="79">
        <v>35.506692167225403</v>
      </c>
      <c r="T10" s="79">
        <v>35.066047391799401</v>
      </c>
      <c r="U10" s="79">
        <v>40.750669666239503</v>
      </c>
      <c r="V10" s="79">
        <v>28.447745919724401</v>
      </c>
      <c r="W10" s="79">
        <v>33.542687160982297</v>
      </c>
      <c r="X10" s="79">
        <v>37.640881077545998</v>
      </c>
      <c r="Y10" s="79">
        <v>27.8308222986959</v>
      </c>
      <c r="Z10" s="79">
        <v>27.3973310429324</v>
      </c>
      <c r="AA10" s="79">
        <v>25.5252552302968</v>
      </c>
      <c r="AB10" s="79">
        <v>32.095896464337002</v>
      </c>
      <c r="AC10" s="79">
        <v>28.981701840078198</v>
      </c>
      <c r="AD10" s="79">
        <v>27.108538158678101</v>
      </c>
      <c r="AE10" s="79">
        <v>20.497736706617101</v>
      </c>
      <c r="AF10" s="79">
        <v>25.080827464551099</v>
      </c>
      <c r="AG10" s="79">
        <v>21.715016815366798</v>
      </c>
      <c r="AH10" s="79">
        <v>16.395058199534699</v>
      </c>
      <c r="AI10" s="580">
        <v>12.76161886108418</v>
      </c>
      <c r="AJ10" s="79">
        <v>57.753912761273298</v>
      </c>
      <c r="AK10" s="79">
        <v>57.037175764235997</v>
      </c>
      <c r="AL10" s="79">
        <v>64.340733675393096</v>
      </c>
      <c r="AM10" s="79">
        <v>48.9042757280329</v>
      </c>
      <c r="AN10" s="79">
        <v>54.966170302194001</v>
      </c>
      <c r="AO10" s="79">
        <v>59.4307265267825</v>
      </c>
      <c r="AP10" s="79">
        <v>46.534661519757798</v>
      </c>
      <c r="AQ10" s="79">
        <v>45.428888943237901</v>
      </c>
      <c r="AR10" s="79">
        <v>42.8649080496915</v>
      </c>
      <c r="AS10" s="79">
        <v>51.149700461824096</v>
      </c>
      <c r="AT10" s="79">
        <v>47.3140522261413</v>
      </c>
      <c r="AU10" s="79">
        <v>45.726402253785302</v>
      </c>
      <c r="AV10" s="79">
        <v>37.344828795244098</v>
      </c>
      <c r="AW10" s="79">
        <v>43.3353873946485</v>
      </c>
      <c r="AX10" s="79">
        <v>38.571542811197702</v>
      </c>
      <c r="AY10" s="79">
        <v>31.2499408858199</v>
      </c>
      <c r="AZ10" s="580">
        <v>26.036106330993981</v>
      </c>
      <c r="BA10" s="78">
        <v>69</v>
      </c>
      <c r="BB10" s="78">
        <v>69</v>
      </c>
      <c r="BC10" s="78">
        <v>78</v>
      </c>
      <c r="BD10" s="78">
        <v>56</v>
      </c>
      <c r="BE10" s="78">
        <v>67</v>
      </c>
      <c r="BF10" s="78">
        <v>78</v>
      </c>
      <c r="BG10" s="78">
        <v>62</v>
      </c>
      <c r="BH10" s="78">
        <v>64</v>
      </c>
      <c r="BI10" s="78">
        <v>61</v>
      </c>
      <c r="BJ10" s="78">
        <v>75</v>
      </c>
      <c r="BK10" s="78">
        <v>68</v>
      </c>
      <c r="BL10" s="78">
        <v>60</v>
      </c>
      <c r="BM10" s="78">
        <v>46</v>
      </c>
      <c r="BN10" s="78">
        <v>55</v>
      </c>
      <c r="BO10" s="78">
        <v>50</v>
      </c>
      <c r="BP10" s="78">
        <v>40</v>
      </c>
      <c r="BQ10" s="78">
        <v>33</v>
      </c>
    </row>
    <row r="11" spans="1:69" x14ac:dyDescent="0.2">
      <c r="A11" s="81" t="s">
        <v>291</v>
      </c>
      <c r="B11" s="79">
        <v>36.992744957346702</v>
      </c>
      <c r="C11" s="79">
        <v>31.25</v>
      </c>
      <c r="D11" s="79">
        <v>32.961745127917197</v>
      </c>
      <c r="E11" s="79">
        <v>32.242731521825199</v>
      </c>
      <c r="F11" s="79">
        <v>30.510053567269601</v>
      </c>
      <c r="G11" s="79">
        <v>29.4073964057627</v>
      </c>
      <c r="H11" s="79">
        <v>29.3286986747773</v>
      </c>
      <c r="I11" s="79">
        <v>31.2675266404936</v>
      </c>
      <c r="J11" s="79">
        <v>28.445931813428199</v>
      </c>
      <c r="K11" s="79">
        <v>29.794900221729499</v>
      </c>
      <c r="L11" s="79">
        <v>34.966014995445299</v>
      </c>
      <c r="M11" s="79">
        <v>29.434878902622</v>
      </c>
      <c r="N11" s="79">
        <v>26.809651474530799</v>
      </c>
      <c r="O11" s="79">
        <v>24.5639534883721</v>
      </c>
      <c r="P11" s="79">
        <v>22.549234936671802</v>
      </c>
      <c r="Q11" s="79">
        <v>18.889857599534999</v>
      </c>
      <c r="R11" s="79">
        <v>18.227069760632457</v>
      </c>
      <c r="S11" s="79">
        <v>33.702884606584803</v>
      </c>
      <c r="T11" s="79">
        <v>28.2325803863374</v>
      </c>
      <c r="U11" s="79">
        <v>29.8516327418169</v>
      </c>
      <c r="V11" s="79">
        <v>29.185920346070699</v>
      </c>
      <c r="W11" s="79">
        <v>27.5677365070541</v>
      </c>
      <c r="X11" s="79">
        <v>26.5819075671664</v>
      </c>
      <c r="Y11" s="79">
        <v>26.541470188760002</v>
      </c>
      <c r="Z11" s="79">
        <v>28.432586852626901</v>
      </c>
      <c r="AA11" s="79">
        <v>25.752305483250101</v>
      </c>
      <c r="AB11" s="79">
        <v>27.0448852257746</v>
      </c>
      <c r="AC11" s="79">
        <v>31.964941164553601</v>
      </c>
      <c r="AD11" s="79">
        <v>26.660833773303299</v>
      </c>
      <c r="AE11" s="79">
        <v>24.1471809105057</v>
      </c>
      <c r="AF11" s="79">
        <v>22.014738354504502</v>
      </c>
      <c r="AG11" s="79">
        <v>20.100995336870099</v>
      </c>
      <c r="AH11" s="79">
        <v>16.6633302389641</v>
      </c>
      <c r="AI11" s="580">
        <v>16.033237530579978</v>
      </c>
      <c r="AJ11" s="79">
        <v>40.516945624814397</v>
      </c>
      <c r="AK11" s="79">
        <v>34.502053280198403</v>
      </c>
      <c r="AL11" s="79">
        <v>36.307811746683399</v>
      </c>
      <c r="AM11" s="79">
        <v>35.532636650496599</v>
      </c>
      <c r="AN11" s="79">
        <v>33.680860895701898</v>
      </c>
      <c r="AO11" s="79">
        <v>32.451435655053203</v>
      </c>
      <c r="AP11" s="79">
        <v>32.329010082246803</v>
      </c>
      <c r="AQ11" s="79">
        <v>34.3085951633281</v>
      </c>
      <c r="AR11" s="79">
        <v>31.344695614210099</v>
      </c>
      <c r="AS11" s="79">
        <v>32.748702440135503</v>
      </c>
      <c r="AT11" s="79">
        <v>38.172942625250997</v>
      </c>
      <c r="AU11" s="79">
        <v>32.419115925952603</v>
      </c>
      <c r="AV11" s="79">
        <v>29.685502403238502</v>
      </c>
      <c r="AW11" s="79">
        <v>27.3273533242543</v>
      </c>
      <c r="AX11" s="79">
        <v>25.213425493401299</v>
      </c>
      <c r="AY11" s="79">
        <v>21.3310406053787</v>
      </c>
      <c r="AZ11" s="580">
        <v>20.637271405617639</v>
      </c>
      <c r="BA11" s="80">
        <v>464</v>
      </c>
      <c r="BB11" s="80">
        <v>392</v>
      </c>
      <c r="BC11" s="80">
        <v>411</v>
      </c>
      <c r="BD11" s="80">
        <v>407</v>
      </c>
      <c r="BE11" s="80">
        <v>393</v>
      </c>
      <c r="BF11" s="80">
        <v>396</v>
      </c>
      <c r="BG11" s="80">
        <v>405</v>
      </c>
      <c r="BH11" s="80">
        <v>446</v>
      </c>
      <c r="BI11" s="80">
        <v>408</v>
      </c>
      <c r="BJ11" s="80">
        <v>430</v>
      </c>
      <c r="BK11" s="80">
        <v>499</v>
      </c>
      <c r="BL11" s="80">
        <v>412</v>
      </c>
      <c r="BM11" s="80">
        <v>370</v>
      </c>
      <c r="BN11" s="80">
        <v>338</v>
      </c>
      <c r="BO11" s="80">
        <v>308</v>
      </c>
      <c r="BP11" s="80">
        <v>260</v>
      </c>
      <c r="BQ11" s="78">
        <v>249</v>
      </c>
    </row>
    <row r="12" spans="1:69" x14ac:dyDescent="0.2">
      <c r="A12" s="81" t="s">
        <v>292</v>
      </c>
      <c r="B12" s="79">
        <v>37.8193465907095</v>
      </c>
      <c r="C12" s="79">
        <v>35.943973450635703</v>
      </c>
      <c r="D12" s="79">
        <v>35.962827802766697</v>
      </c>
      <c r="E12" s="79">
        <v>34.957295299350598</v>
      </c>
      <c r="F12" s="79">
        <v>34.570209139456097</v>
      </c>
      <c r="G12" s="79">
        <v>33.169235735614599</v>
      </c>
      <c r="H12" s="79">
        <v>33.471922530393101</v>
      </c>
      <c r="I12" s="79">
        <v>34.351686930483503</v>
      </c>
      <c r="J12" s="79">
        <v>33.367005089123602</v>
      </c>
      <c r="K12" s="79">
        <v>33.000227980849601</v>
      </c>
      <c r="L12" s="79">
        <v>32.974177381380699</v>
      </c>
      <c r="M12" s="79">
        <v>29.9310938845823</v>
      </c>
      <c r="N12" s="79">
        <v>27.976669091651701</v>
      </c>
      <c r="O12" s="79">
        <v>26.115349716929298</v>
      </c>
      <c r="P12" s="79">
        <v>23.245650678988898</v>
      </c>
      <c r="Q12" s="79">
        <v>20.546840213470301</v>
      </c>
      <c r="R12" s="79">
        <v>18.84</v>
      </c>
      <c r="S12" s="79">
        <v>36.815809460783697</v>
      </c>
      <c r="T12" s="79">
        <v>34.960150699530402</v>
      </c>
      <c r="U12" s="79">
        <v>34.981087819386801</v>
      </c>
      <c r="V12" s="79">
        <v>33.997079209963502</v>
      </c>
      <c r="W12" s="79">
        <v>33.621375863333803</v>
      </c>
      <c r="X12" s="79">
        <v>32.249916747743796</v>
      </c>
      <c r="Y12" s="79">
        <v>32.558448704023199</v>
      </c>
      <c r="Z12" s="79">
        <v>33.434991088117101</v>
      </c>
      <c r="AA12" s="79">
        <v>32.467817789038101</v>
      </c>
      <c r="AB12" s="79">
        <v>32.110246981993797</v>
      </c>
      <c r="AC12" s="79">
        <v>32.085998633511302</v>
      </c>
      <c r="AD12" s="79">
        <v>29.083763389915799</v>
      </c>
      <c r="AE12" s="79">
        <v>27.154578680643301</v>
      </c>
      <c r="AF12" s="79">
        <v>25.320769395353299</v>
      </c>
      <c r="AG12" s="79">
        <v>22.494196977458301</v>
      </c>
      <c r="AH12" s="79">
        <v>19.839284982874599</v>
      </c>
      <c r="AI12" s="580">
        <v>18.16</v>
      </c>
      <c r="AJ12" s="79">
        <v>38.843308008435201</v>
      </c>
      <c r="AK12" s="79">
        <v>36.9484618059357</v>
      </c>
      <c r="AL12" s="79">
        <v>36.965134186541697</v>
      </c>
      <c r="AM12" s="79">
        <v>35.937754127919497</v>
      </c>
      <c r="AN12" s="79">
        <v>35.539029090721897</v>
      </c>
      <c r="AO12" s="79">
        <v>34.108113388238301</v>
      </c>
      <c r="AP12" s="79">
        <v>34.404526946751503</v>
      </c>
      <c r="AQ12" s="79">
        <v>35.2871474408091</v>
      </c>
      <c r="AR12" s="79">
        <v>34.284783227879899</v>
      </c>
      <c r="AS12" s="79">
        <v>33.908623756689202</v>
      </c>
      <c r="AT12" s="79">
        <v>33.880710474179402</v>
      </c>
      <c r="AU12" s="79">
        <v>30.796844833013498</v>
      </c>
      <c r="AV12" s="79">
        <v>28.817323771274499</v>
      </c>
      <c r="AW12" s="79">
        <v>26.9285218596034</v>
      </c>
      <c r="AX12" s="79">
        <v>24.015809780528201</v>
      </c>
      <c r="AY12" s="79">
        <v>21.273184484859001</v>
      </c>
      <c r="AZ12" s="580">
        <v>19.53</v>
      </c>
      <c r="BA12" s="80">
        <v>5384</v>
      </c>
      <c r="BB12" s="80">
        <v>5058</v>
      </c>
      <c r="BC12" s="80">
        <v>5085</v>
      </c>
      <c r="BD12" s="80">
        <v>5022</v>
      </c>
      <c r="BE12" s="80">
        <v>5030</v>
      </c>
      <c r="BF12" s="80">
        <v>4932</v>
      </c>
      <c r="BG12" s="80">
        <v>5088</v>
      </c>
      <c r="BH12" s="80">
        <v>5323</v>
      </c>
      <c r="BI12" s="80">
        <v>5219</v>
      </c>
      <c r="BJ12" s="80">
        <v>5211</v>
      </c>
      <c r="BK12" s="80">
        <v>5224</v>
      </c>
      <c r="BL12" s="80">
        <v>4726</v>
      </c>
      <c r="BM12" s="80">
        <v>4384</v>
      </c>
      <c r="BN12" s="80">
        <v>4087</v>
      </c>
      <c r="BO12" s="80">
        <v>3617</v>
      </c>
      <c r="BP12" s="80">
        <v>3184</v>
      </c>
      <c r="BQ12" s="78">
        <v>2929</v>
      </c>
    </row>
    <row r="13" spans="1:69" x14ac:dyDescent="0.2">
      <c r="A13" s="83" t="s">
        <v>293</v>
      </c>
      <c r="B13" s="79">
        <v>46.644023312362499</v>
      </c>
      <c r="C13" s="79">
        <v>44.750251703775199</v>
      </c>
      <c r="D13" s="79">
        <v>43.638134994063201</v>
      </c>
      <c r="E13" s="79">
        <v>42.478675618691497</v>
      </c>
      <c r="F13" s="79">
        <v>42.760491262081104</v>
      </c>
      <c r="G13" s="79">
        <v>42.118388952721297</v>
      </c>
      <c r="H13" s="79">
        <v>41.595795980673401</v>
      </c>
      <c r="I13" s="79">
        <v>41.426295144139701</v>
      </c>
      <c r="J13" s="79">
        <v>40.586425669437702</v>
      </c>
      <c r="K13" s="79">
        <v>41.381035417762298</v>
      </c>
      <c r="L13" s="79">
        <v>39.667749484502302</v>
      </c>
      <c r="M13" s="79">
        <v>37.113627592412598</v>
      </c>
      <c r="N13" s="79">
        <v>34.172206843049501</v>
      </c>
      <c r="O13" s="79">
        <v>30.703799813667501</v>
      </c>
      <c r="P13" s="79">
        <v>27.746396850804601</v>
      </c>
      <c r="Q13" s="79">
        <v>24.346104996443501</v>
      </c>
      <c r="R13" s="79">
        <v>22.804472171086047</v>
      </c>
      <c r="S13" s="79">
        <v>46.194094439772002</v>
      </c>
      <c r="T13" s="79">
        <v>44.308601149806499</v>
      </c>
      <c r="U13" s="79">
        <v>43.204434679316002</v>
      </c>
      <c r="V13" s="79">
        <v>42.055192212879597</v>
      </c>
      <c r="W13" s="79">
        <v>42.339029439824102</v>
      </c>
      <c r="X13" s="79">
        <v>41.704319980130599</v>
      </c>
      <c r="Y13" s="79">
        <v>41.1870707737652</v>
      </c>
      <c r="Z13" s="79">
        <v>41.020313185122497</v>
      </c>
      <c r="AA13" s="79">
        <v>40.185476327619597</v>
      </c>
      <c r="AB13" s="79">
        <v>40.978323138194902</v>
      </c>
      <c r="AC13" s="79">
        <v>39.273930138117699</v>
      </c>
      <c r="AD13" s="79">
        <v>36.731043947885098</v>
      </c>
      <c r="AE13" s="79">
        <v>33.801981266709397</v>
      </c>
      <c r="AF13" s="79">
        <v>30.3524255518617</v>
      </c>
      <c r="AG13" s="79">
        <v>27.411153798826501</v>
      </c>
      <c r="AH13" s="79">
        <v>24.031307059552699</v>
      </c>
      <c r="AI13" s="580">
        <v>22.499107179936512</v>
      </c>
      <c r="AJ13" s="79">
        <v>47.097243268541703</v>
      </c>
      <c r="AK13" s="79">
        <v>45.195208040132798</v>
      </c>
      <c r="AL13" s="79">
        <v>44.0751045402586</v>
      </c>
      <c r="AM13" s="79">
        <v>42.905361185456599</v>
      </c>
      <c r="AN13" s="79">
        <v>43.185103604227301</v>
      </c>
      <c r="AO13" s="79">
        <v>42.535545195936201</v>
      </c>
      <c r="AP13" s="79">
        <v>42.007567069314703</v>
      </c>
      <c r="AQ13" s="79">
        <v>41.8352944791488</v>
      </c>
      <c r="AR13" s="79">
        <v>40.990379103094</v>
      </c>
      <c r="AS13" s="79">
        <v>41.786719777782402</v>
      </c>
      <c r="AT13" s="79">
        <v>40.064534248180998</v>
      </c>
      <c r="AU13" s="79">
        <v>37.499203222521501</v>
      </c>
      <c r="AV13" s="79">
        <v>34.545476478362403</v>
      </c>
      <c r="AW13" s="79">
        <v>31.058227019034799</v>
      </c>
      <c r="AX13" s="79">
        <v>28.084716496413598</v>
      </c>
      <c r="AY13" s="79">
        <v>24.663996352247</v>
      </c>
      <c r="AZ13" s="580">
        <v>23.112945708503545</v>
      </c>
      <c r="BA13" s="80">
        <v>41089</v>
      </c>
      <c r="BB13" s="80">
        <v>39247</v>
      </c>
      <c r="BC13" s="80">
        <v>38700</v>
      </c>
      <c r="BD13" s="80">
        <v>38461</v>
      </c>
      <c r="BE13" s="80">
        <v>39350</v>
      </c>
      <c r="BF13" s="80">
        <v>39553</v>
      </c>
      <c r="BG13" s="80">
        <v>39593</v>
      </c>
      <c r="BH13" s="80">
        <v>39804</v>
      </c>
      <c r="BI13" s="80">
        <v>39170</v>
      </c>
      <c r="BJ13" s="80">
        <v>40366</v>
      </c>
      <c r="BK13" s="80">
        <v>38783</v>
      </c>
      <c r="BL13" s="80">
        <v>35966</v>
      </c>
      <c r="BM13" s="80">
        <v>32552</v>
      </c>
      <c r="BN13" s="80">
        <v>29166</v>
      </c>
      <c r="BO13" s="80">
        <v>26157</v>
      </c>
      <c r="BP13" s="80">
        <v>22830</v>
      </c>
      <c r="BQ13" s="78">
        <v>21282</v>
      </c>
    </row>
    <row r="15" spans="1:69" x14ac:dyDescent="0.2">
      <c r="A15">
        <v>1</v>
      </c>
      <c r="B15" s="86">
        <v>2</v>
      </c>
      <c r="C15" s="86">
        <v>3</v>
      </c>
      <c r="D15" s="86">
        <v>4</v>
      </c>
      <c r="E15" s="86">
        <v>5</v>
      </c>
      <c r="F15" s="86">
        <v>6</v>
      </c>
      <c r="G15" s="86">
        <v>7</v>
      </c>
      <c r="H15">
        <v>8</v>
      </c>
      <c r="I15" s="86">
        <v>9</v>
      </c>
      <c r="J15" s="86">
        <v>10</v>
      </c>
      <c r="K15" s="86">
        <v>11</v>
      </c>
      <c r="L15" s="86">
        <v>12</v>
      </c>
      <c r="M15" s="86">
        <v>13</v>
      </c>
      <c r="N15" s="86">
        <v>14</v>
      </c>
      <c r="O15">
        <v>15</v>
      </c>
      <c r="P15" s="86">
        <v>16</v>
      </c>
      <c r="Q15" s="86">
        <v>17</v>
      </c>
      <c r="R15" s="86">
        <v>18</v>
      </c>
      <c r="S15" s="86">
        <v>19</v>
      </c>
      <c r="T15" s="86">
        <v>20</v>
      </c>
      <c r="U15" s="86">
        <v>21</v>
      </c>
      <c r="V15">
        <v>22</v>
      </c>
      <c r="W15" s="86">
        <v>23</v>
      </c>
      <c r="X15" s="86">
        <v>24</v>
      </c>
      <c r="Y15" s="86">
        <v>25</v>
      </c>
      <c r="Z15" s="86">
        <v>26</v>
      </c>
      <c r="AA15" s="86">
        <v>27</v>
      </c>
      <c r="AB15" s="86">
        <v>28</v>
      </c>
      <c r="AC15">
        <v>29</v>
      </c>
      <c r="AD15" s="86">
        <v>30</v>
      </c>
      <c r="AE15" s="86">
        <v>31</v>
      </c>
      <c r="AF15" s="86">
        <v>32</v>
      </c>
      <c r="AG15" s="86">
        <v>33</v>
      </c>
      <c r="AH15" s="86">
        <v>34</v>
      </c>
      <c r="AI15" s="86">
        <v>35</v>
      </c>
      <c r="AJ15">
        <v>36</v>
      </c>
      <c r="AK15" s="86">
        <v>37</v>
      </c>
      <c r="AL15" s="86">
        <v>38</v>
      </c>
      <c r="AM15" s="86">
        <v>39</v>
      </c>
      <c r="AN15" s="86">
        <v>40</v>
      </c>
      <c r="AO15" s="86">
        <v>41</v>
      </c>
      <c r="AP15" s="86">
        <v>42</v>
      </c>
      <c r="AQ15">
        <v>43</v>
      </c>
      <c r="AR15" s="86">
        <v>44</v>
      </c>
      <c r="AS15" s="86">
        <v>45</v>
      </c>
      <c r="AT15" s="86">
        <v>46</v>
      </c>
      <c r="AU15" s="86">
        <v>47</v>
      </c>
      <c r="AV15" s="86">
        <v>48</v>
      </c>
      <c r="AW15" s="86">
        <v>49</v>
      </c>
      <c r="AX15">
        <v>50</v>
      </c>
      <c r="AY15" s="86">
        <v>51</v>
      </c>
      <c r="AZ15" s="86">
        <v>52</v>
      </c>
      <c r="BA15" s="86">
        <v>53</v>
      </c>
      <c r="BB15" s="86">
        <v>54</v>
      </c>
      <c r="BC15" s="86">
        <v>55</v>
      </c>
      <c r="BD15" s="86">
        <v>56</v>
      </c>
      <c r="BE15">
        <v>57</v>
      </c>
      <c r="BF15" s="86">
        <v>58</v>
      </c>
      <c r="BG15" s="86">
        <v>59</v>
      </c>
      <c r="BH15" s="86">
        <v>60</v>
      </c>
      <c r="BI15" s="86">
        <v>61</v>
      </c>
      <c r="BJ15" s="86">
        <v>62</v>
      </c>
      <c r="BK15" s="86">
        <v>63</v>
      </c>
      <c r="BL15">
        <v>64</v>
      </c>
      <c r="BM15" s="86">
        <v>65</v>
      </c>
      <c r="BN15" s="86">
        <v>66</v>
      </c>
      <c r="BO15" s="86">
        <v>67</v>
      </c>
      <c r="BP15" s="86">
        <v>68</v>
      </c>
      <c r="BQ15" s="86">
        <v>69</v>
      </c>
    </row>
    <row r="21" spans="4:35" x14ac:dyDescent="0.2">
      <c r="D21" s="579"/>
      <c r="E21" s="579"/>
      <c r="F21" s="579"/>
      <c r="G21" s="579"/>
      <c r="H21" s="579"/>
      <c r="I21" s="579"/>
    </row>
    <row r="22" spans="4:35" x14ac:dyDescent="0.2">
      <c r="D22" s="579">
        <v>985</v>
      </c>
      <c r="E22" s="579">
        <v>1.3986142280458341E-2</v>
      </c>
      <c r="F22" s="579">
        <v>3.2372612615766655E-2</v>
      </c>
      <c r="G22" s="579"/>
    </row>
    <row r="23" spans="4:35" x14ac:dyDescent="0.2">
      <c r="D23" s="579">
        <v>2243</v>
      </c>
      <c r="E23" s="579">
        <v>1.9666195657110763E-2</v>
      </c>
      <c r="F23" s="579">
        <v>3.2781411786694331E-2</v>
      </c>
      <c r="G23" s="579"/>
      <c r="AI23" s="579"/>
    </row>
    <row r="24" spans="4:35" x14ac:dyDescent="0.2">
      <c r="D24" s="579">
        <v>1735</v>
      </c>
      <c r="E24" s="579">
        <v>1.0246902966630221E-2</v>
      </c>
      <c r="F24" s="579">
        <v>2.1867271984412504E-2</v>
      </c>
      <c r="G24" s="579"/>
      <c r="AI24" s="579"/>
    </row>
    <row r="25" spans="4:35" x14ac:dyDescent="0.2">
      <c r="D25" s="579">
        <v>1766</v>
      </c>
      <c r="E25" s="579">
        <v>1.8611775521991201E-2</v>
      </c>
      <c r="F25" s="579">
        <v>3.3280702396280212E-2</v>
      </c>
      <c r="G25" s="579"/>
      <c r="AI25" s="579"/>
    </row>
    <row r="26" spans="4:35" x14ac:dyDescent="0.2">
      <c r="D26" s="579">
        <v>2581</v>
      </c>
      <c r="E26" s="579">
        <v>8.7960074569565731E-3</v>
      </c>
      <c r="F26" s="579">
        <v>1.74498803088819E-2</v>
      </c>
      <c r="G26" s="579"/>
      <c r="AI26" s="579"/>
    </row>
    <row r="27" spans="4:35" x14ac:dyDescent="0.2">
      <c r="D27" s="579">
        <v>2571</v>
      </c>
      <c r="E27" s="579">
        <v>1.0131363852197215E-2</v>
      </c>
      <c r="F27" s="579">
        <v>1.9323443379091639E-2</v>
      </c>
      <c r="G27" s="579"/>
      <c r="AI27" s="579"/>
    </row>
    <row r="28" spans="4:35" x14ac:dyDescent="0.2">
      <c r="D28" s="579">
        <v>1780</v>
      </c>
      <c r="E28" s="579">
        <v>1.3231157133577108E-2</v>
      </c>
      <c r="F28" s="579">
        <v>2.5921122053199193E-2</v>
      </c>
      <c r="G28" s="579"/>
      <c r="AI28" s="579"/>
    </row>
    <row r="29" spans="4:35" x14ac:dyDescent="0.2">
      <c r="D29" s="579">
        <v>13661</v>
      </c>
      <c r="E29" s="579">
        <v>1.6115521180115049E-2</v>
      </c>
      <c r="F29" s="579">
        <v>2.0609490254009863E-2</v>
      </c>
      <c r="G29" s="579"/>
      <c r="AI29" s="579"/>
    </row>
    <row r="30" spans="4:35" x14ac:dyDescent="0.2">
      <c r="D30" s="579">
        <v>155474</v>
      </c>
      <c r="E30" s="579">
        <v>1.8175151872033415E-2</v>
      </c>
      <c r="F30" s="579">
        <v>1.9526950265609404E-2</v>
      </c>
      <c r="G30" s="579"/>
      <c r="AI30" s="579"/>
    </row>
    <row r="31" spans="4:35" x14ac:dyDescent="0.2">
      <c r="D31" s="579">
        <v>933238</v>
      </c>
      <c r="E31" s="579">
        <v>2.2503563210724678E-2</v>
      </c>
      <c r="F31" s="579">
        <v>2.3109309645768433E-2</v>
      </c>
      <c r="G31" s="579"/>
      <c r="AI31" s="579"/>
    </row>
    <row r="32" spans="4:35" x14ac:dyDescent="0.2">
      <c r="AI32" s="579"/>
    </row>
  </sheetData>
  <mergeCells count="4">
    <mergeCell ref="B2:R2"/>
    <mergeCell ref="BA2:BQ2"/>
    <mergeCell ref="AJ2:AZ2"/>
    <mergeCell ref="S2:AI2"/>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G13"/>
  <sheetViews>
    <sheetView workbookViewId="0">
      <selection activeCell="E28" sqref="E28"/>
    </sheetView>
  </sheetViews>
  <sheetFormatPr defaultColWidth="8.796875" defaultRowHeight="15" x14ac:dyDescent="0.25"/>
  <cols>
    <col min="1" max="16384" width="8.796875" style="102"/>
  </cols>
  <sheetData>
    <row r="1" spans="1:7" x14ac:dyDescent="0.25">
      <c r="A1" s="102" t="s">
        <v>463</v>
      </c>
    </row>
    <row r="2" spans="1:7" x14ac:dyDescent="0.25">
      <c r="A2" s="103"/>
      <c r="B2" s="100">
        <v>2009</v>
      </c>
      <c r="C2" s="100">
        <v>2010</v>
      </c>
      <c r="D2" s="100">
        <v>2011</v>
      </c>
      <c r="E2" s="100">
        <v>2012</v>
      </c>
      <c r="F2" s="100">
        <v>2013</v>
      </c>
      <c r="G2" s="100">
        <v>2014</v>
      </c>
    </row>
    <row r="3" spans="1:7" x14ac:dyDescent="0.25">
      <c r="A3" s="102" t="s">
        <v>398</v>
      </c>
      <c r="B3" s="105">
        <v>682</v>
      </c>
      <c r="C3" s="105">
        <v>718</v>
      </c>
      <c r="D3" s="105">
        <v>679</v>
      </c>
      <c r="E3" s="105">
        <v>775</v>
      </c>
      <c r="F3" s="101">
        <v>758</v>
      </c>
      <c r="G3" s="102">
        <v>692</v>
      </c>
    </row>
    <row r="4" spans="1:7" x14ac:dyDescent="0.25">
      <c r="A4" s="102" t="s">
        <v>82</v>
      </c>
      <c r="B4" s="105">
        <v>1435</v>
      </c>
      <c r="C4" s="105">
        <v>1496</v>
      </c>
      <c r="D4" s="105">
        <v>1567</v>
      </c>
      <c r="E4" s="105">
        <v>1619</v>
      </c>
      <c r="F4" s="101">
        <v>1493</v>
      </c>
      <c r="G4" s="102">
        <v>1463</v>
      </c>
    </row>
    <row r="5" spans="1:7" x14ac:dyDescent="0.25">
      <c r="A5" s="102" t="s">
        <v>44</v>
      </c>
      <c r="B5" s="105">
        <v>1131</v>
      </c>
      <c r="C5" s="105">
        <v>1067</v>
      </c>
      <c r="D5" s="105">
        <v>1134</v>
      </c>
      <c r="E5" s="105">
        <v>1136</v>
      </c>
      <c r="F5" s="101">
        <v>1046</v>
      </c>
      <c r="G5" s="102">
        <v>1060</v>
      </c>
    </row>
    <row r="6" spans="1:7" x14ac:dyDescent="0.25">
      <c r="A6" s="102" t="s">
        <v>79</v>
      </c>
      <c r="B6" s="105">
        <v>1576</v>
      </c>
      <c r="C6" s="105">
        <v>1716</v>
      </c>
      <c r="D6" s="105">
        <v>1718</v>
      </c>
      <c r="E6" s="105">
        <v>1648</v>
      </c>
      <c r="F6" s="101">
        <v>1646</v>
      </c>
      <c r="G6" s="102">
        <v>1618</v>
      </c>
    </row>
    <row r="7" spans="1:7" x14ac:dyDescent="0.25">
      <c r="A7" s="102" t="s">
        <v>83</v>
      </c>
      <c r="B7" s="105">
        <v>1368</v>
      </c>
      <c r="C7" s="105">
        <v>1313</v>
      </c>
      <c r="D7" s="105">
        <v>1308</v>
      </c>
      <c r="E7" s="105">
        <v>1290</v>
      </c>
      <c r="F7" s="101">
        <v>1261</v>
      </c>
      <c r="G7" s="102">
        <v>1229</v>
      </c>
    </row>
    <row r="8" spans="1:7" x14ac:dyDescent="0.25">
      <c r="A8" s="102" t="s">
        <v>80</v>
      </c>
      <c r="B8" s="105">
        <v>1479</v>
      </c>
      <c r="C8" s="105">
        <v>1527</v>
      </c>
      <c r="D8" s="105">
        <v>1524</v>
      </c>
      <c r="E8" s="105">
        <v>1545</v>
      </c>
      <c r="F8" s="101">
        <v>1512</v>
      </c>
      <c r="G8" s="102">
        <v>1521</v>
      </c>
    </row>
    <row r="9" spans="1:7" x14ac:dyDescent="0.25">
      <c r="A9" s="102" t="s">
        <v>81</v>
      </c>
      <c r="B9" s="105">
        <v>1256</v>
      </c>
      <c r="C9" s="105">
        <v>1187</v>
      </c>
      <c r="D9" s="105">
        <v>1268</v>
      </c>
      <c r="E9" s="105">
        <v>1194</v>
      </c>
      <c r="F9" s="101">
        <v>1119</v>
      </c>
      <c r="G9" s="102">
        <v>1136</v>
      </c>
    </row>
    <row r="10" spans="1:7" x14ac:dyDescent="0.25">
      <c r="A10" s="103"/>
      <c r="B10" s="103"/>
      <c r="C10" s="103"/>
      <c r="D10" s="103"/>
      <c r="E10" s="103"/>
      <c r="F10" s="103"/>
      <c r="G10" s="103"/>
    </row>
    <row r="11" spans="1:7" x14ac:dyDescent="0.25">
      <c r="A11" s="102" t="s">
        <v>291</v>
      </c>
      <c r="B11" s="104">
        <v>8927</v>
      </c>
      <c r="C11" s="104">
        <v>9024</v>
      </c>
      <c r="D11" s="104">
        <v>9198</v>
      </c>
      <c r="E11" s="104">
        <v>9207</v>
      </c>
      <c r="F11" s="101">
        <v>8835</v>
      </c>
      <c r="G11" s="104">
        <v>8719</v>
      </c>
    </row>
    <row r="12" spans="1:7" x14ac:dyDescent="0.25">
      <c r="A12" s="102" t="s">
        <v>292</v>
      </c>
      <c r="B12" s="104">
        <v>103669</v>
      </c>
      <c r="C12" s="104">
        <v>106434</v>
      </c>
      <c r="D12" s="104">
        <v>107132</v>
      </c>
      <c r="E12" s="104">
        <v>107858</v>
      </c>
      <c r="F12" s="101">
        <v>102190</v>
      </c>
      <c r="G12" s="104">
        <v>102406</v>
      </c>
    </row>
    <row r="13" spans="1:7" x14ac:dyDescent="0.25">
      <c r="A13" s="102" t="s">
        <v>293</v>
      </c>
      <c r="B13" s="104">
        <v>671058</v>
      </c>
      <c r="C13" s="104">
        <v>687006</v>
      </c>
      <c r="D13" s="104">
        <v>688120</v>
      </c>
      <c r="E13" s="104">
        <v>694241</v>
      </c>
      <c r="F13" s="101">
        <v>664517</v>
      </c>
      <c r="G13" s="104">
        <v>661496</v>
      </c>
    </row>
  </sheetData>
  <pageMargins left="0.7" right="0.7" top="0.75" bottom="0.75" header="0.3" footer="0.3"/>
  <pageSetup paperSize="9" orientation="portrait" verticalDpi="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G13"/>
  <sheetViews>
    <sheetView workbookViewId="0">
      <selection activeCell="B3" sqref="B3:F9"/>
    </sheetView>
  </sheetViews>
  <sheetFormatPr defaultRowHeight="14.25" x14ac:dyDescent="0.2"/>
  <sheetData>
    <row r="1" spans="1:7" x14ac:dyDescent="0.2">
      <c r="A1" t="s">
        <v>482</v>
      </c>
      <c r="D1" t="s">
        <v>483</v>
      </c>
    </row>
    <row r="2" spans="1:7" x14ac:dyDescent="0.2">
      <c r="B2">
        <v>2009</v>
      </c>
      <c r="C2">
        <v>2010</v>
      </c>
      <c r="D2">
        <v>2011</v>
      </c>
      <c r="E2">
        <v>2012</v>
      </c>
      <c r="F2">
        <v>2013</v>
      </c>
      <c r="G2">
        <v>2014</v>
      </c>
    </row>
    <row r="3" spans="1:7" x14ac:dyDescent="0.2">
      <c r="A3" t="s">
        <v>398</v>
      </c>
      <c r="B3" s="120">
        <v>43</v>
      </c>
      <c r="C3" s="120">
        <v>42</v>
      </c>
      <c r="D3" s="120">
        <v>29</v>
      </c>
      <c r="E3" s="118">
        <v>37</v>
      </c>
      <c r="F3" s="118">
        <v>26</v>
      </c>
    </row>
    <row r="4" spans="1:7" x14ac:dyDescent="0.2">
      <c r="A4" t="s">
        <v>82</v>
      </c>
      <c r="B4" s="120">
        <v>109</v>
      </c>
      <c r="C4" s="120">
        <v>76</v>
      </c>
      <c r="D4" s="120">
        <v>101</v>
      </c>
      <c r="E4" s="118">
        <v>76</v>
      </c>
      <c r="F4" s="118">
        <v>77</v>
      </c>
    </row>
    <row r="5" spans="1:7" x14ac:dyDescent="0.2">
      <c r="A5" t="s">
        <v>44</v>
      </c>
      <c r="B5" s="120">
        <v>59</v>
      </c>
      <c r="C5" s="120">
        <v>55</v>
      </c>
      <c r="D5" s="120">
        <v>48</v>
      </c>
      <c r="E5" s="118">
        <v>51</v>
      </c>
      <c r="F5" s="118">
        <v>50</v>
      </c>
    </row>
    <row r="6" spans="1:7" x14ac:dyDescent="0.2">
      <c r="A6" t="s">
        <v>79</v>
      </c>
      <c r="B6" s="120">
        <v>73</v>
      </c>
      <c r="C6" s="120">
        <v>80</v>
      </c>
      <c r="D6" s="120">
        <v>79</v>
      </c>
      <c r="E6" s="118">
        <v>71</v>
      </c>
      <c r="F6" s="118">
        <v>66</v>
      </c>
    </row>
    <row r="7" spans="1:7" x14ac:dyDescent="0.2">
      <c r="A7" t="s">
        <v>83</v>
      </c>
      <c r="B7" s="120">
        <v>49</v>
      </c>
      <c r="C7" s="120">
        <v>35</v>
      </c>
      <c r="D7" s="120">
        <v>21</v>
      </c>
      <c r="E7" s="118">
        <v>34</v>
      </c>
      <c r="F7" s="118">
        <v>31</v>
      </c>
    </row>
    <row r="8" spans="1:7" x14ac:dyDescent="0.2">
      <c r="A8" t="s">
        <v>80</v>
      </c>
      <c r="B8" s="120">
        <v>46</v>
      </c>
      <c r="C8" s="120">
        <v>43</v>
      </c>
      <c r="D8" s="120">
        <v>42</v>
      </c>
      <c r="E8" s="118">
        <v>28</v>
      </c>
      <c r="F8" s="118">
        <v>39</v>
      </c>
    </row>
    <row r="9" spans="1:7" x14ac:dyDescent="0.2">
      <c r="A9" t="s">
        <v>81</v>
      </c>
      <c r="B9" s="120">
        <v>77</v>
      </c>
      <c r="C9" s="120">
        <v>68</v>
      </c>
      <c r="D9" s="120">
        <v>47</v>
      </c>
      <c r="E9" s="118">
        <v>48</v>
      </c>
      <c r="F9" s="118">
        <v>42</v>
      </c>
    </row>
    <row r="11" spans="1:7" x14ac:dyDescent="0.2">
      <c r="A11" t="s">
        <v>291</v>
      </c>
      <c r="B11" s="119">
        <v>456</v>
      </c>
      <c r="C11" s="119">
        <v>399</v>
      </c>
      <c r="D11" s="119">
        <v>367</v>
      </c>
      <c r="E11" s="117">
        <v>345</v>
      </c>
      <c r="F11" s="117">
        <v>331</v>
      </c>
    </row>
    <row r="12" spans="1:7" x14ac:dyDescent="0.2">
      <c r="A12" t="s">
        <v>292</v>
      </c>
      <c r="B12" s="119">
        <v>5317</v>
      </c>
      <c r="C12" s="119">
        <v>4994</v>
      </c>
      <c r="D12" s="119">
        <v>4521</v>
      </c>
      <c r="E12" s="117">
        <v>4191</v>
      </c>
      <c r="F12" s="117">
        <v>3686</v>
      </c>
    </row>
    <row r="13" spans="1:7" x14ac:dyDescent="0.2">
      <c r="A13" t="s">
        <v>293</v>
      </c>
      <c r="B13" s="119">
        <v>40359</v>
      </c>
      <c r="C13" s="119">
        <v>37844</v>
      </c>
      <c r="D13" s="119">
        <v>34025</v>
      </c>
      <c r="E13" s="117">
        <v>31566</v>
      </c>
      <c r="F13" s="117">
        <v>27213</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2:M40"/>
  <sheetViews>
    <sheetView topLeftCell="C10" zoomScale="90" zoomScaleNormal="90" workbookViewId="0">
      <selection activeCell="F36" sqref="F36:M40"/>
    </sheetView>
  </sheetViews>
  <sheetFormatPr defaultRowHeight="14.25" x14ac:dyDescent="0.2"/>
  <cols>
    <col min="1" max="1" width="27.69921875" bestFit="1" customWidth="1"/>
    <col min="4" max="4" width="8.796875" style="144"/>
    <col min="8" max="8" width="27.69921875" bestFit="1" customWidth="1"/>
  </cols>
  <sheetData>
    <row r="2" spans="1:12" x14ac:dyDescent="0.2">
      <c r="B2" s="1456" t="s">
        <v>504</v>
      </c>
      <c r="C2" s="1456"/>
      <c r="D2" s="1456"/>
      <c r="E2" s="1456"/>
      <c r="I2" s="1456" t="s">
        <v>504</v>
      </c>
      <c r="J2" s="1456"/>
      <c r="K2" s="1456"/>
      <c r="L2" s="1456"/>
    </row>
    <row r="3" spans="1:12" x14ac:dyDescent="0.2">
      <c r="A3" t="s">
        <v>268</v>
      </c>
      <c r="B3">
        <v>1139</v>
      </c>
      <c r="C3">
        <v>567</v>
      </c>
      <c r="D3" s="144">
        <v>0.498</v>
      </c>
      <c r="E3" s="139">
        <v>4.4999999999999998E-2</v>
      </c>
      <c r="H3" t="s">
        <v>268</v>
      </c>
      <c r="I3">
        <v>1103</v>
      </c>
      <c r="J3">
        <v>380</v>
      </c>
      <c r="K3" s="145">
        <f>J3/I3</f>
        <v>0.3445149592021759</v>
      </c>
      <c r="L3" s="139">
        <v>0.39500000000000002</v>
      </c>
    </row>
    <row r="4" spans="1:12" x14ac:dyDescent="0.2">
      <c r="A4" t="s">
        <v>269</v>
      </c>
      <c r="B4">
        <v>385</v>
      </c>
      <c r="C4">
        <v>215</v>
      </c>
      <c r="D4" s="143">
        <f>C4/B4</f>
        <v>0.55844155844155841</v>
      </c>
      <c r="E4" s="139">
        <v>5.7000000000000002E-2</v>
      </c>
      <c r="H4" t="s">
        <v>269</v>
      </c>
      <c r="I4">
        <v>398</v>
      </c>
      <c r="J4">
        <v>156</v>
      </c>
      <c r="K4" s="145">
        <f t="shared" ref="K4:K6" si="0">J4/I4</f>
        <v>0.39195979899497485</v>
      </c>
      <c r="L4" s="139">
        <v>0.33400000000000002</v>
      </c>
    </row>
    <row r="5" spans="1:12" x14ac:dyDescent="0.2">
      <c r="A5" t="s">
        <v>270</v>
      </c>
      <c r="B5">
        <v>575</v>
      </c>
      <c r="C5">
        <v>340</v>
      </c>
      <c r="D5" s="144">
        <v>0.59099999999999997</v>
      </c>
      <c r="E5" s="139">
        <v>4.2999999999999997E-2</v>
      </c>
      <c r="H5" t="s">
        <v>270</v>
      </c>
      <c r="I5">
        <v>552</v>
      </c>
      <c r="J5">
        <v>222</v>
      </c>
      <c r="K5" s="145">
        <f t="shared" si="0"/>
        <v>0.40217391304347827</v>
      </c>
      <c r="L5" s="139">
        <v>0.39300000000000002</v>
      </c>
    </row>
    <row r="6" spans="1:12" x14ac:dyDescent="0.2">
      <c r="A6" t="s">
        <v>501</v>
      </c>
      <c r="B6">
        <v>9255</v>
      </c>
      <c r="C6">
        <v>5508</v>
      </c>
      <c r="D6" s="143">
        <f>C6/B6</f>
        <v>0.59513776337115076</v>
      </c>
      <c r="E6" s="139">
        <v>6.0999999999999999E-2</v>
      </c>
      <c r="H6" t="s">
        <v>501</v>
      </c>
      <c r="I6">
        <v>7181</v>
      </c>
      <c r="J6">
        <v>3542</v>
      </c>
      <c r="K6" s="145">
        <f t="shared" si="0"/>
        <v>0.49324606600751986</v>
      </c>
      <c r="L6" s="139">
        <v>0.188</v>
      </c>
    </row>
    <row r="7" spans="1:12" x14ac:dyDescent="0.2">
      <c r="A7" t="s">
        <v>293</v>
      </c>
      <c r="B7" s="138">
        <v>152355</v>
      </c>
      <c r="C7" s="138">
        <v>69692</v>
      </c>
      <c r="D7" s="143">
        <f>C7/B7</f>
        <v>0.45743165632896854</v>
      </c>
      <c r="E7" s="139">
        <v>9.1999999999999998E-2</v>
      </c>
      <c r="H7" t="s">
        <v>293</v>
      </c>
      <c r="I7" s="138">
        <v>154062</v>
      </c>
      <c r="J7" s="138">
        <v>68710</v>
      </c>
      <c r="K7" s="146">
        <v>0.44600000000000001</v>
      </c>
      <c r="L7" s="139">
        <v>0.11899999999999999</v>
      </c>
    </row>
    <row r="10" spans="1:12" x14ac:dyDescent="0.2">
      <c r="B10" s="1456" t="s">
        <v>505</v>
      </c>
      <c r="C10" s="1456"/>
      <c r="D10" s="1456"/>
      <c r="E10" s="1456"/>
      <c r="I10" s="1456" t="s">
        <v>505</v>
      </c>
      <c r="J10" s="1456"/>
      <c r="K10" s="1456"/>
      <c r="L10" s="1456"/>
    </row>
    <row r="11" spans="1:12" x14ac:dyDescent="0.2">
      <c r="A11" t="s">
        <v>268</v>
      </c>
      <c r="B11">
        <v>1222</v>
      </c>
      <c r="C11">
        <v>524</v>
      </c>
      <c r="D11" s="143">
        <f>C11/B11</f>
        <v>0.42880523731587561</v>
      </c>
      <c r="E11" s="139">
        <v>0.23200000000000001</v>
      </c>
      <c r="H11" t="s">
        <v>268</v>
      </c>
      <c r="I11">
        <v>1285</v>
      </c>
      <c r="J11">
        <v>320</v>
      </c>
      <c r="K11" s="145">
        <f>J11/I11</f>
        <v>0.24902723735408561</v>
      </c>
      <c r="L11" s="139">
        <v>0.53300000000000003</v>
      </c>
    </row>
    <row r="12" spans="1:12" x14ac:dyDescent="0.2">
      <c r="A12" t="s">
        <v>269</v>
      </c>
      <c r="B12">
        <v>440</v>
      </c>
      <c r="C12">
        <v>178</v>
      </c>
      <c r="D12" s="143">
        <f t="shared" ref="D12:D15" si="1">C12/B12</f>
        <v>0.40454545454545454</v>
      </c>
      <c r="E12" s="139">
        <v>0.189</v>
      </c>
      <c r="H12" t="s">
        <v>269</v>
      </c>
      <c r="I12">
        <v>413</v>
      </c>
      <c r="J12">
        <v>143</v>
      </c>
      <c r="K12" s="145">
        <f t="shared" ref="K12:K14" si="2">J12/I12</f>
        <v>0.34624697336561744</v>
      </c>
      <c r="L12" s="139">
        <v>0.40899999999999997</v>
      </c>
    </row>
    <row r="13" spans="1:12" x14ac:dyDescent="0.2">
      <c r="A13" t="s">
        <v>270</v>
      </c>
      <c r="B13">
        <v>570</v>
      </c>
      <c r="C13">
        <v>289</v>
      </c>
      <c r="D13" s="143">
        <f t="shared" si="1"/>
        <v>0.50701754385964914</v>
      </c>
      <c r="E13" s="139">
        <v>0.20200000000000001</v>
      </c>
      <c r="H13" t="s">
        <v>270</v>
      </c>
      <c r="I13">
        <v>588</v>
      </c>
      <c r="J13">
        <v>202</v>
      </c>
      <c r="K13" s="145">
        <f t="shared" si="2"/>
        <v>0.34353741496598639</v>
      </c>
      <c r="L13" s="139">
        <v>0.45700000000000002</v>
      </c>
    </row>
    <row r="14" spans="1:12" x14ac:dyDescent="0.2">
      <c r="A14" t="s">
        <v>501</v>
      </c>
      <c r="B14">
        <v>9244</v>
      </c>
      <c r="C14">
        <v>5202</v>
      </c>
      <c r="D14" s="143">
        <f t="shared" si="1"/>
        <v>0.56274340112505405</v>
      </c>
      <c r="E14" s="139">
        <v>9.7000000000000003E-2</v>
      </c>
      <c r="H14" t="s">
        <v>501</v>
      </c>
      <c r="I14">
        <v>7628</v>
      </c>
      <c r="J14">
        <v>3598</v>
      </c>
      <c r="K14" s="145">
        <f t="shared" si="2"/>
        <v>0.4716832721552176</v>
      </c>
      <c r="L14" s="139">
        <v>0.216</v>
      </c>
    </row>
    <row r="15" spans="1:12" x14ac:dyDescent="0.2">
      <c r="A15" t="s">
        <v>293</v>
      </c>
      <c r="B15" s="138">
        <v>158807</v>
      </c>
      <c r="C15" s="138">
        <v>72621</v>
      </c>
      <c r="D15" s="143">
        <f t="shared" si="1"/>
        <v>0.45729092546298339</v>
      </c>
      <c r="E15" s="139">
        <v>9.6000000000000002E-2</v>
      </c>
      <c r="H15" t="s">
        <v>293</v>
      </c>
      <c r="I15" s="138">
        <v>160136</v>
      </c>
      <c r="J15" s="138">
        <v>70606</v>
      </c>
      <c r="K15" s="146">
        <v>0.441</v>
      </c>
      <c r="L15" s="139">
        <v>0.128</v>
      </c>
    </row>
    <row r="16" spans="1:12" x14ac:dyDescent="0.2">
      <c r="K16" s="146"/>
    </row>
    <row r="18" spans="1:12" x14ac:dyDescent="0.2">
      <c r="B18" s="1456" t="s">
        <v>506</v>
      </c>
      <c r="C18" s="1456"/>
      <c r="D18" s="1456"/>
      <c r="E18" s="1456"/>
      <c r="I18" s="1456" t="s">
        <v>506</v>
      </c>
      <c r="J18" s="1456"/>
      <c r="K18" s="1456"/>
      <c r="L18" s="1456"/>
    </row>
    <row r="19" spans="1:12" x14ac:dyDescent="0.2">
      <c r="A19" t="s">
        <v>268</v>
      </c>
      <c r="B19">
        <v>1274</v>
      </c>
      <c r="C19">
        <v>432</v>
      </c>
      <c r="D19" s="143">
        <f>C19/B19</f>
        <v>0.3390894819466248</v>
      </c>
      <c r="E19" s="139">
        <v>0.34100000000000003</v>
      </c>
      <c r="H19" t="s">
        <v>268</v>
      </c>
      <c r="I19">
        <v>1127</v>
      </c>
      <c r="J19">
        <v>269</v>
      </c>
      <c r="K19" s="145">
        <f>J19/I19</f>
        <v>0.23868677905944988</v>
      </c>
      <c r="L19" s="139">
        <v>0.55500000000000005</v>
      </c>
    </row>
    <row r="20" spans="1:12" x14ac:dyDescent="0.2">
      <c r="A20" t="s">
        <v>269</v>
      </c>
      <c r="B20">
        <v>436</v>
      </c>
      <c r="C20">
        <v>178</v>
      </c>
      <c r="D20" s="143">
        <f t="shared" ref="D20:D23" si="3">C20/B20</f>
        <v>0.40825688073394495</v>
      </c>
      <c r="E20" s="139">
        <v>0.23200000000000001</v>
      </c>
      <c r="H20" t="s">
        <v>269</v>
      </c>
      <c r="I20">
        <v>418</v>
      </c>
      <c r="J20">
        <v>113</v>
      </c>
      <c r="K20" s="145">
        <f t="shared" ref="K20:K22" si="4">J20/I20</f>
        <v>0.27033492822966509</v>
      </c>
      <c r="L20" s="139">
        <v>0.505</v>
      </c>
    </row>
    <row r="21" spans="1:12" x14ac:dyDescent="0.2">
      <c r="A21" t="s">
        <v>270</v>
      </c>
      <c r="B21">
        <v>634</v>
      </c>
      <c r="C21">
        <v>254</v>
      </c>
      <c r="D21" s="143">
        <f t="shared" si="3"/>
        <v>0.40063091482649843</v>
      </c>
      <c r="E21" s="139">
        <v>0.33300000000000002</v>
      </c>
      <c r="H21" t="s">
        <v>270</v>
      </c>
      <c r="I21">
        <v>561</v>
      </c>
      <c r="J21">
        <v>181</v>
      </c>
      <c r="K21" s="145">
        <f t="shared" si="4"/>
        <v>0.32263814616755793</v>
      </c>
      <c r="L21" s="139">
        <v>0.51500000000000001</v>
      </c>
    </row>
    <row r="22" spans="1:12" x14ac:dyDescent="0.2">
      <c r="A22" t="s">
        <v>501</v>
      </c>
      <c r="B22" s="138">
        <v>9557</v>
      </c>
      <c r="C22" s="138">
        <v>5429</v>
      </c>
      <c r="D22" s="143">
        <f t="shared" si="3"/>
        <v>0.56806529245579152</v>
      </c>
      <c r="E22" s="139">
        <v>0.109</v>
      </c>
      <c r="H22" t="s">
        <v>501</v>
      </c>
      <c r="I22">
        <v>7485</v>
      </c>
      <c r="J22">
        <v>3709</v>
      </c>
      <c r="K22" s="145">
        <f t="shared" si="4"/>
        <v>0.49552438209752842</v>
      </c>
      <c r="L22" s="139">
        <v>0.19600000000000001</v>
      </c>
    </row>
    <row r="23" spans="1:12" x14ac:dyDescent="0.2">
      <c r="A23" t="s">
        <v>293</v>
      </c>
      <c r="B23" s="138">
        <v>162599</v>
      </c>
      <c r="C23" s="138">
        <v>74254</v>
      </c>
      <c r="D23" s="143">
        <f t="shared" si="3"/>
        <v>0.45666947521202467</v>
      </c>
      <c r="E23" s="139">
        <v>0.106</v>
      </c>
      <c r="H23" t="s">
        <v>293</v>
      </c>
      <c r="I23" s="138">
        <v>163046</v>
      </c>
      <c r="J23" s="138">
        <v>71185</v>
      </c>
      <c r="K23" s="146">
        <v>0.437</v>
      </c>
      <c r="L23" s="139">
        <v>0.126</v>
      </c>
    </row>
    <row r="26" spans="1:12" x14ac:dyDescent="0.2">
      <c r="B26" s="1456" t="s">
        <v>507</v>
      </c>
      <c r="C26" s="1456"/>
      <c r="D26" s="1456"/>
      <c r="E26" s="1456"/>
      <c r="I26" s="1456" t="s">
        <v>507</v>
      </c>
      <c r="J26" s="1456"/>
      <c r="K26" s="1456"/>
      <c r="L26" s="1456"/>
    </row>
    <row r="27" spans="1:12" x14ac:dyDescent="0.2">
      <c r="A27" t="s">
        <v>268</v>
      </c>
      <c r="B27" s="140">
        <v>1042</v>
      </c>
      <c r="C27">
        <v>379</v>
      </c>
      <c r="D27" s="143">
        <f>C27/B27</f>
        <v>0.3637236084452975</v>
      </c>
      <c r="E27" s="139">
        <v>0.317</v>
      </c>
      <c r="H27" t="s">
        <v>268</v>
      </c>
      <c r="I27">
        <v>1136</v>
      </c>
      <c r="J27">
        <v>238</v>
      </c>
      <c r="K27" s="145">
        <f>J27/I27</f>
        <v>0.20950704225352113</v>
      </c>
      <c r="L27" s="139">
        <v>0.60799999999999998</v>
      </c>
    </row>
    <row r="28" spans="1:12" x14ac:dyDescent="0.2">
      <c r="A28" t="s">
        <v>269</v>
      </c>
      <c r="B28">
        <v>441</v>
      </c>
      <c r="C28">
        <v>169</v>
      </c>
      <c r="D28" s="143">
        <f t="shared" ref="D28:D31" si="5">C28/B28</f>
        <v>0.3832199546485261</v>
      </c>
      <c r="E28" s="139">
        <v>0.27400000000000002</v>
      </c>
      <c r="H28" t="s">
        <v>269</v>
      </c>
      <c r="I28">
        <v>389</v>
      </c>
      <c r="J28">
        <v>104</v>
      </c>
      <c r="K28" s="145">
        <f t="shared" ref="K28:K30" si="6">J28/I28</f>
        <v>0.26735218508997427</v>
      </c>
      <c r="L28" s="139">
        <v>0.499</v>
      </c>
    </row>
    <row r="29" spans="1:12" x14ac:dyDescent="0.2">
      <c r="A29" t="s">
        <v>270</v>
      </c>
      <c r="B29">
        <v>537</v>
      </c>
      <c r="C29">
        <v>231</v>
      </c>
      <c r="D29" s="143">
        <f t="shared" si="5"/>
        <v>0.43016759776536312</v>
      </c>
      <c r="E29" s="139">
        <v>0.28100000000000003</v>
      </c>
      <c r="H29" t="s">
        <v>270</v>
      </c>
      <c r="I29">
        <v>579</v>
      </c>
      <c r="J29">
        <v>182</v>
      </c>
      <c r="K29" s="145">
        <f t="shared" si="6"/>
        <v>0.31433506044905007</v>
      </c>
      <c r="L29" s="139">
        <v>0.53400000000000003</v>
      </c>
    </row>
    <row r="30" spans="1:12" x14ac:dyDescent="0.2">
      <c r="A30" t="s">
        <v>501</v>
      </c>
      <c r="B30" s="138">
        <v>8677</v>
      </c>
      <c r="C30" s="138">
        <v>4962</v>
      </c>
      <c r="D30" s="143">
        <f t="shared" si="5"/>
        <v>0.57185663247666241</v>
      </c>
      <c r="E30" s="139">
        <v>9.6000000000000002E-2</v>
      </c>
      <c r="H30" t="s">
        <v>501</v>
      </c>
      <c r="I30">
        <v>7038</v>
      </c>
      <c r="J30">
        <v>2728</v>
      </c>
      <c r="K30" s="145">
        <f t="shared" si="6"/>
        <v>0.38761011651037225</v>
      </c>
      <c r="L30" s="139">
        <v>0.36499999999999999</v>
      </c>
    </row>
    <row r="31" spans="1:12" x14ac:dyDescent="0.2">
      <c r="A31" t="s">
        <v>293</v>
      </c>
      <c r="B31" s="138">
        <v>155251</v>
      </c>
      <c r="C31" s="138">
        <v>71652</v>
      </c>
      <c r="D31" s="143">
        <f t="shared" si="5"/>
        <v>0.46152359727151515</v>
      </c>
      <c r="E31" s="139">
        <v>0.12</v>
      </c>
      <c r="H31" t="s">
        <v>293</v>
      </c>
      <c r="I31" s="138">
        <v>154109</v>
      </c>
      <c r="J31" s="138">
        <v>66189</v>
      </c>
      <c r="K31" s="146">
        <v>0.42899999999999999</v>
      </c>
      <c r="L31" s="139">
        <v>0.13700000000000001</v>
      </c>
    </row>
    <row r="34" spans="2:13" x14ac:dyDescent="0.2">
      <c r="B34" s="140" t="s">
        <v>508</v>
      </c>
    </row>
    <row r="36" spans="2:13" x14ac:dyDescent="0.2">
      <c r="F36" s="144">
        <v>0.498</v>
      </c>
      <c r="G36" s="143">
        <v>0.42880523731587561</v>
      </c>
      <c r="H36" s="143">
        <v>0.3390894819466248</v>
      </c>
      <c r="I36" s="143">
        <v>0.3637236084452975</v>
      </c>
      <c r="J36" s="143">
        <v>0.3445149592021759</v>
      </c>
      <c r="K36" s="143">
        <v>0.24902723735408561</v>
      </c>
      <c r="L36" s="143">
        <v>0.23868677905944988</v>
      </c>
      <c r="M36" s="143">
        <v>0.20950704225352113</v>
      </c>
    </row>
    <row r="37" spans="2:13" x14ac:dyDescent="0.2">
      <c r="F37" s="143">
        <v>0.55844155844155841</v>
      </c>
      <c r="G37" s="143">
        <v>0.40454545454545454</v>
      </c>
      <c r="H37" s="143">
        <v>0.40825688073394495</v>
      </c>
      <c r="I37" s="143">
        <v>0.3832199546485261</v>
      </c>
      <c r="J37" s="143">
        <v>0.39195979899497485</v>
      </c>
      <c r="K37" s="143">
        <v>0.34624697336561744</v>
      </c>
      <c r="L37" s="143">
        <v>0.27033492822966509</v>
      </c>
      <c r="M37" s="143">
        <v>0.26735218508997427</v>
      </c>
    </row>
    <row r="38" spans="2:13" x14ac:dyDescent="0.2">
      <c r="F38" s="144">
        <v>0.59099999999999997</v>
      </c>
      <c r="G38" s="143">
        <v>0.50701754385964914</v>
      </c>
      <c r="H38" s="143">
        <v>0.40063091482649843</v>
      </c>
      <c r="I38" s="143">
        <v>0.43016759776536312</v>
      </c>
      <c r="J38" s="143">
        <v>0.40217391304347827</v>
      </c>
      <c r="K38" s="143">
        <v>0.34353741496598639</v>
      </c>
      <c r="L38" s="143">
        <v>0.32263814616755793</v>
      </c>
      <c r="M38" s="143">
        <v>0.31433506044905007</v>
      </c>
    </row>
    <row r="39" spans="2:13" x14ac:dyDescent="0.2">
      <c r="F39" s="143">
        <v>0.59513776337115076</v>
      </c>
      <c r="G39" s="143">
        <v>0.56274340112505405</v>
      </c>
      <c r="H39" s="143">
        <v>0.56806529245579152</v>
      </c>
      <c r="I39" s="143">
        <v>0.57185663247666241</v>
      </c>
      <c r="J39" s="143">
        <v>0.49324606600751986</v>
      </c>
      <c r="K39" s="143">
        <v>0.4716832721552176</v>
      </c>
      <c r="L39" s="143">
        <v>0.49552438209752842</v>
      </c>
      <c r="M39" s="143">
        <v>0.38761011651037225</v>
      </c>
    </row>
    <row r="40" spans="2:13" x14ac:dyDescent="0.2">
      <c r="F40" s="143">
        <v>0.45743165632896854</v>
      </c>
      <c r="G40" s="143">
        <v>0.45729092546298339</v>
      </c>
      <c r="H40" s="143">
        <v>0.45666947521202467</v>
      </c>
      <c r="I40" s="143">
        <v>0.46152359727151515</v>
      </c>
      <c r="J40" s="144">
        <v>0.44600000000000001</v>
      </c>
      <c r="K40" s="144">
        <v>0.441</v>
      </c>
      <c r="L40" s="144">
        <v>0.437</v>
      </c>
      <c r="M40" s="144">
        <v>0.42899999999999999</v>
      </c>
    </row>
  </sheetData>
  <mergeCells count="8">
    <mergeCell ref="B10:E10"/>
    <mergeCell ref="B18:E18"/>
    <mergeCell ref="B26:E26"/>
    <mergeCell ref="I2:L2"/>
    <mergeCell ref="I10:L10"/>
    <mergeCell ref="I18:L18"/>
    <mergeCell ref="I26:L26"/>
    <mergeCell ref="B2:E2"/>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O20"/>
  <sheetViews>
    <sheetView zoomScale="80" zoomScaleNormal="80" workbookViewId="0">
      <selection activeCell="L3" sqref="L3:O3"/>
    </sheetView>
  </sheetViews>
  <sheetFormatPr defaultColWidth="8.796875" defaultRowHeight="15" x14ac:dyDescent="0.25"/>
  <cols>
    <col min="1" max="16384" width="8.796875" style="137"/>
  </cols>
  <sheetData>
    <row r="1" spans="1:15" ht="15.75" x14ac:dyDescent="0.25">
      <c r="A1" s="156"/>
      <c r="B1" s="1467" t="s">
        <v>537</v>
      </c>
      <c r="C1" s="1467"/>
      <c r="D1" s="1467"/>
      <c r="E1" s="1467"/>
      <c r="F1" s="1467" t="s">
        <v>538</v>
      </c>
      <c r="G1" s="1467"/>
      <c r="H1" s="1467"/>
      <c r="I1" s="1467"/>
      <c r="J1" s="1467"/>
      <c r="K1" s="1467" t="s">
        <v>539</v>
      </c>
      <c r="L1" s="1467"/>
      <c r="M1" s="1467"/>
      <c r="N1" s="1467"/>
      <c r="O1" s="1472"/>
    </row>
    <row r="2" spans="1:15" ht="51" x14ac:dyDescent="0.25">
      <c r="A2" s="156"/>
      <c r="B2" s="154"/>
      <c r="C2" s="1460" t="s">
        <v>280</v>
      </c>
      <c r="D2" s="1460"/>
      <c r="E2" s="1460"/>
      <c r="F2" s="154"/>
      <c r="G2" s="1457" t="s">
        <v>540</v>
      </c>
      <c r="H2" s="1457"/>
      <c r="I2" s="1457"/>
      <c r="J2" s="1457"/>
      <c r="K2" s="262" t="s">
        <v>768</v>
      </c>
      <c r="L2" s="1468" t="s">
        <v>793</v>
      </c>
      <c r="M2" s="1468"/>
      <c r="N2" s="1468"/>
      <c r="O2" s="1471"/>
    </row>
    <row r="3" spans="1:15" x14ac:dyDescent="0.25">
      <c r="A3" s="156"/>
      <c r="B3" s="154"/>
      <c r="C3" s="1460" t="s">
        <v>541</v>
      </c>
      <c r="D3" s="1460"/>
      <c r="E3" s="1460"/>
      <c r="F3" s="154"/>
      <c r="G3" s="1457" t="s">
        <v>542</v>
      </c>
      <c r="H3" s="1457"/>
      <c r="I3" s="1457"/>
      <c r="J3" s="1457"/>
      <c r="K3" s="154"/>
      <c r="L3" s="1457" t="s">
        <v>543</v>
      </c>
      <c r="M3" s="1457"/>
      <c r="N3" s="1457"/>
      <c r="O3" s="1464"/>
    </row>
    <row r="4" spans="1:15" ht="127.5" customHeight="1" x14ac:dyDescent="0.25">
      <c r="A4" s="156"/>
      <c r="B4" s="154"/>
      <c r="C4" s="1460" t="s">
        <v>544</v>
      </c>
      <c r="D4" s="1460"/>
      <c r="E4" s="1460"/>
      <c r="F4" s="154"/>
      <c r="G4" s="1457" t="s">
        <v>545</v>
      </c>
      <c r="H4" s="1457"/>
      <c r="I4" s="1457"/>
      <c r="J4" s="1457"/>
      <c r="K4" s="1465" t="s">
        <v>773</v>
      </c>
      <c r="L4" s="1457" t="s">
        <v>546</v>
      </c>
      <c r="M4" s="1457"/>
      <c r="N4" s="1457"/>
      <c r="O4" s="1464"/>
    </row>
    <row r="5" spans="1:15" x14ac:dyDescent="0.25">
      <c r="A5" s="156"/>
      <c r="B5" s="154"/>
      <c r="C5" s="1460" t="s">
        <v>547</v>
      </c>
      <c r="D5" s="1460"/>
      <c r="E5" s="1460"/>
      <c r="F5" s="157"/>
      <c r="G5" s="747" t="s">
        <v>548</v>
      </c>
      <c r="H5" s="747"/>
      <c r="I5" s="747"/>
      <c r="J5" s="747"/>
      <c r="K5" s="1465"/>
      <c r="L5" s="1458" t="s">
        <v>549</v>
      </c>
      <c r="M5" s="1458"/>
      <c r="N5" s="1458"/>
      <c r="O5" s="1459"/>
    </row>
    <row r="6" spans="1:15" x14ac:dyDescent="0.25">
      <c r="A6" s="156"/>
      <c r="B6" s="154"/>
      <c r="C6" s="1460" t="s">
        <v>550</v>
      </c>
      <c r="D6" s="1460"/>
      <c r="E6" s="1460"/>
      <c r="F6" s="157"/>
      <c r="G6" s="152"/>
      <c r="H6" s="152"/>
      <c r="I6" s="152"/>
      <c r="J6" s="152"/>
      <c r="K6" s="151" t="s">
        <v>571</v>
      </c>
      <c r="L6" s="1458" t="s">
        <v>551</v>
      </c>
      <c r="M6" s="1458"/>
      <c r="N6" s="1458"/>
      <c r="O6" s="1459"/>
    </row>
    <row r="7" spans="1:15" x14ac:dyDescent="0.25">
      <c r="A7" s="156"/>
      <c r="B7" s="153"/>
      <c r="C7" s="1460" t="s">
        <v>552</v>
      </c>
      <c r="D7" s="1460"/>
      <c r="E7" s="1460"/>
      <c r="F7" s="152"/>
      <c r="G7" s="152"/>
      <c r="H7" s="152"/>
      <c r="I7" s="152"/>
      <c r="J7" s="152"/>
      <c r="K7" s="151" t="s">
        <v>571</v>
      </c>
      <c r="L7" s="1458" t="s">
        <v>553</v>
      </c>
      <c r="M7" s="1458"/>
      <c r="N7" s="1458"/>
      <c r="O7" s="1459"/>
    </row>
    <row r="8" spans="1:15" x14ac:dyDescent="0.25">
      <c r="A8" s="156"/>
      <c r="B8" s="174"/>
      <c r="C8" s="1457"/>
      <c r="D8" s="1457"/>
      <c r="E8" s="1457"/>
      <c r="F8" s="152"/>
      <c r="G8" s="152"/>
      <c r="H8" s="152"/>
      <c r="I8" s="152"/>
      <c r="J8" s="152"/>
      <c r="K8" s="151" t="s">
        <v>571</v>
      </c>
      <c r="L8" s="1458" t="s">
        <v>554</v>
      </c>
      <c r="M8" s="1458"/>
      <c r="N8" s="1458"/>
      <c r="O8" s="1459"/>
    </row>
    <row r="9" spans="1:15" ht="51" x14ac:dyDescent="0.25">
      <c r="A9" s="156"/>
      <c r="B9" s="1463" t="s">
        <v>555</v>
      </c>
      <c r="C9" s="1461"/>
      <c r="D9" s="1461"/>
      <c r="E9" s="1461"/>
      <c r="F9" s="1467" t="s">
        <v>556</v>
      </c>
      <c r="G9" s="1467"/>
      <c r="H9" s="1467"/>
      <c r="I9" s="1467"/>
      <c r="J9" s="1467"/>
      <c r="K9" s="262" t="s">
        <v>768</v>
      </c>
      <c r="L9" s="1469" t="s">
        <v>557</v>
      </c>
      <c r="M9" s="1469"/>
      <c r="N9" s="1469"/>
      <c r="O9" s="1470"/>
    </row>
    <row r="10" spans="1:15" ht="51" x14ac:dyDescent="0.25">
      <c r="A10" s="156"/>
      <c r="B10" s="174"/>
      <c r="C10" s="1457" t="s">
        <v>462</v>
      </c>
      <c r="D10" s="1457"/>
      <c r="E10" s="1457"/>
      <c r="F10" s="262" t="s">
        <v>768</v>
      </c>
      <c r="G10" s="1468" t="s">
        <v>558</v>
      </c>
      <c r="H10" s="1468"/>
      <c r="I10" s="1468"/>
      <c r="J10" s="1468"/>
      <c r="K10" s="262" t="s">
        <v>768</v>
      </c>
      <c r="L10" s="1469" t="s">
        <v>559</v>
      </c>
      <c r="M10" s="1469"/>
      <c r="N10" s="1469"/>
      <c r="O10" s="1470"/>
    </row>
    <row r="11" spans="1:15" x14ac:dyDescent="0.25">
      <c r="A11" s="156"/>
      <c r="B11" s="173"/>
      <c r="C11" s="1457" t="s">
        <v>560</v>
      </c>
      <c r="D11" s="1457"/>
      <c r="E11" s="1457"/>
      <c r="F11" s="174"/>
      <c r="G11" s="1457" t="s">
        <v>561</v>
      </c>
      <c r="H11" s="1457"/>
      <c r="I11" s="1457"/>
      <c r="J11" s="1457"/>
      <c r="K11" s="274"/>
      <c r="L11" s="1458"/>
      <c r="M11" s="1458"/>
      <c r="N11" s="1458"/>
      <c r="O11" s="1459"/>
    </row>
    <row r="12" spans="1:15" ht="15.75" x14ac:dyDescent="0.25">
      <c r="A12" s="156"/>
      <c r="B12" s="174"/>
      <c r="C12" s="1457" t="s">
        <v>562</v>
      </c>
      <c r="D12" s="1466"/>
      <c r="E12" s="1466"/>
      <c r="F12" s="174"/>
      <c r="G12" s="1457" t="s">
        <v>563</v>
      </c>
      <c r="H12" s="1457"/>
      <c r="I12" s="1457"/>
      <c r="J12" s="1457"/>
      <c r="K12" s="1461" t="s">
        <v>564</v>
      </c>
      <c r="L12" s="1461"/>
      <c r="M12" s="1461"/>
      <c r="N12" s="1461"/>
      <c r="O12" s="1462"/>
    </row>
    <row r="13" spans="1:15" ht="51" x14ac:dyDescent="0.25">
      <c r="A13" s="156"/>
      <c r="B13" s="174"/>
      <c r="C13" s="1460" t="s">
        <v>565</v>
      </c>
      <c r="D13" s="1460"/>
      <c r="E13" s="1460"/>
      <c r="F13" s="249"/>
      <c r="G13" s="1457" t="s">
        <v>566</v>
      </c>
      <c r="H13" s="1457"/>
      <c r="I13" s="1457"/>
      <c r="J13" s="1457"/>
      <c r="K13" s="288" t="s">
        <v>768</v>
      </c>
      <c r="L13" s="1458" t="s">
        <v>567</v>
      </c>
      <c r="M13" s="1458"/>
      <c r="N13" s="1458"/>
      <c r="O13" s="1459"/>
    </row>
    <row r="14" spans="1:15" ht="51" x14ac:dyDescent="0.25">
      <c r="A14" s="156"/>
      <c r="B14" s="174"/>
      <c r="C14" s="1457" t="s">
        <v>568</v>
      </c>
      <c r="D14" s="1457"/>
      <c r="E14" s="1457"/>
      <c r="F14" s="275"/>
      <c r="G14" s="1457"/>
      <c r="H14" s="1466"/>
      <c r="I14" s="1466"/>
      <c r="J14" s="1466"/>
      <c r="K14" s="288" t="s">
        <v>768</v>
      </c>
      <c r="L14" s="1458" t="s">
        <v>569</v>
      </c>
      <c r="M14" s="1458"/>
      <c r="N14" s="1458"/>
      <c r="O14" s="1459"/>
    </row>
    <row r="15" spans="1:15" x14ac:dyDescent="0.25">
      <c r="A15" s="156"/>
      <c r="B15" s="174"/>
      <c r="C15" s="1457" t="s">
        <v>570</v>
      </c>
      <c r="D15" s="1457"/>
      <c r="E15" s="1457"/>
      <c r="F15" s="274"/>
      <c r="G15" s="274"/>
      <c r="H15" s="274"/>
      <c r="I15" s="274"/>
      <c r="J15" s="274"/>
      <c r="K15" s="274"/>
      <c r="L15" s="274"/>
      <c r="M15" s="274"/>
      <c r="N15" s="274"/>
      <c r="O15" s="283"/>
    </row>
    <row r="18" spans="3:4" x14ac:dyDescent="0.25">
      <c r="C18" s="263"/>
      <c r="D18" s="137" t="s">
        <v>769</v>
      </c>
    </row>
    <row r="19" spans="3:4" x14ac:dyDescent="0.25">
      <c r="C19" s="264"/>
      <c r="D19" s="137" t="s">
        <v>770</v>
      </c>
    </row>
    <row r="20" spans="3:4" x14ac:dyDescent="0.25">
      <c r="C20" s="264" t="s">
        <v>571</v>
      </c>
      <c r="D20" s="137" t="s">
        <v>771</v>
      </c>
    </row>
  </sheetData>
  <mergeCells count="41">
    <mergeCell ref="F1:J1"/>
    <mergeCell ref="B1:E1"/>
    <mergeCell ref="C2:E2"/>
    <mergeCell ref="L2:O2"/>
    <mergeCell ref="L3:O3"/>
    <mergeCell ref="G2:J2"/>
    <mergeCell ref="G3:J3"/>
    <mergeCell ref="C3:E3"/>
    <mergeCell ref="K1:O1"/>
    <mergeCell ref="L14:O14"/>
    <mergeCell ref="C7:E7"/>
    <mergeCell ref="C12:E12"/>
    <mergeCell ref="G13:J13"/>
    <mergeCell ref="C15:E15"/>
    <mergeCell ref="F9:J9"/>
    <mergeCell ref="G10:J10"/>
    <mergeCell ref="G11:J11"/>
    <mergeCell ref="C14:E14"/>
    <mergeCell ref="G12:J12"/>
    <mergeCell ref="G14:J14"/>
    <mergeCell ref="L7:O7"/>
    <mergeCell ref="C10:E10"/>
    <mergeCell ref="L9:O9"/>
    <mergeCell ref="L10:O10"/>
    <mergeCell ref="L11:O11"/>
    <mergeCell ref="C8:E8"/>
    <mergeCell ref="G4:J4"/>
    <mergeCell ref="L5:O5"/>
    <mergeCell ref="L8:O8"/>
    <mergeCell ref="C13:E13"/>
    <mergeCell ref="K12:O12"/>
    <mergeCell ref="B9:E9"/>
    <mergeCell ref="L13:O13"/>
    <mergeCell ref="L4:O4"/>
    <mergeCell ref="C6:E6"/>
    <mergeCell ref="C4:E4"/>
    <mergeCell ref="C5:E5"/>
    <mergeCell ref="G5:J5"/>
    <mergeCell ref="L6:O6"/>
    <mergeCell ref="C11:E11"/>
    <mergeCell ref="K4:K5"/>
  </mergeCells>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2:T53"/>
  <sheetViews>
    <sheetView topLeftCell="C3" zoomScale="85" zoomScaleNormal="85" workbookViewId="0">
      <selection activeCell="T28" sqref="M17:T28"/>
    </sheetView>
  </sheetViews>
  <sheetFormatPr defaultRowHeight="14.25" x14ac:dyDescent="0.2"/>
  <sheetData>
    <row r="2" spans="1:16" x14ac:dyDescent="0.2">
      <c r="A2" t="s">
        <v>607</v>
      </c>
    </row>
    <row r="5" spans="1:16" x14ac:dyDescent="0.2">
      <c r="B5" t="s">
        <v>614</v>
      </c>
      <c r="C5" t="s">
        <v>615</v>
      </c>
      <c r="D5" t="s">
        <v>616</v>
      </c>
      <c r="E5" t="s">
        <v>617</v>
      </c>
      <c r="F5" t="s">
        <v>618</v>
      </c>
      <c r="G5" t="s">
        <v>619</v>
      </c>
      <c r="H5" t="s">
        <v>620</v>
      </c>
      <c r="I5" t="s">
        <v>621</v>
      </c>
      <c r="J5" t="s">
        <v>622</v>
      </c>
      <c r="M5" t="s">
        <v>608</v>
      </c>
      <c r="N5" t="s">
        <v>612</v>
      </c>
      <c r="O5" t="s">
        <v>613</v>
      </c>
      <c r="P5" t="s">
        <v>502</v>
      </c>
    </row>
    <row r="6" spans="1:16" x14ac:dyDescent="0.2">
      <c r="B6" t="s">
        <v>608</v>
      </c>
      <c r="C6" t="s">
        <v>398</v>
      </c>
      <c r="D6">
        <v>141.21037463976899</v>
      </c>
      <c r="E6">
        <v>104.468214157738</v>
      </c>
      <c r="F6">
        <v>186.68760354705401</v>
      </c>
      <c r="G6">
        <v>49</v>
      </c>
      <c r="H6">
        <v>3470</v>
      </c>
      <c r="I6" t="s">
        <v>610</v>
      </c>
      <c r="J6" t="s">
        <v>611</v>
      </c>
      <c r="L6" t="s">
        <v>398</v>
      </c>
      <c r="M6">
        <v>141.21037463976899</v>
      </c>
      <c r="N6">
        <v>148.29322887520999</v>
      </c>
      <c r="O6">
        <v>159.41637395298599</v>
      </c>
      <c r="P6">
        <v>147.91336502905401</v>
      </c>
    </row>
    <row r="7" spans="1:16" x14ac:dyDescent="0.2">
      <c r="B7" t="s">
        <v>608</v>
      </c>
      <c r="C7" t="s">
        <v>82</v>
      </c>
      <c r="D7">
        <v>137.67720828789501</v>
      </c>
      <c r="E7">
        <v>112.140348881591</v>
      </c>
      <c r="F7">
        <v>167.29028832696699</v>
      </c>
      <c r="G7">
        <v>101</v>
      </c>
      <c r="H7">
        <v>7336</v>
      </c>
      <c r="I7" t="s">
        <v>610</v>
      </c>
      <c r="J7" t="s">
        <v>611</v>
      </c>
      <c r="L7" t="s">
        <v>82</v>
      </c>
      <c r="M7">
        <v>137.67720828789501</v>
      </c>
      <c r="N7">
        <v>162.68835844779301</v>
      </c>
      <c r="O7">
        <v>152.29076017404699</v>
      </c>
      <c r="P7">
        <v>144.00200350613599</v>
      </c>
    </row>
    <row r="8" spans="1:16" x14ac:dyDescent="0.2">
      <c r="B8" t="s">
        <v>608</v>
      </c>
      <c r="C8" t="s">
        <v>44</v>
      </c>
      <c r="D8">
        <v>152.48226950354601</v>
      </c>
      <c r="E8">
        <v>121.966135387292</v>
      </c>
      <c r="F8">
        <v>188.314362206715</v>
      </c>
      <c r="G8">
        <v>86</v>
      </c>
      <c r="H8">
        <v>5640</v>
      </c>
      <c r="I8" t="s">
        <v>610</v>
      </c>
      <c r="J8" t="s">
        <v>611</v>
      </c>
      <c r="L8" t="s">
        <v>44</v>
      </c>
      <c r="M8">
        <v>152.48226950354601</v>
      </c>
      <c r="N8">
        <v>170.212765957447</v>
      </c>
      <c r="O8">
        <v>120.006857534716</v>
      </c>
      <c r="P8">
        <v>195.40031125713301</v>
      </c>
    </row>
    <row r="9" spans="1:16" x14ac:dyDescent="0.2">
      <c r="B9" t="s">
        <v>608</v>
      </c>
      <c r="C9" t="s">
        <v>79</v>
      </c>
      <c r="D9">
        <v>217.082310376018</v>
      </c>
      <c r="E9">
        <v>185.49678697553699</v>
      </c>
      <c r="F9">
        <v>252.50428889374399</v>
      </c>
      <c r="G9">
        <v>168</v>
      </c>
      <c r="H9">
        <v>7739</v>
      </c>
      <c r="I9" t="s">
        <v>610</v>
      </c>
      <c r="J9" t="s">
        <v>611</v>
      </c>
      <c r="L9" t="s">
        <v>79</v>
      </c>
      <c r="M9">
        <v>217.082310376018</v>
      </c>
      <c r="N9">
        <v>201.399975439027</v>
      </c>
      <c r="O9">
        <v>179.129598461169</v>
      </c>
      <c r="P9">
        <v>160.344621275577</v>
      </c>
    </row>
    <row r="10" spans="1:16" x14ac:dyDescent="0.2">
      <c r="B10" t="s">
        <v>608</v>
      </c>
      <c r="C10" t="s">
        <v>83</v>
      </c>
      <c r="D10">
        <v>139.53488372093</v>
      </c>
      <c r="E10">
        <v>113.407069457115</v>
      </c>
      <c r="F10">
        <v>169.87871399360799</v>
      </c>
      <c r="G10">
        <v>99</v>
      </c>
      <c r="H10">
        <v>7095</v>
      </c>
      <c r="I10" t="s">
        <v>610</v>
      </c>
      <c r="J10" t="s">
        <v>611</v>
      </c>
      <c r="L10" t="s">
        <v>83</v>
      </c>
      <c r="M10">
        <v>139.53488372093</v>
      </c>
      <c r="N10">
        <v>135.79728405431899</v>
      </c>
      <c r="O10">
        <v>125.06948304613699</v>
      </c>
      <c r="P10">
        <v>154.66072175003501</v>
      </c>
    </row>
    <row r="11" spans="1:16" x14ac:dyDescent="0.2">
      <c r="B11" t="s">
        <v>608</v>
      </c>
      <c r="C11" t="s">
        <v>80</v>
      </c>
      <c r="D11">
        <v>129.83861181895401</v>
      </c>
      <c r="E11">
        <v>106.405877250305</v>
      </c>
      <c r="F11">
        <v>156.89667157378599</v>
      </c>
      <c r="G11">
        <v>107</v>
      </c>
      <c r="H11">
        <v>8241</v>
      </c>
      <c r="I11" t="s">
        <v>610</v>
      </c>
      <c r="J11" t="s">
        <v>611</v>
      </c>
      <c r="L11" t="s">
        <v>80</v>
      </c>
      <c r="M11">
        <v>129.83861181895401</v>
      </c>
      <c r="N11">
        <v>139.30587246307201</v>
      </c>
      <c r="O11">
        <v>94.239604193662402</v>
      </c>
      <c r="P11">
        <v>114.51273662070599</v>
      </c>
    </row>
    <row r="12" spans="1:16" x14ac:dyDescent="0.2">
      <c r="B12" t="s">
        <v>608</v>
      </c>
      <c r="C12" t="s">
        <v>81</v>
      </c>
      <c r="D12">
        <v>107.369448511469</v>
      </c>
      <c r="E12">
        <v>83.039524998612706</v>
      </c>
      <c r="F12">
        <v>136.60026447536501</v>
      </c>
      <c r="G12">
        <v>66</v>
      </c>
      <c r="H12">
        <v>6147</v>
      </c>
      <c r="I12" t="s">
        <v>610</v>
      </c>
      <c r="J12" t="s">
        <v>611</v>
      </c>
      <c r="L12" t="s">
        <v>81</v>
      </c>
      <c r="M12">
        <v>107.369448511469</v>
      </c>
      <c r="N12">
        <v>126.10340479192899</v>
      </c>
      <c r="O12">
        <v>112.395124267849</v>
      </c>
      <c r="P12">
        <v>127.625201938611</v>
      </c>
    </row>
    <row r="13" spans="1:16" x14ac:dyDescent="0.2">
      <c r="B13" t="s">
        <v>608</v>
      </c>
      <c r="C13" t="s">
        <v>291</v>
      </c>
      <c r="D13">
        <v>148.024875186126</v>
      </c>
      <c r="E13">
        <v>137.074966906497</v>
      </c>
      <c r="F13">
        <v>159.61673776231299</v>
      </c>
      <c r="G13">
        <v>676</v>
      </c>
      <c r="H13">
        <v>45668</v>
      </c>
      <c r="I13" t="s">
        <v>610</v>
      </c>
      <c r="J13" t="s">
        <v>611</v>
      </c>
      <c r="L13" t="s">
        <v>291</v>
      </c>
      <c r="M13">
        <v>148.024875186126</v>
      </c>
      <c r="N13">
        <v>155.98885793871901</v>
      </c>
      <c r="O13">
        <v>133.842410002517</v>
      </c>
      <c r="P13">
        <v>147.58450571733201</v>
      </c>
    </row>
    <row r="14" spans="1:16" x14ac:dyDescent="0.2">
      <c r="B14" s="166" t="s">
        <v>608</v>
      </c>
      <c r="C14" t="s">
        <v>609</v>
      </c>
      <c r="D14" s="167">
        <v>140.97298779338399</v>
      </c>
      <c r="E14" s="167">
        <v>137.779978571247</v>
      </c>
      <c r="F14" s="167">
        <v>144.22132122435099</v>
      </c>
      <c r="G14" s="167">
        <v>7404</v>
      </c>
      <c r="H14" s="167">
        <v>525207</v>
      </c>
      <c r="I14" s="166" t="s">
        <v>610</v>
      </c>
      <c r="J14" s="166" t="s">
        <v>611</v>
      </c>
      <c r="L14" t="s">
        <v>609</v>
      </c>
      <c r="M14" s="167">
        <v>140.97298779338399</v>
      </c>
      <c r="N14" s="167">
        <v>145.72543693377699</v>
      </c>
      <c r="O14" s="167">
        <v>128.823001227758</v>
      </c>
      <c r="P14" s="167">
        <v>134.82341639103501</v>
      </c>
    </row>
    <row r="15" spans="1:16" x14ac:dyDescent="0.2">
      <c r="B15" s="166" t="s">
        <v>608</v>
      </c>
      <c r="C15" t="s">
        <v>293</v>
      </c>
      <c r="D15" s="167">
        <v>143.298539793092</v>
      </c>
      <c r="E15" s="167">
        <v>142.00604276675699</v>
      </c>
      <c r="F15" s="167">
        <v>144.59987335829601</v>
      </c>
      <c r="G15" s="167">
        <v>47009</v>
      </c>
      <c r="H15" s="167">
        <v>3280494</v>
      </c>
      <c r="I15" s="166" t="s">
        <v>610</v>
      </c>
      <c r="J15" s="166" t="s">
        <v>611</v>
      </c>
      <c r="L15" t="s">
        <v>293</v>
      </c>
      <c r="M15" s="167">
        <v>143.298539793092</v>
      </c>
      <c r="N15" s="167">
        <v>148.196948640719</v>
      </c>
      <c r="O15" s="167">
        <v>134.69851085474099</v>
      </c>
      <c r="P15" s="167">
        <v>140.79721627471699</v>
      </c>
    </row>
    <row r="17" spans="2:20" x14ac:dyDescent="0.2">
      <c r="B17" t="s">
        <v>612</v>
      </c>
      <c r="C17" t="s">
        <v>398</v>
      </c>
      <c r="D17">
        <v>148.29322887520999</v>
      </c>
      <c r="E17">
        <v>111.08180624235899</v>
      </c>
      <c r="F17">
        <v>193.97119467334201</v>
      </c>
      <c r="G17">
        <v>53</v>
      </c>
      <c r="H17">
        <v>3574</v>
      </c>
      <c r="I17" t="s">
        <v>610</v>
      </c>
      <c r="J17" t="s">
        <v>611</v>
      </c>
      <c r="L17" t="s">
        <v>419</v>
      </c>
      <c r="M17" t="s">
        <v>608</v>
      </c>
      <c r="O17" t="s">
        <v>612</v>
      </c>
      <c r="Q17" t="s">
        <v>613</v>
      </c>
      <c r="S17" t="s">
        <v>502</v>
      </c>
    </row>
    <row r="18" spans="2:20" x14ac:dyDescent="0.2">
      <c r="B18" t="s">
        <v>612</v>
      </c>
      <c r="C18" t="s">
        <v>82</v>
      </c>
      <c r="D18">
        <v>162.68835844779301</v>
      </c>
      <c r="E18">
        <v>135.10285126301</v>
      </c>
      <c r="F18">
        <v>194.25012663580901</v>
      </c>
      <c r="G18">
        <v>122</v>
      </c>
      <c r="H18">
        <v>7499</v>
      </c>
      <c r="I18" t="s">
        <v>610</v>
      </c>
      <c r="J18" t="s">
        <v>611</v>
      </c>
      <c r="M18" t="s">
        <v>419</v>
      </c>
      <c r="N18" t="s">
        <v>418</v>
      </c>
      <c r="O18" t="s">
        <v>419</v>
      </c>
      <c r="P18" t="s">
        <v>418</v>
      </c>
      <c r="Q18" t="s">
        <v>419</v>
      </c>
      <c r="R18" t="s">
        <v>418</v>
      </c>
      <c r="S18" t="s">
        <v>419</v>
      </c>
      <c r="T18" t="s">
        <v>418</v>
      </c>
    </row>
    <row r="19" spans="2:20" x14ac:dyDescent="0.2">
      <c r="B19" t="s">
        <v>612</v>
      </c>
      <c r="C19" t="s">
        <v>44</v>
      </c>
      <c r="D19">
        <v>170.212765957447</v>
      </c>
      <c r="E19">
        <v>137.872888949718</v>
      </c>
      <c r="F19">
        <v>207.85891993799299</v>
      </c>
      <c r="G19">
        <v>96</v>
      </c>
      <c r="H19">
        <v>5640</v>
      </c>
      <c r="I19" t="s">
        <v>610</v>
      </c>
      <c r="J19" t="s">
        <v>611</v>
      </c>
      <c r="L19" t="s">
        <v>398</v>
      </c>
      <c r="M19" s="168">
        <f>F6-D6</f>
        <v>45.477228907285024</v>
      </c>
      <c r="N19" s="168">
        <f t="shared" ref="N19:N28" si="0">D6-E6</f>
        <v>36.742160482030982</v>
      </c>
      <c r="O19" s="168">
        <f t="shared" ref="O19:O28" si="1">F17-D17</f>
        <v>45.677965798132021</v>
      </c>
      <c r="P19" s="168">
        <f t="shared" ref="P19:P28" si="2">D17-E17</f>
        <v>37.211422632850997</v>
      </c>
      <c r="Q19" s="168">
        <f t="shared" ref="Q19:Q28" si="3">F28-D28</f>
        <v>46.219133858939017</v>
      </c>
      <c r="R19" s="168">
        <f t="shared" ref="R19:R28" si="4">D28-E28</f>
        <v>38.061242639269992</v>
      </c>
      <c r="S19" s="168">
        <f t="shared" ref="S19:S28" si="5">F39-D39</f>
        <v>44.164442703605999</v>
      </c>
      <c r="T19" s="168">
        <f t="shared" ref="T19:T28" si="6">D39-E39</f>
        <v>36.181198672397002</v>
      </c>
    </row>
    <row r="20" spans="2:20" x14ac:dyDescent="0.2">
      <c r="B20" t="s">
        <v>612</v>
      </c>
      <c r="C20" t="s">
        <v>79</v>
      </c>
      <c r="D20">
        <v>201.399975439027</v>
      </c>
      <c r="E20">
        <v>171.75532983118401</v>
      </c>
      <c r="F20">
        <v>234.69183588645001</v>
      </c>
      <c r="G20">
        <v>164</v>
      </c>
      <c r="H20">
        <v>8143</v>
      </c>
      <c r="I20" t="s">
        <v>610</v>
      </c>
      <c r="J20" t="s">
        <v>611</v>
      </c>
      <c r="L20" t="s">
        <v>82</v>
      </c>
      <c r="M20" s="168">
        <f t="shared" ref="M20:M28" si="7">F7-D7</f>
        <v>29.613080039071974</v>
      </c>
      <c r="N20" s="168">
        <f t="shared" si="0"/>
        <v>25.536859406304018</v>
      </c>
      <c r="O20" s="168">
        <f t="shared" si="1"/>
        <v>31.561768188016003</v>
      </c>
      <c r="P20" s="168">
        <f t="shared" si="2"/>
        <v>27.585507184783012</v>
      </c>
      <c r="Q20" s="168">
        <f t="shared" si="3"/>
        <v>29.947839739047993</v>
      </c>
      <c r="R20" s="168">
        <f t="shared" si="4"/>
        <v>26.130490704654989</v>
      </c>
      <c r="S20" s="168">
        <f t="shared" si="5"/>
        <v>28.850593061533004</v>
      </c>
      <c r="T20" s="168">
        <f t="shared" si="6"/>
        <v>25.113580940334998</v>
      </c>
    </row>
    <row r="21" spans="2:20" x14ac:dyDescent="0.2">
      <c r="B21" t="s">
        <v>612</v>
      </c>
      <c r="C21" t="s">
        <v>83</v>
      </c>
      <c r="D21">
        <v>135.79728405431899</v>
      </c>
      <c r="E21">
        <v>110.12245115518699</v>
      </c>
      <c r="F21">
        <v>165.66117005668701</v>
      </c>
      <c r="G21">
        <v>97</v>
      </c>
      <c r="H21">
        <v>7143</v>
      </c>
      <c r="I21" t="s">
        <v>610</v>
      </c>
      <c r="J21" t="s">
        <v>611</v>
      </c>
      <c r="L21" t="s">
        <v>44</v>
      </c>
      <c r="M21" s="168">
        <f t="shared" si="7"/>
        <v>35.832092703168996</v>
      </c>
      <c r="N21" s="168">
        <f t="shared" si="0"/>
        <v>30.516134116254008</v>
      </c>
      <c r="O21" s="168">
        <f t="shared" si="1"/>
        <v>37.646153980545989</v>
      </c>
      <c r="P21" s="168">
        <f t="shared" si="2"/>
        <v>32.339877007729001</v>
      </c>
      <c r="Q21" s="168">
        <f t="shared" si="3"/>
        <v>31.614587691294986</v>
      </c>
      <c r="R21" s="168">
        <f t="shared" si="4"/>
        <v>26.4556233709</v>
      </c>
      <c r="S21" s="168">
        <f t="shared" si="5"/>
        <v>39.52475398765398</v>
      </c>
      <c r="T21" s="168">
        <f t="shared" si="6"/>
        <v>34.362798787481012</v>
      </c>
    </row>
    <row r="22" spans="2:20" x14ac:dyDescent="0.2">
      <c r="B22" t="s">
        <v>612</v>
      </c>
      <c r="C22" t="s">
        <v>80</v>
      </c>
      <c r="D22">
        <v>139.30587246307201</v>
      </c>
      <c r="E22">
        <v>115.111139961826</v>
      </c>
      <c r="F22">
        <v>167.08412412278599</v>
      </c>
      <c r="G22">
        <v>116</v>
      </c>
      <c r="H22">
        <v>8327</v>
      </c>
      <c r="I22" t="s">
        <v>610</v>
      </c>
      <c r="J22" t="s">
        <v>611</v>
      </c>
      <c r="L22" t="s">
        <v>79</v>
      </c>
      <c r="M22" s="168">
        <f t="shared" si="7"/>
        <v>35.421978517725989</v>
      </c>
      <c r="N22" s="168">
        <f t="shared" si="0"/>
        <v>31.585523400481009</v>
      </c>
      <c r="O22" s="168">
        <f t="shared" si="1"/>
        <v>33.291860447423005</v>
      </c>
      <c r="P22" s="168">
        <f t="shared" si="2"/>
        <v>29.644645607842989</v>
      </c>
      <c r="Q22" s="168">
        <f t="shared" si="3"/>
        <v>31.182056569361009</v>
      </c>
      <c r="R22" s="168">
        <f t="shared" si="4"/>
        <v>27.607169593389983</v>
      </c>
      <c r="S22" s="168">
        <f t="shared" si="5"/>
        <v>29.561556397223995</v>
      </c>
      <c r="T22" s="168">
        <f t="shared" si="6"/>
        <v>25.998261432944986</v>
      </c>
    </row>
    <row r="23" spans="2:20" x14ac:dyDescent="0.2">
      <c r="B23" t="s">
        <v>612</v>
      </c>
      <c r="C23" t="s">
        <v>81</v>
      </c>
      <c r="D23">
        <v>126.10340479192899</v>
      </c>
      <c r="E23">
        <v>99.992158772870894</v>
      </c>
      <c r="F23">
        <v>156.946602926552</v>
      </c>
      <c r="G23">
        <v>80</v>
      </c>
      <c r="H23">
        <v>6344</v>
      </c>
      <c r="I23" t="s">
        <v>610</v>
      </c>
      <c r="J23" t="s">
        <v>611</v>
      </c>
      <c r="L23" t="s">
        <v>83</v>
      </c>
      <c r="M23" s="168">
        <f t="shared" si="7"/>
        <v>30.343830272677991</v>
      </c>
      <c r="N23" s="168">
        <f t="shared" si="0"/>
        <v>26.127814263814997</v>
      </c>
      <c r="O23" s="168">
        <f t="shared" si="1"/>
        <v>29.863886002368019</v>
      </c>
      <c r="P23" s="168">
        <f t="shared" si="2"/>
        <v>25.674832899131999</v>
      </c>
      <c r="Q23" s="168">
        <f t="shared" si="3"/>
        <v>28.662145180308002</v>
      </c>
      <c r="R23" s="168">
        <f t="shared" si="4"/>
        <v>24.498847766284996</v>
      </c>
      <c r="S23" s="168">
        <f t="shared" si="5"/>
        <v>31.590681887272979</v>
      </c>
      <c r="T23" s="168">
        <f t="shared" si="6"/>
        <v>27.430224508596012</v>
      </c>
    </row>
    <row r="24" spans="2:20" x14ac:dyDescent="0.2">
      <c r="B24" t="s">
        <v>612</v>
      </c>
      <c r="C24" t="s">
        <v>291</v>
      </c>
      <c r="D24">
        <v>155.98885793871901</v>
      </c>
      <c r="E24">
        <v>144.86181594424801</v>
      </c>
      <c r="F24">
        <v>167.74378273193599</v>
      </c>
      <c r="G24">
        <v>728</v>
      </c>
      <c r="H24">
        <v>46670</v>
      </c>
      <c r="I24" t="s">
        <v>610</v>
      </c>
      <c r="J24" t="s">
        <v>611</v>
      </c>
      <c r="L24" t="s">
        <v>80</v>
      </c>
      <c r="M24" s="168">
        <f t="shared" si="7"/>
        <v>27.058059754831987</v>
      </c>
      <c r="N24" s="168">
        <f t="shared" si="0"/>
        <v>23.43273456864901</v>
      </c>
      <c r="O24" s="168">
        <f t="shared" si="1"/>
        <v>27.778251659713987</v>
      </c>
      <c r="P24" s="168">
        <f t="shared" si="2"/>
        <v>24.194732501246008</v>
      </c>
      <c r="Q24" s="168">
        <f t="shared" si="3"/>
        <v>23.049740719289602</v>
      </c>
      <c r="R24" s="168">
        <f t="shared" si="4"/>
        <v>19.513457974426601</v>
      </c>
      <c r="S24" s="168">
        <f t="shared" si="5"/>
        <v>25.041610531824006</v>
      </c>
      <c r="T24" s="168">
        <f t="shared" si="6"/>
        <v>21.545761773372888</v>
      </c>
    </row>
    <row r="25" spans="2:20" x14ac:dyDescent="0.2">
      <c r="B25" s="166" t="s">
        <v>612</v>
      </c>
      <c r="C25" t="s">
        <v>609</v>
      </c>
      <c r="D25" s="167">
        <v>145.72543693377699</v>
      </c>
      <c r="E25" s="167">
        <v>142.511446955297</v>
      </c>
      <c r="F25" s="167">
        <v>148.993630711257</v>
      </c>
      <c r="G25" s="167">
        <v>7811</v>
      </c>
      <c r="H25" s="167">
        <v>536008</v>
      </c>
      <c r="I25" s="166" t="s">
        <v>610</v>
      </c>
      <c r="J25" s="166" t="s">
        <v>611</v>
      </c>
      <c r="L25" t="s">
        <v>81</v>
      </c>
      <c r="M25" s="168">
        <f t="shared" si="7"/>
        <v>29.230815963896006</v>
      </c>
      <c r="N25" s="168">
        <f t="shared" si="0"/>
        <v>24.329923512856297</v>
      </c>
      <c r="O25" s="168">
        <f t="shared" si="1"/>
        <v>30.843198134623009</v>
      </c>
      <c r="P25" s="168">
        <f t="shared" si="2"/>
        <v>26.1112460190581</v>
      </c>
      <c r="Q25" s="168">
        <f t="shared" si="3"/>
        <v>29.376031796468013</v>
      </c>
      <c r="R25" s="168">
        <f t="shared" si="4"/>
        <v>24.613598288522098</v>
      </c>
      <c r="S25" s="168">
        <f t="shared" si="5"/>
        <v>31.433879102868005</v>
      </c>
      <c r="T25" s="168">
        <f t="shared" si="6"/>
        <v>26.583127690476999</v>
      </c>
    </row>
    <row r="26" spans="2:20" x14ac:dyDescent="0.2">
      <c r="B26" s="166" t="s">
        <v>612</v>
      </c>
      <c r="C26" t="s">
        <v>293</v>
      </c>
      <c r="D26" s="167">
        <v>148.196948640719</v>
      </c>
      <c r="E26" s="167">
        <v>146.89203810531899</v>
      </c>
      <c r="F26" s="167">
        <v>149.510567301728</v>
      </c>
      <c r="G26" s="167">
        <v>49331</v>
      </c>
      <c r="H26" s="167">
        <v>3328746</v>
      </c>
      <c r="I26" s="166" t="s">
        <v>610</v>
      </c>
      <c r="J26" s="166" t="s">
        <v>611</v>
      </c>
      <c r="L26" t="s">
        <v>291</v>
      </c>
      <c r="M26" s="168">
        <f t="shared" si="7"/>
        <v>11.591862576186998</v>
      </c>
      <c r="N26" s="168">
        <f t="shared" si="0"/>
        <v>10.949908279629</v>
      </c>
      <c r="O26" s="168">
        <f t="shared" si="1"/>
        <v>11.754924793216986</v>
      </c>
      <c r="P26" s="168">
        <f t="shared" si="2"/>
        <v>11.127041994471</v>
      </c>
      <c r="Q26" s="168">
        <f t="shared" si="3"/>
        <v>10.800881384504009</v>
      </c>
      <c r="R26" s="168">
        <f t="shared" si="4"/>
        <v>10.185633472196997</v>
      </c>
      <c r="S26" s="168">
        <f t="shared" si="5"/>
        <v>11.299939188645993</v>
      </c>
      <c r="T26" s="168">
        <f t="shared" si="6"/>
        <v>10.687258379895013</v>
      </c>
    </row>
    <row r="27" spans="2:20" x14ac:dyDescent="0.2">
      <c r="L27" t="s">
        <v>609</v>
      </c>
      <c r="M27" s="168">
        <f t="shared" si="7"/>
        <v>3.2483334309669942</v>
      </c>
      <c r="N27" s="168">
        <f t="shared" si="0"/>
        <v>3.1930092221369932</v>
      </c>
      <c r="O27" s="168">
        <f t="shared" si="1"/>
        <v>3.2681937774800076</v>
      </c>
      <c r="P27" s="168">
        <f t="shared" si="2"/>
        <v>3.2139899784799866</v>
      </c>
      <c r="Q27" s="168">
        <f t="shared" si="3"/>
        <v>3.0472288196779971</v>
      </c>
      <c r="R27" s="168">
        <f t="shared" si="4"/>
        <v>2.9939777583809928</v>
      </c>
      <c r="S27" s="168">
        <f t="shared" si="5"/>
        <v>3.1113127080460004</v>
      </c>
      <c r="T27" s="168">
        <f t="shared" si="6"/>
        <v>3.0582438763809989</v>
      </c>
    </row>
    <row r="28" spans="2:20" x14ac:dyDescent="0.2">
      <c r="B28" t="s">
        <v>613</v>
      </c>
      <c r="C28" t="s">
        <v>398</v>
      </c>
      <c r="D28">
        <v>159.41637395298599</v>
      </c>
      <c r="E28">
        <v>121.355131313716</v>
      </c>
      <c r="F28">
        <v>205.63550781192501</v>
      </c>
      <c r="G28">
        <v>59</v>
      </c>
      <c r="H28">
        <v>3701</v>
      </c>
      <c r="I28" t="s">
        <v>610</v>
      </c>
      <c r="J28" t="s">
        <v>611</v>
      </c>
      <c r="L28" t="s">
        <v>293</v>
      </c>
      <c r="M28" s="168">
        <f t="shared" si="7"/>
        <v>1.3013335652040041</v>
      </c>
      <c r="N28" s="168">
        <f t="shared" si="0"/>
        <v>1.2924970263350133</v>
      </c>
      <c r="O28" s="168">
        <f t="shared" si="1"/>
        <v>1.3136186610090022</v>
      </c>
      <c r="P28" s="168">
        <f t="shared" si="2"/>
        <v>1.3049105354000119</v>
      </c>
      <c r="Q28" s="168">
        <f t="shared" si="3"/>
        <v>1.24060109562501</v>
      </c>
      <c r="R28" s="168">
        <f t="shared" si="4"/>
        <v>1.2320582695269877</v>
      </c>
      <c r="S28" s="168">
        <f t="shared" si="5"/>
        <v>1.2643645531590266</v>
      </c>
      <c r="T28" s="168">
        <f t="shared" si="6"/>
        <v>1.2558740410409825</v>
      </c>
    </row>
    <row r="29" spans="2:20" x14ac:dyDescent="0.2">
      <c r="B29" t="s">
        <v>613</v>
      </c>
      <c r="C29" t="s">
        <v>82</v>
      </c>
      <c r="D29">
        <v>152.29076017404699</v>
      </c>
      <c r="E29">
        <v>126.16026946939201</v>
      </c>
      <c r="F29">
        <v>182.23859991309499</v>
      </c>
      <c r="G29">
        <v>119</v>
      </c>
      <c r="H29">
        <v>7814</v>
      </c>
      <c r="I29" t="s">
        <v>610</v>
      </c>
      <c r="J29" t="s">
        <v>611</v>
      </c>
    </row>
    <row r="30" spans="2:20" x14ac:dyDescent="0.2">
      <c r="B30" t="s">
        <v>613</v>
      </c>
      <c r="C30" t="s">
        <v>44</v>
      </c>
      <c r="D30">
        <v>120.006857534716</v>
      </c>
      <c r="E30">
        <v>93.551234163816005</v>
      </c>
      <c r="F30">
        <v>151.62144522601099</v>
      </c>
      <c r="G30">
        <v>70</v>
      </c>
      <c r="H30">
        <v>5833</v>
      </c>
      <c r="I30" t="s">
        <v>610</v>
      </c>
      <c r="J30" t="s">
        <v>611</v>
      </c>
    </row>
    <row r="31" spans="2:20" x14ac:dyDescent="0.2">
      <c r="B31" t="s">
        <v>613</v>
      </c>
      <c r="C31" t="s">
        <v>79</v>
      </c>
      <c r="D31">
        <v>179.129598461169</v>
      </c>
      <c r="E31">
        <v>151.52242886777901</v>
      </c>
      <c r="F31">
        <v>210.31165503053001</v>
      </c>
      <c r="G31">
        <v>149</v>
      </c>
      <c r="H31">
        <v>8318</v>
      </c>
      <c r="I31" t="s">
        <v>610</v>
      </c>
      <c r="J31" t="s">
        <v>611</v>
      </c>
      <c r="L31" t="s">
        <v>418</v>
      </c>
    </row>
    <row r="32" spans="2:20" x14ac:dyDescent="0.2">
      <c r="B32" t="s">
        <v>613</v>
      </c>
      <c r="C32" t="s">
        <v>83</v>
      </c>
      <c r="D32">
        <v>125.06948304613699</v>
      </c>
      <c r="E32">
        <v>100.570635279852</v>
      </c>
      <c r="F32">
        <v>153.731628226445</v>
      </c>
      <c r="G32">
        <v>90</v>
      </c>
      <c r="H32">
        <v>7196</v>
      </c>
      <c r="I32" t="s">
        <v>610</v>
      </c>
      <c r="J32" t="s">
        <v>611</v>
      </c>
      <c r="M32" t="s">
        <v>608</v>
      </c>
      <c r="N32" t="s">
        <v>612</v>
      </c>
      <c r="O32" t="s">
        <v>613</v>
      </c>
      <c r="P32" t="s">
        <v>502</v>
      </c>
    </row>
    <row r="33" spans="2:12" x14ac:dyDescent="0.2">
      <c r="B33" t="s">
        <v>613</v>
      </c>
      <c r="C33" t="s">
        <v>80</v>
      </c>
      <c r="D33">
        <v>94.239604193662402</v>
      </c>
      <c r="E33">
        <v>74.726146219235801</v>
      </c>
      <c r="F33">
        <v>117.289344912952</v>
      </c>
      <c r="G33">
        <v>80</v>
      </c>
      <c r="H33">
        <v>8489</v>
      </c>
      <c r="I33" t="s">
        <v>610</v>
      </c>
      <c r="J33" t="s">
        <v>611</v>
      </c>
      <c r="L33" t="s">
        <v>398</v>
      </c>
    </row>
    <row r="34" spans="2:12" x14ac:dyDescent="0.2">
      <c r="B34" t="s">
        <v>613</v>
      </c>
      <c r="C34" t="s">
        <v>81</v>
      </c>
      <c r="D34">
        <v>112.395124267849</v>
      </c>
      <c r="E34">
        <v>87.781525979326901</v>
      </c>
      <c r="F34">
        <v>141.77115606431701</v>
      </c>
      <c r="G34">
        <v>71</v>
      </c>
      <c r="H34">
        <v>6317</v>
      </c>
      <c r="I34" t="s">
        <v>610</v>
      </c>
      <c r="J34" t="s">
        <v>611</v>
      </c>
      <c r="L34" t="s">
        <v>82</v>
      </c>
    </row>
    <row r="35" spans="2:12" x14ac:dyDescent="0.2">
      <c r="B35" t="s">
        <v>613</v>
      </c>
      <c r="C35" t="s">
        <v>291</v>
      </c>
      <c r="D35">
        <v>133.842410002517</v>
      </c>
      <c r="E35">
        <v>123.65677653032</v>
      </c>
      <c r="F35">
        <v>144.64329138702101</v>
      </c>
      <c r="G35">
        <v>638</v>
      </c>
      <c r="H35">
        <v>47668</v>
      </c>
      <c r="I35" t="s">
        <v>610</v>
      </c>
      <c r="J35" t="s">
        <v>611</v>
      </c>
      <c r="L35" t="s">
        <v>44</v>
      </c>
    </row>
    <row r="36" spans="2:12" x14ac:dyDescent="0.2">
      <c r="B36" s="166" t="s">
        <v>613</v>
      </c>
      <c r="C36" t="s">
        <v>609</v>
      </c>
      <c r="D36" s="167">
        <v>128.823001227758</v>
      </c>
      <c r="E36" s="167">
        <v>125.82902346937701</v>
      </c>
      <c r="F36" s="167">
        <v>131.870230047436</v>
      </c>
      <c r="G36" s="167">
        <v>7030</v>
      </c>
      <c r="H36" s="167">
        <v>545710</v>
      </c>
      <c r="I36" s="166" t="s">
        <v>610</v>
      </c>
      <c r="J36" s="166" t="s">
        <v>611</v>
      </c>
      <c r="L36" t="s">
        <v>79</v>
      </c>
    </row>
    <row r="37" spans="2:12" x14ac:dyDescent="0.2">
      <c r="B37" s="166" t="s">
        <v>613</v>
      </c>
      <c r="C37" t="s">
        <v>293</v>
      </c>
      <c r="D37" s="167">
        <v>134.69851085474099</v>
      </c>
      <c r="E37" s="167">
        <v>133.466452585214</v>
      </c>
      <c r="F37" s="167">
        <v>135.939111950366</v>
      </c>
      <c r="G37" s="167">
        <v>45708</v>
      </c>
      <c r="H37" s="167">
        <v>3393356</v>
      </c>
      <c r="I37" s="166" t="s">
        <v>610</v>
      </c>
      <c r="J37" s="166" t="s">
        <v>611</v>
      </c>
      <c r="L37" t="s">
        <v>83</v>
      </c>
    </row>
    <row r="38" spans="2:12" x14ac:dyDescent="0.2">
      <c r="L38" t="s">
        <v>80</v>
      </c>
    </row>
    <row r="39" spans="2:12" x14ac:dyDescent="0.2">
      <c r="B39" t="s">
        <v>502</v>
      </c>
      <c r="C39" t="s">
        <v>398</v>
      </c>
      <c r="D39">
        <v>147.91336502905401</v>
      </c>
      <c r="E39">
        <v>111.732166356657</v>
      </c>
      <c r="F39">
        <v>192.07780773266001</v>
      </c>
      <c r="G39">
        <v>56</v>
      </c>
      <c r="H39">
        <v>3786</v>
      </c>
      <c r="I39" t="s">
        <v>610</v>
      </c>
      <c r="J39" t="s">
        <v>611</v>
      </c>
      <c r="L39" t="s">
        <v>81</v>
      </c>
    </row>
    <row r="40" spans="2:12" x14ac:dyDescent="0.2">
      <c r="B40" t="s">
        <v>502</v>
      </c>
      <c r="C40" t="s">
        <v>82</v>
      </c>
      <c r="D40">
        <v>144.00200350613599</v>
      </c>
      <c r="E40">
        <v>118.88842256580099</v>
      </c>
      <c r="F40">
        <v>172.852596567669</v>
      </c>
      <c r="G40">
        <v>115</v>
      </c>
      <c r="H40">
        <v>7986</v>
      </c>
      <c r="I40" t="s">
        <v>610</v>
      </c>
      <c r="J40" t="s">
        <v>611</v>
      </c>
      <c r="L40" t="s">
        <v>291</v>
      </c>
    </row>
    <row r="41" spans="2:12" x14ac:dyDescent="0.2">
      <c r="B41" t="s">
        <v>502</v>
      </c>
      <c r="C41" t="s">
        <v>44</v>
      </c>
      <c r="D41">
        <v>195.40031125713301</v>
      </c>
      <c r="E41">
        <v>161.037512469652</v>
      </c>
      <c r="F41">
        <v>234.92506524478699</v>
      </c>
      <c r="G41">
        <v>113</v>
      </c>
      <c r="H41">
        <v>5783</v>
      </c>
      <c r="I41" t="s">
        <v>610</v>
      </c>
      <c r="J41" t="s">
        <v>611</v>
      </c>
      <c r="L41" t="s">
        <v>609</v>
      </c>
    </row>
    <row r="42" spans="2:12" x14ac:dyDescent="0.2">
      <c r="B42" t="s">
        <v>502</v>
      </c>
      <c r="C42" t="s">
        <v>79</v>
      </c>
      <c r="D42">
        <v>160.344621275577</v>
      </c>
      <c r="E42">
        <v>134.34635984263201</v>
      </c>
      <c r="F42">
        <v>189.90617767280099</v>
      </c>
      <c r="G42">
        <v>134</v>
      </c>
      <c r="H42">
        <v>8357</v>
      </c>
      <c r="I42" t="s">
        <v>610</v>
      </c>
      <c r="J42" t="s">
        <v>611</v>
      </c>
      <c r="L42" t="s">
        <v>293</v>
      </c>
    </row>
    <row r="43" spans="2:12" x14ac:dyDescent="0.2">
      <c r="B43" t="s">
        <v>502</v>
      </c>
      <c r="C43" t="s">
        <v>83</v>
      </c>
      <c r="D43">
        <v>154.66072175003501</v>
      </c>
      <c r="E43">
        <v>127.230497241439</v>
      </c>
      <c r="F43">
        <v>186.25140363730799</v>
      </c>
      <c r="G43">
        <v>111</v>
      </c>
      <c r="H43">
        <v>7177</v>
      </c>
      <c r="I43" t="s">
        <v>610</v>
      </c>
      <c r="J43" t="s">
        <v>611</v>
      </c>
    </row>
    <row r="44" spans="2:12" x14ac:dyDescent="0.2">
      <c r="B44" t="s">
        <v>502</v>
      </c>
      <c r="C44" t="s">
        <v>80</v>
      </c>
      <c r="D44">
        <v>114.51273662070599</v>
      </c>
      <c r="E44">
        <v>92.966974847333105</v>
      </c>
      <c r="F44">
        <v>139.55434715253</v>
      </c>
      <c r="G44">
        <v>98</v>
      </c>
      <c r="H44">
        <v>8558</v>
      </c>
      <c r="I44" t="s">
        <v>610</v>
      </c>
      <c r="J44" t="s">
        <v>611</v>
      </c>
    </row>
    <row r="45" spans="2:12" x14ac:dyDescent="0.2">
      <c r="B45" t="s">
        <v>502</v>
      </c>
      <c r="C45" t="s">
        <v>81</v>
      </c>
      <c r="D45">
        <v>127.625201938611</v>
      </c>
      <c r="E45">
        <v>101.042074248134</v>
      </c>
      <c r="F45">
        <v>159.059081041479</v>
      </c>
      <c r="G45">
        <v>79</v>
      </c>
      <c r="H45">
        <v>6190</v>
      </c>
      <c r="I45" t="s">
        <v>610</v>
      </c>
      <c r="J45" t="s">
        <v>611</v>
      </c>
    </row>
    <row r="46" spans="2:12" x14ac:dyDescent="0.2">
      <c r="B46" t="s">
        <v>502</v>
      </c>
      <c r="C46" t="s">
        <v>291</v>
      </c>
      <c r="D46">
        <v>147.58450571733201</v>
      </c>
      <c r="E46">
        <v>136.89724733743699</v>
      </c>
      <c r="F46">
        <v>158.884444905978</v>
      </c>
      <c r="G46">
        <v>706</v>
      </c>
      <c r="H46">
        <v>47837</v>
      </c>
      <c r="I46" t="s">
        <v>610</v>
      </c>
      <c r="J46" t="s">
        <v>611</v>
      </c>
    </row>
    <row r="47" spans="2:12" x14ac:dyDescent="0.2">
      <c r="B47" s="166" t="s">
        <v>502</v>
      </c>
      <c r="C47" t="s">
        <v>609</v>
      </c>
      <c r="D47" s="167">
        <v>134.82341639103501</v>
      </c>
      <c r="E47" s="167">
        <v>131.76517251465401</v>
      </c>
      <c r="F47" s="167">
        <v>137.93472909908101</v>
      </c>
      <c r="G47" s="167">
        <v>7382</v>
      </c>
      <c r="H47" s="167">
        <v>547531</v>
      </c>
      <c r="I47" s="166" t="s">
        <v>610</v>
      </c>
      <c r="J47" s="166" t="s">
        <v>611</v>
      </c>
    </row>
    <row r="48" spans="2:12" x14ac:dyDescent="0.2">
      <c r="B48" s="166" t="s">
        <v>502</v>
      </c>
      <c r="C48" t="s">
        <v>293</v>
      </c>
      <c r="D48" s="167">
        <v>140.79721627471699</v>
      </c>
      <c r="E48" s="167">
        <v>139.541342233676</v>
      </c>
      <c r="F48" s="167">
        <v>142.06158082787601</v>
      </c>
      <c r="G48" s="167">
        <v>48070</v>
      </c>
      <c r="H48" s="167">
        <v>3414130</v>
      </c>
      <c r="I48" s="166" t="s">
        <v>610</v>
      </c>
      <c r="J48" s="166" t="s">
        <v>611</v>
      </c>
    </row>
    <row r="53" spans="10:10" x14ac:dyDescent="0.2">
      <c r="J53" s="167"/>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Q41"/>
  <sheetViews>
    <sheetView topLeftCell="A3" zoomScale="70" zoomScaleNormal="70" workbookViewId="0">
      <selection activeCell="O25" sqref="O25"/>
    </sheetView>
  </sheetViews>
  <sheetFormatPr defaultRowHeight="14.25" x14ac:dyDescent="0.2"/>
  <cols>
    <col min="1" max="1" width="2.5" customWidth="1"/>
  </cols>
  <sheetData>
    <row r="3" spans="2:17" x14ac:dyDescent="0.2">
      <c r="B3" s="682"/>
      <c r="C3" s="1473" t="s">
        <v>612</v>
      </c>
      <c r="D3" s="1473"/>
      <c r="E3" s="1473"/>
      <c r="F3" s="1473" t="s">
        <v>613</v>
      </c>
      <c r="G3" s="1473"/>
      <c r="H3" s="1473"/>
      <c r="I3" s="1473" t="s">
        <v>502</v>
      </c>
      <c r="J3" s="1473"/>
      <c r="K3" s="1473"/>
      <c r="L3" s="1473" t="s">
        <v>503</v>
      </c>
      <c r="M3" s="1473"/>
      <c r="N3" s="1473"/>
      <c r="O3" s="1473" t="s">
        <v>1018</v>
      </c>
      <c r="P3" s="1473"/>
      <c r="Q3" s="1473"/>
    </row>
    <row r="4" spans="2:17" x14ac:dyDescent="0.2">
      <c r="B4" s="680"/>
      <c r="C4" s="683" t="s">
        <v>616</v>
      </c>
      <c r="D4" s="683" t="s">
        <v>617</v>
      </c>
      <c r="E4" s="683" t="s">
        <v>618</v>
      </c>
      <c r="F4" s="683" t="s">
        <v>616</v>
      </c>
      <c r="G4" s="683" t="s">
        <v>617</v>
      </c>
      <c r="H4" s="683" t="s">
        <v>618</v>
      </c>
      <c r="I4" s="683" t="s">
        <v>616</v>
      </c>
      <c r="J4" s="683" t="s">
        <v>617</v>
      </c>
      <c r="K4" s="683" t="s">
        <v>618</v>
      </c>
      <c r="L4" s="683" t="s">
        <v>616</v>
      </c>
      <c r="M4" s="683" t="s">
        <v>617</v>
      </c>
      <c r="N4" s="683" t="s">
        <v>618</v>
      </c>
      <c r="O4" s="683" t="s">
        <v>616</v>
      </c>
      <c r="P4" s="683" t="s">
        <v>617</v>
      </c>
      <c r="Q4" s="683" t="s">
        <v>618</v>
      </c>
    </row>
    <row r="5" spans="2:17" x14ac:dyDescent="0.2">
      <c r="B5" s="678" t="s">
        <v>398</v>
      </c>
      <c r="C5" s="679">
        <v>9.6774193548387094E-2</v>
      </c>
      <c r="D5" s="679">
        <v>7.6260221740152054E-2</v>
      </c>
      <c r="E5" s="679">
        <v>0.12207714992399797</v>
      </c>
      <c r="F5" s="679">
        <v>9.7421537743553902E-2</v>
      </c>
      <c r="G5" s="679">
        <v>7.7868352266273894E-2</v>
      </c>
      <c r="H5" s="679">
        <v>0.121239098147743</v>
      </c>
      <c r="I5" s="679">
        <v>0.111760737575894</v>
      </c>
      <c r="J5" s="679">
        <v>9.0569723755341697E-2</v>
      </c>
      <c r="K5" s="679">
        <v>0.13716211061726799</v>
      </c>
      <c r="L5" s="679">
        <v>0.12607072260048299</v>
      </c>
      <c r="M5" s="679">
        <v>0.102986641288642</v>
      </c>
      <c r="N5" s="679">
        <v>0.15344391132052299</v>
      </c>
      <c r="O5" s="679">
        <v>0.11862217438105489</v>
      </c>
      <c r="P5" s="679">
        <v>9.6573409575451338E-2</v>
      </c>
      <c r="Q5" s="679">
        <v>0.14489753111592613</v>
      </c>
    </row>
    <row r="6" spans="2:17" x14ac:dyDescent="0.2">
      <c r="B6" s="678" t="s">
        <v>82</v>
      </c>
      <c r="C6" s="679">
        <v>9.6774193548387094E-2</v>
      </c>
      <c r="D6" s="679">
        <v>8.2756706594598411E-2</v>
      </c>
      <c r="E6" s="679">
        <v>0.11287381203661337</v>
      </c>
      <c r="F6" s="679">
        <v>9.7421537743553804E-2</v>
      </c>
      <c r="G6" s="679">
        <v>8.3458516935539004E-2</v>
      </c>
      <c r="H6" s="679">
        <v>0.11343152625997099</v>
      </c>
      <c r="I6" s="679">
        <v>0.111760737575894</v>
      </c>
      <c r="J6" s="679">
        <v>9.624425923510771E-2</v>
      </c>
      <c r="K6" s="679">
        <v>0.12942054774846601</v>
      </c>
      <c r="L6" s="679">
        <v>0.12607072260048299</v>
      </c>
      <c r="M6" s="679">
        <v>0.10974391493418401</v>
      </c>
      <c r="N6" s="679">
        <v>0.14443243136650899</v>
      </c>
      <c r="O6" s="679">
        <v>0.11862217438105491</v>
      </c>
      <c r="P6" s="679">
        <v>0.10291994816031118</v>
      </c>
      <c r="Q6" s="679">
        <v>0.13635591030190616</v>
      </c>
    </row>
    <row r="7" spans="2:17" x14ac:dyDescent="0.2">
      <c r="B7" s="678" t="s">
        <v>44</v>
      </c>
      <c r="C7" s="679">
        <v>9.6774193548387094E-2</v>
      </c>
      <c r="D7" s="679">
        <v>8.0502449804824017E-2</v>
      </c>
      <c r="E7" s="679">
        <v>0.11592026427160301</v>
      </c>
      <c r="F7" s="679">
        <v>9.7421537743553902E-2</v>
      </c>
      <c r="G7" s="679">
        <v>8.0979612494672004E-2</v>
      </c>
      <c r="H7" s="679">
        <v>0.11677760236562999</v>
      </c>
      <c r="I7" s="679">
        <v>0.10906092310606499</v>
      </c>
      <c r="J7" s="679">
        <v>9.1014914124532706E-2</v>
      </c>
      <c r="K7" s="679">
        <v>0.13017260572584299</v>
      </c>
      <c r="L7" s="679">
        <v>0.12341241688367501</v>
      </c>
      <c r="M7" s="679">
        <v>0.104610130140184</v>
      </c>
      <c r="N7" s="679">
        <v>0.14504671731323099</v>
      </c>
      <c r="O7" s="679">
        <v>0.11862217438105489</v>
      </c>
      <c r="P7" s="679">
        <v>0.10000192384221993</v>
      </c>
      <c r="Q7" s="679">
        <v>0.14016951923351731</v>
      </c>
    </row>
    <row r="8" spans="2:17" x14ac:dyDescent="0.2">
      <c r="B8" s="678" t="s">
        <v>79</v>
      </c>
      <c r="C8" s="679">
        <v>9.6774193548387094E-2</v>
      </c>
      <c r="D8" s="679">
        <v>8.3343789708014593E-2</v>
      </c>
      <c r="E8" s="679">
        <v>0.11210415540560424</v>
      </c>
      <c r="F8" s="679">
        <v>9.7421537743553804E-2</v>
      </c>
      <c r="G8" s="679">
        <v>8.3573272034353302E-2</v>
      </c>
      <c r="H8" s="679">
        <v>0.11328084046020299</v>
      </c>
      <c r="I8" s="679">
        <v>7.1345707656612495E-2</v>
      </c>
      <c r="J8" s="679">
        <v>6.0124481840444499E-2</v>
      </c>
      <c r="K8" s="679">
        <v>8.4472962297294105E-2</v>
      </c>
      <c r="L8" s="679">
        <v>7.0372560615020702E-2</v>
      </c>
      <c r="M8" s="679">
        <v>5.91304801424926E-2</v>
      </c>
      <c r="N8" s="679">
        <v>8.3562193300233095E-2</v>
      </c>
      <c r="O8" s="679">
        <v>6.6081871345029242E-2</v>
      </c>
      <c r="P8" s="679">
        <v>5.5252942147880839E-2</v>
      </c>
      <c r="Q8" s="679">
        <v>7.8855996364348646E-2</v>
      </c>
    </row>
    <row r="9" spans="2:17" x14ac:dyDescent="0.2">
      <c r="B9" s="678" t="s">
        <v>83</v>
      </c>
      <c r="C9" s="679">
        <v>9.6774193548387094E-2</v>
      </c>
      <c r="D9" s="679">
        <v>8.1535055836120224E-2</v>
      </c>
      <c r="E9" s="679">
        <v>0.11450647572191959</v>
      </c>
      <c r="F9" s="679">
        <v>9.7421537743553804E-2</v>
      </c>
      <c r="G9" s="679">
        <v>8.191155199837899E-2</v>
      </c>
      <c r="H9" s="679">
        <v>0.115498882651301</v>
      </c>
      <c r="I9" s="679">
        <v>7.1821283234896199E-2</v>
      </c>
      <c r="J9" s="679">
        <v>5.8384662757710898E-2</v>
      </c>
      <c r="K9" s="679">
        <v>8.8061006166290895E-2</v>
      </c>
      <c r="L9" s="679">
        <v>7.8483055954832098E-2</v>
      </c>
      <c r="M9" s="679">
        <v>6.4414893518987201E-2</v>
      </c>
      <c r="N9" s="679">
        <v>9.5310692319223608E-2</v>
      </c>
      <c r="O9" s="679">
        <v>6.9127247973863229E-2</v>
      </c>
      <c r="P9" s="679">
        <v>5.5978669564400875E-2</v>
      </c>
      <c r="Q9" s="679">
        <v>8.5085874468698849E-2</v>
      </c>
    </row>
    <row r="10" spans="2:17" x14ac:dyDescent="0.2">
      <c r="B10" s="678" t="s">
        <v>80</v>
      </c>
      <c r="C10" s="679">
        <v>9.6774193548387094E-2</v>
      </c>
      <c r="D10" s="679">
        <v>8.2574569395189451E-2</v>
      </c>
      <c r="E10" s="679">
        <v>0.11311454109590934</v>
      </c>
      <c r="F10" s="679">
        <v>9.7421537743553902E-2</v>
      </c>
      <c r="G10" s="679">
        <v>8.31519302231538E-2</v>
      </c>
      <c r="H10" s="679">
        <v>0.11383589427653699</v>
      </c>
      <c r="I10" s="679">
        <v>5.0046339202965695E-2</v>
      </c>
      <c r="J10" s="679">
        <v>3.9808715098121401E-2</v>
      </c>
      <c r="K10" s="679">
        <v>6.2744733356779991E-2</v>
      </c>
      <c r="L10" s="679">
        <v>5.2054794520547898E-2</v>
      </c>
      <c r="M10" s="679">
        <v>4.1720079721623907E-2</v>
      </c>
      <c r="N10" s="679">
        <v>6.4776527246492799E-2</v>
      </c>
      <c r="O10" s="679">
        <v>4.4137316094516273E-2</v>
      </c>
      <c r="P10" s="679">
        <v>3.4751541278861764E-2</v>
      </c>
      <c r="Q10" s="679">
        <v>5.5911188468177449E-2</v>
      </c>
    </row>
    <row r="11" spans="2:17" x14ac:dyDescent="0.2">
      <c r="B11" s="680" t="s">
        <v>81</v>
      </c>
      <c r="C11" s="681">
        <v>9.6774193548387094E-2</v>
      </c>
      <c r="D11" s="681">
        <v>8.1315557814212833E-2</v>
      </c>
      <c r="E11" s="681">
        <v>0.11480437104799507</v>
      </c>
      <c r="F11" s="681">
        <v>9.7421537743553902E-2</v>
      </c>
      <c r="G11" s="681">
        <v>8.1350487596132795E-2</v>
      </c>
      <c r="H11" s="681">
        <v>0.116265656949531</v>
      </c>
      <c r="I11" s="681">
        <v>0.111760737575894</v>
      </c>
      <c r="J11" s="681">
        <v>9.4016724133158397E-2</v>
      </c>
      <c r="K11" s="681">
        <v>0.132364352441348</v>
      </c>
      <c r="L11" s="681">
        <v>0.12607072260048299</v>
      </c>
      <c r="M11" s="681">
        <v>0.107695134543055</v>
      </c>
      <c r="N11" s="681">
        <v>0.147064911353014</v>
      </c>
      <c r="O11" s="681">
        <v>0.11862217438105489</v>
      </c>
      <c r="P11" s="681">
        <v>0.10102014340005856</v>
      </c>
      <c r="Q11" s="681">
        <v>0.13881763162818742</v>
      </c>
    </row>
    <row r="12" spans="2:17" x14ac:dyDescent="0.2">
      <c r="B12" s="678" t="s">
        <v>291</v>
      </c>
      <c r="C12" s="679">
        <v>9.6774193548387094E-2</v>
      </c>
      <c r="D12" s="679">
        <v>9.0742181314143494E-2</v>
      </c>
      <c r="E12" s="679">
        <v>0.103161685647237</v>
      </c>
      <c r="F12" s="679">
        <v>9.7421537743553902E-2</v>
      </c>
      <c r="G12" s="679">
        <v>9.1322979821091596E-2</v>
      </c>
      <c r="H12" s="679">
        <v>0.10388079938101401</v>
      </c>
      <c r="I12" s="679">
        <v>8.7304335124871207E-2</v>
      </c>
      <c r="J12" s="679">
        <v>8.1455629818839997E-2</v>
      </c>
      <c r="K12" s="679">
        <v>9.3530229957657807E-2</v>
      </c>
      <c r="L12" s="679">
        <v>9.5543035753028194E-2</v>
      </c>
      <c r="M12" s="679">
        <v>8.9469500211537198E-2</v>
      </c>
      <c r="N12" s="679">
        <v>0.101982687836359</v>
      </c>
      <c r="O12" s="679">
        <v>8.8741567806466637E-2</v>
      </c>
      <c r="P12" s="679">
        <v>8.2912946670182036E-2</v>
      </c>
      <c r="Q12" s="679">
        <v>9.4937513158036446E-2</v>
      </c>
    </row>
    <row r="13" spans="2:17" x14ac:dyDescent="0.2">
      <c r="B13" s="678" t="s">
        <v>609</v>
      </c>
      <c r="C13" s="679">
        <v>0.114335845366162</v>
      </c>
      <c r="D13" s="679">
        <v>0.11241879460936399</v>
      </c>
      <c r="E13" s="679">
        <v>0.11628130430728299</v>
      </c>
      <c r="F13" s="679">
        <v>0.11082754337616001</v>
      </c>
      <c r="G13" s="679">
        <v>0.1089254076359</v>
      </c>
      <c r="H13" s="679">
        <v>0.11275869231829301</v>
      </c>
      <c r="I13" s="679">
        <v>0.10800457950746001</v>
      </c>
      <c r="J13" s="679">
        <v>0.10599253665974401</v>
      </c>
      <c r="K13" s="679">
        <v>0.110050115077967</v>
      </c>
      <c r="L13" s="679">
        <v>0.102552954117617</v>
      </c>
      <c r="M13" s="679">
        <v>0.100665668195285</v>
      </c>
      <c r="N13" s="679">
        <v>0.10447151271485</v>
      </c>
      <c r="O13" s="679">
        <v>9.6971233417427249E-2</v>
      </c>
      <c r="P13" s="679">
        <v>9.5129177058084713E-2</v>
      </c>
      <c r="Q13" s="679">
        <v>9.8845062498908565E-2</v>
      </c>
    </row>
    <row r="14" spans="2:17" x14ac:dyDescent="0.2">
      <c r="B14" s="680" t="s">
        <v>293</v>
      </c>
      <c r="C14" s="681">
        <v>0.131850739667003</v>
      </c>
      <c r="D14" s="681">
        <v>0.131039518360105</v>
      </c>
      <c r="E14" s="681">
        <v>0.13266621625056499</v>
      </c>
      <c r="F14" s="681">
        <v>0.12685834629971801</v>
      </c>
      <c r="G14" s="681">
        <v>0.12605644225939799</v>
      </c>
      <c r="H14" s="681">
        <v>0.12766460643726801</v>
      </c>
      <c r="I14" s="681">
        <v>0.11993408704554501</v>
      </c>
      <c r="J14" s="681">
        <v>0.11913602380761</v>
      </c>
      <c r="K14" s="681">
        <v>0.120736763554206</v>
      </c>
      <c r="L14" s="681">
        <v>0.11383569718121</v>
      </c>
      <c r="M14" s="681">
        <v>0.113049173138876</v>
      </c>
      <c r="N14" s="681">
        <v>0.114626986153415</v>
      </c>
      <c r="O14" s="681">
        <v>0.10645174066299655</v>
      </c>
      <c r="P14" s="681">
        <v>0.10569329763685012</v>
      </c>
      <c r="Q14" s="681">
        <v>0.1072149737092843</v>
      </c>
    </row>
    <row r="16" spans="2:17" x14ac:dyDescent="0.2">
      <c r="F16" s="678"/>
      <c r="G16" s="678"/>
      <c r="H16" s="678"/>
      <c r="I16" s="678"/>
      <c r="J16" s="678"/>
      <c r="K16" s="678"/>
    </row>
    <row r="17" spans="2:13" x14ac:dyDescent="0.2">
      <c r="B17" s="682"/>
      <c r="F17" s="678"/>
      <c r="G17" s="684" t="s">
        <v>502</v>
      </c>
      <c r="H17" s="684" t="s">
        <v>503</v>
      </c>
      <c r="I17" s="684" t="s">
        <v>1018</v>
      </c>
      <c r="J17" s="685"/>
      <c r="K17" s="684" t="s">
        <v>502</v>
      </c>
      <c r="L17" s="684" t="s">
        <v>503</v>
      </c>
      <c r="M17" s="684" t="s">
        <v>1018</v>
      </c>
    </row>
    <row r="18" spans="2:13" x14ac:dyDescent="0.2">
      <c r="B18" s="680"/>
      <c r="C18" s="684" t="s">
        <v>502</v>
      </c>
      <c r="D18" s="684" t="s">
        <v>503</v>
      </c>
      <c r="E18" s="684" t="s">
        <v>1018</v>
      </c>
      <c r="F18" s="678"/>
      <c r="G18" s="683" t="s">
        <v>617</v>
      </c>
      <c r="H18" s="683" t="s">
        <v>617</v>
      </c>
      <c r="I18" s="683" t="s">
        <v>617</v>
      </c>
      <c r="K18" s="683" t="s">
        <v>618</v>
      </c>
      <c r="L18" s="683" t="s">
        <v>618</v>
      </c>
      <c r="M18" s="683" t="s">
        <v>618</v>
      </c>
    </row>
    <row r="19" spans="2:13" x14ac:dyDescent="0.2">
      <c r="B19" s="678" t="s">
        <v>398</v>
      </c>
      <c r="C19" s="679">
        <v>0.111760737575894</v>
      </c>
      <c r="D19" s="679">
        <v>0.12607072260048299</v>
      </c>
      <c r="E19" s="679">
        <v>0.11862217438105489</v>
      </c>
      <c r="F19" s="678"/>
      <c r="G19" s="679">
        <v>9.0569723755341697E-2</v>
      </c>
      <c r="H19" s="679">
        <v>0.102986641288642</v>
      </c>
      <c r="I19" s="679">
        <v>9.6573409575451338E-2</v>
      </c>
      <c r="K19" s="679">
        <v>0.13716211061726799</v>
      </c>
      <c r="L19" s="679">
        <v>0.15344391132052299</v>
      </c>
      <c r="M19" s="679">
        <v>0.14489753111592613</v>
      </c>
    </row>
    <row r="20" spans="2:13" x14ac:dyDescent="0.2">
      <c r="B20" s="678" t="s">
        <v>82</v>
      </c>
      <c r="C20" s="679">
        <v>0.111760737575894</v>
      </c>
      <c r="D20" s="679">
        <v>0.12607072260048299</v>
      </c>
      <c r="E20" s="679">
        <v>0.11862217438105491</v>
      </c>
      <c r="F20" s="678"/>
      <c r="G20" s="679">
        <v>9.624425923510771E-2</v>
      </c>
      <c r="H20" s="679">
        <v>0.10974391493418401</v>
      </c>
      <c r="I20" s="679">
        <v>0.10291994816031118</v>
      </c>
      <c r="K20" s="679">
        <v>0.12942054774846601</v>
      </c>
      <c r="L20" s="679">
        <v>0.14443243136650899</v>
      </c>
      <c r="M20" s="679">
        <v>0.13635591030190616</v>
      </c>
    </row>
    <row r="21" spans="2:13" x14ac:dyDescent="0.2">
      <c r="B21" s="678" t="s">
        <v>44</v>
      </c>
      <c r="C21" s="679">
        <v>0.10906092310606499</v>
      </c>
      <c r="D21" s="679">
        <v>0.12341241688367501</v>
      </c>
      <c r="E21" s="679">
        <v>0.11862217438105489</v>
      </c>
      <c r="F21" s="678"/>
      <c r="G21" s="679">
        <v>9.1014914124532706E-2</v>
      </c>
      <c r="H21" s="679">
        <v>0.104610130140184</v>
      </c>
      <c r="I21" s="679">
        <v>0.10000192384221993</v>
      </c>
      <c r="K21" s="679">
        <v>0.13017260572584299</v>
      </c>
      <c r="L21" s="679">
        <v>0.14504671731323099</v>
      </c>
      <c r="M21" s="679">
        <v>0.14016951923351731</v>
      </c>
    </row>
    <row r="22" spans="2:13" x14ac:dyDescent="0.2">
      <c r="B22" s="678" t="s">
        <v>79</v>
      </c>
      <c r="C22" s="679">
        <v>7.1345707656612495E-2</v>
      </c>
      <c r="D22" s="679">
        <v>7.0372560615020702E-2</v>
      </c>
      <c r="E22" s="679">
        <v>6.6081871345029242E-2</v>
      </c>
      <c r="F22" s="678"/>
      <c r="G22" s="679">
        <v>6.0124481840444499E-2</v>
      </c>
      <c r="H22" s="679">
        <v>5.91304801424926E-2</v>
      </c>
      <c r="I22" s="679">
        <v>5.5252942147880839E-2</v>
      </c>
      <c r="K22" s="679">
        <v>8.4472962297294105E-2</v>
      </c>
      <c r="L22" s="679">
        <v>8.3562193300233095E-2</v>
      </c>
      <c r="M22" s="679">
        <v>7.8855996364348646E-2</v>
      </c>
    </row>
    <row r="23" spans="2:13" x14ac:dyDescent="0.2">
      <c r="B23" s="678" t="s">
        <v>83</v>
      </c>
      <c r="C23" s="679">
        <v>7.1821283234896199E-2</v>
      </c>
      <c r="D23" s="679">
        <v>7.8483055954832098E-2</v>
      </c>
      <c r="E23" s="679">
        <v>6.9127247973863229E-2</v>
      </c>
      <c r="F23" s="678"/>
      <c r="G23" s="679">
        <v>5.8384662757710898E-2</v>
      </c>
      <c r="H23" s="679">
        <v>6.4414893518987201E-2</v>
      </c>
      <c r="I23" s="679">
        <v>5.5978669564400875E-2</v>
      </c>
      <c r="K23" s="679">
        <v>8.8061006166290895E-2</v>
      </c>
      <c r="L23" s="679">
        <v>9.5310692319223608E-2</v>
      </c>
      <c r="M23" s="679">
        <v>8.5085874468698849E-2</v>
      </c>
    </row>
    <row r="24" spans="2:13" x14ac:dyDescent="0.2">
      <c r="B24" s="678" t="s">
        <v>80</v>
      </c>
      <c r="C24" s="679">
        <v>5.0046339202965695E-2</v>
      </c>
      <c r="D24" s="679">
        <v>5.2054794520547898E-2</v>
      </c>
      <c r="E24" s="679">
        <v>4.4137316094516273E-2</v>
      </c>
      <c r="F24" s="678"/>
      <c r="G24" s="679">
        <v>3.9808715098121401E-2</v>
      </c>
      <c r="H24" s="679">
        <v>4.1720079721623907E-2</v>
      </c>
      <c r="I24" s="679">
        <v>3.4751541278861764E-2</v>
      </c>
      <c r="K24" s="679">
        <v>6.2744733356779991E-2</v>
      </c>
      <c r="L24" s="679">
        <v>6.4776527246492799E-2</v>
      </c>
      <c r="M24" s="679">
        <v>5.5911188468177449E-2</v>
      </c>
    </row>
    <row r="25" spans="2:13" x14ac:dyDescent="0.2">
      <c r="B25" s="680" t="s">
        <v>81</v>
      </c>
      <c r="C25" s="681">
        <v>0.111760737575894</v>
      </c>
      <c r="D25" s="681">
        <v>0.12607072260048299</v>
      </c>
      <c r="E25" s="681">
        <v>0.11862217438105489</v>
      </c>
      <c r="F25" s="678"/>
      <c r="G25" s="681">
        <v>9.4016724133158397E-2</v>
      </c>
      <c r="H25" s="681">
        <v>0.107695134543055</v>
      </c>
      <c r="I25" s="681">
        <v>0.10102014340005856</v>
      </c>
      <c r="K25" s="681">
        <v>0.132364352441348</v>
      </c>
      <c r="L25" s="681">
        <v>0.147064911353014</v>
      </c>
      <c r="M25" s="681">
        <v>0.13881763162818742</v>
      </c>
    </row>
    <row r="26" spans="2:13" x14ac:dyDescent="0.2">
      <c r="B26" s="678" t="s">
        <v>291</v>
      </c>
      <c r="C26" s="679">
        <v>8.7304335124871207E-2</v>
      </c>
      <c r="D26" s="679">
        <v>9.5543035753028194E-2</v>
      </c>
      <c r="E26" s="679">
        <v>8.8741567806466637E-2</v>
      </c>
      <c r="F26" s="678"/>
      <c r="G26" s="679">
        <v>8.1455629818839997E-2</v>
      </c>
      <c r="H26" s="679">
        <v>8.9469500211537198E-2</v>
      </c>
      <c r="I26" s="679">
        <v>8.2912946670182036E-2</v>
      </c>
      <c r="K26" s="679">
        <v>9.3530229957657807E-2</v>
      </c>
      <c r="L26" s="679">
        <v>0.101982687836359</v>
      </c>
      <c r="M26" s="679">
        <v>9.4937513158036446E-2</v>
      </c>
    </row>
    <row r="27" spans="2:13" x14ac:dyDescent="0.2">
      <c r="B27" s="678" t="s">
        <v>609</v>
      </c>
      <c r="C27" s="679">
        <v>0.10800457950746001</v>
      </c>
      <c r="D27" s="679">
        <v>0.102552954117617</v>
      </c>
      <c r="E27" s="679">
        <v>9.6971233417427249E-2</v>
      </c>
      <c r="F27" s="678"/>
      <c r="G27" s="679">
        <v>0.10599253665974401</v>
      </c>
      <c r="H27" s="679">
        <v>0.100665668195285</v>
      </c>
      <c r="I27" s="679">
        <v>9.5129177058084713E-2</v>
      </c>
      <c r="K27" s="679">
        <v>0.110050115077967</v>
      </c>
      <c r="L27" s="679">
        <v>0.10447151271485</v>
      </c>
      <c r="M27" s="679">
        <v>9.8845062498908565E-2</v>
      </c>
    </row>
    <row r="28" spans="2:13" x14ac:dyDescent="0.2">
      <c r="B28" s="680" t="s">
        <v>293</v>
      </c>
      <c r="C28" s="681">
        <v>0.11993408704554501</v>
      </c>
      <c r="D28" s="681">
        <v>0.11383569718121</v>
      </c>
      <c r="E28" s="681">
        <v>0.10645174066299655</v>
      </c>
      <c r="F28" s="678"/>
      <c r="G28" s="681">
        <v>0.11913602380761</v>
      </c>
      <c r="H28" s="681">
        <v>0.113049173138876</v>
      </c>
      <c r="I28" s="681">
        <v>0.10569329763685012</v>
      </c>
      <c r="K28" s="681">
        <v>0.120736763554206</v>
      </c>
      <c r="L28" s="681">
        <v>0.114626986153415</v>
      </c>
      <c r="M28" s="681">
        <v>0.1072149737092843</v>
      </c>
    </row>
    <row r="29" spans="2:13" x14ac:dyDescent="0.2">
      <c r="F29" s="678"/>
      <c r="G29" s="678"/>
      <c r="H29" s="678"/>
      <c r="I29" s="678"/>
      <c r="J29" s="678"/>
      <c r="K29" s="678"/>
    </row>
    <row r="30" spans="2:13" x14ac:dyDescent="0.2">
      <c r="B30" s="684" t="s">
        <v>502</v>
      </c>
      <c r="C30" s="684" t="s">
        <v>503</v>
      </c>
      <c r="D30" s="684" t="s">
        <v>1018</v>
      </c>
      <c r="E30" s="685"/>
      <c r="F30" s="684" t="s">
        <v>502</v>
      </c>
      <c r="G30" s="684" t="s">
        <v>503</v>
      </c>
      <c r="H30" s="684" t="s">
        <v>1018</v>
      </c>
    </row>
    <row r="31" spans="2:13" x14ac:dyDescent="0.2">
      <c r="B31" s="683" t="s">
        <v>617</v>
      </c>
      <c r="C31" s="683" t="s">
        <v>617</v>
      </c>
      <c r="D31" s="683" t="s">
        <v>617</v>
      </c>
      <c r="F31" s="683" t="s">
        <v>618</v>
      </c>
      <c r="G31" s="683" t="s">
        <v>618</v>
      </c>
      <c r="H31" s="683" t="s">
        <v>618</v>
      </c>
    </row>
    <row r="32" spans="2:13" x14ac:dyDescent="0.2">
      <c r="B32" s="679">
        <f>C19-G19</f>
        <v>2.1191013820552301E-2</v>
      </c>
      <c r="C32" s="679">
        <f t="shared" ref="C32:D32" si="0">D19-H19</f>
        <v>2.308408131184099E-2</v>
      </c>
      <c r="D32" s="679">
        <f t="shared" si="0"/>
        <v>2.2048764805603555E-2</v>
      </c>
      <c r="F32" s="679">
        <f>K19-C19</f>
        <v>2.5401373041373992E-2</v>
      </c>
      <c r="G32" s="679">
        <f t="shared" ref="G32:H32" si="1">L19-D19</f>
        <v>2.7373188720039993E-2</v>
      </c>
      <c r="H32" s="679">
        <f t="shared" si="1"/>
        <v>2.6275356734871233E-2</v>
      </c>
    </row>
    <row r="33" spans="2:8" x14ac:dyDescent="0.2">
      <c r="B33" s="679">
        <f t="shared" ref="B33:B41" si="2">C20-G20</f>
        <v>1.5516478340786288E-2</v>
      </c>
      <c r="C33" s="679">
        <f t="shared" ref="C33:C41" si="3">D20-H20</f>
        <v>1.6326807666298987E-2</v>
      </c>
      <c r="D33" s="679">
        <f t="shared" ref="D33:D41" si="4">E20-I20</f>
        <v>1.5702226220743729E-2</v>
      </c>
      <c r="F33" s="679">
        <f t="shared" ref="F33:F41" si="5">K20-C20</f>
        <v>1.765981017257201E-2</v>
      </c>
      <c r="G33" s="679">
        <f t="shared" ref="G33:G41" si="6">L20-D20</f>
        <v>1.8361708766025997E-2</v>
      </c>
      <c r="H33" s="679">
        <f t="shared" ref="H33:H41" si="7">M20-E20</f>
        <v>1.7733735920851257E-2</v>
      </c>
    </row>
    <row r="34" spans="2:8" x14ac:dyDescent="0.2">
      <c r="B34" s="679">
        <f t="shared" si="2"/>
        <v>1.8046008981532288E-2</v>
      </c>
      <c r="C34" s="679">
        <f t="shared" si="3"/>
        <v>1.8802286743491006E-2</v>
      </c>
      <c r="D34" s="679">
        <f t="shared" si="4"/>
        <v>1.8620250538834968E-2</v>
      </c>
      <c r="F34" s="679">
        <f t="shared" si="5"/>
        <v>2.1111682619777999E-2</v>
      </c>
      <c r="G34" s="679">
        <f t="shared" si="6"/>
        <v>2.1634300429555983E-2</v>
      </c>
      <c r="H34" s="679">
        <f t="shared" si="7"/>
        <v>2.1547344852462416E-2</v>
      </c>
    </row>
    <row r="35" spans="2:8" x14ac:dyDescent="0.2">
      <c r="B35" s="679">
        <f t="shared" si="2"/>
        <v>1.1221225816167996E-2</v>
      </c>
      <c r="C35" s="679">
        <f t="shared" si="3"/>
        <v>1.1242080472528101E-2</v>
      </c>
      <c r="D35" s="679">
        <f t="shared" si="4"/>
        <v>1.0828929197148403E-2</v>
      </c>
      <c r="F35" s="679">
        <f t="shared" si="5"/>
        <v>1.312725464068161E-2</v>
      </c>
      <c r="G35" s="679">
        <f t="shared" si="6"/>
        <v>1.3189632685212394E-2</v>
      </c>
      <c r="H35" s="679">
        <f t="shared" si="7"/>
        <v>1.2774125019319404E-2</v>
      </c>
    </row>
    <row r="36" spans="2:8" x14ac:dyDescent="0.2">
      <c r="B36" s="679">
        <f t="shared" si="2"/>
        <v>1.3436620477185302E-2</v>
      </c>
      <c r="C36" s="679">
        <f t="shared" si="3"/>
        <v>1.4068162435844897E-2</v>
      </c>
      <c r="D36" s="679">
        <f t="shared" si="4"/>
        <v>1.3148578409462354E-2</v>
      </c>
      <c r="F36" s="679">
        <f t="shared" si="5"/>
        <v>1.6239722931394696E-2</v>
      </c>
      <c r="G36" s="679">
        <f t="shared" si="6"/>
        <v>1.682763636439151E-2</v>
      </c>
      <c r="H36" s="679">
        <f t="shared" si="7"/>
        <v>1.595862649483562E-2</v>
      </c>
    </row>
    <row r="37" spans="2:8" x14ac:dyDescent="0.2">
      <c r="B37" s="679">
        <f t="shared" si="2"/>
        <v>1.0237624104844294E-2</v>
      </c>
      <c r="C37" s="679">
        <f t="shared" si="3"/>
        <v>1.0334714798923991E-2</v>
      </c>
      <c r="D37" s="679">
        <f t="shared" si="4"/>
        <v>9.3857748156545087E-3</v>
      </c>
      <c r="F37" s="679">
        <f t="shared" si="5"/>
        <v>1.2698394153814296E-2</v>
      </c>
      <c r="G37" s="679">
        <f t="shared" si="6"/>
        <v>1.2721732725944901E-2</v>
      </c>
      <c r="H37" s="679">
        <f t="shared" si="7"/>
        <v>1.1773872373661176E-2</v>
      </c>
    </row>
    <row r="38" spans="2:8" x14ac:dyDescent="0.2">
      <c r="B38" s="681">
        <f t="shared" si="2"/>
        <v>1.7744013442735601E-2</v>
      </c>
      <c r="C38" s="681">
        <f t="shared" si="3"/>
        <v>1.8375588057427991E-2</v>
      </c>
      <c r="D38" s="681">
        <f t="shared" si="4"/>
        <v>1.760203098099633E-2</v>
      </c>
      <c r="F38" s="681">
        <f t="shared" si="5"/>
        <v>2.0603614865454006E-2</v>
      </c>
      <c r="G38" s="681">
        <f t="shared" si="6"/>
        <v>2.0994188752531007E-2</v>
      </c>
      <c r="H38" s="681">
        <f t="shared" si="7"/>
        <v>2.0195457247132523E-2</v>
      </c>
    </row>
    <row r="39" spans="2:8" x14ac:dyDescent="0.2">
      <c r="B39" s="679">
        <f t="shared" si="2"/>
        <v>5.84870530603121E-3</v>
      </c>
      <c r="C39" s="679">
        <f t="shared" si="3"/>
        <v>6.0735355414909958E-3</v>
      </c>
      <c r="D39" s="679">
        <f t="shared" si="4"/>
        <v>5.8286211362846008E-3</v>
      </c>
      <c r="F39" s="679">
        <f t="shared" si="5"/>
        <v>6.2258948327865993E-3</v>
      </c>
      <c r="G39" s="679">
        <f t="shared" si="6"/>
        <v>6.4396520833308046E-3</v>
      </c>
      <c r="H39" s="679">
        <f t="shared" si="7"/>
        <v>6.1959453515698093E-3</v>
      </c>
    </row>
    <row r="40" spans="2:8" x14ac:dyDescent="0.2">
      <c r="B40" s="679">
        <f t="shared" si="2"/>
        <v>2.0120428477160002E-3</v>
      </c>
      <c r="C40" s="679">
        <f t="shared" si="3"/>
        <v>1.8872859223320049E-3</v>
      </c>
      <c r="D40" s="679">
        <f t="shared" si="4"/>
        <v>1.8420563593425365E-3</v>
      </c>
      <c r="F40" s="679">
        <f t="shared" si="5"/>
        <v>2.04553557050699E-3</v>
      </c>
      <c r="G40" s="679">
        <f t="shared" si="6"/>
        <v>1.9185585972329999E-3</v>
      </c>
      <c r="H40" s="679">
        <f t="shared" si="7"/>
        <v>1.8738290814813152E-3</v>
      </c>
    </row>
    <row r="41" spans="2:8" x14ac:dyDescent="0.2">
      <c r="B41" s="681">
        <f t="shared" si="2"/>
        <v>7.9806323793500666E-4</v>
      </c>
      <c r="C41" s="681">
        <f t="shared" si="3"/>
        <v>7.8652404233400808E-4</v>
      </c>
      <c r="D41" s="681">
        <f t="shared" si="4"/>
        <v>7.5844302614642978E-4</v>
      </c>
      <c r="F41" s="681">
        <f t="shared" si="5"/>
        <v>8.026765086609905E-4</v>
      </c>
      <c r="G41" s="681">
        <f t="shared" si="6"/>
        <v>7.9128897220499816E-4</v>
      </c>
      <c r="H41" s="681">
        <f t="shared" si="7"/>
        <v>7.6323304628775346E-4</v>
      </c>
    </row>
  </sheetData>
  <mergeCells count="5">
    <mergeCell ref="C3:E3"/>
    <mergeCell ref="F3:H3"/>
    <mergeCell ref="I3:K3"/>
    <mergeCell ref="L3:N3"/>
    <mergeCell ref="O3:Q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4"/>
    <pageSetUpPr fitToPage="1"/>
  </sheetPr>
  <dimension ref="A1:X97"/>
  <sheetViews>
    <sheetView zoomScaleNormal="100" zoomScaleSheetLayoutView="80" zoomScalePageLayoutView="80" workbookViewId="0">
      <selection activeCell="F29" sqref="F29"/>
    </sheetView>
  </sheetViews>
  <sheetFormatPr defaultColWidth="8.796875" defaultRowHeight="14.25" x14ac:dyDescent="0.2"/>
  <cols>
    <col min="1" max="1" width="1" style="67" customWidth="1"/>
    <col min="2" max="2" width="1.09765625" style="67" customWidth="1"/>
    <col min="3" max="3" width="6.5" style="67" customWidth="1"/>
    <col min="4" max="5" width="5.69921875" style="67" customWidth="1"/>
    <col min="6" max="17" width="6.69921875" style="67" customWidth="1"/>
    <col min="18" max="19" width="5.69921875" style="67" customWidth="1"/>
    <col min="20" max="20" width="1.5" style="67" customWidth="1"/>
    <col min="21" max="21" width="1.19921875" style="67" customWidth="1"/>
    <col min="22" max="22" width="1.09765625" style="67" customWidth="1"/>
    <col min="23" max="23" width="8.796875" style="67"/>
    <col min="24" max="24" width="19" style="67" bestFit="1" customWidth="1"/>
    <col min="25" max="16384" width="8.796875" style="67"/>
  </cols>
  <sheetData>
    <row r="1" spans="1:24" ht="15" x14ac:dyDescent="0.25">
      <c r="X1" s="21">
        <f ca="1">NOW()</f>
        <v>42740.35657314815</v>
      </c>
    </row>
    <row r="2" spans="1:24" ht="17.25" customHeight="1" x14ac:dyDescent="0.2">
      <c r="A2" s="732"/>
      <c r="B2" s="733"/>
      <c r="C2" s="733"/>
      <c r="D2" s="733"/>
      <c r="E2" s="733"/>
      <c r="F2" s="733"/>
      <c r="G2" s="733"/>
      <c r="H2" s="733"/>
      <c r="I2" s="733"/>
      <c r="J2" s="733"/>
      <c r="K2" s="733"/>
      <c r="L2" s="733"/>
      <c r="M2" s="733"/>
      <c r="N2" s="733"/>
      <c r="O2" s="141"/>
      <c r="P2" s="141"/>
      <c r="Q2" s="141"/>
      <c r="R2" s="141"/>
    </row>
    <row r="3" spans="1:24" ht="15" x14ac:dyDescent="0.25">
      <c r="A3" s="142"/>
      <c r="B3" s="142"/>
      <c r="C3" s="142"/>
      <c r="D3" s="142"/>
      <c r="E3" s="142"/>
      <c r="F3" s="142"/>
      <c r="G3" s="142"/>
      <c r="H3" s="142"/>
      <c r="I3" s="142"/>
      <c r="J3" s="142"/>
      <c r="K3" s="142"/>
      <c r="L3" s="142"/>
      <c r="M3" s="142"/>
      <c r="N3" s="142"/>
      <c r="O3" s="142"/>
      <c r="P3" s="142"/>
      <c r="Q3" s="142"/>
      <c r="R3" s="142"/>
    </row>
    <row r="4" spans="1:24" ht="15" x14ac:dyDescent="0.25">
      <c r="A4" s="142"/>
      <c r="B4" s="487"/>
      <c r="C4" s="487"/>
      <c r="D4" s="487"/>
      <c r="E4" s="487"/>
      <c r="F4" s="487"/>
      <c r="G4" s="487"/>
      <c r="H4" s="487"/>
      <c r="I4" s="487"/>
      <c r="J4" s="487"/>
      <c r="K4" s="487"/>
      <c r="L4" s="487"/>
      <c r="M4" s="487"/>
      <c r="N4" s="487"/>
      <c r="O4" s="487"/>
      <c r="P4" s="487"/>
      <c r="Q4" s="487"/>
      <c r="R4" s="487"/>
      <c r="S4" s="489"/>
      <c r="T4" s="489"/>
      <c r="U4" s="489"/>
    </row>
    <row r="5" spans="1:24" ht="15" x14ac:dyDescent="0.25">
      <c r="A5" s="142"/>
      <c r="B5" s="487"/>
      <c r="C5" s="487"/>
      <c r="D5" s="487"/>
      <c r="E5" s="487"/>
      <c r="F5" s="487"/>
      <c r="G5" s="487"/>
      <c r="H5" s="487"/>
      <c r="I5" s="487"/>
      <c r="J5" s="487"/>
      <c r="K5" s="487"/>
      <c r="L5" s="487"/>
      <c r="M5" s="487"/>
      <c r="N5" s="487"/>
      <c r="O5" s="487"/>
      <c r="P5" s="487"/>
      <c r="Q5" s="487"/>
      <c r="R5" s="487"/>
      <c r="S5" s="489"/>
      <c r="T5" s="489"/>
      <c r="U5" s="489"/>
    </row>
    <row r="6" spans="1:24" ht="15" x14ac:dyDescent="0.25">
      <c r="B6" s="489"/>
      <c r="C6" s="487"/>
      <c r="D6" s="487"/>
      <c r="E6" s="487"/>
      <c r="F6" s="487"/>
      <c r="G6" s="487"/>
      <c r="H6" s="487"/>
      <c r="I6" s="487"/>
      <c r="J6" s="487"/>
      <c r="K6" s="487"/>
      <c r="L6" s="487"/>
      <c r="M6" s="487"/>
      <c r="N6" s="487"/>
      <c r="O6" s="487"/>
      <c r="P6" s="487"/>
      <c r="Q6" s="487"/>
      <c r="R6" s="487"/>
      <c r="S6" s="487"/>
      <c r="T6" s="489"/>
      <c r="U6" s="489"/>
    </row>
    <row r="7" spans="1:24" ht="15" x14ac:dyDescent="0.25">
      <c r="B7" s="489"/>
      <c r="C7" s="487"/>
      <c r="D7" s="487"/>
      <c r="E7" s="487"/>
      <c r="F7" s="487"/>
      <c r="G7" s="487"/>
      <c r="H7" s="487"/>
      <c r="I7" s="487"/>
      <c r="J7" s="487"/>
      <c r="K7" s="487"/>
      <c r="L7" s="487"/>
      <c r="M7" s="487"/>
      <c r="N7" s="487"/>
      <c r="O7" s="487"/>
      <c r="P7" s="487"/>
      <c r="Q7" s="487"/>
      <c r="R7" s="487"/>
      <c r="S7" s="487"/>
      <c r="T7" s="489"/>
      <c r="U7" s="489"/>
    </row>
    <row r="8" spans="1:24" x14ac:dyDescent="0.2">
      <c r="B8" s="489"/>
      <c r="C8" s="489"/>
      <c r="D8" s="489"/>
      <c r="E8" s="489"/>
      <c r="F8" s="489"/>
      <c r="G8" s="489"/>
      <c r="H8" s="489"/>
      <c r="I8" s="489"/>
      <c r="J8" s="489"/>
      <c r="K8" s="489"/>
      <c r="L8" s="489"/>
      <c r="M8" s="489"/>
      <c r="N8" s="489"/>
      <c r="O8" s="489"/>
      <c r="P8" s="489"/>
      <c r="Q8" s="489"/>
      <c r="R8" s="489"/>
      <c r="S8" s="489"/>
      <c r="T8" s="489"/>
      <c r="U8" s="489"/>
    </row>
    <row r="9" spans="1:24" x14ac:dyDescent="0.2">
      <c r="B9" s="489"/>
      <c r="C9" s="489"/>
      <c r="D9" s="489"/>
      <c r="E9" s="489"/>
      <c r="F9" s="489"/>
      <c r="G9" s="489"/>
      <c r="H9" s="489"/>
      <c r="I9" s="489"/>
      <c r="J9" s="489"/>
      <c r="K9" s="489"/>
      <c r="L9" s="489"/>
      <c r="M9" s="489"/>
      <c r="N9" s="489"/>
      <c r="O9" s="489"/>
      <c r="P9" s="489"/>
      <c r="Q9" s="489"/>
      <c r="R9" s="489"/>
      <c r="S9" s="489"/>
      <c r="T9" s="489"/>
      <c r="U9" s="489"/>
    </row>
    <row r="10" spans="1:24" x14ac:dyDescent="0.2">
      <c r="B10" s="489"/>
      <c r="C10" s="489"/>
      <c r="D10" s="489"/>
      <c r="E10" s="489"/>
      <c r="F10" s="489"/>
      <c r="G10" s="489"/>
      <c r="H10" s="489"/>
      <c r="I10" s="489"/>
      <c r="J10" s="489"/>
      <c r="K10" s="489"/>
      <c r="L10" s="489"/>
      <c r="M10" s="489"/>
      <c r="N10" s="489"/>
      <c r="O10" s="489"/>
      <c r="P10" s="489"/>
      <c r="Q10" s="489"/>
      <c r="R10" s="489"/>
      <c r="S10" s="489"/>
      <c r="T10" s="489"/>
      <c r="U10" s="489"/>
    </row>
    <row r="11" spans="1:24" x14ac:dyDescent="0.2">
      <c r="B11" s="489"/>
      <c r="C11" s="489"/>
      <c r="D11" s="489"/>
      <c r="E11" s="489"/>
      <c r="F11" s="489"/>
      <c r="G11" s="489"/>
      <c r="H11" s="489"/>
      <c r="I11" s="489"/>
      <c r="J11" s="489"/>
      <c r="K11" s="489"/>
      <c r="L11" s="489"/>
      <c r="M11" s="489"/>
      <c r="N11" s="489"/>
      <c r="O11" s="489"/>
      <c r="P11" s="489"/>
      <c r="Q11" s="489"/>
      <c r="R11" s="489"/>
      <c r="S11" s="489"/>
      <c r="T11" s="489"/>
      <c r="U11" s="489"/>
    </row>
    <row r="12" spans="1:24" x14ac:dyDescent="0.2">
      <c r="B12" s="489"/>
      <c r="C12" s="489"/>
      <c r="D12" s="489"/>
      <c r="E12" s="489"/>
      <c r="F12" s="489"/>
      <c r="G12" s="489"/>
      <c r="H12" s="489"/>
      <c r="I12" s="489"/>
      <c r="J12" s="489"/>
      <c r="K12" s="489"/>
      <c r="L12" s="489"/>
      <c r="M12" s="489"/>
      <c r="N12" s="489"/>
      <c r="O12" s="489"/>
      <c r="P12" s="489"/>
      <c r="Q12" s="489"/>
      <c r="R12" s="489"/>
      <c r="S12" s="489"/>
      <c r="T12" s="489"/>
      <c r="U12" s="489"/>
    </row>
    <row r="13" spans="1:24" x14ac:dyDescent="0.2">
      <c r="B13" s="489"/>
      <c r="C13" s="489"/>
      <c r="D13" s="489"/>
      <c r="E13" s="489"/>
      <c r="F13" s="489"/>
      <c r="G13" s="489"/>
      <c r="H13" s="489"/>
      <c r="I13" s="489"/>
      <c r="J13" s="489"/>
      <c r="K13" s="489"/>
      <c r="L13" s="489"/>
      <c r="M13" s="489"/>
      <c r="N13" s="489"/>
      <c r="O13" s="489"/>
      <c r="P13" s="489"/>
      <c r="Q13" s="489"/>
      <c r="R13" s="489"/>
      <c r="S13" s="489"/>
      <c r="T13" s="489"/>
      <c r="U13" s="489"/>
    </row>
    <row r="14" spans="1:24" x14ac:dyDescent="0.2">
      <c r="B14" s="489"/>
      <c r="C14" s="489"/>
      <c r="D14" s="489"/>
      <c r="E14" s="489"/>
      <c r="F14" s="489"/>
      <c r="G14" s="489"/>
      <c r="H14" s="489"/>
      <c r="I14" s="489"/>
      <c r="J14" s="489"/>
      <c r="K14" s="489"/>
      <c r="L14" s="489"/>
      <c r="M14" s="489"/>
      <c r="N14" s="489"/>
      <c r="O14" s="489"/>
      <c r="P14" s="489"/>
      <c r="Q14" s="489"/>
      <c r="R14" s="489"/>
      <c r="S14" s="489"/>
      <c r="T14" s="489"/>
      <c r="U14" s="489"/>
    </row>
    <row r="15" spans="1:24" x14ac:dyDescent="0.2">
      <c r="B15" s="489"/>
      <c r="C15" s="489"/>
      <c r="D15" s="489"/>
      <c r="E15" s="489"/>
      <c r="F15" s="489"/>
      <c r="G15" s="489"/>
      <c r="H15" s="489"/>
      <c r="I15" s="489"/>
      <c r="J15" s="489"/>
      <c r="K15" s="489"/>
      <c r="L15" s="489"/>
      <c r="M15" s="489"/>
      <c r="N15" s="489"/>
      <c r="O15" s="489"/>
      <c r="P15" s="489"/>
      <c r="Q15" s="489"/>
      <c r="R15" s="489"/>
      <c r="S15" s="489"/>
      <c r="T15" s="489"/>
      <c r="U15" s="489"/>
    </row>
    <row r="16" spans="1:24" x14ac:dyDescent="0.2">
      <c r="B16" s="489"/>
      <c r="C16" s="489"/>
      <c r="D16" s="489"/>
      <c r="E16" s="489"/>
      <c r="F16" s="489"/>
      <c r="G16" s="489"/>
      <c r="H16" s="489"/>
      <c r="I16" s="489"/>
      <c r="J16" s="489"/>
      <c r="K16" s="489"/>
      <c r="L16" s="489"/>
      <c r="M16" s="489"/>
      <c r="N16" s="489"/>
      <c r="O16" s="489"/>
      <c r="P16" s="489"/>
      <c r="Q16" s="489"/>
      <c r="R16" s="489"/>
      <c r="S16" s="489"/>
      <c r="T16" s="489"/>
      <c r="U16" s="489"/>
    </row>
    <row r="17" spans="2:21" x14ac:dyDescent="0.2">
      <c r="B17" s="489"/>
      <c r="C17" s="489"/>
      <c r="D17" s="489"/>
      <c r="E17" s="489"/>
      <c r="F17" s="489"/>
      <c r="G17" s="489"/>
      <c r="H17" s="489"/>
      <c r="I17" s="489"/>
      <c r="J17" s="489"/>
      <c r="K17" s="489"/>
      <c r="L17" s="489"/>
      <c r="M17" s="489"/>
      <c r="N17" s="489"/>
      <c r="O17" s="489"/>
      <c r="P17" s="489"/>
      <c r="Q17" s="489"/>
      <c r="R17" s="489"/>
      <c r="S17" s="489"/>
      <c r="T17" s="489"/>
      <c r="U17" s="489"/>
    </row>
    <row r="18" spans="2:21" ht="6.75" customHeight="1" x14ac:dyDescent="0.2">
      <c r="B18" s="489"/>
      <c r="C18" s="489"/>
      <c r="D18" s="489"/>
      <c r="E18" s="489"/>
      <c r="F18" s="489"/>
      <c r="G18" s="489"/>
      <c r="H18" s="489"/>
      <c r="I18" s="489"/>
      <c r="J18" s="489"/>
      <c r="K18" s="489"/>
      <c r="L18" s="489"/>
      <c r="M18" s="489"/>
      <c r="N18" s="489"/>
      <c r="O18" s="489"/>
      <c r="P18" s="489"/>
      <c r="Q18" s="489"/>
      <c r="R18" s="489"/>
      <c r="S18" s="489"/>
      <c r="T18" s="489"/>
      <c r="U18" s="489"/>
    </row>
    <row r="19" spans="2:21" x14ac:dyDescent="0.2">
      <c r="B19" s="489"/>
      <c r="C19" s="489"/>
      <c r="D19" s="489"/>
      <c r="E19" s="489"/>
      <c r="F19" s="489"/>
      <c r="G19" s="489"/>
      <c r="H19" s="489"/>
      <c r="I19" s="489"/>
      <c r="J19" s="489"/>
      <c r="K19" s="489"/>
      <c r="L19" s="489"/>
      <c r="M19" s="489"/>
      <c r="N19" s="489"/>
      <c r="O19" s="489"/>
      <c r="P19" s="489"/>
      <c r="Q19" s="489"/>
      <c r="R19" s="489"/>
      <c r="S19" s="489"/>
      <c r="T19" s="489"/>
      <c r="U19" s="489"/>
    </row>
    <row r="20" spans="2:21" x14ac:dyDescent="0.2">
      <c r="B20" s="489"/>
      <c r="C20" s="489"/>
      <c r="D20" s="489"/>
      <c r="E20" s="489"/>
      <c r="F20" s="489"/>
      <c r="G20" s="489"/>
      <c r="H20" s="489"/>
      <c r="I20" s="489"/>
      <c r="J20" s="489"/>
      <c r="K20" s="489"/>
      <c r="L20" s="489"/>
      <c r="M20" s="489"/>
      <c r="N20" s="489"/>
      <c r="O20" s="489"/>
      <c r="P20" s="489"/>
      <c r="Q20" s="489"/>
      <c r="R20" s="489"/>
      <c r="S20" s="489"/>
      <c r="T20" s="489"/>
      <c r="U20" s="489"/>
    </row>
    <row r="21" spans="2:21" x14ac:dyDescent="0.2">
      <c r="B21" s="489"/>
      <c r="C21" s="489"/>
      <c r="D21" s="489"/>
      <c r="E21" s="489"/>
      <c r="F21" s="489"/>
      <c r="G21" s="489"/>
      <c r="H21" s="489"/>
      <c r="I21" s="489"/>
      <c r="J21" s="489"/>
      <c r="K21" s="489"/>
      <c r="L21" s="489"/>
      <c r="M21" s="489"/>
      <c r="N21" s="489"/>
      <c r="O21" s="489"/>
      <c r="P21" s="489"/>
      <c r="Q21" s="489"/>
      <c r="R21" s="489"/>
      <c r="S21" s="489"/>
      <c r="T21" s="489"/>
      <c r="U21" s="489"/>
    </row>
    <row r="22" spans="2:21" x14ac:dyDescent="0.2">
      <c r="B22" s="489"/>
      <c r="C22" s="489"/>
      <c r="D22" s="489"/>
      <c r="E22" s="489"/>
      <c r="F22" s="489"/>
      <c r="G22" s="489"/>
      <c r="H22" s="489"/>
      <c r="I22" s="489"/>
      <c r="J22" s="489"/>
      <c r="K22" s="489"/>
      <c r="L22" s="489"/>
      <c r="M22" s="489"/>
      <c r="N22" s="489"/>
      <c r="O22" s="489"/>
      <c r="P22" s="489"/>
      <c r="Q22" s="489"/>
      <c r="R22" s="489"/>
      <c r="S22" s="489"/>
      <c r="T22" s="489"/>
      <c r="U22" s="489"/>
    </row>
    <row r="23" spans="2:21" x14ac:dyDescent="0.2">
      <c r="B23" s="489"/>
      <c r="C23" s="489"/>
      <c r="D23" s="489"/>
      <c r="E23" s="489"/>
      <c r="F23" s="489"/>
      <c r="G23" s="489"/>
      <c r="H23" s="489"/>
      <c r="I23" s="489"/>
      <c r="J23" s="489"/>
      <c r="K23" s="489"/>
      <c r="L23" s="489"/>
      <c r="M23" s="489"/>
      <c r="N23" s="489"/>
      <c r="O23" s="489"/>
      <c r="P23" s="489"/>
      <c r="Q23" s="489"/>
      <c r="R23" s="489"/>
      <c r="S23" s="489"/>
      <c r="T23" s="489"/>
      <c r="U23" s="489"/>
    </row>
    <row r="24" spans="2:21" x14ac:dyDescent="0.2">
      <c r="B24" s="489"/>
      <c r="U24" s="489"/>
    </row>
    <row r="25" spans="2:21" x14ac:dyDescent="0.2">
      <c r="B25" s="489"/>
      <c r="U25" s="489"/>
    </row>
    <row r="26" spans="2:21" ht="22.5" customHeight="1" x14ac:dyDescent="0.2">
      <c r="B26" s="489"/>
      <c r="C26" s="743" t="s">
        <v>822</v>
      </c>
      <c r="D26" s="743"/>
      <c r="E26" s="743"/>
      <c r="F26" s="743"/>
      <c r="G26" s="743"/>
      <c r="H26" s="743"/>
      <c r="I26" s="743"/>
      <c r="J26" s="743"/>
      <c r="K26" s="743"/>
      <c r="L26" s="743"/>
      <c r="M26" s="743"/>
      <c r="N26" s="743"/>
      <c r="O26" s="743"/>
      <c r="P26" s="743"/>
      <c r="Q26" s="743"/>
      <c r="R26" s="743"/>
      <c r="S26" s="743"/>
      <c r="U26" s="489"/>
    </row>
    <row r="27" spans="2:21" s="324" customFormat="1" ht="49.5" customHeight="1" x14ac:dyDescent="0.2">
      <c r="B27" s="490"/>
      <c r="C27" s="748" t="s">
        <v>835</v>
      </c>
      <c r="D27" s="748"/>
      <c r="E27" s="748"/>
      <c r="F27" s="748"/>
      <c r="G27" s="748"/>
      <c r="H27" s="748"/>
      <c r="I27" s="748"/>
      <c r="J27" s="748"/>
      <c r="K27" s="748"/>
      <c r="L27" s="748"/>
      <c r="M27" s="748"/>
      <c r="N27" s="748"/>
      <c r="O27" s="748"/>
      <c r="P27" s="748"/>
      <c r="Q27" s="748"/>
      <c r="R27" s="748"/>
      <c r="S27" s="748"/>
      <c r="T27" s="558"/>
      <c r="U27" s="490"/>
    </row>
    <row r="28" spans="2:21" ht="15" x14ac:dyDescent="0.25">
      <c r="B28" s="489"/>
      <c r="C28" s="142"/>
      <c r="D28" s="142" t="s">
        <v>1051</v>
      </c>
      <c r="E28" s="142"/>
      <c r="F28" s="142"/>
      <c r="G28" s="142"/>
      <c r="H28" s="142"/>
      <c r="I28" s="142"/>
      <c r="J28" s="142"/>
      <c r="K28" s="142"/>
      <c r="L28" s="142"/>
      <c r="M28" s="142"/>
      <c r="N28" s="142"/>
      <c r="O28" s="142"/>
      <c r="P28" s="142"/>
      <c r="Q28" s="142"/>
      <c r="R28" s="142"/>
      <c r="S28" s="142"/>
      <c r="U28" s="489"/>
    </row>
    <row r="29" spans="2:21" ht="15" x14ac:dyDescent="0.25">
      <c r="B29" s="489"/>
      <c r="C29" s="142"/>
      <c r="D29" s="142" t="s">
        <v>1052</v>
      </c>
      <c r="E29" s="142"/>
      <c r="F29" s="142"/>
      <c r="G29" s="142"/>
      <c r="H29" s="142"/>
      <c r="I29" s="142"/>
      <c r="J29" s="142"/>
      <c r="K29" s="142"/>
      <c r="L29" s="142"/>
      <c r="M29" s="142"/>
      <c r="N29" s="142"/>
      <c r="O29" s="142"/>
      <c r="P29" s="142"/>
      <c r="Q29" s="142"/>
      <c r="R29" s="142"/>
      <c r="S29" s="142"/>
      <c r="U29" s="489"/>
    </row>
    <row r="30" spans="2:21" ht="15" x14ac:dyDescent="0.25">
      <c r="B30" s="489"/>
      <c r="C30" s="142"/>
      <c r="D30" s="142" t="s">
        <v>1053</v>
      </c>
      <c r="E30" s="142"/>
      <c r="F30" s="142"/>
      <c r="G30" s="142"/>
      <c r="H30" s="142"/>
      <c r="I30" s="142"/>
      <c r="J30" s="142"/>
      <c r="K30" s="142"/>
      <c r="L30" s="142"/>
      <c r="M30" s="142"/>
      <c r="N30" s="142"/>
      <c r="O30" s="142"/>
      <c r="P30" s="142"/>
      <c r="Q30" s="142"/>
      <c r="R30" s="142"/>
      <c r="S30" s="142"/>
      <c r="U30" s="489"/>
    </row>
    <row r="31" spans="2:21" ht="15" x14ac:dyDescent="0.25">
      <c r="B31" s="489"/>
      <c r="C31" s="142"/>
      <c r="D31" s="142" t="s">
        <v>1048</v>
      </c>
      <c r="E31" s="142"/>
      <c r="F31" s="142"/>
      <c r="G31" s="142"/>
      <c r="H31" s="142"/>
      <c r="I31" s="142"/>
      <c r="J31" s="142"/>
      <c r="K31" s="142"/>
      <c r="L31" s="142"/>
      <c r="M31" s="142"/>
      <c r="N31" s="142"/>
      <c r="O31" s="142"/>
      <c r="P31" s="142"/>
      <c r="Q31" s="142"/>
      <c r="R31" s="142"/>
      <c r="S31" s="142"/>
      <c r="U31" s="489"/>
    </row>
    <row r="32" spans="2:21" ht="15" x14ac:dyDescent="0.25">
      <c r="B32" s="489"/>
      <c r="C32" s="142"/>
      <c r="D32" s="142" t="s">
        <v>1054</v>
      </c>
      <c r="E32" s="142"/>
      <c r="F32" s="142"/>
      <c r="G32" s="142"/>
      <c r="H32" s="142"/>
      <c r="I32" s="142"/>
      <c r="J32" s="142"/>
      <c r="K32" s="142"/>
      <c r="L32" s="142"/>
      <c r="M32" s="142"/>
      <c r="N32" s="142"/>
      <c r="O32" s="142"/>
      <c r="P32" s="142"/>
      <c r="Q32" s="142"/>
      <c r="R32" s="142"/>
      <c r="S32" s="142"/>
      <c r="U32" s="489"/>
    </row>
    <row r="33" spans="2:21" ht="15" x14ac:dyDescent="0.25">
      <c r="B33" s="489"/>
      <c r="C33" s="600"/>
      <c r="D33" s="600" t="s">
        <v>1055</v>
      </c>
      <c r="E33" s="600"/>
      <c r="F33" s="600"/>
      <c r="G33" s="600"/>
      <c r="H33" s="600"/>
      <c r="I33" s="600"/>
      <c r="J33" s="600"/>
      <c r="K33" s="600"/>
      <c r="L33" s="600"/>
      <c r="M33" s="600"/>
      <c r="N33" s="600"/>
      <c r="O33" s="600"/>
      <c r="P33" s="600"/>
      <c r="Q33" s="600"/>
      <c r="R33" s="600"/>
      <c r="S33" s="600"/>
      <c r="U33" s="489"/>
    </row>
    <row r="34" spans="2:21" ht="15" x14ac:dyDescent="0.25">
      <c r="B34" s="489"/>
      <c r="C34" s="142"/>
      <c r="D34" s="142" t="s">
        <v>1056</v>
      </c>
      <c r="E34" s="142"/>
      <c r="F34" s="142"/>
      <c r="G34" s="142"/>
      <c r="H34" s="142"/>
      <c r="I34" s="142"/>
      <c r="J34" s="142"/>
      <c r="K34" s="142"/>
      <c r="L34" s="142"/>
      <c r="M34" s="142"/>
      <c r="N34" s="142"/>
      <c r="O34" s="142"/>
      <c r="P34" s="142"/>
      <c r="Q34" s="142"/>
      <c r="R34" s="142"/>
      <c r="S34" s="142"/>
      <c r="U34" s="489"/>
    </row>
    <row r="35" spans="2:21" ht="15" x14ac:dyDescent="0.25">
      <c r="B35" s="489"/>
      <c r="C35" s="142"/>
      <c r="D35" s="142" t="s">
        <v>1057</v>
      </c>
      <c r="E35" s="142"/>
      <c r="F35" s="142"/>
      <c r="G35" s="142"/>
      <c r="H35" s="142"/>
      <c r="I35" s="142"/>
      <c r="J35" s="142"/>
      <c r="K35" s="142"/>
      <c r="L35" s="142"/>
      <c r="M35" s="142"/>
      <c r="N35" s="142"/>
      <c r="O35" s="142"/>
      <c r="P35" s="142"/>
      <c r="Q35" s="142"/>
      <c r="R35" s="142"/>
      <c r="S35" s="142"/>
      <c r="U35" s="489"/>
    </row>
    <row r="36" spans="2:21" ht="15" x14ac:dyDescent="0.25">
      <c r="B36" s="489"/>
      <c r="C36" s="142"/>
      <c r="D36" s="142" t="s">
        <v>1058</v>
      </c>
      <c r="E36" s="142"/>
      <c r="F36" s="142"/>
      <c r="G36" s="142"/>
      <c r="H36" s="142"/>
      <c r="I36" s="142"/>
      <c r="J36" s="142"/>
      <c r="K36" s="142"/>
      <c r="L36" s="142"/>
      <c r="M36" s="142"/>
      <c r="N36" s="142"/>
      <c r="O36" s="142"/>
      <c r="P36" s="142"/>
      <c r="Q36" s="142"/>
      <c r="R36" s="142"/>
      <c r="S36" s="142"/>
      <c r="U36" s="489"/>
    </row>
    <row r="37" spans="2:21" ht="15.75" x14ac:dyDescent="0.2">
      <c r="B37" s="489"/>
      <c r="C37" s="155"/>
      <c r="D37" s="744" t="s">
        <v>1059</v>
      </c>
      <c r="E37" s="744"/>
      <c r="F37" s="744"/>
      <c r="G37" s="744"/>
      <c r="H37" s="744"/>
      <c r="I37" s="744"/>
      <c r="J37" s="744"/>
      <c r="K37" s="744"/>
      <c r="L37" s="744"/>
      <c r="M37" s="744"/>
      <c r="N37" s="744"/>
      <c r="O37" s="744"/>
      <c r="P37" s="744"/>
      <c r="Q37" s="744"/>
      <c r="R37" s="744"/>
      <c r="S37" s="744"/>
      <c r="U37" s="489"/>
    </row>
    <row r="38" spans="2:21" ht="15.75" x14ac:dyDescent="0.2">
      <c r="B38" s="489"/>
      <c r="C38" s="155"/>
      <c r="D38" s="320" t="s">
        <v>1060</v>
      </c>
      <c r="E38" s="320"/>
      <c r="F38" s="320"/>
      <c r="G38" s="320"/>
      <c r="H38" s="320"/>
      <c r="I38" s="320"/>
      <c r="J38" s="320"/>
      <c r="K38" s="320"/>
      <c r="L38" s="320"/>
      <c r="M38" s="320"/>
      <c r="N38" s="320"/>
      <c r="O38" s="320"/>
      <c r="P38" s="320"/>
      <c r="Q38" s="320"/>
      <c r="R38" s="320"/>
      <c r="S38" s="320"/>
      <c r="U38" s="489"/>
    </row>
    <row r="39" spans="2:21" ht="15.75" x14ac:dyDescent="0.2">
      <c r="B39" s="489"/>
      <c r="C39" s="155"/>
      <c r="D39" s="320" t="s">
        <v>1061</v>
      </c>
      <c r="E39" s="320"/>
      <c r="F39" s="320"/>
      <c r="G39" s="320"/>
      <c r="H39" s="320"/>
      <c r="I39" s="320"/>
      <c r="J39" s="320"/>
      <c r="K39" s="320"/>
      <c r="L39" s="320"/>
      <c r="M39" s="320"/>
      <c r="N39" s="320"/>
      <c r="O39" s="320"/>
      <c r="P39" s="320"/>
      <c r="Q39" s="320"/>
      <c r="R39" s="320"/>
      <c r="S39" s="320"/>
      <c r="U39" s="489"/>
    </row>
    <row r="40" spans="2:21" s="322" customFormat="1" ht="15" customHeight="1" x14ac:dyDescent="0.25">
      <c r="B40" s="487"/>
      <c r="C40" s="175"/>
      <c r="D40" s="740" t="s">
        <v>1062</v>
      </c>
      <c r="E40" s="740"/>
      <c r="F40" s="740"/>
      <c r="G40" s="740"/>
      <c r="H40" s="740"/>
      <c r="I40" s="740"/>
      <c r="J40" s="740"/>
      <c r="K40" s="740"/>
      <c r="L40" s="175"/>
      <c r="M40" s="747"/>
      <c r="N40" s="747"/>
      <c r="O40" s="747"/>
      <c r="P40" s="747"/>
      <c r="U40" s="487"/>
    </row>
    <row r="41" spans="2:21" s="437" customFormat="1" ht="15" customHeight="1" x14ac:dyDescent="0.25">
      <c r="B41" s="487"/>
      <c r="C41" s="175"/>
      <c r="D41" s="740" t="s">
        <v>1063</v>
      </c>
      <c r="E41" s="740"/>
      <c r="F41" s="740"/>
      <c r="G41" s="740"/>
      <c r="H41" s="740"/>
      <c r="I41" s="740"/>
      <c r="J41" s="740"/>
      <c r="K41" s="740"/>
      <c r="L41" s="740"/>
      <c r="M41" s="435"/>
      <c r="N41" s="435"/>
      <c r="O41" s="435"/>
      <c r="P41" s="435"/>
      <c r="U41" s="487"/>
    </row>
    <row r="42" spans="2:21" s="600" customFormat="1" ht="15" customHeight="1" x14ac:dyDescent="0.25">
      <c r="B42" s="487"/>
      <c r="C42" s="175"/>
      <c r="D42" s="598"/>
      <c r="E42" s="598"/>
      <c r="F42" s="598"/>
      <c r="G42" s="598"/>
      <c r="H42" s="598"/>
      <c r="I42" s="598"/>
      <c r="J42" s="598"/>
      <c r="K42" s="598"/>
      <c r="L42" s="175"/>
      <c r="M42" s="599"/>
      <c r="N42" s="599"/>
      <c r="O42" s="599"/>
      <c r="P42" s="599"/>
      <c r="U42" s="487"/>
    </row>
    <row r="43" spans="2:21" ht="15" x14ac:dyDescent="0.25">
      <c r="B43" s="489"/>
      <c r="C43" s="440" t="s">
        <v>954</v>
      </c>
      <c r="D43" s="439"/>
      <c r="E43" s="439"/>
      <c r="F43" s="439"/>
      <c r="G43" s="439"/>
      <c r="H43" s="439"/>
      <c r="I43" s="439"/>
      <c r="K43" s="438" t="s">
        <v>1035</v>
      </c>
      <c r="L43" s="439"/>
      <c r="M43" s="439"/>
      <c r="N43" s="439"/>
      <c r="O43" s="439"/>
      <c r="P43" s="439"/>
      <c r="Q43" s="439"/>
      <c r="R43" s="439"/>
      <c r="S43" s="437"/>
      <c r="U43" s="489"/>
    </row>
    <row r="44" spans="2:21" ht="15" x14ac:dyDescent="0.25">
      <c r="B44" s="489"/>
      <c r="C44" s="436"/>
      <c r="D44" s="436"/>
      <c r="E44" s="436"/>
      <c r="F44" s="436"/>
      <c r="G44" s="436"/>
      <c r="H44" s="436"/>
      <c r="I44" s="436"/>
      <c r="J44" s="438"/>
      <c r="K44" s="436"/>
      <c r="L44" s="436"/>
      <c r="M44" s="436"/>
      <c r="N44" s="436"/>
      <c r="O44" s="436"/>
      <c r="P44" s="436"/>
      <c r="Q44" s="436"/>
      <c r="R44" s="436"/>
      <c r="S44" s="437"/>
      <c r="U44" s="489"/>
    </row>
    <row r="45" spans="2:21" ht="15" x14ac:dyDescent="0.25">
      <c r="B45" s="489"/>
      <c r="C45" s="492"/>
      <c r="D45" s="493"/>
      <c r="E45" s="493"/>
      <c r="F45" s="493"/>
      <c r="G45" s="492"/>
      <c r="H45" s="494"/>
      <c r="I45" s="494"/>
      <c r="J45" s="494"/>
      <c r="K45" s="494"/>
      <c r="L45" s="492"/>
      <c r="M45" s="494"/>
      <c r="N45" s="494"/>
      <c r="O45" s="494"/>
      <c r="P45" s="494"/>
      <c r="Q45" s="487"/>
      <c r="R45" s="487"/>
      <c r="S45" s="487"/>
      <c r="T45" s="489"/>
      <c r="U45" s="489"/>
    </row>
    <row r="46" spans="2:21" x14ac:dyDescent="0.2">
      <c r="B46" s="489"/>
      <c r="C46" s="492"/>
      <c r="D46" s="738"/>
      <c r="E46" s="738"/>
      <c r="F46" s="738"/>
      <c r="G46" s="492"/>
      <c r="H46" s="745"/>
      <c r="I46" s="745"/>
      <c r="J46" s="745"/>
      <c r="K46" s="745"/>
      <c r="L46" s="492"/>
      <c r="M46" s="745"/>
      <c r="N46" s="745"/>
      <c r="O46" s="745"/>
      <c r="P46" s="745"/>
      <c r="Q46" s="489"/>
      <c r="R46" s="489"/>
      <c r="S46" s="489"/>
      <c r="T46" s="489"/>
      <c r="U46" s="489"/>
    </row>
    <row r="47" spans="2:21" x14ac:dyDescent="0.2">
      <c r="B47" s="489"/>
      <c r="C47" s="492"/>
      <c r="D47" s="738"/>
      <c r="E47" s="738"/>
      <c r="F47" s="738"/>
      <c r="G47" s="492"/>
      <c r="H47" s="745"/>
      <c r="I47" s="745"/>
      <c r="J47" s="745"/>
      <c r="K47" s="745"/>
      <c r="L47" s="493"/>
      <c r="M47" s="746"/>
      <c r="N47" s="746"/>
      <c r="O47" s="746"/>
      <c r="P47" s="746"/>
      <c r="Q47" s="489"/>
      <c r="R47" s="489"/>
      <c r="S47" s="489"/>
      <c r="T47" s="489"/>
      <c r="U47" s="489"/>
    </row>
    <row r="48" spans="2:21" x14ac:dyDescent="0.2">
      <c r="B48" s="489"/>
      <c r="C48" s="175"/>
      <c r="D48" s="175"/>
      <c r="E48" s="175"/>
      <c r="F48" s="175"/>
      <c r="G48" s="175"/>
      <c r="H48" s="175"/>
      <c r="I48" s="175"/>
      <c r="J48" s="175"/>
      <c r="K48" s="175"/>
      <c r="L48" s="175"/>
      <c r="M48" s="175"/>
      <c r="N48" s="175"/>
      <c r="O48" s="175"/>
      <c r="P48" s="175"/>
      <c r="Q48" s="175"/>
      <c r="R48" s="175"/>
      <c r="U48" s="489"/>
    </row>
    <row r="49" spans="2:21" ht="15" x14ac:dyDescent="0.2">
      <c r="B49" s="489"/>
      <c r="C49" s="739" t="s">
        <v>628</v>
      </c>
      <c r="D49" s="739"/>
      <c r="E49" s="739"/>
      <c r="F49" s="739"/>
      <c r="G49" s="739"/>
      <c r="H49" s="739"/>
      <c r="I49" s="739"/>
      <c r="J49" s="739"/>
      <c r="K49" s="739"/>
      <c r="L49" s="739"/>
      <c r="M49" s="739"/>
      <c r="N49" s="739"/>
      <c r="O49" s="739"/>
      <c r="P49" s="739"/>
      <c r="Q49" s="739"/>
      <c r="R49" s="175"/>
      <c r="U49" s="489"/>
    </row>
    <row r="50" spans="2:21" ht="13.5" customHeight="1" x14ac:dyDescent="0.2">
      <c r="B50" s="489"/>
      <c r="C50" s="739" t="s">
        <v>629</v>
      </c>
      <c r="D50" s="739"/>
      <c r="E50" s="739"/>
      <c r="F50" s="739"/>
      <c r="G50" s="739"/>
      <c r="H50" s="739"/>
      <c r="I50" s="739"/>
      <c r="J50" s="739"/>
      <c r="K50" s="739"/>
      <c r="L50" s="739"/>
      <c r="M50" s="739"/>
      <c r="N50" s="739"/>
      <c r="O50" s="739"/>
      <c r="P50" s="739"/>
      <c r="Q50" s="739"/>
      <c r="R50" s="175"/>
      <c r="U50" s="489"/>
    </row>
    <row r="51" spans="2:21" ht="15" customHeight="1" x14ac:dyDescent="0.2">
      <c r="B51" s="489"/>
      <c r="C51" s="739" t="s">
        <v>630</v>
      </c>
      <c r="D51" s="739"/>
      <c r="E51" s="739"/>
      <c r="F51" s="739"/>
      <c r="G51" s="739"/>
      <c r="H51" s="739"/>
      <c r="I51" s="739"/>
      <c r="J51" s="739"/>
      <c r="K51" s="739"/>
      <c r="L51" s="739"/>
      <c r="M51" s="739"/>
      <c r="N51" s="739"/>
      <c r="O51" s="739"/>
      <c r="P51" s="739"/>
      <c r="Q51" s="739"/>
      <c r="R51" s="175"/>
      <c r="U51" s="489"/>
    </row>
    <row r="52" spans="2:21" ht="15.75" customHeight="1" x14ac:dyDescent="0.2">
      <c r="B52" s="489"/>
      <c r="C52" s="741" t="s">
        <v>823</v>
      </c>
      <c r="D52" s="741"/>
      <c r="E52" s="741"/>
      <c r="F52" s="741"/>
      <c r="G52" s="741"/>
      <c r="H52" s="741"/>
      <c r="I52" s="741"/>
      <c r="J52" s="741"/>
      <c r="K52" s="741"/>
      <c r="L52" s="741"/>
      <c r="M52" s="741"/>
      <c r="N52" s="741"/>
      <c r="O52" s="741"/>
      <c r="P52" s="741"/>
      <c r="Q52" s="741"/>
      <c r="R52" s="741"/>
      <c r="S52" s="741"/>
      <c r="U52" s="489"/>
    </row>
    <row r="53" spans="2:21" s="323" customFormat="1" ht="15.75" customHeight="1" x14ac:dyDescent="0.2">
      <c r="B53" s="491"/>
      <c r="C53" s="325"/>
      <c r="D53" s="742" t="s">
        <v>824</v>
      </c>
      <c r="E53" s="742"/>
      <c r="F53" s="742"/>
      <c r="G53" s="742"/>
      <c r="H53" s="742"/>
      <c r="I53" s="742"/>
      <c r="J53" s="742"/>
      <c r="K53" s="742"/>
      <c r="L53" s="742"/>
      <c r="M53" s="742"/>
      <c r="N53" s="742"/>
      <c r="O53" s="742"/>
      <c r="P53" s="742"/>
      <c r="Q53" s="742"/>
      <c r="R53" s="742"/>
      <c r="S53" s="325"/>
      <c r="U53" s="491"/>
    </row>
    <row r="54" spans="2:21" ht="15.75" customHeight="1" x14ac:dyDescent="0.2">
      <c r="B54" s="489"/>
      <c r="C54" s="739" t="s">
        <v>631</v>
      </c>
      <c r="D54" s="739"/>
      <c r="E54" s="739"/>
      <c r="F54" s="739"/>
      <c r="G54" s="739"/>
      <c r="H54" s="739"/>
      <c r="I54" s="739"/>
      <c r="J54" s="739"/>
      <c r="K54" s="739"/>
      <c r="L54" s="739"/>
      <c r="M54" s="739"/>
      <c r="N54" s="739"/>
      <c r="O54" s="739"/>
      <c r="P54" s="739"/>
      <c r="Q54" s="739"/>
      <c r="R54" s="175"/>
      <c r="U54" s="489"/>
    </row>
    <row r="55" spans="2:21" ht="15" x14ac:dyDescent="0.2">
      <c r="B55" s="489"/>
      <c r="C55" s="739" t="s">
        <v>632</v>
      </c>
      <c r="D55" s="739"/>
      <c r="E55" s="739"/>
      <c r="F55" s="739"/>
      <c r="G55" s="739"/>
      <c r="H55" s="739"/>
      <c r="I55" s="739"/>
      <c r="J55" s="739"/>
      <c r="K55" s="739"/>
      <c r="L55" s="739"/>
      <c r="M55" s="739"/>
      <c r="N55" s="739"/>
      <c r="O55" s="739"/>
      <c r="P55" s="739"/>
      <c r="Q55" s="739"/>
      <c r="R55" s="175"/>
      <c r="U55" s="489"/>
    </row>
    <row r="56" spans="2:21" ht="15" x14ac:dyDescent="0.2">
      <c r="B56" s="489"/>
      <c r="C56" s="176"/>
      <c r="D56" s="176"/>
      <c r="E56" s="176"/>
      <c r="F56" s="176"/>
      <c r="G56" s="176"/>
      <c r="H56" s="176"/>
      <c r="I56" s="176"/>
      <c r="J56" s="176"/>
      <c r="K56" s="176"/>
      <c r="L56" s="177"/>
      <c r="M56" s="177"/>
      <c r="N56" s="177"/>
      <c r="O56" s="177"/>
      <c r="P56" s="177"/>
      <c r="Q56" s="177"/>
      <c r="R56" s="175"/>
      <c r="U56" s="489"/>
    </row>
    <row r="57" spans="2:21" ht="15" x14ac:dyDescent="0.2">
      <c r="B57" s="489"/>
      <c r="C57" s="734" t="s">
        <v>633</v>
      </c>
      <c r="D57" s="735"/>
      <c r="E57" s="735"/>
      <c r="F57" s="735"/>
      <c r="G57" s="735"/>
      <c r="H57" s="735"/>
      <c r="I57" s="735"/>
      <c r="J57" s="735"/>
      <c r="K57" s="735"/>
      <c r="L57" s="735"/>
      <c r="M57" s="735"/>
      <c r="N57" s="735"/>
      <c r="O57" s="735"/>
      <c r="P57" s="735"/>
      <c r="Q57" s="735"/>
      <c r="R57" s="175"/>
      <c r="U57" s="489"/>
    </row>
    <row r="58" spans="2:21" ht="47.25" customHeight="1" x14ac:dyDescent="0.2">
      <c r="B58" s="489"/>
      <c r="C58" s="736" t="s">
        <v>634</v>
      </c>
      <c r="D58" s="736"/>
      <c r="E58" s="736"/>
      <c r="F58" s="736"/>
      <c r="G58" s="736"/>
      <c r="H58" s="736"/>
      <c r="I58" s="736"/>
      <c r="J58" s="736"/>
      <c r="K58" s="736"/>
      <c r="L58" s="737"/>
      <c r="M58" s="737"/>
      <c r="N58" s="737"/>
      <c r="O58" s="737"/>
      <c r="P58" s="737"/>
      <c r="Q58" s="737"/>
      <c r="R58" s="175"/>
      <c r="U58" s="489"/>
    </row>
    <row r="59" spans="2:21" ht="13.5" customHeight="1" x14ac:dyDescent="0.2">
      <c r="B59" s="489"/>
      <c r="C59" s="736" t="s">
        <v>635</v>
      </c>
      <c r="D59" s="736"/>
      <c r="E59" s="736"/>
      <c r="F59" s="736"/>
      <c r="G59" s="736"/>
      <c r="H59" s="736"/>
      <c r="I59" s="736"/>
      <c r="J59" s="736"/>
      <c r="K59" s="736"/>
      <c r="L59" s="737"/>
      <c r="M59" s="737"/>
      <c r="N59" s="737"/>
      <c r="O59" s="737"/>
      <c r="P59" s="737"/>
      <c r="Q59" s="737"/>
      <c r="R59" s="175"/>
      <c r="U59" s="489"/>
    </row>
    <row r="60" spans="2:21" x14ac:dyDescent="0.2">
      <c r="B60" s="489"/>
      <c r="C60" s="175"/>
      <c r="D60" s="175"/>
      <c r="E60" s="175"/>
      <c r="F60" s="175"/>
      <c r="G60" s="175"/>
      <c r="H60" s="175"/>
      <c r="I60" s="175"/>
      <c r="J60" s="175"/>
      <c r="K60" s="175"/>
      <c r="L60" s="175"/>
      <c r="M60" s="175"/>
      <c r="N60" s="175"/>
      <c r="O60" s="175"/>
      <c r="P60" s="175"/>
      <c r="Q60" s="175"/>
      <c r="R60" s="175"/>
      <c r="U60" s="489"/>
    </row>
    <row r="61" spans="2:21" x14ac:dyDescent="0.2">
      <c r="B61" s="489"/>
      <c r="C61" s="492"/>
      <c r="D61" s="492"/>
      <c r="E61" s="492"/>
      <c r="F61" s="492"/>
      <c r="G61" s="492"/>
      <c r="H61" s="492"/>
      <c r="I61" s="492"/>
      <c r="J61" s="492"/>
      <c r="K61" s="492"/>
      <c r="L61" s="492"/>
      <c r="M61" s="492"/>
      <c r="N61" s="492"/>
      <c r="O61" s="492"/>
      <c r="P61" s="492"/>
      <c r="Q61" s="492"/>
      <c r="R61" s="492"/>
      <c r="S61" s="489"/>
      <c r="T61" s="489"/>
      <c r="U61" s="489"/>
    </row>
    <row r="62" spans="2:21" x14ac:dyDescent="0.2">
      <c r="B62" s="489"/>
      <c r="C62" s="492"/>
      <c r="D62" s="492"/>
      <c r="E62" s="492"/>
      <c r="F62" s="492"/>
      <c r="G62" s="492"/>
      <c r="H62" s="492"/>
      <c r="I62" s="492"/>
      <c r="J62" s="492"/>
      <c r="K62" s="492"/>
      <c r="L62" s="492"/>
      <c r="M62" s="492"/>
      <c r="N62" s="492"/>
      <c r="O62" s="492"/>
      <c r="P62" s="492"/>
      <c r="Q62" s="492"/>
      <c r="R62" s="492"/>
      <c r="S62" s="489"/>
      <c r="T62" s="489"/>
      <c r="U62" s="489"/>
    </row>
    <row r="63" spans="2:21" x14ac:dyDescent="0.2">
      <c r="B63" s="489"/>
      <c r="C63" s="492"/>
      <c r="D63" s="492"/>
      <c r="E63" s="492"/>
      <c r="F63" s="492"/>
      <c r="G63" s="492"/>
      <c r="H63" s="492"/>
      <c r="I63" s="492"/>
      <c r="J63" s="492"/>
      <c r="K63" s="492"/>
      <c r="L63" s="492"/>
      <c r="M63" s="492"/>
      <c r="N63" s="492"/>
      <c r="O63" s="492"/>
      <c r="P63" s="492"/>
      <c r="Q63" s="492"/>
      <c r="R63" s="492"/>
      <c r="S63" s="489"/>
      <c r="T63" s="489"/>
      <c r="U63" s="489"/>
    </row>
    <row r="64" spans="2:21" x14ac:dyDescent="0.2">
      <c r="C64" s="175"/>
      <c r="D64" s="175"/>
      <c r="E64" s="175"/>
      <c r="F64" s="175"/>
      <c r="G64" s="175"/>
      <c r="H64" s="175"/>
      <c r="I64" s="175"/>
      <c r="J64" s="175"/>
      <c r="K64" s="175"/>
      <c r="L64" s="175"/>
      <c r="M64" s="175"/>
      <c r="N64" s="175"/>
      <c r="O64" s="175"/>
      <c r="P64" s="175"/>
      <c r="Q64" s="175"/>
      <c r="R64" s="175"/>
    </row>
    <row r="65" spans="3:18" x14ac:dyDescent="0.2">
      <c r="C65" s="175"/>
      <c r="D65" s="175"/>
      <c r="E65" s="175"/>
      <c r="F65" s="175"/>
      <c r="G65" s="175"/>
      <c r="H65" s="175"/>
      <c r="I65" s="175"/>
      <c r="J65" s="175"/>
      <c r="K65" s="175"/>
      <c r="L65" s="175"/>
      <c r="M65" s="175"/>
      <c r="N65" s="175"/>
      <c r="O65" s="175"/>
      <c r="P65" s="175"/>
      <c r="Q65" s="175"/>
      <c r="R65" s="175"/>
    </row>
    <row r="66" spans="3:18" x14ac:dyDescent="0.2">
      <c r="C66" s="175"/>
      <c r="D66" s="175"/>
      <c r="E66" s="175"/>
      <c r="F66" s="175"/>
      <c r="G66" s="175"/>
      <c r="H66" s="175"/>
      <c r="I66" s="175"/>
      <c r="J66" s="175"/>
      <c r="K66" s="175"/>
      <c r="L66" s="175"/>
      <c r="M66" s="175"/>
      <c r="N66" s="175"/>
      <c r="O66" s="175"/>
      <c r="P66" s="175"/>
      <c r="Q66" s="175"/>
      <c r="R66" s="175"/>
    </row>
    <row r="67" spans="3:18" x14ac:dyDescent="0.2">
      <c r="C67" s="175"/>
      <c r="D67" s="175"/>
      <c r="E67" s="175"/>
      <c r="F67" s="175"/>
      <c r="G67" s="175"/>
      <c r="H67" s="175"/>
      <c r="I67" s="175"/>
      <c r="J67" s="175"/>
      <c r="K67" s="175"/>
      <c r="L67" s="175"/>
      <c r="M67" s="175"/>
      <c r="N67" s="175"/>
      <c r="O67" s="175"/>
      <c r="P67" s="175"/>
      <c r="Q67" s="175"/>
      <c r="R67" s="175"/>
    </row>
    <row r="68" spans="3:18" x14ac:dyDescent="0.2">
      <c r="C68" s="175"/>
      <c r="D68" s="175"/>
      <c r="E68" s="175"/>
      <c r="F68" s="175"/>
      <c r="G68" s="175"/>
      <c r="H68" s="175"/>
      <c r="I68" s="175"/>
      <c r="J68" s="175"/>
      <c r="K68" s="175"/>
      <c r="L68" s="175"/>
      <c r="M68" s="175"/>
      <c r="N68" s="175"/>
      <c r="O68" s="175"/>
      <c r="P68" s="175"/>
      <c r="Q68" s="175"/>
      <c r="R68" s="175"/>
    </row>
    <row r="69" spans="3:18" x14ac:dyDescent="0.2">
      <c r="C69" s="175"/>
      <c r="D69" s="175"/>
      <c r="E69" s="175"/>
      <c r="F69" s="175"/>
      <c r="G69" s="175"/>
      <c r="H69" s="175"/>
      <c r="I69" s="175"/>
      <c r="J69" s="175"/>
      <c r="K69" s="175"/>
      <c r="L69" s="175"/>
      <c r="M69" s="175"/>
      <c r="N69" s="175"/>
      <c r="O69" s="175"/>
      <c r="P69" s="175"/>
      <c r="Q69" s="175"/>
      <c r="R69" s="175"/>
    </row>
    <row r="70" spans="3:18" x14ac:dyDescent="0.2">
      <c r="C70" s="175"/>
      <c r="D70" s="175"/>
      <c r="E70" s="175"/>
      <c r="F70" s="175"/>
      <c r="G70" s="175"/>
      <c r="H70" s="175"/>
      <c r="I70" s="175"/>
      <c r="J70" s="175"/>
      <c r="K70" s="175"/>
      <c r="L70" s="175"/>
      <c r="M70" s="175"/>
      <c r="N70" s="175"/>
      <c r="O70" s="175"/>
      <c r="P70" s="175"/>
      <c r="Q70" s="175"/>
      <c r="R70" s="175"/>
    </row>
    <row r="71" spans="3:18" x14ac:dyDescent="0.2">
      <c r="C71" s="175"/>
      <c r="D71" s="175"/>
      <c r="E71" s="175"/>
      <c r="F71" s="175"/>
      <c r="G71" s="175"/>
      <c r="H71" s="175"/>
      <c r="I71" s="175"/>
      <c r="J71" s="175"/>
      <c r="K71" s="175"/>
      <c r="L71" s="175"/>
      <c r="M71" s="175"/>
      <c r="N71" s="175"/>
      <c r="O71" s="175"/>
      <c r="P71" s="175"/>
      <c r="Q71" s="175"/>
      <c r="R71" s="175"/>
    </row>
    <row r="72" spans="3:18" x14ac:dyDescent="0.2">
      <c r="C72" s="175"/>
      <c r="D72" s="175"/>
      <c r="E72" s="175"/>
      <c r="F72" s="175"/>
      <c r="G72" s="175"/>
      <c r="H72" s="175"/>
      <c r="I72" s="175"/>
      <c r="J72" s="175"/>
      <c r="K72" s="175"/>
      <c r="L72" s="175"/>
      <c r="M72" s="175"/>
      <c r="N72" s="175"/>
      <c r="O72" s="175"/>
      <c r="P72" s="175"/>
      <c r="Q72" s="175"/>
      <c r="R72" s="175"/>
    </row>
    <row r="73" spans="3:18" x14ac:dyDescent="0.2">
      <c r="C73" s="175"/>
      <c r="D73" s="175"/>
      <c r="E73" s="175"/>
      <c r="F73" s="175"/>
      <c r="G73" s="175"/>
      <c r="H73" s="175"/>
      <c r="I73" s="175"/>
      <c r="J73" s="175"/>
      <c r="K73" s="175"/>
      <c r="L73" s="175"/>
      <c r="M73" s="175"/>
      <c r="N73" s="175"/>
      <c r="O73" s="175"/>
      <c r="P73" s="175"/>
      <c r="Q73" s="175"/>
      <c r="R73" s="175"/>
    </row>
    <row r="74" spans="3:18" x14ac:dyDescent="0.2">
      <c r="C74" s="175"/>
      <c r="D74" s="175"/>
      <c r="E74" s="175"/>
      <c r="F74" s="175"/>
      <c r="G74" s="175"/>
      <c r="H74" s="175"/>
      <c r="I74" s="175"/>
      <c r="J74" s="175"/>
      <c r="K74" s="175"/>
      <c r="L74" s="175"/>
      <c r="M74" s="175"/>
      <c r="N74" s="175"/>
      <c r="O74" s="175"/>
      <c r="P74" s="175"/>
      <c r="Q74" s="175"/>
      <c r="R74" s="175"/>
    </row>
    <row r="75" spans="3:18" x14ac:dyDescent="0.2">
      <c r="C75" s="175"/>
      <c r="D75" s="175"/>
      <c r="E75" s="175"/>
      <c r="F75" s="175"/>
      <c r="G75" s="175"/>
      <c r="H75" s="175"/>
      <c r="I75" s="175"/>
      <c r="J75" s="175"/>
      <c r="K75" s="175"/>
      <c r="L75" s="175"/>
      <c r="M75" s="175"/>
      <c r="N75" s="175"/>
      <c r="O75" s="175"/>
      <c r="P75" s="175"/>
      <c r="Q75" s="175"/>
      <c r="R75" s="175"/>
    </row>
    <row r="76" spans="3:18" x14ac:dyDescent="0.2">
      <c r="C76" s="175"/>
      <c r="D76" s="175"/>
      <c r="E76" s="175"/>
      <c r="F76" s="175"/>
      <c r="G76" s="175"/>
      <c r="H76" s="175"/>
      <c r="I76" s="175"/>
      <c r="J76" s="175"/>
      <c r="K76" s="175"/>
      <c r="L76" s="175"/>
      <c r="M76" s="175"/>
      <c r="N76" s="175"/>
      <c r="O76" s="175"/>
      <c r="P76" s="175"/>
      <c r="Q76" s="175"/>
      <c r="R76" s="175"/>
    </row>
    <row r="77" spans="3:18" x14ac:dyDescent="0.2">
      <c r="C77" s="175"/>
      <c r="D77" s="175"/>
      <c r="E77" s="175"/>
      <c r="F77" s="175"/>
      <c r="G77" s="175"/>
      <c r="H77" s="175"/>
      <c r="I77" s="175"/>
      <c r="J77" s="175"/>
      <c r="K77" s="175"/>
      <c r="L77" s="175"/>
      <c r="M77" s="175"/>
      <c r="N77" s="175"/>
      <c r="O77" s="175"/>
      <c r="P77" s="175"/>
      <c r="Q77" s="175"/>
      <c r="R77" s="175"/>
    </row>
    <row r="78" spans="3:18" x14ac:dyDescent="0.2">
      <c r="C78" s="175"/>
      <c r="D78" s="175"/>
      <c r="E78" s="175"/>
      <c r="F78" s="175"/>
      <c r="G78" s="175"/>
      <c r="H78" s="175"/>
      <c r="I78" s="175"/>
      <c r="J78" s="175"/>
      <c r="K78" s="175"/>
      <c r="L78" s="175"/>
      <c r="M78" s="175"/>
      <c r="N78" s="175"/>
      <c r="O78" s="175"/>
      <c r="P78" s="175"/>
      <c r="Q78" s="175"/>
      <c r="R78" s="175"/>
    </row>
    <row r="79" spans="3:18" x14ac:dyDescent="0.2">
      <c r="C79" s="175"/>
      <c r="D79" s="175"/>
      <c r="E79" s="175"/>
      <c r="F79" s="175"/>
      <c r="G79" s="175"/>
      <c r="H79" s="175"/>
      <c r="I79" s="175"/>
      <c r="J79" s="175"/>
      <c r="K79" s="175"/>
      <c r="L79" s="175"/>
      <c r="M79" s="175"/>
      <c r="N79" s="175"/>
      <c r="O79" s="175"/>
      <c r="P79" s="175"/>
      <c r="Q79" s="175"/>
      <c r="R79" s="175"/>
    </row>
    <row r="80" spans="3:18" x14ac:dyDescent="0.2">
      <c r="C80" s="175"/>
      <c r="D80" s="175"/>
      <c r="E80" s="175"/>
      <c r="F80" s="175"/>
      <c r="G80" s="175"/>
      <c r="H80" s="175"/>
      <c r="I80" s="175"/>
      <c r="J80" s="175"/>
      <c r="K80" s="175"/>
      <c r="L80" s="175"/>
      <c r="M80" s="175"/>
      <c r="N80" s="175"/>
      <c r="O80" s="175"/>
      <c r="P80" s="175"/>
      <c r="Q80" s="175"/>
      <c r="R80" s="175"/>
    </row>
    <row r="81" spans="3:18" x14ac:dyDescent="0.2">
      <c r="C81" s="175"/>
      <c r="D81" s="175"/>
      <c r="E81" s="175"/>
      <c r="F81" s="175"/>
      <c r="G81" s="175"/>
      <c r="H81" s="175"/>
      <c r="I81" s="175"/>
      <c r="J81" s="175"/>
      <c r="K81" s="175"/>
      <c r="L81" s="175"/>
      <c r="M81" s="175"/>
      <c r="N81" s="175"/>
      <c r="O81" s="175"/>
      <c r="P81" s="175"/>
      <c r="Q81" s="175"/>
      <c r="R81" s="175"/>
    </row>
    <row r="82" spans="3:18" x14ac:dyDescent="0.2">
      <c r="C82" s="175"/>
      <c r="D82" s="175"/>
      <c r="E82" s="175"/>
      <c r="F82" s="175"/>
      <c r="G82" s="175"/>
      <c r="H82" s="175"/>
      <c r="I82" s="175"/>
      <c r="J82" s="175"/>
      <c r="K82" s="175"/>
      <c r="L82" s="175"/>
      <c r="M82" s="175"/>
      <c r="N82" s="175"/>
      <c r="O82" s="175"/>
      <c r="P82" s="175"/>
      <c r="Q82" s="175"/>
      <c r="R82" s="175"/>
    </row>
    <row r="83" spans="3:18" x14ac:dyDescent="0.2">
      <c r="C83" s="175"/>
      <c r="D83" s="175"/>
      <c r="E83" s="175"/>
      <c r="F83" s="175"/>
      <c r="G83" s="175"/>
      <c r="H83" s="175"/>
      <c r="I83" s="175"/>
      <c r="J83" s="175"/>
      <c r="K83" s="175"/>
      <c r="L83" s="175"/>
      <c r="M83" s="175"/>
      <c r="N83" s="175"/>
      <c r="O83" s="175"/>
      <c r="P83" s="175"/>
      <c r="Q83" s="175"/>
      <c r="R83" s="175"/>
    </row>
    <row r="84" spans="3:18" x14ac:dyDescent="0.2">
      <c r="C84" s="175"/>
      <c r="D84" s="175"/>
      <c r="E84" s="175"/>
      <c r="F84" s="175"/>
      <c r="G84" s="175"/>
      <c r="H84" s="175"/>
      <c r="I84" s="175"/>
      <c r="J84" s="175"/>
      <c r="K84" s="175"/>
      <c r="L84" s="175"/>
      <c r="M84" s="175"/>
      <c r="N84" s="175"/>
      <c r="O84" s="175"/>
      <c r="P84" s="175"/>
      <c r="Q84" s="175"/>
      <c r="R84" s="175"/>
    </row>
    <row r="85" spans="3:18" x14ac:dyDescent="0.2">
      <c r="C85" s="175"/>
      <c r="D85" s="175"/>
      <c r="E85" s="175"/>
      <c r="F85" s="175"/>
      <c r="G85" s="175"/>
      <c r="H85" s="175"/>
      <c r="I85" s="175"/>
      <c r="J85" s="175"/>
      <c r="K85" s="175"/>
      <c r="L85" s="175"/>
      <c r="M85" s="175"/>
      <c r="N85" s="175"/>
      <c r="O85" s="175"/>
      <c r="P85" s="175"/>
      <c r="Q85" s="175"/>
      <c r="R85" s="175"/>
    </row>
    <row r="86" spans="3:18" x14ac:dyDescent="0.2">
      <c r="C86" s="175"/>
      <c r="D86" s="175"/>
      <c r="E86" s="175"/>
      <c r="F86" s="175"/>
      <c r="G86" s="175"/>
      <c r="H86" s="175"/>
      <c r="I86" s="175"/>
      <c r="J86" s="175"/>
      <c r="K86" s="175"/>
      <c r="L86" s="175"/>
      <c r="M86" s="175"/>
      <c r="N86" s="175"/>
      <c r="O86" s="175"/>
      <c r="P86" s="175"/>
      <c r="Q86" s="175"/>
      <c r="R86" s="175"/>
    </row>
    <row r="87" spans="3:18" x14ac:dyDescent="0.2">
      <c r="C87" s="175"/>
      <c r="D87" s="175"/>
      <c r="E87" s="175"/>
      <c r="F87" s="175"/>
      <c r="G87" s="175"/>
      <c r="H87" s="175"/>
      <c r="I87" s="175"/>
      <c r="J87" s="175"/>
      <c r="K87" s="175"/>
      <c r="L87" s="175"/>
      <c r="M87" s="175"/>
      <c r="N87" s="175"/>
      <c r="O87" s="175"/>
      <c r="P87" s="175"/>
      <c r="Q87" s="175"/>
      <c r="R87" s="175"/>
    </row>
    <row r="88" spans="3:18" x14ac:dyDescent="0.2">
      <c r="C88" s="175"/>
      <c r="D88" s="175"/>
      <c r="E88" s="175"/>
      <c r="F88" s="175"/>
      <c r="G88" s="175"/>
      <c r="H88" s="175"/>
      <c r="I88" s="175"/>
      <c r="J88" s="175"/>
      <c r="K88" s="175"/>
      <c r="L88" s="175"/>
      <c r="M88" s="175"/>
      <c r="N88" s="175"/>
      <c r="O88" s="175"/>
      <c r="P88" s="175"/>
      <c r="Q88" s="175"/>
      <c r="R88" s="175"/>
    </row>
    <row r="89" spans="3:18" x14ac:dyDescent="0.2">
      <c r="C89" s="175"/>
      <c r="D89" s="175"/>
      <c r="E89" s="175"/>
      <c r="F89" s="175"/>
      <c r="G89" s="175"/>
      <c r="H89" s="175"/>
      <c r="I89" s="175"/>
      <c r="J89" s="175"/>
      <c r="K89" s="175"/>
      <c r="L89" s="175"/>
      <c r="M89" s="175"/>
      <c r="N89" s="175"/>
      <c r="O89" s="175"/>
      <c r="P89" s="175"/>
      <c r="Q89" s="175"/>
      <c r="R89" s="175"/>
    </row>
    <row r="90" spans="3:18" x14ac:dyDescent="0.2">
      <c r="C90" s="175"/>
      <c r="D90" s="175"/>
      <c r="E90" s="175"/>
      <c r="F90" s="175"/>
      <c r="G90" s="175"/>
      <c r="H90" s="175"/>
      <c r="I90" s="175"/>
      <c r="J90" s="175"/>
      <c r="K90" s="175"/>
      <c r="L90" s="175"/>
      <c r="M90" s="175"/>
      <c r="N90" s="175"/>
      <c r="O90" s="175"/>
      <c r="P90" s="175"/>
      <c r="Q90" s="175"/>
      <c r="R90" s="175"/>
    </row>
    <row r="91" spans="3:18" x14ac:dyDescent="0.2">
      <c r="C91" s="175"/>
      <c r="D91" s="175"/>
      <c r="E91" s="175"/>
      <c r="F91" s="175"/>
      <c r="G91" s="175"/>
      <c r="H91" s="175"/>
      <c r="I91" s="175"/>
      <c r="J91" s="175"/>
      <c r="K91" s="175"/>
      <c r="L91" s="175"/>
      <c r="M91" s="175"/>
      <c r="N91" s="175"/>
      <c r="O91" s="175"/>
      <c r="P91" s="175"/>
      <c r="Q91" s="175"/>
      <c r="R91" s="175"/>
    </row>
    <row r="92" spans="3:18" x14ac:dyDescent="0.2">
      <c r="C92" s="175"/>
      <c r="D92" s="175"/>
      <c r="E92" s="175"/>
      <c r="F92" s="175"/>
      <c r="G92" s="175"/>
      <c r="H92" s="175"/>
      <c r="I92" s="175"/>
      <c r="J92" s="175"/>
      <c r="K92" s="175"/>
      <c r="L92" s="175"/>
      <c r="M92" s="175"/>
      <c r="N92" s="175"/>
      <c r="O92" s="175"/>
      <c r="P92" s="175"/>
      <c r="Q92" s="175"/>
      <c r="R92" s="175"/>
    </row>
    <row r="93" spans="3:18" x14ac:dyDescent="0.2">
      <c r="C93" s="175"/>
      <c r="D93" s="175"/>
      <c r="E93" s="175"/>
      <c r="F93" s="175"/>
      <c r="G93" s="175"/>
      <c r="H93" s="175"/>
      <c r="I93" s="175"/>
      <c r="J93" s="175"/>
      <c r="K93" s="175"/>
      <c r="L93" s="175"/>
      <c r="M93" s="175"/>
      <c r="N93" s="175"/>
      <c r="O93" s="175"/>
      <c r="P93" s="175"/>
      <c r="Q93" s="175"/>
      <c r="R93" s="175"/>
    </row>
    <row r="94" spans="3:18" x14ac:dyDescent="0.2">
      <c r="C94" s="175"/>
      <c r="D94" s="175"/>
      <c r="E94" s="175"/>
      <c r="F94" s="175"/>
      <c r="G94" s="175"/>
      <c r="H94" s="175"/>
      <c r="I94" s="175"/>
      <c r="J94" s="175"/>
      <c r="K94" s="175"/>
      <c r="L94" s="175"/>
      <c r="M94" s="175"/>
      <c r="N94" s="175"/>
      <c r="O94" s="175"/>
      <c r="P94" s="175"/>
      <c r="Q94" s="175"/>
      <c r="R94" s="175"/>
    </row>
    <row r="95" spans="3:18" x14ac:dyDescent="0.2">
      <c r="C95" s="175"/>
      <c r="D95" s="175"/>
      <c r="E95" s="175"/>
      <c r="F95" s="175"/>
      <c r="G95" s="175"/>
      <c r="H95" s="175"/>
      <c r="I95" s="175"/>
      <c r="J95" s="175"/>
      <c r="K95" s="175"/>
      <c r="L95" s="175"/>
      <c r="M95" s="175"/>
      <c r="N95" s="175"/>
      <c r="O95" s="175"/>
      <c r="P95" s="175"/>
      <c r="Q95" s="175"/>
      <c r="R95" s="175"/>
    </row>
    <row r="96" spans="3:18" x14ac:dyDescent="0.2">
      <c r="C96" s="175"/>
      <c r="D96" s="175"/>
      <c r="E96" s="175"/>
      <c r="F96" s="175"/>
      <c r="G96" s="175"/>
      <c r="H96" s="175"/>
      <c r="I96" s="175"/>
      <c r="J96" s="175"/>
      <c r="K96" s="175"/>
      <c r="L96" s="175"/>
      <c r="M96" s="175"/>
      <c r="N96" s="175"/>
      <c r="O96" s="175"/>
      <c r="P96" s="175"/>
      <c r="Q96" s="175"/>
      <c r="R96" s="175"/>
    </row>
    <row r="97" spans="3:18" x14ac:dyDescent="0.2">
      <c r="C97" s="175"/>
      <c r="D97" s="175"/>
      <c r="E97" s="175"/>
      <c r="F97" s="175"/>
      <c r="G97" s="175"/>
      <c r="H97" s="175"/>
      <c r="I97" s="175"/>
      <c r="J97" s="175"/>
      <c r="K97" s="175"/>
      <c r="L97" s="175"/>
      <c r="M97" s="175"/>
      <c r="N97" s="175"/>
      <c r="O97" s="175"/>
      <c r="P97" s="175"/>
      <c r="Q97" s="175"/>
      <c r="R97" s="175"/>
    </row>
  </sheetData>
  <sheetProtection sheet="1" objects="1" scenarios="1"/>
  <mergeCells count="23">
    <mergeCell ref="C59:Q59"/>
    <mergeCell ref="C26:S26"/>
    <mergeCell ref="D37:S37"/>
    <mergeCell ref="C49:Q49"/>
    <mergeCell ref="C50:Q50"/>
    <mergeCell ref="C51:Q51"/>
    <mergeCell ref="C54:Q54"/>
    <mergeCell ref="H46:K46"/>
    <mergeCell ref="M46:P46"/>
    <mergeCell ref="D47:F47"/>
    <mergeCell ref="H47:K47"/>
    <mergeCell ref="M47:P47"/>
    <mergeCell ref="M40:P40"/>
    <mergeCell ref="C27:S27"/>
    <mergeCell ref="A2:N2"/>
    <mergeCell ref="C57:Q57"/>
    <mergeCell ref="C58:Q58"/>
    <mergeCell ref="D46:F46"/>
    <mergeCell ref="C55:Q55"/>
    <mergeCell ref="D40:K40"/>
    <mergeCell ref="C52:S52"/>
    <mergeCell ref="D53:R53"/>
    <mergeCell ref="D41:L41"/>
  </mergeCells>
  <hyperlinks>
    <hyperlink ref="K43" r:id="rId1"/>
  </hyperlinks>
  <printOptions horizontalCentered="1"/>
  <pageMargins left="0.23622047244094491" right="0.23622047244094491" top="0.74803149606299213" bottom="0.74803149606299213" header="0.31496062992125984" footer="0.31496062992125984"/>
  <pageSetup paperSize="9" scale="69" orientation="portrait" r:id="rId2"/>
  <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tabColor theme="4"/>
  </sheetPr>
  <dimension ref="A1:R158"/>
  <sheetViews>
    <sheetView zoomScaleNormal="100" zoomScaleSheetLayoutView="80" zoomScalePageLayoutView="80" workbookViewId="0"/>
  </sheetViews>
  <sheetFormatPr defaultColWidth="8.796875" defaultRowHeight="14.25" x14ac:dyDescent="0.2"/>
  <cols>
    <col min="1" max="1" width="1" style="1" customWidth="1"/>
    <col min="2" max="2" width="1.19921875" style="1" customWidth="1"/>
    <col min="3" max="3" width="5.59765625" style="1" customWidth="1"/>
    <col min="4" max="9" width="11.3984375" style="1" customWidth="1"/>
    <col min="10" max="10" width="10" style="1" customWidth="1"/>
    <col min="11" max="11" width="11.69921875" style="1" customWidth="1"/>
    <col min="12" max="12" width="10.296875" style="1" customWidth="1"/>
    <col min="13" max="13" width="3.69921875" style="1" customWidth="1"/>
    <col min="14" max="14" width="1.3984375" style="1" customWidth="1"/>
    <col min="15" max="15" width="1.19921875" style="1" customWidth="1"/>
    <col min="16" max="16" width="1.09765625" style="1" customWidth="1"/>
    <col min="17" max="17" width="8.796875" style="1"/>
    <col min="18" max="18" width="19" style="1" bestFit="1" customWidth="1"/>
    <col min="19" max="16384" width="8.796875" style="1"/>
  </cols>
  <sheetData>
    <row r="1" spans="1:18" ht="15" x14ac:dyDescent="0.25">
      <c r="R1" s="21">
        <f ca="1">NOW()</f>
        <v>42740.35657314815</v>
      </c>
    </row>
    <row r="2" spans="1:18" ht="17.25" customHeight="1" x14ac:dyDescent="0.2">
      <c r="A2" s="732"/>
      <c r="B2" s="733"/>
      <c r="C2" s="733"/>
      <c r="D2" s="733"/>
      <c r="E2" s="733"/>
      <c r="F2" s="733"/>
      <c r="G2" s="733"/>
      <c r="H2" s="733"/>
      <c r="I2" s="733"/>
      <c r="J2" s="733"/>
      <c r="K2" s="733"/>
      <c r="L2" s="733"/>
    </row>
    <row r="3" spans="1:18" ht="15" x14ac:dyDescent="0.25">
      <c r="A3" s="2"/>
      <c r="B3" s="2"/>
      <c r="C3" s="2"/>
      <c r="D3" s="2"/>
      <c r="E3" s="2"/>
      <c r="F3" s="2"/>
      <c r="G3" s="2"/>
      <c r="H3" s="2"/>
      <c r="I3" s="2"/>
      <c r="J3" s="2"/>
      <c r="K3" s="2"/>
      <c r="L3" s="2"/>
    </row>
    <row r="4" spans="1:18" ht="15" x14ac:dyDescent="0.25">
      <c r="A4" s="2"/>
      <c r="B4" s="2"/>
      <c r="C4" s="2"/>
      <c r="D4" s="2"/>
      <c r="E4" s="2"/>
      <c r="F4" s="2"/>
      <c r="G4" s="2"/>
      <c r="H4" s="2"/>
      <c r="I4" s="2"/>
      <c r="J4" s="2"/>
      <c r="K4" s="2"/>
      <c r="L4" s="2"/>
      <c r="O4" s="489"/>
    </row>
    <row r="5" spans="1:18" s="67" customFormat="1" ht="15" x14ac:dyDescent="0.25">
      <c r="A5" s="172"/>
      <c r="B5" s="487"/>
      <c r="C5" s="487"/>
      <c r="D5" s="487"/>
      <c r="E5" s="487"/>
      <c r="F5" s="487"/>
      <c r="G5" s="487"/>
      <c r="H5" s="487"/>
      <c r="I5" s="487"/>
      <c r="J5" s="487"/>
      <c r="K5" s="487"/>
      <c r="L5" s="487"/>
      <c r="M5" s="489"/>
      <c r="N5" s="489"/>
      <c r="O5" s="489"/>
    </row>
    <row r="6" spans="1:18" s="67" customFormat="1" ht="15" x14ac:dyDescent="0.25">
      <c r="A6" s="248"/>
      <c r="B6" s="487"/>
      <c r="C6" s="487"/>
      <c r="D6" s="487"/>
      <c r="E6" s="487"/>
      <c r="F6" s="487"/>
      <c r="G6" s="487"/>
      <c r="H6" s="487"/>
      <c r="I6" s="487"/>
      <c r="J6" s="487"/>
      <c r="K6" s="487"/>
      <c r="L6" s="487"/>
      <c r="M6" s="489"/>
      <c r="N6" s="489"/>
      <c r="O6" s="489"/>
    </row>
    <row r="7" spans="1:18" s="67" customFormat="1" ht="15" x14ac:dyDescent="0.25">
      <c r="A7" s="248"/>
      <c r="B7" s="487"/>
      <c r="C7" s="487"/>
      <c r="D7" s="487"/>
      <c r="E7" s="487"/>
      <c r="F7" s="487"/>
      <c r="G7" s="487"/>
      <c r="H7" s="487"/>
      <c r="I7" s="487"/>
      <c r="J7" s="487"/>
      <c r="K7" s="487"/>
      <c r="L7" s="487"/>
      <c r="M7" s="489"/>
      <c r="N7" s="489"/>
      <c r="O7" s="489"/>
    </row>
    <row r="8" spans="1:18" s="67" customFormat="1" ht="15" x14ac:dyDescent="0.25">
      <c r="A8" s="248"/>
      <c r="B8" s="487"/>
      <c r="C8" s="487"/>
      <c r="D8" s="487"/>
      <c r="E8" s="487"/>
      <c r="F8" s="487"/>
      <c r="G8" s="487"/>
      <c r="H8" s="487"/>
      <c r="I8" s="487"/>
      <c r="J8" s="487"/>
      <c r="K8" s="487"/>
      <c r="L8" s="487"/>
      <c r="M8" s="489"/>
      <c r="N8" s="489"/>
      <c r="O8" s="489"/>
    </row>
    <row r="9" spans="1:18" s="67" customFormat="1" ht="15" x14ac:dyDescent="0.25">
      <c r="A9" s="172"/>
      <c r="B9" s="487"/>
      <c r="C9" s="487"/>
      <c r="D9" s="487"/>
      <c r="E9" s="487"/>
      <c r="F9" s="487"/>
      <c r="G9" s="487"/>
      <c r="H9" s="487"/>
      <c r="I9" s="487"/>
      <c r="J9" s="487"/>
      <c r="K9" s="487"/>
      <c r="L9" s="487"/>
      <c r="M9" s="489"/>
      <c r="N9" s="489"/>
      <c r="O9" s="489"/>
    </row>
    <row r="10" spans="1:18" ht="15" x14ac:dyDescent="0.25">
      <c r="A10" s="2"/>
      <c r="B10" s="487"/>
      <c r="C10" s="487"/>
      <c r="D10" s="487"/>
      <c r="E10" s="487"/>
      <c r="F10" s="487"/>
      <c r="G10" s="487"/>
      <c r="H10" s="487"/>
      <c r="I10" s="487"/>
      <c r="J10" s="487"/>
      <c r="K10" s="487"/>
      <c r="L10" s="487"/>
      <c r="M10" s="489"/>
      <c r="N10" s="489"/>
      <c r="O10" s="489"/>
    </row>
    <row r="11" spans="1:18" ht="15" x14ac:dyDescent="0.25">
      <c r="A11" s="2"/>
      <c r="B11" s="487"/>
      <c r="C11" s="487"/>
      <c r="D11" s="487"/>
      <c r="E11" s="487"/>
      <c r="F11" s="487"/>
      <c r="G11" s="487"/>
      <c r="H11" s="487"/>
      <c r="I11" s="487"/>
      <c r="J11" s="487"/>
      <c r="K11" s="487"/>
      <c r="L11" s="487"/>
      <c r="M11" s="489"/>
      <c r="N11" s="489"/>
      <c r="O11" s="489"/>
    </row>
    <row r="12" spans="1:18" ht="15" x14ac:dyDescent="0.25">
      <c r="A12" s="2"/>
      <c r="B12" s="487"/>
      <c r="C12" s="487"/>
      <c r="D12" s="487"/>
      <c r="E12" s="487"/>
      <c r="F12" s="487"/>
      <c r="G12" s="487"/>
      <c r="H12" s="487"/>
      <c r="I12" s="487"/>
      <c r="J12" s="487"/>
      <c r="K12" s="487"/>
      <c r="L12" s="487"/>
      <c r="M12" s="489"/>
      <c r="N12" s="489"/>
      <c r="O12" s="489"/>
    </row>
    <row r="13" spans="1:18" ht="15" x14ac:dyDescent="0.25">
      <c r="A13" s="2"/>
      <c r="B13" s="487"/>
      <c r="C13" s="487"/>
      <c r="D13" s="487"/>
      <c r="E13" s="487"/>
      <c r="F13" s="487"/>
      <c r="G13" s="487"/>
      <c r="H13" s="487"/>
      <c r="I13" s="487"/>
      <c r="J13" s="487"/>
      <c r="K13" s="487"/>
      <c r="L13" s="487"/>
      <c r="M13" s="489"/>
      <c r="N13" s="489"/>
      <c r="O13" s="489"/>
    </row>
    <row r="14" spans="1:18" s="67" customFormat="1" ht="15" x14ac:dyDescent="0.25">
      <c r="A14" s="477"/>
      <c r="B14" s="487"/>
      <c r="C14" s="487"/>
      <c r="D14" s="487"/>
      <c r="E14" s="487"/>
      <c r="F14" s="487"/>
      <c r="G14" s="487"/>
      <c r="H14" s="487"/>
      <c r="I14" s="487"/>
      <c r="J14" s="487"/>
      <c r="K14" s="487"/>
      <c r="L14" s="487"/>
      <c r="M14" s="489"/>
      <c r="N14" s="489"/>
      <c r="O14" s="489"/>
    </row>
    <row r="15" spans="1:18" s="67" customFormat="1" ht="15" x14ac:dyDescent="0.25">
      <c r="A15" s="477"/>
      <c r="B15" s="487"/>
      <c r="C15" s="487"/>
      <c r="D15" s="487"/>
      <c r="E15" s="487"/>
      <c r="F15" s="487"/>
      <c r="G15" s="487"/>
      <c r="H15" s="487"/>
      <c r="I15" s="487"/>
      <c r="J15" s="487"/>
      <c r="K15" s="487"/>
      <c r="L15" s="487"/>
      <c r="M15" s="489"/>
      <c r="N15" s="489"/>
      <c r="O15" s="489"/>
    </row>
    <row r="16" spans="1:18" s="67" customFormat="1" ht="15" x14ac:dyDescent="0.25">
      <c r="A16" s="477"/>
      <c r="B16" s="487"/>
      <c r="C16" s="477"/>
      <c r="D16" s="477"/>
      <c r="E16" s="477"/>
      <c r="F16" s="477"/>
      <c r="G16" s="477"/>
      <c r="H16" s="477"/>
      <c r="I16" s="477"/>
      <c r="J16" s="477"/>
      <c r="K16" s="477"/>
      <c r="L16" s="477"/>
      <c r="O16" s="489"/>
    </row>
    <row r="17" spans="1:15" s="67" customFormat="1" ht="15" x14ac:dyDescent="0.25">
      <c r="A17" s="477"/>
      <c r="B17" s="487"/>
      <c r="C17" s="477"/>
      <c r="D17" s="477"/>
      <c r="E17" s="477"/>
      <c r="F17" s="477"/>
      <c r="G17" s="477"/>
      <c r="H17" s="477"/>
      <c r="I17" s="477"/>
      <c r="J17" s="477"/>
      <c r="K17" s="477"/>
      <c r="L17" s="477"/>
      <c r="O17" s="489"/>
    </row>
    <row r="18" spans="1:15" s="67" customFormat="1" ht="15" x14ac:dyDescent="0.25">
      <c r="A18" s="477"/>
      <c r="B18" s="487"/>
      <c r="C18" s="477"/>
      <c r="D18" s="477"/>
      <c r="E18" s="477"/>
      <c r="F18" s="477"/>
      <c r="G18" s="477"/>
      <c r="H18" s="477"/>
      <c r="I18" s="477"/>
      <c r="J18" s="477"/>
      <c r="K18" s="477"/>
      <c r="L18" s="477"/>
      <c r="O18" s="489"/>
    </row>
    <row r="19" spans="1:15" s="67" customFormat="1" ht="15" x14ac:dyDescent="0.25">
      <c r="A19" s="477"/>
      <c r="B19" s="487"/>
      <c r="C19" s="477"/>
      <c r="D19" s="477"/>
      <c r="E19" s="477"/>
      <c r="F19" s="477"/>
      <c r="G19" s="477"/>
      <c r="H19" s="477"/>
      <c r="I19" s="477"/>
      <c r="J19" s="477"/>
      <c r="K19" s="477"/>
      <c r="L19" s="477"/>
      <c r="O19" s="489"/>
    </row>
    <row r="20" spans="1:15" s="67" customFormat="1" ht="15" x14ac:dyDescent="0.25">
      <c r="A20" s="477"/>
      <c r="B20" s="487"/>
      <c r="C20" s="477"/>
      <c r="D20" s="477"/>
      <c r="E20" s="477"/>
      <c r="F20" s="477"/>
      <c r="G20" s="477"/>
      <c r="H20" s="477"/>
      <c r="I20" s="477"/>
      <c r="J20" s="477"/>
      <c r="K20" s="477"/>
      <c r="L20" s="477"/>
      <c r="O20" s="489"/>
    </row>
    <row r="21" spans="1:15" s="67" customFormat="1" ht="15" x14ac:dyDescent="0.25">
      <c r="A21" s="477"/>
      <c r="B21" s="487"/>
      <c r="C21" s="477"/>
      <c r="D21" s="477"/>
      <c r="E21" s="477"/>
      <c r="F21" s="477"/>
      <c r="G21" s="477"/>
      <c r="H21" s="477"/>
      <c r="I21" s="477"/>
      <c r="J21" s="477"/>
      <c r="K21" s="477"/>
      <c r="L21" s="477"/>
      <c r="O21" s="489"/>
    </row>
    <row r="22" spans="1:15" s="67" customFormat="1" ht="15" x14ac:dyDescent="0.25">
      <c r="A22" s="594"/>
      <c r="B22" s="487"/>
      <c r="C22" s="594"/>
      <c r="D22" s="594"/>
      <c r="E22" s="594"/>
      <c r="F22" s="594"/>
      <c r="G22" s="594"/>
      <c r="H22" s="594"/>
      <c r="I22" s="594"/>
      <c r="J22" s="594"/>
      <c r="K22" s="594"/>
      <c r="L22" s="594"/>
      <c r="O22" s="489"/>
    </row>
    <row r="23" spans="1:15" s="67" customFormat="1" ht="15" x14ac:dyDescent="0.25">
      <c r="A23" s="594"/>
      <c r="B23" s="487"/>
      <c r="C23" s="594"/>
      <c r="D23" s="594"/>
      <c r="E23" s="594"/>
      <c r="F23" s="594"/>
      <c r="G23" s="594"/>
      <c r="H23" s="594"/>
      <c r="I23" s="594"/>
      <c r="J23" s="594"/>
      <c r="K23" s="594"/>
      <c r="L23" s="594"/>
      <c r="O23" s="489"/>
    </row>
    <row r="24" spans="1:15" s="67" customFormat="1" ht="15" x14ac:dyDescent="0.25">
      <c r="A24" s="594"/>
      <c r="B24" s="487"/>
      <c r="C24" s="594"/>
      <c r="D24" s="594"/>
      <c r="E24" s="594"/>
      <c r="F24" s="594"/>
      <c r="G24" s="594"/>
      <c r="H24" s="594"/>
      <c r="I24" s="594"/>
      <c r="J24" s="594"/>
      <c r="K24" s="594"/>
      <c r="L24" s="594"/>
      <c r="O24" s="489"/>
    </row>
    <row r="25" spans="1:15" s="67" customFormat="1" ht="15" x14ac:dyDescent="0.25">
      <c r="A25" s="594"/>
      <c r="B25" s="487"/>
      <c r="C25" s="594"/>
      <c r="D25" s="594"/>
      <c r="E25" s="594"/>
      <c r="F25" s="594"/>
      <c r="G25" s="594"/>
      <c r="H25" s="594"/>
      <c r="I25" s="594"/>
      <c r="J25" s="594"/>
      <c r="K25" s="594"/>
      <c r="L25" s="594"/>
      <c r="O25" s="489"/>
    </row>
    <row r="26" spans="1:15" s="67" customFormat="1" ht="15" x14ac:dyDescent="0.25">
      <c r="A26" s="594"/>
      <c r="B26" s="487"/>
      <c r="C26" s="594"/>
      <c r="D26" s="594"/>
      <c r="E26" s="594"/>
      <c r="F26" s="594"/>
      <c r="G26" s="594"/>
      <c r="H26" s="594"/>
      <c r="I26" s="594"/>
      <c r="J26" s="594"/>
      <c r="K26" s="594"/>
      <c r="L26" s="594"/>
      <c r="O26" s="489"/>
    </row>
    <row r="27" spans="1:15" s="67" customFormat="1" ht="15" x14ac:dyDescent="0.25">
      <c r="A27" s="594"/>
      <c r="B27" s="487"/>
      <c r="C27" s="594"/>
      <c r="D27" s="594"/>
      <c r="E27" s="594"/>
      <c r="F27" s="594"/>
      <c r="G27" s="594"/>
      <c r="H27" s="594"/>
      <c r="I27" s="594"/>
      <c r="J27" s="594"/>
      <c r="K27" s="594"/>
      <c r="L27" s="594"/>
      <c r="O27" s="489"/>
    </row>
    <row r="28" spans="1:15" s="67" customFormat="1" ht="15" x14ac:dyDescent="0.25">
      <c r="A28" s="594"/>
      <c r="B28" s="487"/>
      <c r="C28" s="594"/>
      <c r="D28" s="594"/>
      <c r="E28" s="594"/>
      <c r="F28" s="594"/>
      <c r="G28" s="594"/>
      <c r="H28" s="594"/>
      <c r="I28" s="594"/>
      <c r="J28" s="594"/>
      <c r="K28" s="594"/>
      <c r="L28" s="594"/>
      <c r="O28" s="489"/>
    </row>
    <row r="29" spans="1:15" s="67" customFormat="1" ht="15" x14ac:dyDescent="0.25">
      <c r="A29" s="594"/>
      <c r="B29" s="487"/>
      <c r="C29" s="594"/>
      <c r="D29" s="594"/>
      <c r="E29" s="594"/>
      <c r="F29" s="594"/>
      <c r="G29" s="594"/>
      <c r="H29" s="594"/>
      <c r="I29" s="594"/>
      <c r="J29" s="594"/>
      <c r="K29" s="594"/>
      <c r="L29" s="594"/>
      <c r="O29" s="489"/>
    </row>
    <row r="30" spans="1:15" s="67" customFormat="1" ht="15" x14ac:dyDescent="0.25">
      <c r="A30" s="594"/>
      <c r="B30" s="487"/>
      <c r="C30" s="594"/>
      <c r="D30" s="594"/>
      <c r="E30" s="594"/>
      <c r="F30" s="594"/>
      <c r="G30" s="594"/>
      <c r="H30" s="594"/>
      <c r="I30" s="594"/>
      <c r="J30" s="594"/>
      <c r="K30" s="594"/>
      <c r="L30" s="594"/>
      <c r="O30" s="489"/>
    </row>
    <row r="31" spans="1:15" s="67" customFormat="1" ht="15" x14ac:dyDescent="0.25">
      <c r="A31" s="594"/>
      <c r="B31" s="487"/>
      <c r="C31" s="594"/>
      <c r="D31" s="594"/>
      <c r="E31" s="594"/>
      <c r="F31" s="594"/>
      <c r="G31" s="594"/>
      <c r="H31" s="594"/>
      <c r="I31" s="594"/>
      <c r="J31" s="594"/>
      <c r="K31" s="594"/>
      <c r="L31" s="594"/>
      <c r="O31" s="489"/>
    </row>
    <row r="32" spans="1:15" s="67" customFormat="1" ht="15" x14ac:dyDescent="0.25">
      <c r="A32" s="594"/>
      <c r="B32" s="487"/>
      <c r="C32" s="594"/>
      <c r="D32" s="594"/>
      <c r="E32" s="594"/>
      <c r="F32" s="594"/>
      <c r="G32" s="594"/>
      <c r="H32" s="594"/>
      <c r="I32" s="594"/>
      <c r="J32" s="594"/>
      <c r="K32" s="594"/>
      <c r="L32" s="594"/>
      <c r="O32" s="489"/>
    </row>
    <row r="33" spans="1:15" s="67" customFormat="1" ht="15" x14ac:dyDescent="0.25">
      <c r="A33" s="477"/>
      <c r="B33" s="487"/>
      <c r="C33" s="477"/>
      <c r="D33" s="477"/>
      <c r="E33" s="477"/>
      <c r="F33" s="477"/>
      <c r="G33" s="477"/>
      <c r="H33" s="477"/>
      <c r="I33" s="477"/>
      <c r="J33" s="477"/>
      <c r="K33" s="477"/>
      <c r="L33" s="477"/>
      <c r="O33" s="489"/>
    </row>
    <row r="34" spans="1:15" s="67" customFormat="1" ht="15" x14ac:dyDescent="0.25">
      <c r="A34" s="477"/>
      <c r="B34" s="487"/>
      <c r="C34" s="477"/>
      <c r="D34" s="477"/>
      <c r="E34" s="477"/>
      <c r="F34" s="477"/>
      <c r="G34" s="477"/>
      <c r="H34" s="477"/>
      <c r="I34" s="477"/>
      <c r="J34" s="477"/>
      <c r="K34" s="477"/>
      <c r="L34" s="477"/>
      <c r="O34" s="489"/>
    </row>
    <row r="35" spans="1:15" s="67" customFormat="1" ht="15" x14ac:dyDescent="0.25">
      <c r="A35" s="477"/>
      <c r="B35" s="487"/>
      <c r="C35" s="477"/>
      <c r="D35" s="477"/>
      <c r="E35" s="477"/>
      <c r="F35" s="477"/>
      <c r="G35" s="477"/>
      <c r="H35" s="477"/>
      <c r="I35" s="477"/>
      <c r="J35" s="477"/>
      <c r="K35" s="477"/>
      <c r="L35" s="477"/>
      <c r="O35" s="489"/>
    </row>
    <row r="36" spans="1:15" s="67" customFormat="1" ht="15" x14ac:dyDescent="0.25">
      <c r="A36" s="477"/>
      <c r="B36" s="487"/>
      <c r="C36" s="477"/>
      <c r="D36" s="477"/>
      <c r="E36" s="477"/>
      <c r="F36" s="477"/>
      <c r="G36" s="477"/>
      <c r="H36" s="477"/>
      <c r="I36" s="477"/>
      <c r="J36" s="477"/>
      <c r="K36" s="477"/>
      <c r="L36" s="477"/>
      <c r="O36" s="489"/>
    </row>
    <row r="37" spans="1:15" s="67" customFormat="1" ht="15" x14ac:dyDescent="0.25">
      <c r="A37" s="477"/>
      <c r="B37" s="487"/>
      <c r="C37" s="477"/>
      <c r="D37" s="477"/>
      <c r="E37" s="477"/>
      <c r="F37" s="477"/>
      <c r="G37" s="477"/>
      <c r="H37" s="477"/>
      <c r="I37" s="477"/>
      <c r="J37" s="477"/>
      <c r="K37" s="477"/>
      <c r="L37" s="477"/>
      <c r="O37" s="489"/>
    </row>
    <row r="38" spans="1:15" s="67" customFormat="1" ht="15" x14ac:dyDescent="0.25">
      <c r="A38" s="477"/>
      <c r="B38" s="487"/>
      <c r="C38" s="477"/>
      <c r="D38" s="477"/>
      <c r="E38" s="477"/>
      <c r="F38" s="477"/>
      <c r="G38" s="477"/>
      <c r="H38" s="477"/>
      <c r="I38" s="477"/>
      <c r="J38" s="477"/>
      <c r="K38" s="477"/>
      <c r="L38" s="477"/>
      <c r="O38" s="489"/>
    </row>
    <row r="39" spans="1:15" s="67" customFormat="1" ht="15" x14ac:dyDescent="0.25">
      <c r="A39" s="477"/>
      <c r="B39" s="487"/>
      <c r="C39" s="477"/>
      <c r="D39" s="477"/>
      <c r="E39" s="477"/>
      <c r="F39" s="477"/>
      <c r="G39" s="477"/>
      <c r="H39" s="477"/>
      <c r="I39" s="477"/>
      <c r="J39" s="477"/>
      <c r="K39" s="477"/>
      <c r="L39" s="477"/>
      <c r="O39" s="489"/>
    </row>
    <row r="40" spans="1:15" s="67" customFormat="1" ht="15" x14ac:dyDescent="0.25">
      <c r="A40" s="477"/>
      <c r="B40" s="487"/>
      <c r="C40" s="477"/>
      <c r="D40" s="477"/>
      <c r="E40" s="477"/>
      <c r="F40" s="477"/>
      <c r="G40" s="477"/>
      <c r="H40" s="477"/>
      <c r="I40" s="477"/>
      <c r="J40" s="477"/>
      <c r="K40" s="477"/>
      <c r="L40" s="477"/>
      <c r="O40" s="489"/>
    </row>
    <row r="41" spans="1:15" s="67" customFormat="1" ht="15" x14ac:dyDescent="0.25">
      <c r="A41" s="477"/>
      <c r="B41" s="487"/>
      <c r="C41" s="477"/>
      <c r="D41" s="477"/>
      <c r="E41" s="477"/>
      <c r="F41" s="477"/>
      <c r="G41" s="477"/>
      <c r="H41" s="477"/>
      <c r="I41" s="477"/>
      <c r="J41" s="477"/>
      <c r="K41" s="477"/>
      <c r="L41" s="477"/>
      <c r="O41" s="489"/>
    </row>
    <row r="42" spans="1:15" s="67" customFormat="1" ht="15" x14ac:dyDescent="0.25">
      <c r="A42" s="477"/>
      <c r="B42" s="487"/>
      <c r="C42" s="477"/>
      <c r="D42" s="477"/>
      <c r="E42" s="477"/>
      <c r="F42" s="477"/>
      <c r="G42" s="477"/>
      <c r="H42" s="477"/>
      <c r="I42" s="477"/>
      <c r="J42" s="477"/>
      <c r="K42" s="477"/>
      <c r="L42" s="477"/>
      <c r="O42" s="489"/>
    </row>
    <row r="43" spans="1:15" s="67" customFormat="1" ht="15" x14ac:dyDescent="0.25">
      <c r="A43" s="477"/>
      <c r="B43" s="487"/>
      <c r="C43" s="477"/>
      <c r="D43" s="477"/>
      <c r="E43" s="477"/>
      <c r="F43" s="477"/>
      <c r="G43" s="477"/>
      <c r="H43" s="477"/>
      <c r="I43" s="477"/>
      <c r="J43" s="477"/>
      <c r="K43" s="477"/>
      <c r="L43" s="477"/>
      <c r="O43" s="489"/>
    </row>
    <row r="44" spans="1:15" s="67" customFormat="1" ht="15" x14ac:dyDescent="0.25">
      <c r="A44" s="477"/>
      <c r="B44" s="487"/>
      <c r="C44" s="477"/>
      <c r="D44" s="477"/>
      <c r="E44" s="477"/>
      <c r="F44" s="477"/>
      <c r="G44" s="477"/>
      <c r="H44" s="477"/>
      <c r="I44" s="477"/>
      <c r="J44" s="477"/>
      <c r="K44" s="477"/>
      <c r="L44" s="477"/>
      <c r="O44" s="489"/>
    </row>
    <row r="45" spans="1:15" s="67" customFormat="1" ht="15" x14ac:dyDescent="0.25">
      <c r="A45" s="477"/>
      <c r="B45" s="487"/>
      <c r="C45" s="477"/>
      <c r="D45" s="477"/>
      <c r="E45" s="477"/>
      <c r="F45" s="477"/>
      <c r="G45" s="477"/>
      <c r="H45" s="477"/>
      <c r="I45" s="477"/>
      <c r="J45" s="477"/>
      <c r="K45" s="477"/>
      <c r="L45" s="477"/>
      <c r="O45" s="489"/>
    </row>
    <row r="46" spans="1:15" s="67" customFormat="1" ht="15" x14ac:dyDescent="0.25">
      <c r="A46" s="594"/>
      <c r="B46" s="487"/>
      <c r="C46" s="594"/>
      <c r="D46" s="594"/>
      <c r="E46" s="594"/>
      <c r="F46" s="594"/>
      <c r="G46" s="594"/>
      <c r="H46" s="594"/>
      <c r="I46" s="594"/>
      <c r="J46" s="594"/>
      <c r="K46" s="594"/>
      <c r="L46" s="594"/>
      <c r="O46" s="489"/>
    </row>
    <row r="47" spans="1:15" s="67" customFormat="1" ht="15" x14ac:dyDescent="0.25">
      <c r="A47" s="594"/>
      <c r="B47" s="487"/>
      <c r="C47" s="594"/>
      <c r="D47" s="594"/>
      <c r="E47" s="594"/>
      <c r="F47" s="594"/>
      <c r="G47" s="594"/>
      <c r="H47" s="594"/>
      <c r="I47" s="594"/>
      <c r="J47" s="594"/>
      <c r="K47" s="594"/>
      <c r="L47" s="594"/>
      <c r="O47" s="489"/>
    </row>
    <row r="48" spans="1:15" s="67" customFormat="1" ht="13.5" customHeight="1" x14ac:dyDescent="0.25">
      <c r="A48" s="477"/>
      <c r="B48" s="487"/>
      <c r="C48" s="477"/>
      <c r="D48" s="477"/>
      <c r="E48" s="477"/>
      <c r="F48" s="477"/>
      <c r="G48" s="477"/>
      <c r="H48" s="477"/>
      <c r="I48" s="477"/>
      <c r="J48" s="477"/>
      <c r="K48" s="477"/>
      <c r="L48" s="477"/>
      <c r="O48" s="489"/>
    </row>
    <row r="49" spans="1:15" s="67" customFormat="1" ht="15" x14ac:dyDescent="0.25">
      <c r="A49" s="477"/>
      <c r="B49" s="487"/>
      <c r="C49" s="477"/>
      <c r="D49" s="477"/>
      <c r="E49" s="477"/>
      <c r="F49" s="477"/>
      <c r="G49" s="477"/>
      <c r="H49" s="477"/>
      <c r="I49" s="477"/>
      <c r="J49" s="477"/>
      <c r="K49" s="477"/>
      <c r="L49" s="477"/>
      <c r="O49" s="489"/>
    </row>
    <row r="50" spans="1:15" s="67" customFormat="1" ht="15" x14ac:dyDescent="0.25">
      <c r="A50" s="477"/>
      <c r="B50" s="487"/>
      <c r="C50" s="477"/>
      <c r="D50" s="477"/>
      <c r="E50" s="477"/>
      <c r="F50" s="477"/>
      <c r="G50" s="477"/>
      <c r="H50" s="477"/>
      <c r="I50" s="477"/>
      <c r="J50" s="477"/>
      <c r="K50" s="477"/>
      <c r="L50" s="477"/>
      <c r="O50" s="489"/>
    </row>
    <row r="51" spans="1:15" s="67" customFormat="1" ht="15" x14ac:dyDescent="0.25">
      <c r="A51" s="477"/>
      <c r="B51" s="487"/>
      <c r="C51" s="477"/>
      <c r="D51" s="477"/>
      <c r="E51" s="477"/>
      <c r="F51" s="477"/>
      <c r="G51" s="477"/>
      <c r="H51" s="477"/>
      <c r="I51" s="477"/>
      <c r="J51" s="477"/>
      <c r="K51" s="477"/>
      <c r="L51" s="477"/>
      <c r="O51" s="489"/>
    </row>
    <row r="52" spans="1:15" s="67" customFormat="1" ht="54.75" customHeight="1" x14ac:dyDescent="0.25">
      <c r="A52" s="477"/>
      <c r="B52" s="487"/>
      <c r="C52" s="477"/>
      <c r="D52" s="477"/>
      <c r="E52" s="810" t="s">
        <v>1015</v>
      </c>
      <c r="F52" s="810"/>
      <c r="G52" s="810"/>
      <c r="H52" s="810"/>
      <c r="I52" s="810"/>
      <c r="J52" s="810"/>
      <c r="K52" s="810"/>
      <c r="L52" s="477"/>
      <c r="O52" s="489"/>
    </row>
    <row r="53" spans="1:15" ht="15" x14ac:dyDescent="0.25">
      <c r="A53" s="2"/>
      <c r="B53" s="487"/>
      <c r="C53" s="2"/>
      <c r="D53" s="2"/>
      <c r="E53" s="2"/>
      <c r="F53" s="2"/>
      <c r="G53" s="2"/>
      <c r="H53" s="2"/>
      <c r="I53" s="2"/>
      <c r="J53" s="2"/>
      <c r="K53" s="2"/>
      <c r="L53" s="2"/>
      <c r="O53" s="489"/>
    </row>
    <row r="54" spans="1:15" ht="15" x14ac:dyDescent="0.25">
      <c r="A54" s="2"/>
      <c r="B54" s="487"/>
      <c r="C54" s="2"/>
      <c r="D54" s="803" t="str">
        <f>INDEX(Locations, selection)</f>
        <v>Angmering</v>
      </c>
      <c r="E54" s="804"/>
      <c r="F54" s="804"/>
      <c r="G54" s="805"/>
      <c r="H54" s="806" t="str">
        <f>INDEX(Locations, selection2)</f>
        <v>Bewbush</v>
      </c>
      <c r="I54" s="807"/>
      <c r="J54" s="807"/>
      <c r="K54" s="808"/>
      <c r="O54" s="489"/>
    </row>
    <row r="55" spans="1:15" ht="15" x14ac:dyDescent="0.25">
      <c r="A55" s="2"/>
      <c r="B55" s="487"/>
      <c r="C55" s="2"/>
      <c r="D55" s="28" t="s">
        <v>265</v>
      </c>
      <c r="E55" s="31" t="s">
        <v>279</v>
      </c>
      <c r="F55" s="29" t="s">
        <v>278</v>
      </c>
      <c r="G55" s="32" t="s">
        <v>138</v>
      </c>
      <c r="H55" s="30" t="s">
        <v>265</v>
      </c>
      <c r="I55" s="33" t="s">
        <v>279</v>
      </c>
      <c r="J55" s="33" t="s">
        <v>278</v>
      </c>
      <c r="K55" s="34" t="s">
        <v>138</v>
      </c>
      <c r="O55" s="489"/>
    </row>
    <row r="56" spans="1:15" ht="26.25" customHeight="1" x14ac:dyDescent="0.25">
      <c r="A56" s="2"/>
      <c r="B56" s="487"/>
      <c r="C56" s="2"/>
      <c r="D56" s="791" t="str">
        <f>IF(VLOOKUP($D$54,Geographies, 8,FALSE)="","",VLOOKUP($D$54,Geographies,8,FALSE))</f>
        <v>Arun East</v>
      </c>
      <c r="E56" s="794" t="str">
        <f>IF(VLOOKUP($D$54,Geographies,13,FALSE)="","",VLOOKUP($D$54,Geographies,13,FALSE))</f>
        <v>Angmering and Findon, Arundel and Walberton, Brookfield, Rustington East, Rustington West</v>
      </c>
      <c r="F56" s="797" t="str">
        <f>IF(VLOOKUP($D$54,Geographies,9,FALSE)="","",VLOOKUP($D$54,Geographies,9,FALSE))</f>
        <v>Arun</v>
      </c>
      <c r="G56" s="800" t="str">
        <f>IF(VLOOKUP($D$54,Geographies,10,FALSE)="", "", VLOOKUP($D$54,Geographies,10,FALSE))</f>
        <v>NHS Coastal West Sussex CCG</v>
      </c>
      <c r="H56" s="800" t="str">
        <f>IF(VLOOKUP($H$54,Geographies,8,FALSE)="","",VLOOKUP($H$54,Geographies,8,FALSE))</f>
        <v>Crawley</v>
      </c>
      <c r="I56" s="794" t="str">
        <f>IF(VLOOKUP($H$54,Geographies,13,FALSE)="","",VLOOKUP($H$54, Geographies,13,FALSE))</f>
        <v>Bewbush, Gossops Green</v>
      </c>
      <c r="J56" s="800" t="str">
        <f xml:space="preserve"> IF(VLOOKUP($H$54,Geographies,9,FALSE)="","",VLOOKUP($H$54,Geographies,9,FALSE))</f>
        <v>Crawley</v>
      </c>
      <c r="K56" s="800" t="str">
        <f>IF(VLOOKUP($H$54,Geographies,10,FALSE)="", "", VLOOKUP($H$54,Geographies,10,FALSE))</f>
        <v>NHS Crawley CCG</v>
      </c>
      <c r="O56" s="489"/>
    </row>
    <row r="57" spans="1:15" ht="26.25" customHeight="1" x14ac:dyDescent="0.25">
      <c r="A57" s="2"/>
      <c r="B57" s="487"/>
      <c r="C57" s="2"/>
      <c r="D57" s="792"/>
      <c r="E57" s="795"/>
      <c r="F57" s="798"/>
      <c r="G57" s="801"/>
      <c r="H57" s="801"/>
      <c r="I57" s="795"/>
      <c r="J57" s="801"/>
      <c r="K57" s="801"/>
      <c r="O57" s="489"/>
    </row>
    <row r="58" spans="1:15" ht="26.25" customHeight="1" x14ac:dyDescent="0.25">
      <c r="A58" s="2"/>
      <c r="B58" s="487"/>
      <c r="C58" s="2"/>
      <c r="D58" s="792"/>
      <c r="E58" s="795"/>
      <c r="F58" s="798"/>
      <c r="G58" s="801"/>
      <c r="H58" s="801"/>
      <c r="I58" s="795"/>
      <c r="J58" s="801"/>
      <c r="K58" s="801"/>
      <c r="O58" s="489"/>
    </row>
    <row r="59" spans="1:15" ht="26.25" customHeight="1" x14ac:dyDescent="0.25">
      <c r="A59" s="2"/>
      <c r="B59" s="487"/>
      <c r="C59" s="2"/>
      <c r="D59" s="793"/>
      <c r="E59" s="796"/>
      <c r="F59" s="799"/>
      <c r="G59" s="802"/>
      <c r="H59" s="802"/>
      <c r="I59" s="796"/>
      <c r="J59" s="802"/>
      <c r="K59" s="802"/>
      <c r="O59" s="489"/>
    </row>
    <row r="60" spans="1:15" ht="15" x14ac:dyDescent="0.25">
      <c r="A60" s="2"/>
      <c r="B60" s="487"/>
      <c r="C60" s="2"/>
      <c r="D60" s="2"/>
      <c r="E60" s="2"/>
      <c r="F60" s="2"/>
      <c r="G60" s="2"/>
      <c r="H60" s="2"/>
      <c r="I60" s="2"/>
      <c r="J60" s="2"/>
      <c r="K60" s="2"/>
      <c r="L60" s="2"/>
      <c r="O60" s="489"/>
    </row>
    <row r="61" spans="1:15" ht="15" customHeight="1" x14ac:dyDescent="0.25">
      <c r="A61" s="2"/>
      <c r="B61" s="487"/>
      <c r="C61" s="2"/>
      <c r="D61" s="284" t="s">
        <v>289</v>
      </c>
      <c r="E61" s="95"/>
      <c r="F61" s="809" t="str">
        <f>IF(VLOOKUP($D$54, Geographies,11, FALSE) = "", "", VLOOKUP($D$54, Geographies, 11, FALSE))</f>
        <v>Angmering, Littlehampton</v>
      </c>
      <c r="G61" s="809"/>
      <c r="H61" s="284" t="s">
        <v>289</v>
      </c>
      <c r="I61" s="95"/>
      <c r="J61" s="809" t="str">
        <f>IF(VLOOKUP($H$54, Geographies,11, FALSE) = "", "", VLOOKUP($H$54, Geographies, 11, FALSE))</f>
        <v>Crawley NW</v>
      </c>
      <c r="K61" s="809"/>
      <c r="L61" s="809"/>
      <c r="O61" s="489"/>
    </row>
    <row r="62" spans="1:15" ht="15" x14ac:dyDescent="0.25">
      <c r="A62" s="2"/>
      <c r="B62" s="487"/>
      <c r="C62" s="2"/>
      <c r="D62" s="26" t="s">
        <v>288</v>
      </c>
      <c r="E62" s="2"/>
      <c r="F62" s="2" t="str">
        <f>IF(VLOOKUP($D$54, Geographies,12, FALSE) = "", "", VLOOKUP($D$54, Geographies, 12, FALSE))</f>
        <v>B</v>
      </c>
      <c r="G62" s="2"/>
      <c r="H62" s="26" t="s">
        <v>288</v>
      </c>
      <c r="I62" s="2"/>
      <c r="J62" s="2" t="str">
        <f>IF(VLOOKUP($H$54, Geographies,12, FALSE) = "", "", VLOOKUP($H$54, Geographies, 12, FALSE))</f>
        <v>C1</v>
      </c>
      <c r="K62" s="2"/>
      <c r="L62" s="2"/>
      <c r="O62" s="489"/>
    </row>
    <row r="63" spans="1:15" ht="15" x14ac:dyDescent="0.25">
      <c r="A63" s="2"/>
      <c r="B63" s="487"/>
      <c r="C63" s="2"/>
      <c r="D63" s="26" t="s">
        <v>290</v>
      </c>
      <c r="E63" s="2"/>
      <c r="F63" s="2" t="str">
        <f>IF(VLOOKUP($D$54, Geographies,14, FALSE) = "", "", VLOOKUP($D$54, Geographies, 14, FALSE))</f>
        <v>Arundel and Southdowns</v>
      </c>
      <c r="G63" s="2"/>
      <c r="H63" s="26" t="s">
        <v>290</v>
      </c>
      <c r="I63" s="2"/>
      <c r="J63" s="2" t="str">
        <f>IF(VLOOKUP($H$54, Geographies,14, FALSE) = "", "", VLOOKUP($H$54, Geographies, 14, FALSE))</f>
        <v>Crawley</v>
      </c>
      <c r="K63" s="2"/>
      <c r="L63" s="2"/>
      <c r="O63" s="489"/>
    </row>
    <row r="64" spans="1:15" ht="15" x14ac:dyDescent="0.25">
      <c r="A64" s="2"/>
      <c r="B64" s="487"/>
      <c r="C64" s="2"/>
      <c r="D64" s="2"/>
      <c r="E64" s="2"/>
      <c r="F64" s="2"/>
      <c r="G64" s="2"/>
      <c r="H64" s="2"/>
      <c r="I64" s="2"/>
      <c r="J64" s="2"/>
      <c r="K64" s="2"/>
      <c r="L64" s="2"/>
      <c r="O64" s="489"/>
    </row>
    <row r="65" spans="1:15" ht="15" x14ac:dyDescent="0.25">
      <c r="A65" s="2"/>
      <c r="B65" s="487"/>
      <c r="C65" s="487"/>
      <c r="D65" s="487"/>
      <c r="E65" s="487"/>
      <c r="F65" s="487"/>
      <c r="G65" s="487"/>
      <c r="H65" s="487"/>
      <c r="I65" s="487"/>
      <c r="J65" s="487"/>
      <c r="K65" s="487"/>
      <c r="L65" s="487"/>
      <c r="M65" s="489"/>
      <c r="N65" s="489"/>
      <c r="O65" s="489"/>
    </row>
    <row r="66" spans="1:15" ht="15" x14ac:dyDescent="0.25">
      <c r="A66" s="2"/>
      <c r="B66" s="487"/>
      <c r="C66" s="487"/>
      <c r="D66" s="487"/>
      <c r="E66" s="487"/>
      <c r="F66" s="487"/>
      <c r="G66" s="487"/>
      <c r="H66" s="487"/>
      <c r="I66" s="487"/>
      <c r="J66" s="487"/>
      <c r="K66" s="487"/>
      <c r="L66" s="487"/>
      <c r="M66" s="489"/>
      <c r="N66" s="489"/>
      <c r="O66" s="489"/>
    </row>
    <row r="67" spans="1:15" ht="15" x14ac:dyDescent="0.25">
      <c r="A67" s="2"/>
      <c r="B67" s="487"/>
      <c r="C67" s="487"/>
      <c r="D67" s="487"/>
      <c r="E67" s="487"/>
      <c r="F67" s="487"/>
      <c r="G67" s="487"/>
      <c r="H67" s="487"/>
      <c r="I67" s="487"/>
      <c r="J67" s="487"/>
      <c r="K67" s="487"/>
      <c r="L67" s="487"/>
      <c r="M67" s="489"/>
      <c r="N67" s="489"/>
      <c r="O67" s="489"/>
    </row>
    <row r="68" spans="1:15" ht="15" x14ac:dyDescent="0.25">
      <c r="A68" s="2"/>
      <c r="B68" s="487"/>
      <c r="C68" s="487"/>
      <c r="D68" s="487"/>
      <c r="E68" s="487"/>
      <c r="F68" s="487"/>
      <c r="G68" s="487"/>
      <c r="H68" s="487"/>
      <c r="I68" s="487"/>
      <c r="J68" s="487"/>
      <c r="K68" s="487"/>
      <c r="L68" s="487"/>
      <c r="M68" s="489"/>
      <c r="N68" s="489"/>
      <c r="O68" s="489"/>
    </row>
    <row r="69" spans="1:15" ht="15" x14ac:dyDescent="0.25">
      <c r="A69" s="2"/>
      <c r="B69" s="487"/>
      <c r="C69" s="487"/>
      <c r="D69" s="487"/>
      <c r="E69" s="487"/>
      <c r="F69" s="487"/>
      <c r="G69" s="487"/>
      <c r="H69" s="487"/>
      <c r="I69" s="487"/>
      <c r="J69" s="487"/>
      <c r="K69" s="487"/>
      <c r="L69" s="487"/>
      <c r="M69" s="489"/>
      <c r="N69" s="489"/>
      <c r="O69" s="489"/>
    </row>
    <row r="70" spans="1:15" ht="15" x14ac:dyDescent="0.25">
      <c r="A70" s="2"/>
      <c r="B70" s="487"/>
      <c r="C70" s="2"/>
      <c r="D70" s="2"/>
      <c r="E70" s="790"/>
      <c r="F70" s="790"/>
      <c r="G70" s="790"/>
      <c r="H70" s="790"/>
      <c r="I70" s="2"/>
      <c r="J70" s="2"/>
      <c r="K70" s="2"/>
      <c r="L70" s="2"/>
      <c r="O70" s="489"/>
    </row>
    <row r="71" spans="1:15" ht="29.25" customHeight="1" x14ac:dyDescent="0.25">
      <c r="A71" s="2"/>
      <c r="B71" s="487"/>
      <c r="C71" s="2"/>
      <c r="D71" s="788" t="s">
        <v>1017</v>
      </c>
      <c r="E71" s="789"/>
      <c r="F71" s="54" t="str">
        <f>INDEX(Locations, selection)</f>
        <v>Angmering</v>
      </c>
      <c r="G71" s="55" t="str">
        <f>INDEX(Locations, selection2)</f>
        <v>Bewbush</v>
      </c>
      <c r="H71" s="84" t="s">
        <v>291</v>
      </c>
      <c r="I71" s="57" t="s">
        <v>292</v>
      </c>
      <c r="J71" s="56" t="s">
        <v>293</v>
      </c>
      <c r="K71" s="10"/>
      <c r="L71" s="2"/>
      <c r="O71" s="489"/>
    </row>
    <row r="72" spans="1:15" ht="15" x14ac:dyDescent="0.25">
      <c r="A72" s="2"/>
      <c r="B72" s="487"/>
      <c r="C72" s="2"/>
      <c r="D72" s="786" t="s">
        <v>992</v>
      </c>
      <c r="E72" s="787"/>
      <c r="F72" s="43">
        <f>IF(HLOOKUP(D72, Population,selection+1, FALSE)="", "",HLOOKUP(D72, Population, selection+1,FALSE))</f>
        <v>18450</v>
      </c>
      <c r="G72" s="43">
        <f>IF(HLOOKUP(D72, Population,selection2+1, FALSE) = "", "",HLOOKUP(D72, Population,selection2+1,FALSE))</f>
        <v>14868</v>
      </c>
      <c r="H72" s="44">
        <f>Data!AD76</f>
        <v>836255</v>
      </c>
      <c r="I72" s="45">
        <f>Data!AD77</f>
        <v>8947915</v>
      </c>
      <c r="J72" s="44">
        <f>Data!AD78</f>
        <v>54786325</v>
      </c>
      <c r="K72" s="10"/>
      <c r="L72" s="2"/>
      <c r="O72" s="489"/>
    </row>
    <row r="73" spans="1:15" ht="15" x14ac:dyDescent="0.25">
      <c r="A73" s="2"/>
      <c r="B73" s="487"/>
      <c r="C73" s="2"/>
      <c r="D73" s="786" t="s">
        <v>993</v>
      </c>
      <c r="E73" s="787"/>
      <c r="F73" s="43">
        <f>IF(HLOOKUP(D73,UnderFive,selection+1,FALSE)="","",HLOOKUP(D73,UnderFive,selection+1,FALSE))</f>
        <v>1001</v>
      </c>
      <c r="G73" s="43">
        <f>IF(HLOOKUP(D73,UnderFive,selection2+1,FALSE)="","",HLOOKUP(D73,UnderFive,selection2+1,FALSE))</f>
        <v>1186</v>
      </c>
      <c r="H73" s="44">
        <f>Data!AO76</f>
        <v>47919</v>
      </c>
      <c r="I73" s="45">
        <f>Data!AO77</f>
        <v>546369</v>
      </c>
      <c r="J73" s="44">
        <f>Data!AO78</f>
        <v>3434680</v>
      </c>
      <c r="K73" s="35"/>
      <c r="L73" s="2"/>
      <c r="O73" s="489"/>
    </row>
    <row r="74" spans="1:15" ht="15" x14ac:dyDescent="0.25">
      <c r="A74" s="2"/>
      <c r="B74" s="487"/>
      <c r="C74" s="2"/>
      <c r="D74" s="2"/>
      <c r="E74" s="2"/>
      <c r="F74" s="2"/>
      <c r="G74" s="2"/>
      <c r="H74" s="2"/>
      <c r="I74" s="2"/>
      <c r="J74" s="2"/>
      <c r="K74" s="2"/>
      <c r="L74" s="2"/>
      <c r="O74" s="489"/>
    </row>
    <row r="75" spans="1:15" ht="15" x14ac:dyDescent="0.25">
      <c r="B75" s="489"/>
      <c r="C75" s="2"/>
      <c r="D75" s="2"/>
      <c r="E75" s="2"/>
      <c r="F75" s="2"/>
      <c r="G75" s="2"/>
      <c r="H75" s="2"/>
      <c r="I75" s="2"/>
      <c r="J75" s="2"/>
      <c r="K75" s="2"/>
      <c r="L75" s="2"/>
      <c r="M75" s="2"/>
      <c r="N75" s="2"/>
      <c r="O75" s="489"/>
    </row>
    <row r="76" spans="1:15" ht="15" customHeight="1" x14ac:dyDescent="0.25">
      <c r="B76" s="489"/>
      <c r="C76" s="26"/>
      <c r="H76" s="2"/>
      <c r="I76" s="2"/>
      <c r="J76" s="2"/>
      <c r="K76" s="2"/>
      <c r="L76" s="2"/>
      <c r="M76" s="2"/>
      <c r="N76" s="2"/>
      <c r="O76" s="489"/>
    </row>
    <row r="77" spans="1:15" ht="36" customHeight="1" x14ac:dyDescent="0.25">
      <c r="B77" s="489"/>
      <c r="C77" s="2"/>
      <c r="D77" s="782" t="s">
        <v>304</v>
      </c>
      <c r="E77" s="783"/>
      <c r="F77" s="762" t="str">
        <f>INDEX(Locations, selection)</f>
        <v>Angmering</v>
      </c>
      <c r="G77" s="751" t="str">
        <f>INDEX(Locations, selection2)</f>
        <v>Bewbush</v>
      </c>
      <c r="H77" s="2"/>
      <c r="I77" s="2"/>
      <c r="J77" s="2"/>
      <c r="K77" s="2"/>
      <c r="L77" s="2"/>
      <c r="M77" s="2"/>
      <c r="N77" s="2"/>
      <c r="O77" s="489"/>
    </row>
    <row r="78" spans="1:15" ht="15" x14ac:dyDescent="0.25">
      <c r="B78" s="489"/>
      <c r="C78" s="2"/>
      <c r="D78" s="784"/>
      <c r="E78" s="785"/>
      <c r="F78" s="763"/>
      <c r="G78" s="752"/>
      <c r="H78" s="2"/>
      <c r="I78" s="2"/>
      <c r="J78" s="2"/>
      <c r="K78" s="2"/>
      <c r="L78" s="2"/>
      <c r="M78" s="2"/>
      <c r="N78" s="2"/>
      <c r="O78" s="489"/>
    </row>
    <row r="79" spans="1:15" ht="15" x14ac:dyDescent="0.25">
      <c r="B79" s="489"/>
      <c r="C79" s="2"/>
      <c r="D79" s="46" t="s">
        <v>294</v>
      </c>
      <c r="E79" s="47"/>
      <c r="F79" s="43">
        <f t="shared" ref="F79:F87" si="0">IF(HLOOKUP(D79, UnderFive,selection+1, FALSE)="", "",HLOOKUP(D79, UnderFive, selection+1,FALSE))</f>
        <v>1025</v>
      </c>
      <c r="G79" s="43">
        <f t="shared" ref="G79:G87" si="1">IF(HLOOKUP(D79, UnderFive,selection2+1, FALSE)="", "",HLOOKUP(D79, UnderFive, selection2+1,FALSE))</f>
        <v>950</v>
      </c>
      <c r="H79" s="2"/>
      <c r="I79" s="2"/>
      <c r="J79" s="2"/>
      <c r="K79" s="2"/>
      <c r="L79" s="2"/>
      <c r="M79" s="2"/>
      <c r="N79" s="2"/>
      <c r="O79" s="489"/>
    </row>
    <row r="80" spans="1:15" ht="15" x14ac:dyDescent="0.25">
      <c r="B80" s="489"/>
      <c r="C80" s="2"/>
      <c r="D80" s="46" t="s">
        <v>295</v>
      </c>
      <c r="E80" s="47"/>
      <c r="F80" s="43">
        <f t="shared" si="0"/>
        <v>1040</v>
      </c>
      <c r="G80" s="43">
        <f t="shared" si="1"/>
        <v>930</v>
      </c>
      <c r="H80" s="2"/>
      <c r="I80" s="2"/>
      <c r="J80" s="2"/>
      <c r="K80" s="2"/>
      <c r="L80" s="2"/>
      <c r="M80" s="2"/>
      <c r="N80" s="2"/>
      <c r="O80" s="489"/>
    </row>
    <row r="81" spans="2:15" ht="15" x14ac:dyDescent="0.25">
      <c r="B81" s="489"/>
      <c r="C81" s="2"/>
      <c r="D81" s="46" t="s">
        <v>296</v>
      </c>
      <c r="E81" s="47"/>
      <c r="F81" s="43">
        <f t="shared" si="0"/>
        <v>1025</v>
      </c>
      <c r="G81" s="43">
        <f t="shared" si="1"/>
        <v>935</v>
      </c>
      <c r="H81" s="2"/>
      <c r="I81" s="2"/>
      <c r="J81" s="2"/>
      <c r="K81" s="2"/>
      <c r="L81" s="2"/>
      <c r="M81" s="2"/>
      <c r="N81" s="2"/>
      <c r="O81" s="489"/>
    </row>
    <row r="82" spans="2:15" ht="15" x14ac:dyDescent="0.25">
      <c r="B82" s="489"/>
      <c r="C82" s="2"/>
      <c r="D82" s="46" t="s">
        <v>297</v>
      </c>
      <c r="E82" s="47"/>
      <c r="F82" s="43">
        <f t="shared" si="0"/>
        <v>1030</v>
      </c>
      <c r="G82" s="43">
        <f t="shared" si="1"/>
        <v>950</v>
      </c>
      <c r="H82" s="2"/>
      <c r="I82" s="2"/>
      <c r="J82" s="2"/>
      <c r="K82" s="2"/>
      <c r="L82" s="2"/>
      <c r="M82" s="2"/>
      <c r="N82" s="2"/>
      <c r="O82" s="489"/>
    </row>
    <row r="83" spans="2:15" ht="15" x14ac:dyDescent="0.25">
      <c r="B83" s="489"/>
      <c r="C83" s="2"/>
      <c r="D83" s="46" t="s">
        <v>298</v>
      </c>
      <c r="E83" s="47"/>
      <c r="F83" s="43">
        <f t="shared" si="0"/>
        <v>1005</v>
      </c>
      <c r="G83" s="43">
        <f t="shared" si="1"/>
        <v>975</v>
      </c>
      <c r="H83" s="2"/>
      <c r="I83" s="2"/>
      <c r="J83" s="2"/>
      <c r="K83" s="2"/>
      <c r="L83" s="2"/>
      <c r="M83" s="2"/>
      <c r="N83" s="2"/>
      <c r="O83" s="489"/>
    </row>
    <row r="84" spans="2:15" ht="15" x14ac:dyDescent="0.25">
      <c r="B84" s="489"/>
      <c r="C84" s="2"/>
      <c r="D84" s="46" t="s">
        <v>299</v>
      </c>
      <c r="E84" s="47"/>
      <c r="F84" s="43">
        <f t="shared" si="0"/>
        <v>1010</v>
      </c>
      <c r="G84" s="43">
        <f t="shared" si="1"/>
        <v>1040</v>
      </c>
      <c r="H84" s="2"/>
      <c r="I84" s="2"/>
      <c r="J84" s="2"/>
      <c r="K84" s="2"/>
      <c r="L84" s="2"/>
      <c r="M84" s="2"/>
      <c r="N84" s="2"/>
      <c r="O84" s="489"/>
    </row>
    <row r="85" spans="2:15" ht="15" x14ac:dyDescent="0.25">
      <c r="B85" s="489"/>
      <c r="C85" s="2"/>
      <c r="D85" s="46" t="s">
        <v>300</v>
      </c>
      <c r="E85" s="47"/>
      <c r="F85" s="43">
        <f t="shared" si="0"/>
        <v>990</v>
      </c>
      <c r="G85" s="43">
        <f t="shared" si="1"/>
        <v>1085</v>
      </c>
      <c r="H85" s="2"/>
      <c r="I85" s="2"/>
      <c r="J85" s="2"/>
      <c r="K85" s="2"/>
      <c r="L85" s="2"/>
      <c r="M85" s="2"/>
      <c r="N85" s="2"/>
      <c r="O85" s="489"/>
    </row>
    <row r="86" spans="2:15" ht="15" x14ac:dyDescent="0.25">
      <c r="B86" s="489"/>
      <c r="C86" s="2"/>
      <c r="D86" s="46" t="s">
        <v>301</v>
      </c>
      <c r="E86" s="47"/>
      <c r="F86" s="43">
        <f t="shared" si="0"/>
        <v>1020</v>
      </c>
      <c r="G86" s="43">
        <f t="shared" si="1"/>
        <v>1120</v>
      </c>
      <c r="H86" s="2"/>
      <c r="I86" s="2"/>
      <c r="J86" s="2"/>
      <c r="K86" s="2"/>
      <c r="L86" s="2"/>
      <c r="M86" s="2"/>
      <c r="N86" s="2"/>
      <c r="O86" s="489"/>
    </row>
    <row r="87" spans="2:15" ht="15" x14ac:dyDescent="0.25">
      <c r="B87" s="489"/>
      <c r="C87" s="2"/>
      <c r="D87" s="46" t="s">
        <v>302</v>
      </c>
      <c r="E87" s="47"/>
      <c r="F87" s="43">
        <f t="shared" si="0"/>
        <v>1020</v>
      </c>
      <c r="G87" s="43">
        <f t="shared" si="1"/>
        <v>1145</v>
      </c>
      <c r="H87" s="2"/>
      <c r="I87" s="2"/>
      <c r="J87" s="2"/>
      <c r="K87" s="2"/>
      <c r="L87" s="2"/>
      <c r="M87" s="2"/>
      <c r="N87" s="2"/>
      <c r="O87" s="489"/>
    </row>
    <row r="88" spans="2:15" ht="15" x14ac:dyDescent="0.25">
      <c r="B88" s="489"/>
      <c r="C88" s="2"/>
      <c r="D88" s="46" t="s">
        <v>303</v>
      </c>
      <c r="E88" s="47"/>
      <c r="F88" s="44">
        <f>IF(HLOOKUP(D88, UnderFive,selection+1, FALSE)=0, "n/a",HLOOKUP(D88, UnderFive, selection+1,FALSE))</f>
        <v>1041</v>
      </c>
      <c r="G88" s="44">
        <f>IF(HLOOKUP(D88, UnderFive,selection2+1, FALSE)=0, "n/a",HLOOKUP(D88, UnderFive, selection2+1,FALSE))</f>
        <v>1159</v>
      </c>
      <c r="H88" s="2"/>
      <c r="I88" s="2"/>
      <c r="J88" s="2"/>
      <c r="K88" s="2"/>
      <c r="L88" s="2"/>
      <c r="M88" s="2"/>
      <c r="N88" s="2"/>
      <c r="O88" s="489"/>
    </row>
    <row r="89" spans="2:15" s="67" customFormat="1" ht="15" x14ac:dyDescent="0.25">
      <c r="B89" s="489"/>
      <c r="C89" s="485"/>
      <c r="D89" s="483" t="s">
        <v>1016</v>
      </c>
      <c r="E89" s="484"/>
      <c r="F89" s="478">
        <f>IF(HLOOKUP(D89, UnderFive,selection+1, FALSE)=0, "n/a",HLOOKUP(D89, UnderFive, selection+1,FALSE))</f>
        <v>1001</v>
      </c>
      <c r="G89" s="478">
        <f>IF(HLOOKUP(D89, UnderFive,selection2+1, FALSE)=0, "n/a",HLOOKUP(D89, UnderFive, selection2+1,FALSE))</f>
        <v>1186</v>
      </c>
      <c r="H89" s="485"/>
      <c r="I89" s="485"/>
      <c r="J89" s="485"/>
      <c r="K89" s="485"/>
      <c r="L89" s="485"/>
      <c r="M89" s="485"/>
      <c r="N89" s="485"/>
      <c r="O89" s="489"/>
    </row>
    <row r="90" spans="2:15" ht="15" x14ac:dyDescent="0.25">
      <c r="B90" s="489"/>
      <c r="C90" s="2"/>
      <c r="D90" s="2"/>
      <c r="E90" s="2"/>
      <c r="F90" s="2"/>
      <c r="G90" s="2"/>
      <c r="H90" s="2"/>
      <c r="I90" s="2"/>
      <c r="J90" s="2"/>
      <c r="K90" s="2"/>
      <c r="L90" s="2"/>
      <c r="M90" s="2"/>
      <c r="N90" s="2"/>
      <c r="O90" s="489"/>
    </row>
    <row r="91" spans="2:15" x14ac:dyDescent="0.2">
      <c r="B91" s="489"/>
      <c r="C91" s="489"/>
      <c r="D91" s="489"/>
      <c r="E91" s="489"/>
      <c r="F91" s="489"/>
      <c r="G91" s="489"/>
      <c r="H91" s="489"/>
      <c r="I91" s="489"/>
      <c r="J91" s="489"/>
      <c r="K91" s="489"/>
      <c r="L91" s="489"/>
      <c r="M91" s="489"/>
      <c r="N91" s="489"/>
      <c r="O91" s="489"/>
    </row>
    <row r="92" spans="2:15" x14ac:dyDescent="0.2">
      <c r="B92" s="489"/>
      <c r="C92" s="489"/>
      <c r="D92" s="489"/>
      <c r="E92" s="489"/>
      <c r="F92" s="489"/>
      <c r="G92" s="489"/>
      <c r="H92" s="489"/>
      <c r="I92" s="489"/>
      <c r="J92" s="489"/>
      <c r="K92" s="489"/>
      <c r="L92" s="489"/>
      <c r="M92" s="489"/>
      <c r="N92" s="489"/>
      <c r="O92" s="489"/>
    </row>
    <row r="93" spans="2:15" x14ac:dyDescent="0.2">
      <c r="B93" s="489"/>
      <c r="C93" s="489"/>
      <c r="D93" s="489"/>
      <c r="E93" s="489"/>
      <c r="F93" s="489"/>
      <c r="G93" s="489"/>
      <c r="H93" s="489"/>
      <c r="I93" s="489"/>
      <c r="J93" s="489"/>
      <c r="K93" s="489"/>
      <c r="L93" s="489"/>
      <c r="M93" s="489"/>
      <c r="N93" s="489"/>
      <c r="O93" s="489"/>
    </row>
    <row r="94" spans="2:15" x14ac:dyDescent="0.2">
      <c r="B94" s="489"/>
      <c r="C94" s="489"/>
      <c r="D94" s="489"/>
      <c r="E94" s="489"/>
      <c r="F94" s="489"/>
      <c r="G94" s="489"/>
      <c r="H94" s="489"/>
      <c r="I94" s="489"/>
      <c r="J94" s="489"/>
      <c r="K94" s="489"/>
      <c r="L94" s="489"/>
      <c r="M94" s="489"/>
      <c r="N94" s="489"/>
      <c r="O94" s="489"/>
    </row>
    <row r="95" spans="2:15" x14ac:dyDescent="0.2">
      <c r="B95" s="489"/>
      <c r="C95" s="489"/>
      <c r="D95" s="489"/>
      <c r="E95" s="489"/>
      <c r="F95" s="489"/>
      <c r="G95" s="489"/>
      <c r="H95" s="489"/>
      <c r="I95" s="489"/>
      <c r="J95" s="489"/>
      <c r="K95" s="489"/>
      <c r="L95" s="489"/>
      <c r="M95" s="489"/>
      <c r="N95" s="489"/>
      <c r="O95" s="489"/>
    </row>
    <row r="96" spans="2:15" x14ac:dyDescent="0.2">
      <c r="B96" s="489"/>
      <c r="O96" s="489"/>
    </row>
    <row r="97" spans="2:15" x14ac:dyDescent="0.2">
      <c r="B97" s="489"/>
      <c r="D97" s="756" t="s">
        <v>305</v>
      </c>
      <c r="E97" s="758"/>
      <c r="F97" s="762" t="str">
        <f>INDEX(Locations, selection)</f>
        <v>Angmering</v>
      </c>
      <c r="G97" s="779" t="str">
        <f>INDEX(Locations, selection2)</f>
        <v>Bewbush</v>
      </c>
      <c r="H97" s="753" t="s">
        <v>291</v>
      </c>
      <c r="O97" s="489"/>
    </row>
    <row r="98" spans="2:15" x14ac:dyDescent="0.2">
      <c r="B98" s="489"/>
      <c r="D98" s="780"/>
      <c r="E98" s="781"/>
      <c r="F98" s="778"/>
      <c r="G98" s="779"/>
      <c r="H98" s="776"/>
      <c r="O98" s="489"/>
    </row>
    <row r="99" spans="2:15" ht="15" customHeight="1" x14ac:dyDescent="0.2">
      <c r="B99" s="489"/>
      <c r="D99" s="759"/>
      <c r="E99" s="761"/>
      <c r="F99" s="763"/>
      <c r="G99" s="779"/>
      <c r="H99" s="754"/>
      <c r="O99" s="489"/>
    </row>
    <row r="100" spans="2:15" ht="15" x14ac:dyDescent="0.25">
      <c r="B100" s="489"/>
      <c r="D100" s="764" t="s">
        <v>306</v>
      </c>
      <c r="E100" s="764"/>
      <c r="F100" s="48">
        <f t="shared" ref="F100:F106" si="2">IF(HLOOKUP(D100, Ethnicity,selection+1, FALSE)="", "",HLOOKUP(D100, Ethnicity, selection+1,FALSE))</f>
        <v>0.92871690427698572</v>
      </c>
      <c r="G100" s="48">
        <f t="shared" ref="G100:G106" si="3">IF(HLOOKUP(D100, Ethnicity,selection2+1, FALSE)="", "",HLOOKUP(D100, Ethnicity, selection2+1,FALSE))</f>
        <v>0.6158088235294118</v>
      </c>
      <c r="H100" s="48">
        <f>Data!AX76</f>
        <v>0.83558490728391344</v>
      </c>
      <c r="O100" s="489"/>
    </row>
    <row r="101" spans="2:15" ht="15" x14ac:dyDescent="0.25">
      <c r="B101" s="489"/>
      <c r="D101" s="764" t="s">
        <v>307</v>
      </c>
      <c r="E101" s="764"/>
      <c r="F101" s="48">
        <f t="shared" si="2"/>
        <v>2.7494908350305498E-2</v>
      </c>
      <c r="G101" s="48">
        <f t="shared" si="3"/>
        <v>7.6286764705882359E-2</v>
      </c>
      <c r="H101" s="48">
        <f>Data!AY76</f>
        <v>4.450802392118057E-2</v>
      </c>
      <c r="O101" s="489"/>
    </row>
    <row r="102" spans="2:15" ht="15" x14ac:dyDescent="0.25">
      <c r="B102" s="489"/>
      <c r="D102" s="764" t="s">
        <v>308</v>
      </c>
      <c r="E102" s="764"/>
      <c r="F102" s="48">
        <f t="shared" si="2"/>
        <v>3.4623217922606926E-2</v>
      </c>
      <c r="G102" s="48">
        <f t="shared" si="3"/>
        <v>7.6286764705882359E-2</v>
      </c>
      <c r="H102" s="48">
        <f>Data!AZ76</f>
        <v>4.7390612227337266E-2</v>
      </c>
      <c r="O102" s="489"/>
    </row>
    <row r="103" spans="2:15" ht="15" x14ac:dyDescent="0.25">
      <c r="B103" s="489"/>
      <c r="D103" s="764" t="s">
        <v>29</v>
      </c>
      <c r="E103" s="764"/>
      <c r="F103" s="48">
        <f t="shared" si="2"/>
        <v>8.1466395112016286E-3</v>
      </c>
      <c r="G103" s="48">
        <f t="shared" si="3"/>
        <v>0.13235294117647059</v>
      </c>
      <c r="H103" s="48">
        <f>Data!BA76</f>
        <v>5.4855225229101232E-2</v>
      </c>
      <c r="O103" s="489"/>
    </row>
    <row r="104" spans="2:15" ht="15" x14ac:dyDescent="0.25">
      <c r="B104" s="489"/>
      <c r="D104" s="764" t="s">
        <v>30</v>
      </c>
      <c r="E104" s="764"/>
      <c r="F104" s="48">
        <f t="shared" si="2"/>
        <v>1.0183299389002036E-3</v>
      </c>
      <c r="G104" s="48">
        <f t="shared" si="3"/>
        <v>8.2720588235294115E-2</v>
      </c>
      <c r="H104" s="48">
        <f>Data!BB76</f>
        <v>1.2928623671643075E-2</v>
      </c>
      <c r="O104" s="489"/>
    </row>
    <row r="105" spans="2:15" ht="15" x14ac:dyDescent="0.25">
      <c r="B105" s="489"/>
      <c r="D105" s="764" t="s">
        <v>31</v>
      </c>
      <c r="E105" s="764"/>
      <c r="F105" s="48">
        <f t="shared" si="2"/>
        <v>0</v>
      </c>
      <c r="G105" s="48">
        <f t="shared" si="3"/>
        <v>1.6544117647058824E-2</v>
      </c>
      <c r="H105" s="48">
        <f>Data!BC76</f>
        <v>4.7326076668244201E-3</v>
      </c>
      <c r="O105" s="489"/>
    </row>
    <row r="106" spans="2:15" ht="15" x14ac:dyDescent="0.25">
      <c r="B106" s="489"/>
      <c r="D106" s="766" t="s">
        <v>309</v>
      </c>
      <c r="E106" s="766"/>
      <c r="F106" s="48">
        <f t="shared" si="2"/>
        <v>7.1283095723014278E-2</v>
      </c>
      <c r="G106" s="48">
        <f t="shared" si="3"/>
        <v>0.3841911764705882</v>
      </c>
      <c r="H106" s="48">
        <f>Data!BD76</f>
        <v>0.16441509271608656</v>
      </c>
      <c r="O106" s="489"/>
    </row>
    <row r="107" spans="2:15" ht="15" x14ac:dyDescent="0.25">
      <c r="B107" s="489"/>
      <c r="D107" s="2"/>
      <c r="E107" s="2"/>
      <c r="F107" s="2"/>
      <c r="G107" s="2"/>
      <c r="O107" s="489"/>
    </row>
    <row r="108" spans="2:15" ht="27" customHeight="1" x14ac:dyDescent="0.2">
      <c r="B108" s="489"/>
      <c r="D108" s="775" t="s">
        <v>310</v>
      </c>
      <c r="E108" s="775"/>
      <c r="F108" s="775"/>
      <c r="G108" s="775"/>
      <c r="O108" s="489"/>
    </row>
    <row r="109" spans="2:15" x14ac:dyDescent="0.2">
      <c r="B109" s="489"/>
      <c r="O109" s="489"/>
    </row>
    <row r="110" spans="2:15" x14ac:dyDescent="0.2">
      <c r="B110" s="489"/>
      <c r="C110" s="489"/>
      <c r="D110" s="489"/>
      <c r="E110" s="489"/>
      <c r="F110" s="489"/>
      <c r="G110" s="489"/>
      <c r="H110" s="489"/>
      <c r="I110" s="489"/>
      <c r="J110" s="489"/>
      <c r="K110" s="489"/>
      <c r="L110" s="489"/>
      <c r="M110" s="489"/>
      <c r="N110" s="489"/>
      <c r="O110" s="489"/>
    </row>
    <row r="111" spans="2:15" x14ac:dyDescent="0.2">
      <c r="B111" s="489"/>
      <c r="C111" s="489"/>
      <c r="D111" s="489"/>
      <c r="E111" s="489"/>
      <c r="F111" s="489"/>
      <c r="G111" s="489"/>
      <c r="H111" s="489"/>
      <c r="I111" s="489"/>
      <c r="J111" s="489"/>
      <c r="K111" s="489"/>
      <c r="L111" s="489"/>
      <c r="M111" s="489"/>
      <c r="N111" s="489"/>
      <c r="O111" s="489"/>
    </row>
    <row r="112" spans="2:15" x14ac:dyDescent="0.2">
      <c r="B112" s="489"/>
      <c r="C112" s="489"/>
      <c r="D112" s="489"/>
      <c r="E112" s="489"/>
      <c r="F112" s="489"/>
      <c r="G112" s="489"/>
      <c r="H112" s="489"/>
      <c r="I112" s="489"/>
      <c r="J112" s="489"/>
      <c r="K112" s="489"/>
      <c r="L112" s="489"/>
      <c r="M112" s="489"/>
      <c r="N112" s="489"/>
      <c r="O112" s="489"/>
    </row>
    <row r="113" spans="2:15" x14ac:dyDescent="0.2">
      <c r="B113" s="489"/>
      <c r="C113" s="489"/>
      <c r="D113" s="489"/>
      <c r="E113" s="489"/>
      <c r="F113" s="489"/>
      <c r="G113" s="489"/>
      <c r="H113" s="489"/>
      <c r="I113" s="489"/>
      <c r="J113" s="489"/>
      <c r="K113" s="489"/>
      <c r="L113" s="489"/>
      <c r="M113" s="489"/>
      <c r="N113" s="489"/>
      <c r="O113" s="489"/>
    </row>
    <row r="114" spans="2:15" x14ac:dyDescent="0.2">
      <c r="B114" s="489"/>
      <c r="C114" s="489"/>
      <c r="D114" s="489"/>
      <c r="E114" s="489"/>
      <c r="F114" s="489"/>
      <c r="G114" s="489"/>
      <c r="H114" s="489"/>
      <c r="I114" s="489"/>
      <c r="J114" s="489"/>
      <c r="K114" s="489"/>
      <c r="L114" s="489"/>
      <c r="M114" s="489"/>
      <c r="N114" s="489"/>
      <c r="O114" s="489"/>
    </row>
    <row r="115" spans="2:15" ht="15" x14ac:dyDescent="0.25">
      <c r="B115" s="489"/>
      <c r="C115" s="477"/>
      <c r="D115" s="477"/>
      <c r="E115" s="477"/>
      <c r="F115" s="477"/>
      <c r="G115" s="477"/>
      <c r="H115" s="477"/>
      <c r="I115" s="477"/>
      <c r="J115" s="477"/>
      <c r="K115" s="477"/>
      <c r="L115" s="477"/>
      <c r="M115" s="477"/>
      <c r="N115" s="477"/>
      <c r="O115" s="489"/>
    </row>
    <row r="116" spans="2:15" ht="18" customHeight="1" x14ac:dyDescent="0.25">
      <c r="B116" s="489"/>
      <c r="C116" s="2"/>
      <c r="D116" s="756" t="s">
        <v>305</v>
      </c>
      <c r="E116" s="757"/>
      <c r="F116" s="757"/>
      <c r="G116" s="758"/>
      <c r="H116" s="777" t="str">
        <f>INDEX(Locations, selection)</f>
        <v>Angmering</v>
      </c>
      <c r="I116" s="751" t="str">
        <f>INDEX(Locations, selection2)</f>
        <v>Bewbush</v>
      </c>
      <c r="J116" s="773" t="s">
        <v>291</v>
      </c>
      <c r="K116" s="774" t="s">
        <v>293</v>
      </c>
      <c r="L116" s="2"/>
      <c r="M116" s="2"/>
      <c r="N116" s="2"/>
      <c r="O116" s="489"/>
    </row>
    <row r="117" spans="2:15" ht="20.25" customHeight="1" x14ac:dyDescent="0.25">
      <c r="B117" s="489"/>
      <c r="C117" s="2"/>
      <c r="D117" s="759"/>
      <c r="E117" s="760"/>
      <c r="F117" s="760"/>
      <c r="G117" s="761"/>
      <c r="H117" s="777"/>
      <c r="I117" s="752"/>
      <c r="J117" s="773"/>
      <c r="K117" s="774"/>
      <c r="L117" s="2"/>
      <c r="M117" s="2"/>
      <c r="N117" s="2"/>
      <c r="O117" s="489"/>
    </row>
    <row r="118" spans="2:15" ht="19.5" customHeight="1" x14ac:dyDescent="0.25">
      <c r="B118" s="489"/>
      <c r="C118" s="2"/>
      <c r="D118" s="767" t="s">
        <v>311</v>
      </c>
      <c r="E118" s="768"/>
      <c r="F118" s="768"/>
      <c r="G118" s="769"/>
      <c r="H118" s="43">
        <f>IF(HLOOKUP(D118, Proficiency,selection+1, FALSE)="", "",HLOOKUP(D118, Proficiency, selection+1,FALSE))</f>
        <v>2763</v>
      </c>
      <c r="I118" s="43">
        <f>IF(HLOOKUP(D118, Proficiency,selection2+1, FALSE)="", "",HLOOKUP(D118, Proficiency, selection2+1,FALSE))</f>
        <v>2434</v>
      </c>
      <c r="J118" s="43">
        <f>Data!BE76</f>
        <v>117072</v>
      </c>
      <c r="K118" s="43">
        <f>Data!BE78</f>
        <v>8015990</v>
      </c>
      <c r="L118" s="2"/>
      <c r="M118" s="2"/>
      <c r="N118" s="2"/>
      <c r="O118" s="489"/>
    </row>
    <row r="119" spans="2:15" ht="19.5" customHeight="1" x14ac:dyDescent="0.25">
      <c r="B119" s="489"/>
      <c r="C119" s="2"/>
      <c r="D119" s="767" t="s">
        <v>312</v>
      </c>
      <c r="E119" s="768"/>
      <c r="F119" s="768"/>
      <c r="G119" s="769"/>
      <c r="H119" s="43">
        <f>IF(HLOOKUP(D119, Proficiency,selection+1, FALSE)="", "",HLOOKUP(D119, Proficiency, selection+1,FALSE))</f>
        <v>2742</v>
      </c>
      <c r="I119" s="43">
        <f>IF(HLOOKUP(D119, Proficiency,selection2+1, FALSE)="", "",HLOOKUP(D119, Proficiency, selection2+1,FALSE))</f>
        <v>2172</v>
      </c>
      <c r="J119" s="43">
        <f>Data!BF76</f>
        <v>113395</v>
      </c>
      <c r="K119" s="43">
        <f>Data!BF78</f>
        <v>7549840</v>
      </c>
      <c r="L119" s="2"/>
      <c r="M119" s="2"/>
      <c r="N119" s="2"/>
      <c r="O119" s="489"/>
    </row>
    <row r="120" spans="2:15" ht="19.5" customHeight="1" x14ac:dyDescent="0.25">
      <c r="B120" s="489"/>
      <c r="C120" s="2"/>
      <c r="D120" s="767" t="s">
        <v>313</v>
      </c>
      <c r="E120" s="768"/>
      <c r="F120" s="768"/>
      <c r="G120" s="769"/>
      <c r="H120" s="43">
        <f>IF(HLOOKUP(D120, Proficiency,selection+1, FALSE)="", "",HLOOKUP(D120, Proficiency, selection+1,FALSE))</f>
        <v>21</v>
      </c>
      <c r="I120" s="43">
        <f>IF(HLOOKUP(D120, Proficiency,selection2+1, FALSE)="", "",HLOOKUP(D120, Proficiency, selection2+1,FALSE))</f>
        <v>262</v>
      </c>
      <c r="J120" s="43">
        <f>Data!BG76</f>
        <v>3677</v>
      </c>
      <c r="K120" s="43">
        <f>Data!BG78</f>
        <v>466150</v>
      </c>
      <c r="L120" s="2"/>
      <c r="M120" s="2"/>
      <c r="N120" s="2"/>
      <c r="O120" s="489"/>
    </row>
    <row r="121" spans="2:15" ht="33" customHeight="1" x14ac:dyDescent="0.25">
      <c r="B121" s="489"/>
      <c r="C121" s="2"/>
      <c r="D121" s="770" t="s">
        <v>316</v>
      </c>
      <c r="E121" s="771"/>
      <c r="F121" s="771"/>
      <c r="G121" s="772"/>
      <c r="H121" s="53">
        <f>IF(HLOOKUP(D121, Proficiency,selection+1, FALSE)="", "",HLOOKUP(D121, Proficiency, selection+1,FALSE))</f>
        <v>0.7142857142857143</v>
      </c>
      <c r="I121" s="53">
        <f>IF(HLOOKUP(D121, Proficiency,selection2+1, FALSE)="", "",HLOOKUP(D121, Proficiency, selection2+1,FALSE))</f>
        <v>0.85114503816793896</v>
      </c>
      <c r="J121" s="53">
        <f>Data!BJ76</f>
        <v>0.84063094914332337</v>
      </c>
      <c r="K121" s="53">
        <f>Data!BJ78</f>
        <v>0.83676928027458974</v>
      </c>
      <c r="L121" s="2"/>
      <c r="M121" s="2"/>
      <c r="N121" s="2"/>
      <c r="O121" s="489"/>
    </row>
    <row r="122" spans="2:15" ht="33" customHeight="1" x14ac:dyDescent="0.25">
      <c r="B122" s="489"/>
      <c r="C122" s="2"/>
      <c r="D122" s="770" t="s">
        <v>317</v>
      </c>
      <c r="E122" s="771"/>
      <c r="F122" s="771"/>
      <c r="G122" s="772"/>
      <c r="H122" s="53">
        <f>IF(HLOOKUP(D122, Proficiency,selection+1, FALSE)="", "",HLOOKUP(D122, Proficiency, selection+1,FALSE))</f>
        <v>0.2857142857142857</v>
      </c>
      <c r="I122" s="53">
        <f>IF(HLOOKUP(D122, Proficiency,selection2+1, FALSE)="", "",HLOOKUP(D122, Proficiency, selection2+1,FALSE))</f>
        <v>0.14885496183206107</v>
      </c>
      <c r="J122" s="53">
        <f>Data!BK76</f>
        <v>0.15936905085667663</v>
      </c>
      <c r="K122" s="53">
        <f>Data!BK78</f>
        <v>0.16323071972541028</v>
      </c>
      <c r="L122" s="2"/>
      <c r="M122" s="2"/>
      <c r="N122" s="2"/>
      <c r="O122" s="489"/>
    </row>
    <row r="123" spans="2:15" ht="15" x14ac:dyDescent="0.25">
      <c r="B123" s="489"/>
      <c r="C123" s="2"/>
      <c r="D123" s="2"/>
      <c r="E123" s="2"/>
      <c r="F123" s="2"/>
      <c r="G123" s="2"/>
      <c r="H123" s="2"/>
      <c r="I123" s="2"/>
      <c r="J123" s="2"/>
      <c r="K123" s="2"/>
      <c r="L123" s="2"/>
      <c r="M123" s="2"/>
      <c r="N123" s="2"/>
      <c r="O123" s="489"/>
    </row>
    <row r="124" spans="2:15" ht="15" x14ac:dyDescent="0.25">
      <c r="B124" s="489"/>
      <c r="C124" s="2"/>
      <c r="D124" s="2"/>
      <c r="E124" s="2"/>
      <c r="F124" s="2"/>
      <c r="G124" s="2"/>
      <c r="H124" s="2"/>
      <c r="I124" s="2"/>
      <c r="J124" s="2"/>
      <c r="K124" s="2"/>
      <c r="L124" s="2"/>
      <c r="M124" s="2"/>
      <c r="N124" s="2"/>
      <c r="O124" s="489"/>
    </row>
    <row r="125" spans="2:15" x14ac:dyDescent="0.2">
      <c r="B125" s="489"/>
      <c r="C125" s="489"/>
      <c r="D125" s="489"/>
      <c r="E125" s="489"/>
      <c r="F125" s="489"/>
      <c r="G125" s="489"/>
      <c r="H125" s="489"/>
      <c r="I125" s="489"/>
      <c r="J125" s="489"/>
      <c r="K125" s="489"/>
      <c r="L125" s="489"/>
      <c r="M125" s="489"/>
      <c r="N125" s="489"/>
      <c r="O125" s="489"/>
    </row>
    <row r="126" spans="2:15" x14ac:dyDescent="0.2">
      <c r="B126" s="489"/>
      <c r="C126" s="489"/>
      <c r="D126" s="489"/>
      <c r="E126" s="489"/>
      <c r="F126" s="489"/>
      <c r="G126" s="489"/>
      <c r="H126" s="489"/>
      <c r="I126" s="489"/>
      <c r="J126" s="489"/>
      <c r="K126" s="489"/>
      <c r="L126" s="489"/>
      <c r="M126" s="489"/>
      <c r="N126" s="489"/>
      <c r="O126" s="489"/>
    </row>
    <row r="127" spans="2:15" x14ac:dyDescent="0.2">
      <c r="B127" s="489"/>
      <c r="C127" s="489"/>
      <c r="D127" s="489"/>
      <c r="E127" s="489"/>
      <c r="F127" s="489"/>
      <c r="G127" s="489"/>
      <c r="H127" s="489"/>
      <c r="I127" s="489"/>
      <c r="J127" s="489"/>
      <c r="K127" s="489"/>
      <c r="L127" s="489"/>
      <c r="M127" s="489"/>
      <c r="N127" s="489"/>
      <c r="O127" s="489"/>
    </row>
    <row r="128" spans="2:15" x14ac:dyDescent="0.2">
      <c r="B128" s="489"/>
      <c r="C128" s="489"/>
      <c r="D128" s="489"/>
      <c r="E128" s="489"/>
      <c r="F128" s="489"/>
      <c r="G128" s="489"/>
      <c r="H128" s="489"/>
      <c r="I128" s="489"/>
      <c r="J128" s="489"/>
      <c r="K128" s="489"/>
      <c r="L128" s="489"/>
      <c r="M128" s="489"/>
      <c r="N128" s="489"/>
      <c r="O128" s="489"/>
    </row>
    <row r="129" spans="2:15" x14ac:dyDescent="0.2">
      <c r="B129" s="489"/>
      <c r="C129" s="489"/>
      <c r="D129" s="489"/>
      <c r="E129" s="489"/>
      <c r="F129" s="489"/>
      <c r="G129" s="489"/>
      <c r="H129" s="489"/>
      <c r="I129" s="489"/>
      <c r="J129" s="489"/>
      <c r="K129" s="489"/>
      <c r="L129" s="489"/>
      <c r="M129" s="489"/>
      <c r="N129" s="489"/>
      <c r="O129" s="489"/>
    </row>
    <row r="130" spans="2:15" x14ac:dyDescent="0.2">
      <c r="B130" s="489"/>
      <c r="O130" s="489"/>
    </row>
    <row r="131" spans="2:15" ht="18" customHeight="1" x14ac:dyDescent="0.2">
      <c r="B131" s="489"/>
      <c r="D131" s="756" t="s">
        <v>305</v>
      </c>
      <c r="E131" s="757"/>
      <c r="F131" s="758"/>
      <c r="G131" s="762" t="str">
        <f>INDEX(Locations, selection)</f>
        <v>Angmering</v>
      </c>
      <c r="H131" s="751" t="str">
        <f>INDEX(Locations, selection2)</f>
        <v>Bewbush</v>
      </c>
      <c r="I131" s="753" t="s">
        <v>291</v>
      </c>
      <c r="J131" s="755" t="s">
        <v>292</v>
      </c>
      <c r="K131" s="749" t="s">
        <v>293</v>
      </c>
      <c r="O131" s="489"/>
    </row>
    <row r="132" spans="2:15" ht="18" customHeight="1" x14ac:dyDescent="0.2">
      <c r="B132" s="489"/>
      <c r="D132" s="759"/>
      <c r="E132" s="760"/>
      <c r="F132" s="761"/>
      <c r="G132" s="763"/>
      <c r="H132" s="752"/>
      <c r="I132" s="754"/>
      <c r="J132" s="755"/>
      <c r="K132" s="750"/>
      <c r="O132" s="489"/>
    </row>
    <row r="133" spans="2:15" ht="15" x14ac:dyDescent="0.25">
      <c r="B133" s="489"/>
      <c r="D133" s="764" t="s">
        <v>92</v>
      </c>
      <c r="E133" s="764"/>
      <c r="F133" s="764"/>
      <c r="G133" s="48">
        <f>IF(HLOOKUP(D133, Tenure,selection+1, FALSE)="", "",HLOOKUP(D133, Tenure, selection+1,FALSE))</f>
        <v>0.68083003952569165</v>
      </c>
      <c r="H133" s="48">
        <f>IF(HLOOKUP(D133, Tenure,selection2+1, FALSE)="", "",HLOOKUP(D133, Tenure, selection2+1,FALSE))</f>
        <v>0.4770085901970692</v>
      </c>
      <c r="I133" s="48">
        <f>Data!BM76</f>
        <v>0.62169075757914261</v>
      </c>
      <c r="J133" s="48">
        <f>Data!BM77</f>
        <v>0.60131071046932683</v>
      </c>
      <c r="K133" s="48">
        <f>Data!BM78</f>
        <v>0.55249679011512953</v>
      </c>
      <c r="O133" s="489"/>
    </row>
    <row r="134" spans="2:15" ht="15" x14ac:dyDescent="0.25">
      <c r="B134" s="489"/>
      <c r="D134" s="764" t="s">
        <v>93</v>
      </c>
      <c r="E134" s="764"/>
      <c r="F134" s="764"/>
      <c r="G134" s="48">
        <f>IF(HLOOKUP(D134, Tenure,selection+1, FALSE)="", "",HLOOKUP(D134, Tenure, selection+1,FALSE))</f>
        <v>9.3379446640316208E-2</v>
      </c>
      <c r="H134" s="48">
        <f>IF(HLOOKUP(D134, Tenure,selection2+1, FALSE)="", "",HLOOKUP(D134, Tenure, selection2+1,FALSE))</f>
        <v>0.32491157150075795</v>
      </c>
      <c r="I134" s="48">
        <f>Data!BN76</f>
        <v>0.17295190009159758</v>
      </c>
      <c r="J134" s="48">
        <f>Data!BN77</f>
        <v>0.17231993402372051</v>
      </c>
      <c r="K134" s="48">
        <f>Data!BN78</f>
        <v>0.21446978397089048</v>
      </c>
      <c r="O134" s="489"/>
    </row>
    <row r="135" spans="2:15" ht="15" x14ac:dyDescent="0.25">
      <c r="B135" s="489"/>
      <c r="D135" s="764" t="s">
        <v>94</v>
      </c>
      <c r="E135" s="764"/>
      <c r="F135" s="764"/>
      <c r="G135" s="48">
        <f>IF(HLOOKUP(D135, Tenure,selection+1, FALSE)="", "",HLOOKUP(D135, Tenure, selection+1,FALSE))</f>
        <v>0.2257905138339921</v>
      </c>
      <c r="H135" s="48">
        <f>IF(HLOOKUP(D135, Tenure,selection2+1, FALSE)="", "",HLOOKUP(D135, Tenure, selection2+1,FALSE))</f>
        <v>0.19807983830217282</v>
      </c>
      <c r="I135" s="48">
        <f>Data!BO76</f>
        <v>0.20535734232925984</v>
      </c>
      <c r="J135" s="48">
        <f>Data!BO77</f>
        <v>0.22636935550695267</v>
      </c>
      <c r="K135" s="48">
        <f>Data!BO78</f>
        <v>0.23303342591398002</v>
      </c>
      <c r="O135" s="489"/>
    </row>
    <row r="136" spans="2:15" ht="15" x14ac:dyDescent="0.25">
      <c r="B136" s="489"/>
      <c r="D136" s="765"/>
      <c r="E136" s="765"/>
      <c r="F136" s="765"/>
      <c r="G136" s="58"/>
      <c r="H136" s="58"/>
      <c r="I136" s="58"/>
      <c r="J136" s="58"/>
      <c r="K136" s="58"/>
      <c r="O136" s="489"/>
    </row>
    <row r="137" spans="2:15" ht="15" x14ac:dyDescent="0.25">
      <c r="B137" s="489"/>
      <c r="D137" s="766" t="s">
        <v>323</v>
      </c>
      <c r="E137" s="766"/>
      <c r="F137" s="766"/>
      <c r="G137" s="59">
        <f>IF(HLOOKUP(D137, Tenure,selection+1, FALSE)="", "",HLOOKUP(D137, Tenure, selection+1,FALSE))</f>
        <v>2024</v>
      </c>
      <c r="H137" s="59">
        <f>IF(HLOOKUP(D137, Tenure,selection2+1, FALSE)="", "",HLOOKUP(D137, Tenure, selection2+1,FALSE))</f>
        <v>1979</v>
      </c>
      <c r="I137" s="59">
        <f>Data!BL76</f>
        <v>89522</v>
      </c>
      <c r="J137" s="59">
        <f>Data!BL77</f>
        <v>1020973</v>
      </c>
      <c r="K137" s="59">
        <f>Data!BL78</f>
        <v>6286051</v>
      </c>
      <c r="O137" s="489"/>
    </row>
    <row r="138" spans="2:15" ht="15" x14ac:dyDescent="0.25">
      <c r="B138" s="489"/>
      <c r="D138" s="2"/>
      <c r="E138" s="2"/>
      <c r="F138" s="2"/>
      <c r="G138" s="2"/>
      <c r="H138" s="2"/>
      <c r="O138" s="489"/>
    </row>
    <row r="139" spans="2:15" x14ac:dyDescent="0.2">
      <c r="B139" s="489"/>
      <c r="O139" s="489"/>
    </row>
    <row r="140" spans="2:15" x14ac:dyDescent="0.2">
      <c r="B140" s="489"/>
      <c r="O140" s="489"/>
    </row>
    <row r="141" spans="2:15" x14ac:dyDescent="0.2">
      <c r="B141" s="489"/>
      <c r="O141" s="489"/>
    </row>
    <row r="142" spans="2:15" x14ac:dyDescent="0.2">
      <c r="B142" s="489"/>
      <c r="O142" s="489"/>
    </row>
    <row r="143" spans="2:15" x14ac:dyDescent="0.2">
      <c r="B143" s="489"/>
      <c r="O143" s="489"/>
    </row>
    <row r="144" spans="2:15" x14ac:dyDescent="0.2">
      <c r="B144" s="489"/>
      <c r="O144" s="489"/>
    </row>
    <row r="145" spans="2:15" x14ac:dyDescent="0.2">
      <c r="B145" s="489"/>
      <c r="O145" s="489"/>
    </row>
    <row r="146" spans="2:15" x14ac:dyDescent="0.2">
      <c r="B146" s="489"/>
      <c r="O146" s="489"/>
    </row>
    <row r="147" spans="2:15" x14ac:dyDescent="0.2">
      <c r="B147" s="489"/>
      <c r="O147" s="489"/>
    </row>
    <row r="148" spans="2:15" x14ac:dyDescent="0.2">
      <c r="B148" s="489"/>
      <c r="O148" s="489"/>
    </row>
    <row r="149" spans="2:15" x14ac:dyDescent="0.2">
      <c r="B149" s="489"/>
      <c r="O149" s="489"/>
    </row>
    <row r="150" spans="2:15" x14ac:dyDescent="0.2">
      <c r="B150" s="489"/>
      <c r="O150" s="489"/>
    </row>
    <row r="151" spans="2:15" x14ac:dyDescent="0.2">
      <c r="B151" s="489"/>
      <c r="O151" s="489"/>
    </row>
    <row r="152" spans="2:15" x14ac:dyDescent="0.2">
      <c r="B152" s="489"/>
      <c r="O152" s="489"/>
    </row>
    <row r="153" spans="2:15" x14ac:dyDescent="0.2">
      <c r="B153" s="489"/>
      <c r="O153" s="489"/>
    </row>
    <row r="154" spans="2:15" x14ac:dyDescent="0.2">
      <c r="B154" s="489"/>
      <c r="O154" s="489"/>
    </row>
    <row r="155" spans="2:15" x14ac:dyDescent="0.2">
      <c r="B155" s="489"/>
      <c r="O155" s="489"/>
    </row>
    <row r="156" spans="2:15" x14ac:dyDescent="0.2">
      <c r="B156" s="489"/>
      <c r="C156" s="489"/>
      <c r="D156" s="489"/>
      <c r="E156" s="489"/>
      <c r="F156" s="489"/>
      <c r="G156" s="489"/>
      <c r="H156" s="489"/>
      <c r="I156" s="489"/>
      <c r="J156" s="489"/>
      <c r="K156" s="489"/>
      <c r="L156" s="489"/>
      <c r="M156" s="489"/>
      <c r="N156" s="489"/>
      <c r="O156" s="489"/>
    </row>
    <row r="157" spans="2:15" x14ac:dyDescent="0.2">
      <c r="B157" s="489"/>
      <c r="C157" s="489"/>
      <c r="D157" s="489"/>
      <c r="E157" s="489"/>
      <c r="F157" s="489"/>
      <c r="G157" s="489"/>
      <c r="H157" s="489"/>
      <c r="I157" s="489"/>
      <c r="J157" s="489"/>
      <c r="K157" s="489"/>
      <c r="L157" s="489"/>
      <c r="M157" s="489"/>
      <c r="N157" s="489"/>
      <c r="O157" s="489"/>
    </row>
    <row r="158" spans="2:15" x14ac:dyDescent="0.2">
      <c r="B158" s="489"/>
      <c r="C158" s="489"/>
      <c r="D158" s="489"/>
      <c r="E158" s="489"/>
      <c r="F158" s="489"/>
      <c r="G158" s="489"/>
      <c r="H158" s="489"/>
      <c r="I158" s="489"/>
      <c r="J158" s="489"/>
      <c r="K158" s="489"/>
      <c r="L158" s="489"/>
      <c r="M158" s="489"/>
      <c r="N158" s="489"/>
      <c r="O158" s="489"/>
    </row>
  </sheetData>
  <sheetProtection sheet="1" objects="1" scenarios="1"/>
  <mergeCells count="54">
    <mergeCell ref="D71:E71"/>
    <mergeCell ref="A2:L2"/>
    <mergeCell ref="E70:H70"/>
    <mergeCell ref="D56:D59"/>
    <mergeCell ref="E56:E59"/>
    <mergeCell ref="F56:F59"/>
    <mergeCell ref="G56:G59"/>
    <mergeCell ref="H56:H59"/>
    <mergeCell ref="I56:I59"/>
    <mergeCell ref="D54:G54"/>
    <mergeCell ref="J56:J59"/>
    <mergeCell ref="K56:K59"/>
    <mergeCell ref="H54:K54"/>
    <mergeCell ref="F61:G61"/>
    <mergeCell ref="J61:L61"/>
    <mergeCell ref="E52:K52"/>
    <mergeCell ref="D77:E78"/>
    <mergeCell ref="F77:F78"/>
    <mergeCell ref="G77:G78"/>
    <mergeCell ref="D72:E72"/>
    <mergeCell ref="D73:E73"/>
    <mergeCell ref="H97:H99"/>
    <mergeCell ref="H116:H117"/>
    <mergeCell ref="D102:E102"/>
    <mergeCell ref="D103:E103"/>
    <mergeCell ref="D104:E104"/>
    <mergeCell ref="D105:E105"/>
    <mergeCell ref="D106:E106"/>
    <mergeCell ref="F97:F99"/>
    <mergeCell ref="G97:G99"/>
    <mergeCell ref="D97:E99"/>
    <mergeCell ref="D100:E100"/>
    <mergeCell ref="D101:E101"/>
    <mergeCell ref="J116:J117"/>
    <mergeCell ref="K116:K117"/>
    <mergeCell ref="D118:G118"/>
    <mergeCell ref="D119:G119"/>
    <mergeCell ref="D108:G108"/>
    <mergeCell ref="D120:G120"/>
    <mergeCell ref="D121:G121"/>
    <mergeCell ref="D122:G122"/>
    <mergeCell ref="D116:G117"/>
    <mergeCell ref="I116:I117"/>
    <mergeCell ref="D133:F133"/>
    <mergeCell ref="D134:F134"/>
    <mergeCell ref="D135:F135"/>
    <mergeCell ref="D136:F136"/>
    <mergeCell ref="D137:F137"/>
    <mergeCell ref="K131:K132"/>
    <mergeCell ref="H131:H132"/>
    <mergeCell ref="I131:I132"/>
    <mergeCell ref="J131:J132"/>
    <mergeCell ref="D131:F132"/>
    <mergeCell ref="G131:G132"/>
  </mergeCells>
  <printOptions horizontalCentered="1"/>
  <pageMargins left="0.23622047244094491" right="0.23622047244094491" top="0.74803149606299213" bottom="0.74803149606299213" header="0.31496062992125984" footer="0.31496062992125984"/>
  <pageSetup paperSize="9" scale="69" fitToHeight="2" orientation="portrait" r:id="rId1"/>
  <rowBreaks count="1" manualBreakCount="1">
    <brk id="92" max="15" man="1"/>
  </rowBreaks>
  <drawing r:id="rId2"/>
  <legacyDrawing r:id="rId3"/>
  <mc:AlternateContent xmlns:mc="http://schemas.openxmlformats.org/markup-compatibility/2006">
    <mc:Choice Requires="x14">
      <controls>
        <mc:AlternateContent xmlns:mc="http://schemas.openxmlformats.org/markup-compatibility/2006">
          <mc:Choice Requires="x14">
            <control shapeId="3075" r:id="rId4" name="Drop Down 3">
              <controlPr defaultSize="0" autoLine="0" autoPict="0">
                <anchor moveWithCells="1">
                  <from>
                    <xdr:col>4</xdr:col>
                    <xdr:colOff>914400</xdr:colOff>
                    <xdr:row>4</xdr:row>
                    <xdr:rowOff>180975</xdr:rowOff>
                  </from>
                  <to>
                    <xdr:col>7</xdr:col>
                    <xdr:colOff>828675</xdr:colOff>
                    <xdr:row>6</xdr:row>
                    <xdr:rowOff>66675</xdr:rowOff>
                  </to>
                </anchor>
              </controlPr>
            </control>
          </mc:Choice>
        </mc:AlternateContent>
        <mc:AlternateContent xmlns:mc="http://schemas.openxmlformats.org/markup-compatibility/2006">
          <mc:Choice Requires="x14">
            <control shapeId="3076" r:id="rId5" name="Drop Down 4">
              <controlPr defaultSize="0" autoLine="0" autoPict="0">
                <anchor moveWithCells="1">
                  <from>
                    <xdr:col>4</xdr:col>
                    <xdr:colOff>923925</xdr:colOff>
                    <xdr:row>6</xdr:row>
                    <xdr:rowOff>161925</xdr:rowOff>
                  </from>
                  <to>
                    <xdr:col>7</xdr:col>
                    <xdr:colOff>838200</xdr:colOff>
                    <xdr:row>8</xdr:row>
                    <xdr:rowOff>47625</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tabColor theme="4"/>
  </sheetPr>
  <dimension ref="A1:R82"/>
  <sheetViews>
    <sheetView zoomScaleNormal="100" zoomScaleSheetLayoutView="90" zoomScalePageLayoutView="80" workbookViewId="0"/>
  </sheetViews>
  <sheetFormatPr defaultColWidth="8.796875" defaultRowHeight="14.25" x14ac:dyDescent="0.2"/>
  <cols>
    <col min="1" max="1" width="1" style="1" customWidth="1"/>
    <col min="2" max="2" width="1.19921875" style="1" customWidth="1"/>
    <col min="3" max="3" width="5.59765625" style="1" customWidth="1"/>
    <col min="4" max="9" width="11.3984375" style="1" customWidth="1"/>
    <col min="10" max="10" width="10" style="1" customWidth="1"/>
    <col min="11" max="11" width="11.69921875" style="1" customWidth="1"/>
    <col min="12" max="12" width="10.296875" style="1" customWidth="1"/>
    <col min="13" max="13" width="3.69921875" style="1" customWidth="1"/>
    <col min="14" max="14" width="1.3984375" style="1" customWidth="1"/>
    <col min="15" max="15" width="1.19921875" style="1" customWidth="1"/>
    <col min="16" max="16" width="1.09765625" style="1" customWidth="1"/>
    <col min="17" max="17" width="8.796875" style="1"/>
    <col min="18" max="18" width="19" style="1" bestFit="1" customWidth="1"/>
    <col min="19" max="16384" width="8.796875" style="1"/>
  </cols>
  <sheetData>
    <row r="1" spans="1:18" ht="15" x14ac:dyDescent="0.25">
      <c r="R1" s="21">
        <f ca="1">NOW()</f>
        <v>42740.35657314815</v>
      </c>
    </row>
    <row r="2" spans="1:18" ht="17.25" customHeight="1" x14ac:dyDescent="0.2">
      <c r="A2" s="732"/>
      <c r="B2" s="733"/>
      <c r="C2" s="733"/>
      <c r="D2" s="733"/>
      <c r="E2" s="733"/>
      <c r="F2" s="733"/>
      <c r="G2" s="733"/>
      <c r="H2" s="733"/>
      <c r="I2" s="733"/>
      <c r="J2" s="733"/>
      <c r="K2" s="733"/>
      <c r="L2" s="733"/>
    </row>
    <row r="3" spans="1:18" ht="15" x14ac:dyDescent="0.25">
      <c r="A3" s="2"/>
      <c r="B3" s="2"/>
      <c r="C3" s="2"/>
      <c r="D3" s="2"/>
      <c r="E3" s="2"/>
      <c r="F3" s="2"/>
      <c r="G3" s="2"/>
      <c r="H3" s="2"/>
      <c r="I3" s="2"/>
      <c r="J3" s="2"/>
      <c r="K3" s="2"/>
      <c r="L3" s="2"/>
    </row>
    <row r="4" spans="1:18" ht="15" x14ac:dyDescent="0.25">
      <c r="A4" s="2"/>
      <c r="B4" s="2"/>
      <c r="C4" s="2"/>
      <c r="D4" s="2"/>
      <c r="E4" s="2"/>
      <c r="F4" s="2"/>
      <c r="G4" s="2"/>
      <c r="H4" s="2"/>
      <c r="I4" s="2"/>
      <c r="J4" s="2"/>
      <c r="K4" s="2"/>
      <c r="L4" s="2"/>
    </row>
    <row r="5" spans="1:18" s="67" customFormat="1" ht="15" x14ac:dyDescent="0.25">
      <c r="A5" s="248"/>
      <c r="B5" s="487"/>
      <c r="C5" s="487"/>
      <c r="D5" s="487"/>
      <c r="E5" s="487"/>
      <c r="F5" s="487"/>
      <c r="G5" s="487"/>
      <c r="H5" s="487"/>
      <c r="I5" s="487"/>
      <c r="J5" s="487"/>
      <c r="K5" s="487"/>
      <c r="L5" s="487"/>
      <c r="M5" s="489"/>
      <c r="N5" s="489"/>
      <c r="O5" s="489"/>
    </row>
    <row r="6" spans="1:18" s="67" customFormat="1" ht="15" x14ac:dyDescent="0.25">
      <c r="A6" s="248"/>
      <c r="B6" s="487"/>
      <c r="C6" s="487"/>
      <c r="D6" s="487"/>
      <c r="E6" s="487"/>
      <c r="F6" s="487"/>
      <c r="G6" s="487"/>
      <c r="H6" s="487"/>
      <c r="I6" s="487"/>
      <c r="J6" s="487"/>
      <c r="K6" s="487"/>
      <c r="L6" s="487"/>
      <c r="M6" s="489"/>
      <c r="N6" s="489"/>
      <c r="O6" s="489"/>
    </row>
    <row r="7" spans="1:18" s="67" customFormat="1" ht="15" x14ac:dyDescent="0.25">
      <c r="A7" s="248"/>
      <c r="B7" s="487"/>
      <c r="C7" s="487"/>
      <c r="D7" s="487"/>
      <c r="E7" s="487"/>
      <c r="F7" s="487"/>
      <c r="G7" s="487"/>
      <c r="H7" s="487"/>
      <c r="I7" s="487"/>
      <c r="J7" s="487"/>
      <c r="K7" s="487"/>
      <c r="L7" s="487"/>
      <c r="M7" s="489"/>
      <c r="N7" s="489"/>
      <c r="O7" s="489"/>
    </row>
    <row r="8" spans="1:18" s="67" customFormat="1" ht="15" x14ac:dyDescent="0.25">
      <c r="A8" s="248"/>
      <c r="B8" s="487"/>
      <c r="C8" s="487"/>
      <c r="D8" s="487"/>
      <c r="E8" s="487"/>
      <c r="F8" s="487"/>
      <c r="G8" s="487"/>
      <c r="H8" s="487"/>
      <c r="I8" s="487"/>
      <c r="J8" s="487"/>
      <c r="K8" s="487"/>
      <c r="L8" s="487"/>
      <c r="M8" s="489"/>
      <c r="N8" s="489"/>
      <c r="O8" s="489"/>
    </row>
    <row r="9" spans="1:18" ht="15" x14ac:dyDescent="0.25">
      <c r="A9" s="2"/>
      <c r="B9" s="487"/>
      <c r="C9" s="487"/>
      <c r="D9" s="487"/>
      <c r="E9" s="487"/>
      <c r="F9" s="487"/>
      <c r="G9" s="487"/>
      <c r="H9" s="487"/>
      <c r="I9" s="487"/>
      <c r="J9" s="487"/>
      <c r="K9" s="487"/>
      <c r="L9" s="487"/>
      <c r="M9" s="489"/>
      <c r="N9" s="489"/>
      <c r="O9" s="489"/>
    </row>
    <row r="10" spans="1:18" ht="15" x14ac:dyDescent="0.25">
      <c r="A10" s="2"/>
      <c r="B10" s="487"/>
      <c r="C10" s="487"/>
      <c r="D10" s="487"/>
      <c r="E10" s="487"/>
      <c r="F10" s="487"/>
      <c r="G10" s="487"/>
      <c r="H10" s="487"/>
      <c r="I10" s="487"/>
      <c r="J10" s="487"/>
      <c r="K10" s="487"/>
      <c r="L10" s="487"/>
      <c r="M10" s="489"/>
      <c r="N10" s="489"/>
      <c r="O10" s="489"/>
    </row>
    <row r="11" spans="1:18" ht="15" x14ac:dyDescent="0.25">
      <c r="A11" s="2"/>
      <c r="B11" s="487"/>
      <c r="C11" s="477"/>
      <c r="D11" s="487"/>
      <c r="E11" s="487"/>
      <c r="F11" s="487"/>
      <c r="G11" s="487"/>
      <c r="H11" s="487"/>
      <c r="I11" s="487"/>
      <c r="J11" s="477"/>
      <c r="K11" s="477"/>
      <c r="L11" s="477"/>
      <c r="M11" s="67"/>
      <c r="N11" s="67"/>
      <c r="O11" s="489"/>
    </row>
    <row r="12" spans="1:18" ht="15" x14ac:dyDescent="0.25">
      <c r="A12" s="2"/>
      <c r="B12" s="487"/>
      <c r="C12" s="477"/>
      <c r="D12" s="487"/>
      <c r="E12" s="487"/>
      <c r="F12" s="487"/>
      <c r="G12" s="487"/>
      <c r="H12" s="487"/>
      <c r="I12" s="487"/>
      <c r="J12" s="477"/>
      <c r="K12" s="477"/>
      <c r="L12" s="477"/>
      <c r="M12" s="67"/>
      <c r="N12" s="67"/>
      <c r="O12" s="489"/>
    </row>
    <row r="13" spans="1:18" ht="15" x14ac:dyDescent="0.25">
      <c r="A13" s="2"/>
      <c r="B13" s="487"/>
      <c r="C13" s="477"/>
      <c r="D13" s="487"/>
      <c r="E13" s="487"/>
      <c r="F13" s="487"/>
      <c r="G13" s="487"/>
      <c r="H13" s="487"/>
      <c r="I13" s="487"/>
      <c r="J13" s="70"/>
      <c r="K13" s="70"/>
      <c r="L13" s="70"/>
      <c r="M13" s="67"/>
      <c r="N13" s="67"/>
      <c r="O13" s="489"/>
    </row>
    <row r="14" spans="1:18" ht="15" x14ac:dyDescent="0.25">
      <c r="A14" s="2"/>
      <c r="B14" s="487"/>
      <c r="C14" s="477"/>
      <c r="D14" s="487"/>
      <c r="E14" s="487"/>
      <c r="F14" s="487"/>
      <c r="G14" s="487"/>
      <c r="H14" s="487"/>
      <c r="I14" s="487"/>
      <c r="J14" s="70"/>
      <c r="K14" s="70"/>
      <c r="L14" s="70"/>
      <c r="M14" s="67"/>
      <c r="N14" s="67"/>
      <c r="O14" s="489"/>
    </row>
    <row r="15" spans="1:18" ht="15" x14ac:dyDescent="0.25">
      <c r="A15" s="2"/>
      <c r="B15" s="487"/>
      <c r="C15" s="477"/>
      <c r="D15" s="2"/>
      <c r="E15" s="2"/>
      <c r="F15" s="2"/>
      <c r="G15" s="2"/>
      <c r="H15" s="2"/>
      <c r="I15" s="2"/>
      <c r="J15" s="70"/>
      <c r="K15" s="70"/>
      <c r="L15" s="70"/>
      <c r="M15" s="67"/>
      <c r="N15" s="67"/>
      <c r="O15" s="489"/>
    </row>
    <row r="16" spans="1:18" ht="15" x14ac:dyDescent="0.25">
      <c r="A16" s="2"/>
      <c r="B16" s="487"/>
      <c r="C16" s="2"/>
      <c r="D16" s="756" t="s">
        <v>305</v>
      </c>
      <c r="E16" s="757"/>
      <c r="F16" s="757"/>
      <c r="G16" s="758"/>
      <c r="H16" s="762" t="str">
        <f>INDEX(Locations, selection)</f>
        <v>Angmering</v>
      </c>
      <c r="I16" s="751" t="str">
        <f>INDEX(Locations, selection2)</f>
        <v>Bewbush</v>
      </c>
      <c r="J16" s="71"/>
      <c r="K16" s="71"/>
      <c r="L16" s="71"/>
      <c r="M16" s="148"/>
      <c r="N16" s="67"/>
      <c r="O16" s="489"/>
    </row>
    <row r="17" spans="1:15" ht="15" x14ac:dyDescent="0.25">
      <c r="A17" s="2"/>
      <c r="B17" s="487"/>
      <c r="C17" s="2"/>
      <c r="D17" s="780"/>
      <c r="E17" s="818"/>
      <c r="F17" s="818"/>
      <c r="G17" s="781"/>
      <c r="H17" s="778"/>
      <c r="I17" s="817"/>
      <c r="J17" s="71"/>
      <c r="K17" s="72">
        <f>IF(H20 = "n/a", "", SUM(H20:H22))</f>
        <v>774</v>
      </c>
      <c r="L17" s="73">
        <f>IF(I20="n/a","",SUM(I20:I22))</f>
        <v>846</v>
      </c>
      <c r="M17" s="148"/>
      <c r="N17" s="67"/>
      <c r="O17" s="489"/>
    </row>
    <row r="18" spans="1:15" ht="15" x14ac:dyDescent="0.25">
      <c r="A18" s="2"/>
      <c r="B18" s="487"/>
      <c r="C18" s="2"/>
      <c r="D18" s="759"/>
      <c r="E18" s="760"/>
      <c r="F18" s="760"/>
      <c r="G18" s="761"/>
      <c r="H18" s="763"/>
      <c r="I18" s="752"/>
      <c r="J18" s="71"/>
      <c r="K18" s="74"/>
      <c r="L18" s="74"/>
      <c r="M18" s="148"/>
      <c r="N18" s="67"/>
      <c r="O18" s="489"/>
    </row>
    <row r="19" spans="1:15" ht="20.25" customHeight="1" x14ac:dyDescent="0.25">
      <c r="A19" s="2"/>
      <c r="B19" s="487"/>
      <c r="C19" s="2"/>
      <c r="D19" s="814" t="s">
        <v>404</v>
      </c>
      <c r="E19" s="815"/>
      <c r="F19" s="815"/>
      <c r="G19" s="816"/>
      <c r="H19" s="60">
        <f>IF(HLOOKUP($D19, Families, selection+1, FALSE) = "", "", HLOOKUP($D19, Families, selection+1, FALSE))</f>
        <v>2175</v>
      </c>
      <c r="I19" s="60">
        <f>IF(HLOOKUP($D19, Families, selection2+1, FALSE) = "", "", HLOOKUP($D19, Families, selection2+1, FALSE))</f>
        <v>1995</v>
      </c>
      <c r="J19" s="71"/>
      <c r="K19" s="75" t="str">
        <f>H16</f>
        <v>Angmering</v>
      </c>
      <c r="L19" s="318" t="str">
        <f>I16</f>
        <v>Bewbush</v>
      </c>
      <c r="M19" s="148"/>
      <c r="N19" s="67"/>
      <c r="O19" s="489"/>
    </row>
    <row r="20" spans="1:15" ht="20.25" customHeight="1" x14ac:dyDescent="0.25">
      <c r="A20" s="2"/>
      <c r="B20" s="487"/>
      <c r="C20" s="2"/>
      <c r="D20" s="811" t="s">
        <v>324</v>
      </c>
      <c r="E20" s="812"/>
      <c r="F20" s="812"/>
      <c r="G20" s="813"/>
      <c r="H20" s="60">
        <f>IF(HLOOKUP($D20, Families, selection+1, FALSE) = "", "", HLOOKUP($D20, Families, selection+1, FALSE))</f>
        <v>308</v>
      </c>
      <c r="I20" s="60">
        <f>IF(HLOOKUP($D20, Families, selection2+1, FALSE) = "", "", HLOOKUP($D20, Families, selection2+1, FALSE))</f>
        <v>337</v>
      </c>
      <c r="J20" s="71" t="s">
        <v>406</v>
      </c>
      <c r="K20" s="75">
        <f>IF(H20 = "n/a", "", H20/$K$17)</f>
        <v>0.3979328165374677</v>
      </c>
      <c r="L20" s="75">
        <f>IF(I20 = "n/a", "", I20/$L$17)</f>
        <v>0.39834515366430262</v>
      </c>
      <c r="M20" s="148"/>
      <c r="N20" s="67"/>
      <c r="O20" s="489"/>
    </row>
    <row r="21" spans="1:15" ht="20.25" customHeight="1" x14ac:dyDescent="0.25">
      <c r="A21" s="2"/>
      <c r="B21" s="487"/>
      <c r="C21" s="2"/>
      <c r="D21" s="811" t="s">
        <v>325</v>
      </c>
      <c r="E21" s="812"/>
      <c r="F21" s="812"/>
      <c r="G21" s="813"/>
      <c r="H21" s="60">
        <f>IF(HLOOKUP($D21, Families, selection+1, FALSE) = "", "", HLOOKUP($D21, Families, selection+1, FALSE))</f>
        <v>333</v>
      </c>
      <c r="I21" s="60">
        <f>IF(HLOOKUP($D21, Families, selection2+1, FALSE) = "", "", HLOOKUP($D21, Families, selection2+1, FALSE))</f>
        <v>306</v>
      </c>
      <c r="J21" s="71" t="s">
        <v>405</v>
      </c>
      <c r="K21" s="75">
        <f>IF(H21 = "n/a", "", H21/$K$17)</f>
        <v>0.43023255813953487</v>
      </c>
      <c r="L21" s="75">
        <f>IF(I21 = "n/a", "",I21/$L$17)</f>
        <v>0.36170212765957449</v>
      </c>
      <c r="M21" s="148"/>
      <c r="N21" s="67"/>
      <c r="O21" s="489"/>
    </row>
    <row r="22" spans="1:15" ht="20.25" customHeight="1" x14ac:dyDescent="0.25">
      <c r="A22" s="2"/>
      <c r="B22" s="487"/>
      <c r="C22" s="2"/>
      <c r="D22" s="811" t="s">
        <v>326</v>
      </c>
      <c r="E22" s="812"/>
      <c r="F22" s="812"/>
      <c r="G22" s="813"/>
      <c r="H22" s="60">
        <f>IF(HLOOKUP($D22, Families, selection+1, FALSE) = "", "", HLOOKUP($D22, Families, selection+1, FALSE))</f>
        <v>133</v>
      </c>
      <c r="I22" s="60">
        <f>IF(HLOOKUP($D22, Families, selection2+1, FALSE) = "", "", HLOOKUP($D22, Families, selection2+1, FALSE))</f>
        <v>203</v>
      </c>
      <c r="J22" s="71" t="s">
        <v>407</v>
      </c>
      <c r="K22" s="75">
        <f>IF(H22 = "n/a", "", H22/$K$17)</f>
        <v>0.17183462532299743</v>
      </c>
      <c r="L22" s="75">
        <f>IF(I22 = "n/a","",I22/$L$17)</f>
        <v>0.23995271867612294</v>
      </c>
      <c r="M22" s="148"/>
      <c r="N22" s="67"/>
      <c r="O22" s="489"/>
    </row>
    <row r="23" spans="1:15" ht="20.25" customHeight="1" x14ac:dyDescent="0.25">
      <c r="A23" s="2"/>
      <c r="B23" s="487"/>
      <c r="C23" s="2"/>
      <c r="D23" s="814" t="s">
        <v>652</v>
      </c>
      <c r="E23" s="815"/>
      <c r="F23" s="815"/>
      <c r="G23" s="816"/>
      <c r="H23" s="76">
        <f>IF(HLOOKUP($D23, Families, selection+1, FALSE) = "", "", HLOOKUP($D23, Families, selection+1, FALSE))</f>
        <v>0.13333333333333333</v>
      </c>
      <c r="I23" s="469">
        <f>IF(HLOOKUP($D23, Families, selection2+1, FALSE) = "", "", HLOOKUP($D23, Families, selection2+1, FALSE))</f>
        <v>0.1724310776942356</v>
      </c>
      <c r="J23" s="71"/>
      <c r="K23" s="71"/>
      <c r="L23" s="71"/>
      <c r="M23" s="148"/>
      <c r="N23" s="67"/>
      <c r="O23" s="489"/>
    </row>
    <row r="24" spans="1:15" ht="15" x14ac:dyDescent="0.25">
      <c r="A24" s="2"/>
      <c r="B24" s="487"/>
      <c r="C24" s="2"/>
      <c r="D24" s="2"/>
      <c r="E24" s="2"/>
      <c r="F24" s="2"/>
      <c r="G24" s="2"/>
      <c r="H24" s="2"/>
      <c r="I24" s="2"/>
      <c r="J24" s="70"/>
      <c r="K24" s="70"/>
      <c r="L24" s="70"/>
      <c r="M24" s="67"/>
      <c r="N24" s="67"/>
      <c r="O24" s="489"/>
    </row>
    <row r="25" spans="1:15" ht="15" x14ac:dyDescent="0.25">
      <c r="A25" s="2"/>
      <c r="B25" s="487"/>
      <c r="C25" s="2"/>
      <c r="D25" s="2"/>
      <c r="E25" s="2"/>
      <c r="F25" s="2"/>
      <c r="G25" s="2"/>
      <c r="H25" s="2"/>
      <c r="I25" s="2"/>
      <c r="J25" s="2"/>
      <c r="K25" s="2"/>
      <c r="L25" s="2"/>
      <c r="M25" s="67"/>
      <c r="N25" s="67"/>
      <c r="O25" s="489"/>
    </row>
    <row r="26" spans="1:15" ht="15" x14ac:dyDescent="0.25">
      <c r="A26" s="2"/>
      <c r="B26" s="487"/>
      <c r="C26" s="2"/>
      <c r="D26" s="2"/>
      <c r="E26" s="2"/>
      <c r="F26" s="2"/>
      <c r="G26" s="2"/>
      <c r="H26" s="2"/>
      <c r="I26" s="2"/>
      <c r="J26" s="2"/>
      <c r="K26" s="2"/>
      <c r="L26" s="2"/>
      <c r="M26" s="67"/>
      <c r="N26" s="67"/>
      <c r="O26" s="489"/>
    </row>
    <row r="27" spans="1:15" ht="15" x14ac:dyDescent="0.25">
      <c r="A27" s="2"/>
      <c r="B27" s="487"/>
      <c r="C27" s="487"/>
      <c r="D27" s="487"/>
      <c r="E27" s="487"/>
      <c r="F27" s="487"/>
      <c r="G27" s="487"/>
      <c r="H27" s="487"/>
      <c r="I27" s="487"/>
      <c r="J27" s="487"/>
      <c r="K27" s="487"/>
      <c r="L27" s="487"/>
      <c r="M27" s="489"/>
      <c r="N27" s="489"/>
      <c r="O27" s="489"/>
    </row>
    <row r="28" spans="1:15" ht="15" x14ac:dyDescent="0.25">
      <c r="A28" s="2"/>
      <c r="B28" s="487"/>
      <c r="C28" s="487"/>
      <c r="D28" s="487"/>
      <c r="E28" s="487"/>
      <c r="F28" s="487"/>
      <c r="G28" s="487"/>
      <c r="H28" s="487"/>
      <c r="I28" s="487"/>
      <c r="J28" s="487"/>
      <c r="K28" s="487"/>
      <c r="L28" s="487"/>
      <c r="M28" s="489"/>
      <c r="N28" s="489"/>
      <c r="O28" s="489"/>
    </row>
    <row r="29" spans="1:15" ht="15" x14ac:dyDescent="0.25">
      <c r="A29" s="2"/>
      <c r="B29" s="487"/>
      <c r="C29" s="487"/>
      <c r="D29" s="487"/>
      <c r="E29" s="487"/>
      <c r="F29" s="487"/>
      <c r="G29" s="487"/>
      <c r="H29" s="487"/>
      <c r="I29" s="487"/>
      <c r="J29" s="487"/>
      <c r="K29" s="487"/>
      <c r="L29" s="487"/>
      <c r="M29" s="489"/>
      <c r="N29" s="489"/>
      <c r="O29" s="489"/>
    </row>
    <row r="30" spans="1:15" ht="15" x14ac:dyDescent="0.25">
      <c r="A30" s="2"/>
      <c r="B30" s="487"/>
      <c r="C30" s="477"/>
      <c r="D30" s="477"/>
      <c r="E30" s="477"/>
      <c r="F30" s="477"/>
      <c r="G30" s="477"/>
      <c r="H30" s="477"/>
      <c r="I30" s="477"/>
      <c r="J30" s="477"/>
      <c r="K30" s="477"/>
      <c r="L30" s="477"/>
      <c r="M30" s="67"/>
      <c r="N30" s="67"/>
      <c r="O30" s="489"/>
    </row>
    <row r="31" spans="1:15" ht="15" x14ac:dyDescent="0.25">
      <c r="A31" s="2"/>
      <c r="B31" s="487"/>
      <c r="C31" s="477"/>
      <c r="D31" s="477"/>
      <c r="E31" s="477"/>
      <c r="F31" s="477"/>
      <c r="G31" s="477"/>
      <c r="H31" s="477"/>
      <c r="I31" s="477"/>
      <c r="J31" s="477"/>
      <c r="K31" s="477"/>
      <c r="L31" s="477"/>
      <c r="M31" s="67"/>
      <c r="N31" s="67"/>
      <c r="O31" s="489"/>
    </row>
    <row r="32" spans="1:15" ht="15" x14ac:dyDescent="0.25">
      <c r="A32" s="2"/>
      <c r="B32" s="487"/>
      <c r="C32" s="477"/>
      <c r="D32" s="477"/>
      <c r="E32" s="477"/>
      <c r="F32" s="477"/>
      <c r="G32" s="477"/>
      <c r="H32" s="477"/>
      <c r="I32" s="477"/>
      <c r="J32" s="477"/>
      <c r="K32" s="477"/>
      <c r="L32" s="477"/>
      <c r="M32" s="67"/>
      <c r="N32" s="67"/>
      <c r="O32" s="489"/>
    </row>
    <row r="33" spans="1:15" ht="15" x14ac:dyDescent="0.25">
      <c r="A33" s="2"/>
      <c r="B33" s="487"/>
      <c r="C33" s="477"/>
      <c r="D33" s="477"/>
      <c r="E33" s="790"/>
      <c r="F33" s="790"/>
      <c r="G33" s="790"/>
      <c r="H33" s="790"/>
      <c r="I33" s="477"/>
      <c r="J33" s="477"/>
      <c r="K33" s="477"/>
      <c r="L33" s="477"/>
      <c r="M33" s="67"/>
      <c r="N33" s="67"/>
      <c r="O33" s="489"/>
    </row>
    <row r="34" spans="1:15" ht="15" x14ac:dyDescent="0.25">
      <c r="A34" s="2"/>
      <c r="B34" s="487"/>
      <c r="C34" s="477"/>
      <c r="D34" s="477"/>
      <c r="E34" s="477"/>
      <c r="F34" s="477"/>
      <c r="G34" s="477"/>
      <c r="H34" s="477"/>
      <c r="I34" s="477"/>
      <c r="J34" s="477"/>
      <c r="K34" s="477"/>
      <c r="L34" s="477"/>
      <c r="M34" s="67"/>
      <c r="N34" s="67"/>
      <c r="O34" s="489"/>
    </row>
    <row r="35" spans="1:15" s="67" customFormat="1" ht="15" x14ac:dyDescent="0.25">
      <c r="A35" s="2"/>
      <c r="B35" s="487"/>
      <c r="C35" s="477"/>
      <c r="D35" s="477"/>
      <c r="E35" s="477"/>
      <c r="F35" s="477"/>
      <c r="G35" s="477"/>
      <c r="H35" s="477"/>
      <c r="I35" s="477"/>
      <c r="J35" s="477"/>
      <c r="K35" s="477"/>
      <c r="L35" s="477"/>
      <c r="O35" s="489"/>
    </row>
    <row r="36" spans="1:15" s="67" customFormat="1" ht="15" x14ac:dyDescent="0.25">
      <c r="A36" s="2"/>
      <c r="B36" s="487"/>
      <c r="C36" s="477"/>
      <c r="D36" s="477"/>
      <c r="E36" s="477"/>
      <c r="F36" s="477"/>
      <c r="G36" s="477"/>
      <c r="H36" s="477"/>
      <c r="I36" s="477"/>
      <c r="J36" s="477"/>
      <c r="K36" s="477"/>
      <c r="L36" s="477"/>
      <c r="O36" s="489"/>
    </row>
    <row r="37" spans="1:15" ht="15" x14ac:dyDescent="0.25">
      <c r="A37" s="2"/>
      <c r="B37" s="487"/>
      <c r="C37" s="2"/>
      <c r="J37" s="96" t="str">
        <f>H38</f>
        <v>Angmering</v>
      </c>
      <c r="K37" s="96" t="str">
        <f>I38</f>
        <v>Bewbush</v>
      </c>
      <c r="L37" s="97" t="s">
        <v>291</v>
      </c>
      <c r="M37" s="97" t="s">
        <v>293</v>
      </c>
      <c r="N37" s="67"/>
      <c r="O37" s="489"/>
    </row>
    <row r="38" spans="1:15" ht="15" x14ac:dyDescent="0.25">
      <c r="A38" s="2"/>
      <c r="B38" s="487"/>
      <c r="C38" s="2"/>
      <c r="D38" s="756" t="s">
        <v>305</v>
      </c>
      <c r="E38" s="757"/>
      <c r="F38" s="757"/>
      <c r="G38" s="758"/>
      <c r="H38" s="826" t="str">
        <f>INDEX(Locations, selection)</f>
        <v>Angmering</v>
      </c>
      <c r="I38" s="822" t="str">
        <f>INDEX(Locations, selection2)</f>
        <v>Bewbush</v>
      </c>
      <c r="J38" s="98">
        <f>H42</f>
        <v>654</v>
      </c>
      <c r="K38" s="98">
        <f>I42</f>
        <v>647</v>
      </c>
      <c r="L38" s="97">
        <f>Data!CD76</f>
        <v>30468</v>
      </c>
      <c r="M38" s="97">
        <f>Data!CD78</f>
        <v>2018660</v>
      </c>
      <c r="N38" s="67"/>
      <c r="O38" s="489"/>
    </row>
    <row r="39" spans="1:15" ht="15" x14ac:dyDescent="0.25">
      <c r="A39" s="2"/>
      <c r="B39" s="487"/>
      <c r="C39" s="2"/>
      <c r="D39" s="780"/>
      <c r="E39" s="818"/>
      <c r="F39" s="818"/>
      <c r="G39" s="781"/>
      <c r="H39" s="827"/>
      <c r="I39" s="823"/>
      <c r="J39" s="98">
        <f>H43</f>
        <v>125</v>
      </c>
      <c r="K39" s="98">
        <f>I43</f>
        <v>206</v>
      </c>
      <c r="L39" s="97">
        <f>Data!CF76</f>
        <v>5946</v>
      </c>
      <c r="M39" s="97">
        <f>Data!CF78</f>
        <v>587904</v>
      </c>
      <c r="N39" s="67"/>
      <c r="O39" s="489"/>
    </row>
    <row r="40" spans="1:15" ht="20.25" customHeight="1" x14ac:dyDescent="0.25">
      <c r="B40" s="489"/>
      <c r="C40" s="67"/>
      <c r="D40" s="759"/>
      <c r="E40" s="760"/>
      <c r="F40" s="760"/>
      <c r="G40" s="761"/>
      <c r="H40" s="828"/>
      <c r="I40" s="824"/>
      <c r="J40" s="72" t="s">
        <v>446</v>
      </c>
      <c r="K40" s="74"/>
      <c r="L40" s="74"/>
      <c r="M40" s="74"/>
      <c r="N40" s="67"/>
      <c r="O40" s="489"/>
    </row>
    <row r="41" spans="1:15" ht="20.25" customHeight="1" x14ac:dyDescent="0.25">
      <c r="B41" s="489"/>
      <c r="C41" s="67"/>
      <c r="D41" s="814" t="s">
        <v>444</v>
      </c>
      <c r="E41" s="815"/>
      <c r="F41" s="815"/>
      <c r="G41" s="816"/>
      <c r="H41" s="60">
        <f>IF(HLOOKUP($D41, Householdunder5, selection+1, FALSE) = "", "", HLOOKUP($D41, Householdunder5, selection+1, FALSE))</f>
        <v>779</v>
      </c>
      <c r="I41" s="60">
        <f>IF(HLOOKUP($D41, Householdunder5, selection2+1, FALSE) = "", "", HLOOKUP($D41, Householdunder5, selection2+1, FALSE))</f>
        <v>853</v>
      </c>
      <c r="J41" s="71" t="s">
        <v>447</v>
      </c>
      <c r="K41" s="67"/>
      <c r="L41" s="67"/>
      <c r="M41" s="67"/>
      <c r="N41" s="67"/>
      <c r="O41" s="489"/>
    </row>
    <row r="42" spans="1:15" ht="20.25" customHeight="1" x14ac:dyDescent="0.2">
      <c r="B42" s="489"/>
      <c r="C42" s="67"/>
      <c r="D42" s="811" t="s">
        <v>416</v>
      </c>
      <c r="E42" s="812"/>
      <c r="F42" s="812"/>
      <c r="G42" s="813"/>
      <c r="H42" s="60">
        <f>IF(HLOOKUP($D42, Householdunder5, selection+1, FALSE) = "", "", HLOOKUP($D42, Householdunder5, selection+1, FALSE))</f>
        <v>654</v>
      </c>
      <c r="I42" s="60">
        <f>IF(HLOOKUP($D42, Householdunder5, selection2+1, FALSE) = "", "", HLOOKUP($D42, Householdunder5, selection2+1, FALSE))</f>
        <v>647</v>
      </c>
      <c r="J42" s="67"/>
      <c r="K42" s="67"/>
      <c r="L42" s="67"/>
      <c r="M42" s="67"/>
      <c r="N42" s="67"/>
      <c r="O42" s="489"/>
    </row>
    <row r="43" spans="1:15" ht="20.25" customHeight="1" x14ac:dyDescent="0.2">
      <c r="B43" s="489"/>
      <c r="C43" s="67"/>
      <c r="D43" s="811" t="s">
        <v>417</v>
      </c>
      <c r="E43" s="812"/>
      <c r="F43" s="812"/>
      <c r="G43" s="813"/>
      <c r="H43" s="60">
        <f>IF(HLOOKUP($D43, Householdunder5, selection+1, FALSE) = "", "", HLOOKUP($D43, Householdunder5, selection+1, FALSE))</f>
        <v>125</v>
      </c>
      <c r="I43" s="60">
        <f>IF(HLOOKUP($D43, Householdunder5, selection2+1, FALSE) = "", "", HLOOKUP($D43, Householdunder5, selection2+1, FALSE))</f>
        <v>206</v>
      </c>
      <c r="J43" s="67"/>
      <c r="K43" s="67"/>
      <c r="L43" s="67"/>
      <c r="M43" s="67"/>
      <c r="N43" s="67"/>
      <c r="O43" s="489"/>
    </row>
    <row r="44" spans="1:15" ht="18.75" customHeight="1" x14ac:dyDescent="0.2">
      <c r="B44" s="489"/>
      <c r="C44" s="67"/>
      <c r="D44" s="814" t="s">
        <v>445</v>
      </c>
      <c r="E44" s="815"/>
      <c r="F44" s="815"/>
      <c r="G44" s="816"/>
      <c r="H44" s="76">
        <f>IF(HLOOKUP($D44, Householdunder5, selection+1, FALSE) = "", "", HLOOKUP($D44, Householdunder5, selection+1, FALSE))</f>
        <v>0.16046213093709885</v>
      </c>
      <c r="I44" s="76">
        <f>IF(HLOOKUP($D44, Householdunder5, selection2+1, FALSE) = "", "", HLOOKUP($D44, Householdunder5, selection2+1, FALSE))</f>
        <v>0.24150058616647127</v>
      </c>
      <c r="J44" s="67"/>
      <c r="K44" s="67"/>
      <c r="L44" s="67"/>
      <c r="M44" s="67"/>
      <c r="N44" s="67"/>
      <c r="O44" s="489"/>
    </row>
    <row r="45" spans="1:15" s="67" customFormat="1" x14ac:dyDescent="0.2">
      <c r="B45" s="489"/>
      <c r="O45" s="489"/>
    </row>
    <row r="46" spans="1:15" x14ac:dyDescent="0.2">
      <c r="B46" s="489"/>
      <c r="C46" s="67"/>
      <c r="D46" s="67"/>
      <c r="E46" s="67"/>
      <c r="F46" s="67"/>
      <c r="G46" s="67"/>
      <c r="H46" s="67"/>
      <c r="I46" s="67"/>
      <c r="J46" s="67"/>
      <c r="K46" s="67"/>
      <c r="L46" s="67"/>
      <c r="M46" s="67"/>
      <c r="N46" s="67"/>
      <c r="O46" s="489"/>
    </row>
    <row r="47" spans="1:15" s="67" customFormat="1" x14ac:dyDescent="0.2">
      <c r="B47" s="489"/>
      <c r="C47" s="489"/>
      <c r="D47" s="489"/>
      <c r="E47" s="489"/>
      <c r="F47" s="489"/>
      <c r="G47" s="489"/>
      <c r="H47" s="489"/>
      <c r="I47" s="489"/>
      <c r="J47" s="489"/>
      <c r="K47" s="489"/>
      <c r="L47" s="489"/>
      <c r="M47" s="489"/>
      <c r="N47" s="489"/>
      <c r="O47" s="489"/>
    </row>
    <row r="48" spans="1:15" s="67" customFormat="1" x14ac:dyDescent="0.2">
      <c r="B48" s="489"/>
      <c r="C48" s="489"/>
      <c r="D48" s="489"/>
      <c r="E48" s="489"/>
      <c r="F48" s="489"/>
      <c r="G48" s="489"/>
      <c r="H48" s="489"/>
      <c r="I48" s="489"/>
      <c r="J48" s="489"/>
      <c r="K48" s="489"/>
      <c r="L48" s="489"/>
      <c r="M48" s="489"/>
      <c r="N48" s="489"/>
      <c r="O48" s="489"/>
    </row>
    <row r="49" spans="2:15" x14ac:dyDescent="0.2">
      <c r="B49" s="489"/>
      <c r="C49" s="489"/>
      <c r="D49" s="489"/>
      <c r="E49" s="489"/>
      <c r="F49" s="489"/>
      <c r="G49" s="489"/>
      <c r="H49" s="489"/>
      <c r="I49" s="489"/>
      <c r="J49" s="489"/>
      <c r="K49" s="489"/>
      <c r="L49" s="489"/>
      <c r="M49" s="489"/>
      <c r="N49" s="489"/>
      <c r="O49" s="489"/>
    </row>
    <row r="50" spans="2:15" x14ac:dyDescent="0.2">
      <c r="B50" s="489"/>
      <c r="C50" s="489"/>
      <c r="D50" s="489"/>
      <c r="E50" s="489"/>
      <c r="F50" s="489"/>
      <c r="G50" s="489"/>
      <c r="H50" s="489"/>
      <c r="I50" s="489"/>
      <c r="J50" s="489"/>
      <c r="K50" s="489"/>
      <c r="L50" s="489"/>
      <c r="M50" s="489"/>
      <c r="N50" s="489"/>
      <c r="O50" s="489"/>
    </row>
    <row r="51" spans="2:15" x14ac:dyDescent="0.2">
      <c r="B51" s="489"/>
      <c r="C51" s="489"/>
      <c r="D51" s="489"/>
      <c r="E51" s="489"/>
      <c r="F51" s="489"/>
      <c r="G51" s="489"/>
      <c r="H51" s="489"/>
      <c r="I51" s="489"/>
      <c r="J51" s="489"/>
      <c r="K51" s="489"/>
      <c r="L51" s="489"/>
      <c r="M51" s="489"/>
      <c r="N51" s="489"/>
      <c r="O51" s="489"/>
    </row>
    <row r="52" spans="2:15" x14ac:dyDescent="0.2">
      <c r="B52" s="489"/>
      <c r="C52" s="489"/>
      <c r="D52" s="489"/>
      <c r="E52" s="489"/>
      <c r="F52" s="489"/>
      <c r="G52" s="489"/>
      <c r="H52" s="489"/>
      <c r="I52" s="489"/>
      <c r="J52" s="489"/>
      <c r="K52" s="489"/>
      <c r="L52" s="489"/>
      <c r="M52" s="489"/>
      <c r="N52" s="489"/>
      <c r="O52" s="489"/>
    </row>
    <row r="53" spans="2:15" ht="15" x14ac:dyDescent="0.25">
      <c r="B53" s="489"/>
      <c r="C53" s="487"/>
      <c r="D53" s="487"/>
      <c r="E53" s="487"/>
      <c r="F53" s="487"/>
      <c r="G53" s="487"/>
      <c r="H53" s="487"/>
      <c r="I53" s="487"/>
      <c r="J53" s="487"/>
      <c r="K53" s="487"/>
      <c r="L53" s="487"/>
      <c r="M53" s="487"/>
      <c r="N53" s="489"/>
      <c r="O53" s="489"/>
    </row>
    <row r="54" spans="2:15" ht="15" x14ac:dyDescent="0.25">
      <c r="B54" s="489"/>
      <c r="C54" s="2"/>
      <c r="D54" s="2"/>
      <c r="E54" s="2"/>
      <c r="F54" s="2"/>
      <c r="G54" s="2"/>
      <c r="H54" s="2"/>
      <c r="I54" s="2"/>
      <c r="J54" s="2"/>
      <c r="K54" s="2"/>
      <c r="L54" s="2"/>
      <c r="M54" s="2"/>
      <c r="N54" s="67"/>
      <c r="O54" s="489"/>
    </row>
    <row r="55" spans="2:15" ht="15" x14ac:dyDescent="0.25">
      <c r="B55" s="489"/>
      <c r="C55" s="2"/>
      <c r="D55" s="837" t="s">
        <v>305</v>
      </c>
      <c r="E55" s="837"/>
      <c r="F55" s="837"/>
      <c r="G55" s="825" t="str">
        <f>INDEX(Locations,selection)</f>
        <v>Angmering</v>
      </c>
      <c r="H55" s="830" t="str">
        <f>INDEX(Locations, selection2)</f>
        <v>Bewbush</v>
      </c>
      <c r="I55" s="833" t="s">
        <v>291</v>
      </c>
      <c r="J55" s="749" t="s">
        <v>292</v>
      </c>
      <c r="K55" s="749" t="s">
        <v>293</v>
      </c>
      <c r="L55" s="2"/>
      <c r="M55" s="2"/>
      <c r="N55" s="67"/>
      <c r="O55" s="489"/>
    </row>
    <row r="56" spans="2:15" ht="15" x14ac:dyDescent="0.25">
      <c r="B56" s="489"/>
      <c r="C56" s="2"/>
      <c r="D56" s="837"/>
      <c r="E56" s="837"/>
      <c r="F56" s="837"/>
      <c r="G56" s="825"/>
      <c r="H56" s="831"/>
      <c r="I56" s="834"/>
      <c r="J56" s="836"/>
      <c r="K56" s="836"/>
      <c r="L56" s="2"/>
      <c r="M56" s="2"/>
      <c r="N56" s="67"/>
      <c r="O56" s="489"/>
    </row>
    <row r="57" spans="2:15" ht="15" x14ac:dyDescent="0.25">
      <c r="B57" s="489"/>
      <c r="C57" s="2"/>
      <c r="D57" s="837"/>
      <c r="E57" s="837"/>
      <c r="F57" s="837"/>
      <c r="G57" s="825"/>
      <c r="H57" s="832"/>
      <c r="I57" s="835"/>
      <c r="J57" s="750"/>
      <c r="K57" s="750"/>
      <c r="L57" s="2"/>
      <c r="M57" s="2"/>
      <c r="N57" s="67"/>
      <c r="O57" s="489"/>
    </row>
    <row r="58" spans="2:15" s="2" customFormat="1" ht="20.25" customHeight="1" x14ac:dyDescent="0.25">
      <c r="B58" s="487"/>
      <c r="D58" s="838" t="s">
        <v>451</v>
      </c>
      <c r="E58" s="838"/>
      <c r="F58" s="838"/>
      <c r="G58" s="90">
        <f>IF(HLOOKUP($D58, LoneParentsCensus, selection+1, FALSE) = "", "", HLOOKUP($D58, LoneParentsCensus, selection+1, FALSE))</f>
        <v>480</v>
      </c>
      <c r="H58" s="90">
        <f>IF(HLOOKUP($D58, LoneParentsCensus, selection2+1, FALSE) = "", "", HLOOKUP($D58, LoneParentsCensus, selection2+1, FALSE))</f>
        <v>519</v>
      </c>
      <c r="I58" s="90">
        <v>18637</v>
      </c>
      <c r="J58" s="90">
        <v>215348</v>
      </c>
      <c r="K58" s="90">
        <v>1564681</v>
      </c>
      <c r="O58" s="487"/>
    </row>
    <row r="59" spans="2:15" s="2" customFormat="1" ht="20.25" customHeight="1" x14ac:dyDescent="0.25">
      <c r="B59" s="487"/>
      <c r="D59" s="839" t="s">
        <v>455</v>
      </c>
      <c r="E59" s="839"/>
      <c r="F59" s="839"/>
      <c r="G59" s="90">
        <f>IF(HLOOKUP($D59, LoneParentsCensus, selection+1, FALSE) = "", "", HLOOKUP($D59, LoneParentsCensus, selection+1, FALSE))</f>
        <v>144</v>
      </c>
      <c r="H59" s="43">
        <f>IF(HLOOKUP($D59, LoneParentsCensus, selection2+1, FALSE) = "", "", HLOOKUP($D59, LoneParentsCensus, selection2+1, FALSE))</f>
        <v>232</v>
      </c>
      <c r="I59" s="43">
        <v>6279</v>
      </c>
      <c r="J59" s="43">
        <v>78504</v>
      </c>
      <c r="K59" s="43">
        <v>634019</v>
      </c>
      <c r="O59" s="487"/>
    </row>
    <row r="60" spans="2:15" s="2" customFormat="1" ht="20.25" customHeight="1" x14ac:dyDescent="0.25">
      <c r="B60" s="487"/>
      <c r="D60" s="839" t="s">
        <v>452</v>
      </c>
      <c r="E60" s="839"/>
      <c r="F60" s="839"/>
      <c r="G60" s="99">
        <f>IF(HLOOKUP($D60, LoneParentsCensus, selection+1, FALSE) = "", "", HLOOKUP($D60, LoneParentsCensus, selection+1, FALSE))</f>
        <v>0.3</v>
      </c>
      <c r="H60" s="48">
        <f>IF(HLOOKUP($D60, LoneParentsCensus, selection2+1, FALSE) = "", "", HLOOKUP($D60, LoneParentsCensus, selection2+1, FALSE))</f>
        <v>0.44701348747591524</v>
      </c>
      <c r="I60" s="48">
        <v>0.33691044696034772</v>
      </c>
      <c r="J60" s="48">
        <v>0.364544829763917</v>
      </c>
      <c r="K60" s="48">
        <v>0.40520655648020265</v>
      </c>
      <c r="O60" s="487"/>
    </row>
    <row r="61" spans="2:15" s="2" customFormat="1" ht="20.25" customHeight="1" x14ac:dyDescent="0.25">
      <c r="B61" s="487"/>
      <c r="D61" s="838" t="s">
        <v>453</v>
      </c>
      <c r="E61" s="838"/>
      <c r="F61" s="838"/>
      <c r="G61" s="90">
        <f>IF(HLOOKUP($D61, LoneParentsCensus, selection+1, FALSE) = "", "", HLOOKUP($D61, LoneParentsCensus, selection+1, FALSE))</f>
        <v>46</v>
      </c>
      <c r="H61" s="43">
        <f>IF(HLOOKUP($D61, LoneParentsCensus, selection2+1, FALSE) = "", "", HLOOKUP($D61, LoneParentsCensus, selection2+1, FALSE))</f>
        <v>39</v>
      </c>
      <c r="I61" s="43">
        <v>1695</v>
      </c>
      <c r="J61" s="43">
        <v>22090</v>
      </c>
      <c r="K61" s="43">
        <v>151744</v>
      </c>
      <c r="O61" s="487"/>
    </row>
    <row r="62" spans="2:15" ht="15" x14ac:dyDescent="0.25">
      <c r="B62" s="489"/>
      <c r="C62" s="2"/>
      <c r="D62" s="2"/>
      <c r="E62" s="2"/>
      <c r="F62" s="2"/>
      <c r="G62" s="2"/>
      <c r="H62" s="2"/>
      <c r="I62" s="2"/>
      <c r="J62" s="2"/>
      <c r="K62" s="2"/>
      <c r="L62" s="2"/>
      <c r="M62" s="2"/>
      <c r="N62" s="67"/>
      <c r="O62" s="489"/>
    </row>
    <row r="63" spans="2:15" ht="15" x14ac:dyDescent="0.25">
      <c r="B63" s="489"/>
      <c r="C63" s="2"/>
      <c r="D63" s="2"/>
      <c r="E63" s="2"/>
      <c r="F63" s="2"/>
      <c r="G63" s="2"/>
      <c r="H63" s="2"/>
      <c r="I63" s="2"/>
      <c r="J63" s="2"/>
      <c r="K63" s="2"/>
      <c r="L63" s="2"/>
      <c r="M63" s="2"/>
      <c r="N63" s="67"/>
      <c r="O63" s="489"/>
    </row>
    <row r="64" spans="2:15" ht="15" x14ac:dyDescent="0.25">
      <c r="B64" s="489"/>
      <c r="C64" s="2"/>
      <c r="D64" s="2"/>
      <c r="E64" s="2"/>
      <c r="F64" s="2"/>
      <c r="G64" s="2"/>
      <c r="H64" s="2"/>
      <c r="I64" s="2"/>
      <c r="J64" s="2"/>
      <c r="K64" s="2"/>
      <c r="L64" s="2"/>
      <c r="M64" s="2"/>
      <c r="N64" s="67"/>
      <c r="O64" s="489"/>
    </row>
    <row r="65" spans="2:15" ht="15" x14ac:dyDescent="0.25">
      <c r="B65" s="489"/>
      <c r="C65" s="2"/>
      <c r="D65" s="2"/>
      <c r="E65" s="2"/>
      <c r="F65" s="2"/>
      <c r="G65" s="2"/>
      <c r="H65" s="2"/>
      <c r="I65" s="2"/>
      <c r="J65" s="2"/>
      <c r="K65" s="2"/>
      <c r="L65" s="2"/>
      <c r="M65" s="2"/>
      <c r="N65" s="67"/>
      <c r="O65" s="489"/>
    </row>
    <row r="66" spans="2:15" ht="20.25" customHeight="1" x14ac:dyDescent="0.25">
      <c r="B66" s="489"/>
      <c r="C66" s="95" t="s">
        <v>1047</v>
      </c>
      <c r="D66" s="299"/>
      <c r="E66" s="299"/>
      <c r="F66" s="299"/>
      <c r="G66" s="299"/>
      <c r="H66" s="299"/>
      <c r="I66" s="299"/>
      <c r="J66" s="299"/>
      <c r="K66" s="299"/>
      <c r="L66" s="299"/>
      <c r="M66" s="299"/>
      <c r="N66" s="2"/>
      <c r="O66" s="489"/>
    </row>
    <row r="67" spans="2:15" ht="30" customHeight="1" x14ac:dyDescent="0.25">
      <c r="B67" s="489"/>
      <c r="C67" s="829" t="s">
        <v>807</v>
      </c>
      <c r="D67" s="829"/>
      <c r="E67" s="829"/>
      <c r="F67" s="829"/>
      <c r="G67" s="829"/>
      <c r="H67" s="829"/>
      <c r="I67" s="829"/>
      <c r="J67" s="829"/>
      <c r="K67" s="829"/>
      <c r="L67" s="829"/>
      <c r="M67" s="829"/>
      <c r="N67" s="2"/>
      <c r="O67" s="489"/>
    </row>
    <row r="68" spans="2:15" ht="15" x14ac:dyDescent="0.25">
      <c r="B68" s="489"/>
      <c r="C68" s="299"/>
      <c r="D68" s="299"/>
      <c r="E68" s="299"/>
      <c r="F68" s="299"/>
      <c r="G68" s="299"/>
      <c r="H68" s="299"/>
      <c r="I68" s="299"/>
      <c r="J68" s="299"/>
      <c r="K68" s="299"/>
      <c r="L68" s="299"/>
      <c r="M68" s="299"/>
      <c r="N68" s="2"/>
      <c r="O68" s="489"/>
    </row>
    <row r="69" spans="2:15" ht="43.5" customHeight="1" x14ac:dyDescent="0.25">
      <c r="B69" s="489"/>
      <c r="C69" s="299"/>
      <c r="D69" s="840" t="s">
        <v>643</v>
      </c>
      <c r="E69" s="841"/>
      <c r="F69" s="842"/>
      <c r="G69" s="304" t="str">
        <f>INDEX(Locations,selection)</f>
        <v>Angmering</v>
      </c>
      <c r="H69" s="305" t="str">
        <f>INDEX(Locations,selection2)</f>
        <v>Bewbush</v>
      </c>
      <c r="I69" s="300" t="s">
        <v>291</v>
      </c>
      <c r="J69" s="299"/>
      <c r="K69" s="299"/>
      <c r="L69" s="299"/>
      <c r="M69" s="299"/>
      <c r="N69" s="2"/>
      <c r="O69" s="489"/>
    </row>
    <row r="70" spans="2:15" ht="15" x14ac:dyDescent="0.25">
      <c r="B70" s="489"/>
      <c r="C70" s="308">
        <v>2011</v>
      </c>
      <c r="D70" s="819" t="s">
        <v>448</v>
      </c>
      <c r="E70" s="820"/>
      <c r="F70" s="821"/>
      <c r="G70" s="306">
        <f>HLOOKUP(D70,loneparentlowincome,selection+1, FALSE)</f>
        <v>115</v>
      </c>
      <c r="H70" s="303">
        <f t="shared" ref="H70:H75" si="0">HLOOKUP(D70,loneparentlowincome, selection2+1,FALSE)</f>
        <v>220</v>
      </c>
      <c r="I70" s="303">
        <v>5395</v>
      </c>
      <c r="J70" s="299"/>
      <c r="K70" s="299"/>
      <c r="L70" s="299"/>
      <c r="M70" s="299"/>
      <c r="N70" s="2"/>
      <c r="O70" s="489"/>
    </row>
    <row r="71" spans="2:15" ht="15" x14ac:dyDescent="0.25">
      <c r="B71" s="489"/>
      <c r="C71" s="307">
        <v>2012</v>
      </c>
      <c r="D71" s="819" t="s">
        <v>449</v>
      </c>
      <c r="E71" s="820"/>
      <c r="F71" s="821"/>
      <c r="G71" s="306">
        <f>HLOOKUP(D71,loneparentlowincome,selection+1,FALSE)</f>
        <v>95</v>
      </c>
      <c r="H71" s="303">
        <f t="shared" si="0"/>
        <v>180</v>
      </c>
      <c r="I71" s="303">
        <v>4895</v>
      </c>
      <c r="J71" s="299"/>
      <c r="K71" s="299"/>
      <c r="L71" s="299"/>
      <c r="M71" s="299"/>
      <c r="N71" s="2"/>
      <c r="O71" s="489"/>
    </row>
    <row r="72" spans="2:15" ht="15" x14ac:dyDescent="0.25">
      <c r="B72" s="489"/>
      <c r="C72" s="307">
        <v>2013</v>
      </c>
      <c r="D72" s="819" t="s">
        <v>450</v>
      </c>
      <c r="E72" s="820"/>
      <c r="F72" s="821"/>
      <c r="G72" s="306">
        <f>HLOOKUP(D72,loneparentlowincome,selection+1,FALSE)</f>
        <v>75</v>
      </c>
      <c r="H72" s="303">
        <f t="shared" si="0"/>
        <v>165</v>
      </c>
      <c r="I72" s="303">
        <v>4255</v>
      </c>
      <c r="J72" s="299"/>
      <c r="K72" s="299"/>
      <c r="L72" s="299"/>
      <c r="M72" s="299"/>
      <c r="N72" s="2"/>
      <c r="O72" s="489"/>
    </row>
    <row r="73" spans="2:15" ht="15" x14ac:dyDescent="0.25">
      <c r="B73" s="489"/>
      <c r="C73" s="309">
        <v>2014</v>
      </c>
      <c r="D73" s="819" t="s">
        <v>805</v>
      </c>
      <c r="E73" s="820"/>
      <c r="F73" s="821"/>
      <c r="G73" s="306">
        <f>HLOOKUP(D73,loneparentlowincome,selection+1,FALSE)</f>
        <v>75</v>
      </c>
      <c r="H73" s="303">
        <f t="shared" si="0"/>
        <v>155</v>
      </c>
      <c r="I73" s="303">
        <v>4135</v>
      </c>
      <c r="J73" s="299"/>
      <c r="K73" s="299"/>
      <c r="L73" s="299"/>
      <c r="M73" s="299"/>
      <c r="N73" s="2"/>
      <c r="O73" s="489"/>
    </row>
    <row r="74" spans="2:15" ht="15" x14ac:dyDescent="0.25">
      <c r="B74" s="489"/>
      <c r="C74" s="307">
        <v>2015</v>
      </c>
      <c r="D74" s="819" t="s">
        <v>806</v>
      </c>
      <c r="E74" s="820"/>
      <c r="F74" s="821"/>
      <c r="G74" s="306">
        <f>HLOOKUP(D74,loneparentlowincome,selection+1,FALSE)</f>
        <v>70</v>
      </c>
      <c r="H74" s="303">
        <f t="shared" si="0"/>
        <v>145</v>
      </c>
      <c r="I74" s="303">
        <v>3900</v>
      </c>
      <c r="J74" s="299"/>
      <c r="K74" s="299"/>
      <c r="L74" s="299"/>
      <c r="M74" s="299"/>
      <c r="N74" s="2"/>
      <c r="O74" s="489"/>
    </row>
    <row r="75" spans="2:15" ht="15" x14ac:dyDescent="0.25">
      <c r="B75" s="489"/>
      <c r="C75" s="299"/>
      <c r="D75" s="819" t="s">
        <v>994</v>
      </c>
      <c r="E75" s="820"/>
      <c r="F75" s="821"/>
      <c r="G75" s="306">
        <f>HLOOKUP(D75,loneparentlowincome,selection+1,FALSE)</f>
        <v>70</v>
      </c>
      <c r="H75" s="303">
        <f t="shared" si="0"/>
        <v>130</v>
      </c>
      <c r="I75" s="303">
        <f>Data!CN76</f>
        <v>3555</v>
      </c>
      <c r="J75" s="299"/>
      <c r="K75" s="299"/>
      <c r="L75" s="299"/>
      <c r="M75" s="299"/>
      <c r="N75" s="2"/>
      <c r="O75" s="489"/>
    </row>
    <row r="76" spans="2:15" ht="15" x14ac:dyDescent="0.25">
      <c r="B76" s="489"/>
      <c r="C76" s="299"/>
      <c r="D76" s="299"/>
      <c r="E76" s="299"/>
      <c r="F76" s="299"/>
      <c r="G76" s="299"/>
      <c r="H76" s="299"/>
      <c r="I76" s="299"/>
      <c r="J76" s="299"/>
      <c r="K76" s="299"/>
      <c r="L76" s="299"/>
      <c r="M76" s="299"/>
      <c r="N76" s="2"/>
      <c r="O76" s="489"/>
    </row>
    <row r="77" spans="2:15" ht="15" x14ac:dyDescent="0.25">
      <c r="B77" s="489"/>
      <c r="C77" s="299"/>
      <c r="D77" s="299"/>
      <c r="E77" s="299"/>
      <c r="F77" s="299"/>
      <c r="G77" s="299"/>
      <c r="H77" s="299"/>
      <c r="I77" s="299"/>
      <c r="J77" s="299"/>
      <c r="K77" s="299"/>
      <c r="L77" s="299"/>
      <c r="M77" s="299"/>
      <c r="N77" s="2"/>
      <c r="O77" s="489"/>
    </row>
    <row r="78" spans="2:15" ht="15" x14ac:dyDescent="0.25">
      <c r="B78" s="489"/>
      <c r="C78" s="299"/>
      <c r="D78" s="299"/>
      <c r="E78" s="299"/>
      <c r="F78" s="299"/>
      <c r="G78" s="299"/>
      <c r="H78" s="299"/>
      <c r="I78" s="299"/>
      <c r="J78" s="299"/>
      <c r="K78" s="299"/>
      <c r="L78" s="299"/>
      <c r="M78" s="299"/>
      <c r="N78" s="2"/>
      <c r="O78" s="489"/>
    </row>
    <row r="79" spans="2:15" ht="15" x14ac:dyDescent="0.25">
      <c r="B79" s="489"/>
      <c r="C79" s="2"/>
      <c r="D79" s="2"/>
      <c r="E79" s="2"/>
      <c r="F79" s="2"/>
      <c r="G79" s="2"/>
      <c r="H79" s="2"/>
      <c r="I79" s="2"/>
      <c r="J79" s="2"/>
      <c r="K79" s="2"/>
      <c r="L79" s="2"/>
      <c r="M79" s="2"/>
      <c r="N79" s="2"/>
      <c r="O79" s="489"/>
    </row>
    <row r="80" spans="2:15" x14ac:dyDescent="0.2">
      <c r="B80" s="489"/>
      <c r="C80" s="489"/>
      <c r="D80" s="489"/>
      <c r="E80" s="489"/>
      <c r="F80" s="489"/>
      <c r="G80" s="489"/>
      <c r="H80" s="489"/>
      <c r="I80" s="489"/>
      <c r="J80" s="489"/>
      <c r="K80" s="489"/>
      <c r="L80" s="489"/>
      <c r="M80" s="489"/>
      <c r="N80" s="489"/>
      <c r="O80" s="489"/>
    </row>
    <row r="81" spans="2:15" x14ac:dyDescent="0.2">
      <c r="B81" s="489"/>
      <c r="C81" s="489"/>
      <c r="D81" s="489"/>
      <c r="E81" s="489"/>
      <c r="F81" s="489"/>
      <c r="G81" s="489"/>
      <c r="H81" s="489"/>
      <c r="I81" s="489"/>
      <c r="J81" s="489"/>
      <c r="K81" s="489"/>
      <c r="L81" s="489"/>
      <c r="M81" s="489"/>
      <c r="N81" s="489"/>
      <c r="O81" s="489"/>
    </row>
    <row r="82" spans="2:15" x14ac:dyDescent="0.2">
      <c r="B82" s="489"/>
      <c r="C82" s="489"/>
      <c r="D82" s="489"/>
      <c r="E82" s="489"/>
      <c r="F82" s="489"/>
      <c r="G82" s="489"/>
      <c r="H82" s="489"/>
      <c r="I82" s="489"/>
      <c r="J82" s="489"/>
      <c r="K82" s="489"/>
      <c r="L82" s="489"/>
      <c r="M82" s="489"/>
      <c r="N82" s="489"/>
      <c r="O82" s="489"/>
    </row>
  </sheetData>
  <sheetProtection sheet="1" objects="1" scenarios="1"/>
  <mergeCells count="35">
    <mergeCell ref="J55:J57"/>
    <mergeCell ref="D55:F57"/>
    <mergeCell ref="D58:F58"/>
    <mergeCell ref="D59:F59"/>
    <mergeCell ref="D71:F71"/>
    <mergeCell ref="D60:F60"/>
    <mergeCell ref="D61:F61"/>
    <mergeCell ref="D69:F69"/>
    <mergeCell ref="D70:F70"/>
    <mergeCell ref="D72:F72"/>
    <mergeCell ref="D73:F73"/>
    <mergeCell ref="D75:F75"/>
    <mergeCell ref="I38:I40"/>
    <mergeCell ref="D38:G40"/>
    <mergeCell ref="D44:G44"/>
    <mergeCell ref="G55:G57"/>
    <mergeCell ref="D42:G42"/>
    <mergeCell ref="D43:G43"/>
    <mergeCell ref="H38:H40"/>
    <mergeCell ref="D41:G41"/>
    <mergeCell ref="D74:F74"/>
    <mergeCell ref="C67:M67"/>
    <mergeCell ref="H55:H57"/>
    <mergeCell ref="I55:I57"/>
    <mergeCell ref="K55:K57"/>
    <mergeCell ref="A2:L2"/>
    <mergeCell ref="E33:H33"/>
    <mergeCell ref="H16:H18"/>
    <mergeCell ref="D21:G21"/>
    <mergeCell ref="D22:G22"/>
    <mergeCell ref="D23:G23"/>
    <mergeCell ref="I16:I18"/>
    <mergeCell ref="D16:G18"/>
    <mergeCell ref="D19:G19"/>
    <mergeCell ref="D20:G20"/>
  </mergeCells>
  <pageMargins left="0.25" right="0.25" top="0.75" bottom="0.75" header="0.3" footer="0.3"/>
  <pageSetup paperSize="9" scale="61" fitToHeight="2" orientation="portrait" r:id="rId1"/>
  <rowBreaks count="1" manualBreakCount="1">
    <brk id="62" max="15" man="1"/>
  </rowBreaks>
  <ignoredErrors>
    <ignoredError sqref="H58" 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4098" r:id="rId4" name="Drop Down 2">
              <controlPr defaultSize="0" autoLine="0" autoPict="0">
                <anchor>
                  <from>
                    <xdr:col>4</xdr:col>
                    <xdr:colOff>914400</xdr:colOff>
                    <xdr:row>4</xdr:row>
                    <xdr:rowOff>180975</xdr:rowOff>
                  </from>
                  <to>
                    <xdr:col>7</xdr:col>
                    <xdr:colOff>828675</xdr:colOff>
                    <xdr:row>6</xdr:row>
                    <xdr:rowOff>66675</xdr:rowOff>
                  </to>
                </anchor>
              </controlPr>
            </control>
          </mc:Choice>
        </mc:AlternateContent>
        <mc:AlternateContent xmlns:mc="http://schemas.openxmlformats.org/markup-compatibility/2006">
          <mc:Choice Requires="x14">
            <control shapeId="4099" r:id="rId5" name="Drop Down 3">
              <controlPr defaultSize="0" autoLine="0" autoPict="0">
                <anchor>
                  <from>
                    <xdr:col>4</xdr:col>
                    <xdr:colOff>914400</xdr:colOff>
                    <xdr:row>6</xdr:row>
                    <xdr:rowOff>161925</xdr:rowOff>
                  </from>
                  <to>
                    <xdr:col>7</xdr:col>
                    <xdr:colOff>828675</xdr:colOff>
                    <xdr:row>8</xdr:row>
                    <xdr:rowOff>47625</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tabColor theme="4"/>
  </sheetPr>
  <dimension ref="A1:AD966"/>
  <sheetViews>
    <sheetView zoomScaleNormal="100" zoomScaleSheetLayoutView="80" zoomScalePageLayoutView="20" workbookViewId="0">
      <selection activeCell="Y707" sqref="Y707"/>
    </sheetView>
  </sheetViews>
  <sheetFormatPr defaultColWidth="8.796875" defaultRowHeight="14.25" x14ac:dyDescent="0.2"/>
  <cols>
    <col min="1" max="1" width="1" style="1" customWidth="1"/>
    <col min="2" max="2" width="1.19921875" style="1" customWidth="1"/>
    <col min="3" max="3" width="5.59765625" style="1" customWidth="1"/>
    <col min="4" max="15" width="5.69921875" style="1" customWidth="1"/>
    <col min="16" max="16" width="5.69921875" style="67" customWidth="1"/>
    <col min="17" max="20" width="5.69921875" style="1" customWidth="1"/>
    <col min="21" max="21" width="7.5" style="1" customWidth="1"/>
    <col min="22" max="22" width="1.19921875" style="1" customWidth="1"/>
    <col min="23" max="23" width="1.09765625" style="1" customWidth="1"/>
    <col min="24" max="24" width="1" style="1" customWidth="1"/>
    <col min="25" max="16384" width="8.796875" style="1"/>
  </cols>
  <sheetData>
    <row r="1" spans="1:23" ht="15" x14ac:dyDescent="0.25">
      <c r="R1" s="21">
        <f ca="1">NOW()</f>
        <v>42740.35657314815</v>
      </c>
    </row>
    <row r="2" spans="1:23" ht="17.25" customHeight="1" x14ac:dyDescent="0.2">
      <c r="A2" s="732"/>
      <c r="B2" s="733"/>
      <c r="C2" s="733"/>
      <c r="D2" s="733"/>
      <c r="E2" s="733"/>
      <c r="F2" s="733"/>
      <c r="G2" s="733"/>
      <c r="H2" s="733"/>
      <c r="I2" s="733"/>
      <c r="J2" s="733"/>
      <c r="K2" s="733"/>
      <c r="L2" s="733"/>
    </row>
    <row r="3" spans="1:23" ht="15" x14ac:dyDescent="0.25">
      <c r="A3" s="2"/>
      <c r="B3" s="2"/>
      <c r="C3" s="2"/>
      <c r="D3" s="2"/>
      <c r="E3" s="2"/>
      <c r="F3" s="2"/>
      <c r="G3" s="2"/>
      <c r="H3" s="2"/>
      <c r="I3" s="2"/>
      <c r="J3" s="2"/>
      <c r="K3" s="2"/>
      <c r="L3" s="2"/>
    </row>
    <row r="4" spans="1:23" ht="15" x14ac:dyDescent="0.25">
      <c r="A4" s="2"/>
      <c r="B4" s="2"/>
      <c r="C4" s="2"/>
      <c r="D4" s="2"/>
      <c r="E4" s="2"/>
      <c r="F4" s="2"/>
      <c r="G4" s="2"/>
      <c r="H4" s="2"/>
      <c r="I4" s="2"/>
      <c r="J4" s="2"/>
      <c r="K4" s="2"/>
      <c r="L4" s="2"/>
      <c r="P4" s="5"/>
      <c r="Q4" s="5"/>
      <c r="R4" s="5"/>
      <c r="S4" s="5"/>
      <c r="T4" s="5"/>
      <c r="U4" s="5"/>
      <c r="V4" s="5"/>
      <c r="W4" s="5"/>
    </row>
    <row r="5" spans="1:23" s="67" customFormat="1" ht="15" x14ac:dyDescent="0.25">
      <c r="A5" s="248"/>
      <c r="B5" s="487"/>
      <c r="C5" s="487"/>
      <c r="D5" s="487"/>
      <c r="E5" s="487"/>
      <c r="F5" s="487"/>
      <c r="G5" s="487"/>
      <c r="H5" s="487"/>
      <c r="I5" s="487"/>
      <c r="J5" s="487"/>
      <c r="K5" s="487"/>
      <c r="L5" s="487"/>
      <c r="M5" s="489"/>
      <c r="N5" s="489"/>
      <c r="O5" s="489"/>
      <c r="P5" s="489"/>
      <c r="Q5" s="489"/>
      <c r="R5" s="489"/>
      <c r="S5" s="489"/>
      <c r="T5" s="489"/>
      <c r="U5" s="489"/>
      <c r="V5" s="489"/>
      <c r="W5" s="489"/>
    </row>
    <row r="6" spans="1:23" s="67" customFormat="1" ht="15" x14ac:dyDescent="0.25">
      <c r="A6" s="248"/>
      <c r="B6" s="487"/>
      <c r="C6" s="487"/>
      <c r="D6" s="487"/>
      <c r="E6" s="487"/>
      <c r="F6" s="487"/>
      <c r="G6" s="487"/>
      <c r="H6" s="487"/>
      <c r="I6" s="487"/>
      <c r="J6" s="487"/>
      <c r="K6" s="487"/>
      <c r="L6" s="487"/>
      <c r="M6" s="489"/>
      <c r="N6" s="489"/>
      <c r="O6" s="489"/>
      <c r="P6" s="489"/>
      <c r="Q6" s="489"/>
      <c r="R6" s="489"/>
      <c r="S6" s="489"/>
      <c r="T6" s="489"/>
      <c r="U6" s="489"/>
      <c r="V6" s="489"/>
      <c r="W6" s="489"/>
    </row>
    <row r="7" spans="1:23" s="67" customFormat="1" ht="15" x14ac:dyDescent="0.25">
      <c r="A7" s="248"/>
      <c r="B7" s="487"/>
      <c r="C7" s="487"/>
      <c r="D7" s="487"/>
      <c r="E7" s="487"/>
      <c r="F7" s="487"/>
      <c r="G7" s="487"/>
      <c r="H7" s="487"/>
      <c r="I7" s="487"/>
      <c r="J7" s="487"/>
      <c r="K7" s="487"/>
      <c r="L7" s="487"/>
      <c r="M7" s="489"/>
      <c r="N7" s="489"/>
      <c r="O7" s="489"/>
      <c r="P7" s="489"/>
      <c r="Q7" s="489"/>
      <c r="R7" s="489"/>
      <c r="S7" s="489"/>
      <c r="T7" s="489"/>
      <c r="U7" s="489"/>
      <c r="V7" s="489"/>
      <c r="W7" s="489"/>
    </row>
    <row r="8" spans="1:23" s="67" customFormat="1" ht="15" x14ac:dyDescent="0.25">
      <c r="A8" s="248"/>
      <c r="B8" s="487"/>
      <c r="C8" s="487"/>
      <c r="D8" s="487"/>
      <c r="E8" s="487"/>
      <c r="F8" s="487"/>
      <c r="G8" s="487"/>
      <c r="H8" s="487"/>
      <c r="I8" s="487"/>
      <c r="J8" s="487"/>
      <c r="K8" s="487"/>
      <c r="L8" s="487"/>
      <c r="M8" s="489"/>
      <c r="N8" s="489"/>
      <c r="O8" s="489"/>
      <c r="P8" s="489"/>
      <c r="Q8" s="489"/>
      <c r="R8" s="489"/>
      <c r="S8" s="489"/>
      <c r="T8" s="489"/>
      <c r="U8" s="489"/>
      <c r="V8" s="489"/>
      <c r="W8" s="489"/>
    </row>
    <row r="9" spans="1:23" ht="15" x14ac:dyDescent="0.25">
      <c r="A9" s="2"/>
      <c r="B9" s="487"/>
      <c r="C9" s="487"/>
      <c r="D9" s="487"/>
      <c r="E9" s="487"/>
      <c r="F9" s="487"/>
      <c r="G9" s="487"/>
      <c r="H9" s="487"/>
      <c r="I9" s="487"/>
      <c r="J9" s="487"/>
      <c r="K9" s="487"/>
      <c r="L9" s="487"/>
      <c r="M9" s="489"/>
      <c r="N9" s="489"/>
      <c r="O9" s="489"/>
      <c r="P9" s="489"/>
      <c r="Q9" s="489"/>
      <c r="R9" s="489"/>
      <c r="S9" s="489"/>
      <c r="T9" s="489"/>
      <c r="U9" s="489"/>
      <c r="V9" s="489"/>
      <c r="W9" s="489"/>
    </row>
    <row r="10" spans="1:23" ht="15" x14ac:dyDescent="0.25">
      <c r="A10" s="2"/>
      <c r="B10" s="487"/>
      <c r="C10" s="487"/>
      <c r="D10" s="487"/>
      <c r="E10" s="487"/>
      <c r="F10" s="487"/>
      <c r="G10" s="487"/>
      <c r="H10" s="487"/>
      <c r="I10" s="487"/>
      <c r="J10" s="487"/>
      <c r="K10" s="487"/>
      <c r="L10" s="487"/>
      <c r="M10" s="489"/>
      <c r="N10" s="489"/>
      <c r="O10" s="489"/>
      <c r="P10" s="489"/>
      <c r="Q10" s="489"/>
      <c r="R10" s="489"/>
      <c r="S10" s="489"/>
      <c r="T10" s="489"/>
      <c r="U10" s="489"/>
      <c r="V10" s="489"/>
      <c r="W10" s="489"/>
    </row>
    <row r="11" spans="1:23" ht="15" x14ac:dyDescent="0.25">
      <c r="A11" s="2"/>
      <c r="B11" s="487"/>
      <c r="C11" s="92"/>
      <c r="D11" s="92"/>
      <c r="E11" s="92"/>
      <c r="F11" s="92"/>
      <c r="G11" s="92"/>
      <c r="H11" s="92"/>
      <c r="I11" s="92"/>
      <c r="J11" s="92"/>
      <c r="K11" s="92"/>
      <c r="L11" s="92"/>
      <c r="M11" s="67"/>
      <c r="N11" s="67"/>
      <c r="O11" s="67"/>
      <c r="Q11" s="67"/>
      <c r="R11" s="67"/>
      <c r="S11" s="67"/>
      <c r="T11" s="67"/>
      <c r="U11" s="67"/>
      <c r="V11" s="67"/>
      <c r="W11" s="489"/>
    </row>
    <row r="12" spans="1:23" ht="15" x14ac:dyDescent="0.25">
      <c r="A12" s="2"/>
      <c r="B12" s="487"/>
      <c r="C12" s="92"/>
      <c r="D12" s="92"/>
      <c r="E12" s="92"/>
      <c r="F12" s="92"/>
      <c r="G12" s="92"/>
      <c r="H12" s="92"/>
      <c r="I12" s="92"/>
      <c r="J12" s="92"/>
      <c r="K12" s="92"/>
      <c r="L12" s="92"/>
      <c r="M12" s="67"/>
      <c r="N12" s="67"/>
      <c r="O12" s="67"/>
      <c r="Q12" s="67"/>
      <c r="R12" s="67"/>
      <c r="S12" s="67"/>
      <c r="T12" s="67"/>
      <c r="U12" s="67"/>
      <c r="V12" s="67"/>
      <c r="W12" s="489"/>
    </row>
    <row r="13" spans="1:23" ht="15" x14ac:dyDescent="0.25">
      <c r="A13" s="2"/>
      <c r="B13" s="487"/>
      <c r="C13" s="92"/>
      <c r="D13" s="92"/>
      <c r="E13" s="92"/>
      <c r="F13" s="92"/>
      <c r="G13" s="92"/>
      <c r="H13" s="92"/>
      <c r="I13" s="92"/>
      <c r="J13" s="92"/>
      <c r="K13" s="92"/>
      <c r="L13" s="92"/>
      <c r="M13" s="67"/>
      <c r="N13" s="67"/>
      <c r="O13" s="67"/>
      <c r="Q13" s="67"/>
      <c r="R13" s="67"/>
      <c r="S13" s="67"/>
      <c r="T13" s="67"/>
      <c r="U13" s="67"/>
      <c r="V13" s="67"/>
      <c r="W13" s="489"/>
    </row>
    <row r="14" spans="1:23" ht="15" x14ac:dyDescent="0.25">
      <c r="A14" s="2"/>
      <c r="B14" s="487"/>
      <c r="C14" s="92"/>
      <c r="D14" s="92"/>
      <c r="E14" s="92"/>
      <c r="F14" s="92"/>
      <c r="G14" s="92"/>
      <c r="H14" s="92"/>
      <c r="I14" s="92"/>
      <c r="J14" s="92"/>
      <c r="K14" s="92"/>
      <c r="L14" s="92"/>
      <c r="M14" s="67"/>
      <c r="N14" s="67"/>
      <c r="O14" s="67"/>
      <c r="Q14" s="67"/>
      <c r="R14" s="67"/>
      <c r="S14" s="67"/>
      <c r="T14" s="67"/>
      <c r="U14" s="67"/>
      <c r="V14" s="67"/>
      <c r="W14" s="489"/>
    </row>
    <row r="15" spans="1:23" ht="15" x14ac:dyDescent="0.25">
      <c r="A15" s="2"/>
      <c r="B15" s="487"/>
      <c r="C15" s="92"/>
      <c r="D15" s="92"/>
      <c r="E15" s="92"/>
      <c r="F15" s="92"/>
      <c r="G15" s="92"/>
      <c r="H15" s="92"/>
      <c r="I15" s="92"/>
      <c r="J15" s="92"/>
      <c r="K15" s="92"/>
      <c r="L15" s="92"/>
      <c r="M15" s="67"/>
      <c r="N15" s="67"/>
      <c r="O15" s="67"/>
      <c r="Q15" s="67"/>
      <c r="R15" s="67"/>
      <c r="S15" s="67"/>
      <c r="T15" s="67"/>
      <c r="U15" s="67"/>
      <c r="V15" s="67"/>
      <c r="W15" s="489"/>
    </row>
    <row r="16" spans="1:23" ht="15" x14ac:dyDescent="0.25">
      <c r="A16" s="2"/>
      <c r="B16" s="487"/>
      <c r="C16" s="92"/>
      <c r="D16" s="92"/>
      <c r="E16" s="92"/>
      <c r="F16" s="92"/>
      <c r="G16" s="92"/>
      <c r="H16" s="92"/>
      <c r="I16" s="92"/>
      <c r="J16" s="92"/>
      <c r="K16" s="92"/>
      <c r="L16" s="92"/>
      <c r="M16" s="67"/>
      <c r="N16" s="67"/>
      <c r="O16" s="67"/>
      <c r="Q16" s="67"/>
      <c r="R16" s="67"/>
      <c r="S16" s="67"/>
      <c r="T16" s="67"/>
      <c r="U16" s="67"/>
      <c r="V16" s="67"/>
      <c r="W16" s="489"/>
    </row>
    <row r="17" spans="1:23" ht="15" x14ac:dyDescent="0.25">
      <c r="A17" s="2"/>
      <c r="B17" s="487"/>
      <c r="C17" s="92"/>
      <c r="D17" s="92"/>
      <c r="E17" s="92"/>
      <c r="F17" s="92"/>
      <c r="G17" s="92"/>
      <c r="H17" s="92"/>
      <c r="I17" s="92"/>
      <c r="J17" s="92"/>
      <c r="K17" s="92"/>
      <c r="L17" s="92"/>
      <c r="M17" s="67"/>
      <c r="N17" s="67"/>
      <c r="O17" s="67"/>
      <c r="Q17" s="67"/>
      <c r="R17" s="67"/>
      <c r="S17" s="67"/>
      <c r="T17" s="67"/>
      <c r="U17" s="67"/>
      <c r="V17" s="67"/>
      <c r="W17" s="489"/>
    </row>
    <row r="18" spans="1:23" ht="15" x14ac:dyDescent="0.25">
      <c r="A18" s="2"/>
      <c r="B18" s="487"/>
      <c r="C18" s="92"/>
      <c r="D18" s="92"/>
      <c r="E18" s="92"/>
      <c r="F18" s="92"/>
      <c r="G18" s="92"/>
      <c r="H18" s="92"/>
      <c r="I18" s="92"/>
      <c r="J18" s="92"/>
      <c r="K18" s="92"/>
      <c r="L18" s="92"/>
      <c r="M18" s="67"/>
      <c r="N18" s="67"/>
      <c r="O18" s="67"/>
      <c r="Q18" s="67"/>
      <c r="R18" s="67"/>
      <c r="S18" s="67"/>
      <c r="T18" s="67"/>
      <c r="U18" s="67"/>
      <c r="V18" s="67"/>
      <c r="W18" s="489"/>
    </row>
    <row r="19" spans="1:23" ht="15" x14ac:dyDescent="0.25">
      <c r="A19" s="2"/>
      <c r="B19" s="487"/>
      <c r="C19" s="92"/>
      <c r="D19" s="92"/>
      <c r="E19" s="92"/>
      <c r="F19" s="92"/>
      <c r="G19" s="92"/>
      <c r="H19" s="92"/>
      <c r="I19" s="92"/>
      <c r="J19" s="92"/>
      <c r="K19" s="92"/>
      <c r="L19" s="92"/>
      <c r="M19" s="67"/>
      <c r="N19" s="67"/>
      <c r="O19" s="67"/>
      <c r="Q19" s="67"/>
      <c r="R19" s="67"/>
      <c r="S19" s="67"/>
      <c r="T19" s="67"/>
      <c r="U19" s="67"/>
      <c r="V19" s="67"/>
      <c r="W19" s="489"/>
    </row>
    <row r="20" spans="1:23" ht="15" x14ac:dyDescent="0.25">
      <c r="A20" s="2"/>
      <c r="B20" s="487"/>
      <c r="C20" s="92"/>
      <c r="D20" s="92"/>
      <c r="E20" s="92"/>
      <c r="F20" s="92"/>
      <c r="G20" s="92"/>
      <c r="H20" s="92"/>
      <c r="I20" s="92"/>
      <c r="J20" s="92"/>
      <c r="K20" s="92"/>
      <c r="L20" s="92"/>
      <c r="M20" s="67"/>
      <c r="N20" s="67"/>
      <c r="O20" s="67"/>
      <c r="Q20" s="67"/>
      <c r="R20" s="67"/>
      <c r="S20" s="67"/>
      <c r="T20" s="67"/>
      <c r="U20" s="67"/>
      <c r="V20" s="67"/>
      <c r="W20" s="489"/>
    </row>
    <row r="21" spans="1:23" ht="15" x14ac:dyDescent="0.25">
      <c r="A21" s="2"/>
      <c r="B21" s="487"/>
      <c r="C21" s="92"/>
      <c r="D21" s="92"/>
      <c r="E21" s="92"/>
      <c r="F21" s="92"/>
      <c r="G21" s="92"/>
      <c r="H21" s="92"/>
      <c r="I21" s="92"/>
      <c r="J21" s="92"/>
      <c r="K21" s="92"/>
      <c r="L21" s="92"/>
      <c r="M21" s="67"/>
      <c r="N21" s="67"/>
      <c r="O21" s="67"/>
      <c r="Q21" s="67"/>
      <c r="R21" s="67"/>
      <c r="S21" s="67"/>
      <c r="T21" s="67"/>
      <c r="U21" s="67"/>
      <c r="V21" s="67"/>
      <c r="W21" s="489"/>
    </row>
    <row r="22" spans="1:23" ht="15" x14ac:dyDescent="0.25">
      <c r="A22" s="2"/>
      <c r="B22" s="487"/>
      <c r="C22" s="92"/>
      <c r="D22" s="92"/>
      <c r="E22" s="92"/>
      <c r="F22" s="92"/>
      <c r="G22" s="92"/>
      <c r="H22" s="92"/>
      <c r="I22" s="92"/>
      <c r="J22" s="92"/>
      <c r="K22" s="92"/>
      <c r="L22" s="92"/>
      <c r="M22" s="67"/>
      <c r="N22" s="67"/>
      <c r="O22" s="67"/>
      <c r="Q22" s="67"/>
      <c r="R22" s="67"/>
      <c r="S22" s="67"/>
      <c r="T22" s="67"/>
      <c r="U22" s="67"/>
      <c r="V22" s="67"/>
      <c r="W22" s="489"/>
    </row>
    <row r="23" spans="1:23" ht="15" x14ac:dyDescent="0.25">
      <c r="A23" s="2"/>
      <c r="B23" s="487"/>
      <c r="C23" s="92"/>
      <c r="D23" s="92"/>
      <c r="E23" s="92"/>
      <c r="F23" s="92"/>
      <c r="G23" s="92"/>
      <c r="H23" s="92"/>
      <c r="I23" s="92"/>
      <c r="J23" s="92"/>
      <c r="K23" s="92"/>
      <c r="L23" s="92"/>
      <c r="M23" s="67"/>
      <c r="N23" s="67"/>
      <c r="O23" s="67"/>
      <c r="Q23" s="67"/>
      <c r="R23" s="67"/>
      <c r="S23" s="67"/>
      <c r="T23" s="67"/>
      <c r="U23" s="67"/>
      <c r="V23" s="67"/>
      <c r="W23" s="489"/>
    </row>
    <row r="24" spans="1:23" ht="15" x14ac:dyDescent="0.25">
      <c r="A24" s="2"/>
      <c r="B24" s="487"/>
      <c r="C24" s="92"/>
      <c r="D24" s="92"/>
      <c r="E24" s="92"/>
      <c r="F24" s="92"/>
      <c r="G24" s="92"/>
      <c r="H24" s="92"/>
      <c r="I24" s="92"/>
      <c r="J24" s="92"/>
      <c r="K24" s="92"/>
      <c r="L24" s="92"/>
      <c r="M24" s="67"/>
      <c r="N24" s="67"/>
      <c r="O24" s="67"/>
      <c r="Q24" s="67"/>
      <c r="R24" s="67"/>
      <c r="S24" s="67"/>
      <c r="T24" s="67"/>
      <c r="U24" s="67"/>
      <c r="V24" s="67"/>
      <c r="W24" s="489"/>
    </row>
    <row r="25" spans="1:23" ht="15" x14ac:dyDescent="0.25">
      <c r="A25" s="2"/>
      <c r="B25" s="487"/>
      <c r="C25" s="92"/>
      <c r="D25" s="92"/>
      <c r="E25" s="92"/>
      <c r="F25" s="92"/>
      <c r="G25" s="92"/>
      <c r="H25" s="92"/>
      <c r="I25" s="92"/>
      <c r="J25" s="92"/>
      <c r="K25" s="92"/>
      <c r="L25" s="92"/>
      <c r="M25" s="67"/>
      <c r="N25" s="67"/>
      <c r="O25" s="67"/>
      <c r="Q25" s="67"/>
      <c r="R25" s="67"/>
      <c r="S25" s="67"/>
      <c r="T25" s="67"/>
      <c r="U25" s="67"/>
      <c r="V25" s="67"/>
      <c r="W25" s="489"/>
    </row>
    <row r="26" spans="1:23" ht="15" x14ac:dyDescent="0.25">
      <c r="A26" s="2"/>
      <c r="B26" s="487"/>
      <c r="C26" s="92"/>
      <c r="D26" s="92"/>
      <c r="E26" s="92"/>
      <c r="F26" s="92"/>
      <c r="G26" s="92"/>
      <c r="H26" s="92"/>
      <c r="I26" s="92"/>
      <c r="J26" s="92"/>
      <c r="K26" s="92"/>
      <c r="L26" s="92"/>
      <c r="M26" s="67"/>
      <c r="N26" s="67"/>
      <c r="O26" s="67"/>
      <c r="Q26" s="67"/>
      <c r="R26" s="67"/>
      <c r="S26" s="67"/>
      <c r="T26" s="67"/>
      <c r="U26" s="67"/>
      <c r="V26" s="67"/>
      <c r="W26" s="489"/>
    </row>
    <row r="27" spans="1:23" ht="15" x14ac:dyDescent="0.25">
      <c r="A27" s="2"/>
      <c r="B27" s="487"/>
      <c r="C27" s="92"/>
      <c r="D27" s="92"/>
      <c r="E27" s="92"/>
      <c r="F27" s="92"/>
      <c r="G27" s="92"/>
      <c r="H27" s="92"/>
      <c r="I27" s="92"/>
      <c r="J27" s="92"/>
      <c r="K27" s="92"/>
      <c r="L27" s="92"/>
      <c r="M27" s="67"/>
      <c r="N27" s="67"/>
      <c r="O27" s="67"/>
      <c r="Q27" s="67"/>
      <c r="R27" s="67"/>
      <c r="S27" s="67"/>
      <c r="T27" s="67"/>
      <c r="U27" s="67"/>
      <c r="V27" s="67"/>
      <c r="W27" s="489"/>
    </row>
    <row r="28" spans="1:23" s="67" customFormat="1" ht="15" x14ac:dyDescent="0.25">
      <c r="A28" s="322"/>
      <c r="B28" s="487"/>
      <c r="C28" s="322"/>
      <c r="D28" s="322"/>
      <c r="E28" s="322"/>
      <c r="F28" s="322"/>
      <c r="G28" s="322"/>
      <c r="H28" s="322"/>
      <c r="I28" s="322"/>
      <c r="J28" s="322"/>
      <c r="K28" s="322"/>
      <c r="L28" s="322"/>
      <c r="W28" s="489"/>
    </row>
    <row r="29" spans="1:23" s="67" customFormat="1" ht="15" x14ac:dyDescent="0.25">
      <c r="A29" s="322"/>
      <c r="B29" s="487"/>
      <c r="C29" s="322"/>
      <c r="D29" s="322"/>
      <c r="E29" s="322"/>
      <c r="F29" s="322"/>
      <c r="G29" s="322"/>
      <c r="H29" s="322"/>
      <c r="I29" s="322"/>
      <c r="J29" s="322"/>
      <c r="K29" s="322"/>
      <c r="L29" s="322"/>
      <c r="W29" s="489"/>
    </row>
    <row r="30" spans="1:23" s="67" customFormat="1" ht="15" x14ac:dyDescent="0.25">
      <c r="A30" s="322"/>
      <c r="B30" s="487"/>
      <c r="C30" s="322"/>
      <c r="D30" s="322"/>
      <c r="E30" s="322"/>
      <c r="F30" s="322"/>
      <c r="G30" s="322"/>
      <c r="H30" s="322"/>
      <c r="I30" s="322"/>
      <c r="J30" s="322"/>
      <c r="K30" s="322"/>
      <c r="L30" s="322"/>
      <c r="W30" s="489"/>
    </row>
    <row r="31" spans="1:23" ht="15" x14ac:dyDescent="0.25">
      <c r="A31" s="2"/>
      <c r="B31" s="487"/>
      <c r="C31" s="92"/>
      <c r="D31" s="92"/>
      <c r="E31" s="92"/>
      <c r="F31" s="92"/>
      <c r="G31" s="92"/>
      <c r="H31" s="92"/>
      <c r="I31" s="92"/>
      <c r="J31" s="92"/>
      <c r="K31" s="92"/>
      <c r="L31" s="92"/>
      <c r="M31" s="67"/>
      <c r="N31" s="67"/>
      <c r="O31" s="67"/>
      <c r="Q31" s="67"/>
      <c r="R31" s="67"/>
      <c r="S31" s="67"/>
      <c r="T31" s="67"/>
      <c r="U31" s="67"/>
      <c r="V31" s="67"/>
      <c r="W31" s="489"/>
    </row>
    <row r="32" spans="1:23" ht="15" x14ac:dyDescent="0.25">
      <c r="A32" s="2"/>
      <c r="B32" s="487"/>
      <c r="C32" s="92"/>
      <c r="D32" s="92"/>
      <c r="E32" s="92"/>
      <c r="F32" s="92"/>
      <c r="G32" s="92"/>
      <c r="H32" s="92"/>
      <c r="I32" s="92"/>
      <c r="J32" s="92"/>
      <c r="K32" s="92"/>
      <c r="L32" s="92"/>
      <c r="M32" s="67"/>
      <c r="N32" s="67"/>
      <c r="O32" s="67"/>
      <c r="Q32" s="67"/>
      <c r="R32" s="67"/>
      <c r="S32" s="67"/>
      <c r="T32" s="67"/>
      <c r="U32" s="67"/>
      <c r="V32" s="67"/>
      <c r="W32" s="489"/>
    </row>
    <row r="33" spans="1:23" ht="15" x14ac:dyDescent="0.25">
      <c r="A33" s="2"/>
      <c r="B33" s="487"/>
      <c r="C33" s="92"/>
      <c r="D33" s="92"/>
      <c r="E33" s="92"/>
      <c r="F33" s="92"/>
      <c r="G33" s="92"/>
      <c r="H33" s="92"/>
      <c r="I33" s="92"/>
      <c r="J33" s="92"/>
      <c r="K33" s="92"/>
      <c r="L33" s="92"/>
      <c r="M33" s="67"/>
      <c r="N33" s="67"/>
      <c r="O33" s="67"/>
      <c r="Q33" s="67"/>
      <c r="R33" s="67"/>
      <c r="S33" s="67"/>
      <c r="T33" s="67"/>
      <c r="U33" s="67"/>
      <c r="V33" s="67"/>
      <c r="W33" s="489"/>
    </row>
    <row r="34" spans="1:23" ht="15" x14ac:dyDescent="0.25">
      <c r="A34" s="2"/>
      <c r="B34" s="487"/>
      <c r="C34" s="92"/>
      <c r="D34" s="92"/>
      <c r="E34" s="92"/>
      <c r="F34" s="92"/>
      <c r="G34" s="92"/>
      <c r="H34" s="92"/>
      <c r="I34" s="92"/>
      <c r="J34" s="92"/>
      <c r="K34" s="92"/>
      <c r="L34" s="92"/>
      <c r="M34" s="67"/>
      <c r="N34" s="67"/>
      <c r="O34" s="67"/>
      <c r="Q34" s="67"/>
      <c r="R34" s="67"/>
      <c r="S34" s="67"/>
      <c r="T34" s="67"/>
      <c r="U34" s="67"/>
      <c r="V34" s="67"/>
      <c r="W34" s="489"/>
    </row>
    <row r="35" spans="1:23" ht="15" x14ac:dyDescent="0.25">
      <c r="A35" s="2"/>
      <c r="B35" s="487"/>
      <c r="C35" s="92"/>
      <c r="D35" s="92"/>
      <c r="E35" s="92"/>
      <c r="F35" s="92"/>
      <c r="G35" s="92"/>
      <c r="H35" s="92"/>
      <c r="I35" s="92"/>
      <c r="J35" s="92"/>
      <c r="K35" s="92"/>
      <c r="L35" s="92"/>
      <c r="M35" s="67"/>
      <c r="N35" s="67"/>
      <c r="O35" s="67"/>
      <c r="Q35" s="67"/>
      <c r="R35" s="67"/>
      <c r="S35" s="67"/>
      <c r="T35" s="67"/>
      <c r="U35" s="67"/>
      <c r="V35" s="67"/>
      <c r="W35" s="489"/>
    </row>
    <row r="36" spans="1:23" ht="15" x14ac:dyDescent="0.25">
      <c r="A36" s="2"/>
      <c r="B36" s="487"/>
      <c r="C36" s="92"/>
      <c r="D36" s="92"/>
      <c r="E36" s="790"/>
      <c r="F36" s="790"/>
      <c r="G36" s="790"/>
      <c r="H36" s="790"/>
      <c r="I36" s="92"/>
      <c r="J36" s="92"/>
      <c r="K36" s="92"/>
      <c r="L36" s="92"/>
      <c r="M36" s="67"/>
      <c r="N36" s="67"/>
      <c r="O36" s="67"/>
      <c r="Q36" s="67"/>
      <c r="R36" s="67"/>
      <c r="S36" s="67"/>
      <c r="T36" s="67"/>
      <c r="U36" s="67"/>
      <c r="V36" s="67"/>
      <c r="W36" s="489"/>
    </row>
    <row r="37" spans="1:23" ht="15" x14ac:dyDescent="0.25">
      <c r="A37" s="2"/>
      <c r="B37" s="487"/>
      <c r="C37" s="92"/>
      <c r="D37" s="92"/>
      <c r="E37" s="92"/>
      <c r="F37" s="92"/>
      <c r="G37" s="92"/>
      <c r="H37" s="92"/>
      <c r="I37" s="92"/>
      <c r="J37" s="92"/>
      <c r="K37" s="92"/>
      <c r="L37" s="92"/>
      <c r="M37" s="67"/>
      <c r="N37" s="67"/>
      <c r="O37" s="67"/>
      <c r="Q37" s="67"/>
      <c r="R37" s="67"/>
      <c r="S37" s="67"/>
      <c r="T37" s="67"/>
      <c r="U37" s="67"/>
      <c r="V37" s="67"/>
      <c r="W37" s="489"/>
    </row>
    <row r="38" spans="1:23" s="67" customFormat="1" ht="15" x14ac:dyDescent="0.25">
      <c r="A38" s="687"/>
      <c r="B38" s="487"/>
      <c r="C38" s="687"/>
      <c r="D38" s="687"/>
      <c r="E38" s="687"/>
      <c r="F38" s="687"/>
      <c r="G38" s="687"/>
      <c r="H38" s="687"/>
      <c r="I38" s="687"/>
      <c r="J38" s="687"/>
      <c r="K38" s="687"/>
      <c r="L38" s="687"/>
      <c r="W38" s="489"/>
    </row>
    <row r="39" spans="1:23" s="67" customFormat="1" ht="15" x14ac:dyDescent="0.25">
      <c r="A39" s="687"/>
      <c r="B39" s="487"/>
      <c r="C39" s="687"/>
      <c r="D39" s="687"/>
      <c r="E39" s="687"/>
      <c r="F39" s="687"/>
      <c r="G39" s="687"/>
      <c r="H39" s="687"/>
      <c r="I39" s="687"/>
      <c r="J39" s="687"/>
      <c r="K39" s="687"/>
      <c r="L39" s="687"/>
      <c r="W39" s="489"/>
    </row>
    <row r="40" spans="1:23" s="67" customFormat="1" ht="63.75" customHeight="1" x14ac:dyDescent="0.25">
      <c r="A40" s="728"/>
      <c r="B40" s="487"/>
      <c r="C40" s="728"/>
      <c r="D40" s="728"/>
      <c r="E40" s="728"/>
      <c r="F40" s="728"/>
      <c r="G40" s="728"/>
      <c r="H40" s="728"/>
      <c r="I40" s="728"/>
      <c r="J40" s="728"/>
      <c r="K40" s="728"/>
      <c r="L40" s="728"/>
      <c r="W40" s="489"/>
    </row>
    <row r="41" spans="1:23" ht="29.25" customHeight="1" x14ac:dyDescent="0.25">
      <c r="A41" s="2"/>
      <c r="B41" s="487"/>
      <c r="C41" s="92"/>
      <c r="D41" s="1159" t="s">
        <v>1116</v>
      </c>
      <c r="E41" s="1159"/>
      <c r="F41" s="1159"/>
      <c r="G41" s="1159"/>
      <c r="H41" s="1159"/>
      <c r="I41" s="1159"/>
      <c r="J41" s="1159"/>
      <c r="K41" s="1159"/>
      <c r="L41" s="1159"/>
      <c r="M41" s="1159"/>
      <c r="N41" s="1159"/>
      <c r="O41" s="1159"/>
      <c r="P41" s="1159"/>
      <c r="Q41" s="1159"/>
      <c r="R41" s="1159"/>
      <c r="S41" s="1159"/>
      <c r="T41" s="1159"/>
      <c r="U41" s="1159"/>
      <c r="V41" s="67"/>
      <c r="W41" s="489"/>
    </row>
    <row r="42" spans="1:23" ht="15" x14ac:dyDescent="0.25">
      <c r="A42" s="2"/>
      <c r="B42" s="487"/>
      <c r="C42" s="92"/>
      <c r="D42" s="92"/>
      <c r="E42" s="92"/>
      <c r="F42" s="92"/>
      <c r="G42" s="92"/>
      <c r="H42" s="92"/>
      <c r="I42" s="92"/>
      <c r="J42" s="92"/>
      <c r="K42" s="92"/>
      <c r="L42" s="92"/>
      <c r="M42" s="67"/>
      <c r="N42" s="67"/>
      <c r="O42" s="67"/>
      <c r="Q42" s="67"/>
      <c r="R42" s="67"/>
      <c r="S42" s="67"/>
      <c r="T42" s="67"/>
      <c r="U42" s="67"/>
      <c r="V42" s="67"/>
      <c r="W42" s="489"/>
    </row>
    <row r="43" spans="1:23" s="67" customFormat="1" ht="15" x14ac:dyDescent="0.25">
      <c r="A43" s="92"/>
      <c r="B43" s="487"/>
      <c r="C43" s="92"/>
      <c r="D43" s="1083" t="s">
        <v>613</v>
      </c>
      <c r="E43" s="1084"/>
      <c r="F43" s="1084"/>
      <c r="G43" s="1084"/>
      <c r="H43" s="1084"/>
      <c r="I43" s="1084"/>
      <c r="J43" s="1084"/>
      <c r="K43" s="1085"/>
      <c r="L43" s="1011" t="str">
        <f>INDEX(Locations, selection)</f>
        <v>Angmering</v>
      </c>
      <c r="M43" s="1013"/>
      <c r="N43" s="1026" t="str">
        <f>INDEX(Locations, selection2)</f>
        <v>Bewbush</v>
      </c>
      <c r="O43" s="1028"/>
      <c r="P43" s="1075" t="s">
        <v>291</v>
      </c>
      <c r="Q43" s="1076"/>
      <c r="S43" s="1160" t="s">
        <v>496</v>
      </c>
      <c r="T43" s="1160"/>
      <c r="U43" s="1160"/>
      <c r="W43" s="489"/>
    </row>
    <row r="44" spans="1:23" s="67" customFormat="1" ht="15" customHeight="1" x14ac:dyDescent="0.25">
      <c r="A44" s="92"/>
      <c r="B44" s="487"/>
      <c r="C44" s="92"/>
      <c r="D44" s="1086"/>
      <c r="E44" s="1087"/>
      <c r="F44" s="1087"/>
      <c r="G44" s="1087"/>
      <c r="H44" s="1087"/>
      <c r="I44" s="1087"/>
      <c r="J44" s="1087"/>
      <c r="K44" s="1088"/>
      <c r="L44" s="1014"/>
      <c r="M44" s="850"/>
      <c r="N44" s="851"/>
      <c r="O44" s="1029"/>
      <c r="P44" s="1077"/>
      <c r="Q44" s="1078"/>
      <c r="R44" s="418"/>
      <c r="S44" s="1160"/>
      <c r="T44" s="1160"/>
      <c r="U44" s="1160"/>
      <c r="W44" s="489"/>
    </row>
    <row r="45" spans="1:23" ht="14.25" customHeight="1" x14ac:dyDescent="0.2">
      <c r="B45" s="489"/>
      <c r="C45" s="67"/>
      <c r="D45" s="1089"/>
      <c r="E45" s="1090"/>
      <c r="F45" s="1090"/>
      <c r="G45" s="1090"/>
      <c r="H45" s="1090"/>
      <c r="I45" s="1090"/>
      <c r="J45" s="1090"/>
      <c r="K45" s="1091"/>
      <c r="L45" s="1015"/>
      <c r="M45" s="1017"/>
      <c r="N45" s="851"/>
      <c r="O45" s="1029"/>
      <c r="P45" s="1079"/>
      <c r="Q45" s="1080"/>
      <c r="R45" s="418"/>
      <c r="S45" s="1160"/>
      <c r="T45" s="1160"/>
      <c r="U45" s="1160"/>
      <c r="V45" s="67"/>
      <c r="W45" s="489"/>
    </row>
    <row r="46" spans="1:23" ht="15" x14ac:dyDescent="0.25">
      <c r="B46" s="489"/>
      <c r="C46" s="67"/>
      <c r="D46" s="1156" t="s">
        <v>493</v>
      </c>
      <c r="E46" s="1157"/>
      <c r="F46" s="1157"/>
      <c r="G46" s="1157"/>
      <c r="H46" s="1157"/>
      <c r="I46" s="1157"/>
      <c r="J46" s="1157"/>
      <c r="K46" s="1158"/>
      <c r="L46" s="902">
        <f>HLOOKUP(D46,breastfeeding,selection+1, FALSE)</f>
        <v>191</v>
      </c>
      <c r="M46" s="902"/>
      <c r="N46" s="902">
        <f t="shared" ref="N46:N52" si="0">HLOOKUP(D46,breastfeeding, selection2+1, FALSE)</f>
        <v>199</v>
      </c>
      <c r="O46" s="902"/>
      <c r="P46" s="1068">
        <v>8655</v>
      </c>
      <c r="Q46" s="1068"/>
      <c r="R46" s="418"/>
      <c r="S46" s="1160"/>
      <c r="T46" s="1160"/>
      <c r="U46" s="1160"/>
      <c r="V46" s="67"/>
      <c r="W46" s="489"/>
    </row>
    <row r="47" spans="1:23" ht="15" x14ac:dyDescent="0.25">
      <c r="B47" s="489"/>
      <c r="C47" s="67"/>
      <c r="D47" s="905" t="s">
        <v>494</v>
      </c>
      <c r="E47" s="906"/>
      <c r="F47" s="906"/>
      <c r="G47" s="906"/>
      <c r="H47" s="906"/>
      <c r="I47" s="906"/>
      <c r="J47" s="906"/>
      <c r="K47" s="907"/>
      <c r="L47" s="902">
        <f t="shared" ref="L47:L52" si="1">HLOOKUP(D47,breastfeeding,selection+1, FALSE)</f>
        <v>187</v>
      </c>
      <c r="M47" s="902"/>
      <c r="N47" s="1155">
        <f t="shared" si="0"/>
        <v>190</v>
      </c>
      <c r="O47" s="1155"/>
      <c r="P47" s="1069">
        <v>8310</v>
      </c>
      <c r="Q47" s="1069"/>
      <c r="R47" s="418"/>
      <c r="S47" s="1160"/>
      <c r="T47" s="1160"/>
      <c r="U47" s="1160"/>
      <c r="V47" s="67"/>
      <c r="W47" s="489"/>
    </row>
    <row r="48" spans="1:23" ht="15" x14ac:dyDescent="0.25">
      <c r="B48" s="489"/>
      <c r="C48" s="67"/>
      <c r="D48" s="908" t="s">
        <v>495</v>
      </c>
      <c r="E48" s="909"/>
      <c r="F48" s="909"/>
      <c r="G48" s="909"/>
      <c r="H48" s="909"/>
      <c r="I48" s="909"/>
      <c r="J48" s="909"/>
      <c r="K48" s="910"/>
      <c r="L48" s="911">
        <f t="shared" si="1"/>
        <v>0.97905759162303663</v>
      </c>
      <c r="M48" s="911"/>
      <c r="N48" s="911">
        <f t="shared" si="0"/>
        <v>0.95477386934673369</v>
      </c>
      <c r="O48" s="911"/>
      <c r="P48" s="911">
        <v>0.96013864818024264</v>
      </c>
      <c r="Q48" s="911"/>
      <c r="R48" s="418"/>
      <c r="S48" s="1160"/>
      <c r="T48" s="1160"/>
      <c r="U48" s="1160"/>
      <c r="V48" s="67"/>
      <c r="W48" s="489"/>
    </row>
    <row r="49" spans="2:23" ht="15" x14ac:dyDescent="0.25">
      <c r="B49" s="489"/>
      <c r="C49" s="67"/>
      <c r="D49" s="905" t="s">
        <v>725</v>
      </c>
      <c r="E49" s="906"/>
      <c r="F49" s="906"/>
      <c r="G49" s="906"/>
      <c r="H49" s="906"/>
      <c r="I49" s="906"/>
      <c r="J49" s="906"/>
      <c r="K49" s="907"/>
      <c r="L49" s="902">
        <f t="shared" si="1"/>
        <v>84</v>
      </c>
      <c r="M49" s="902"/>
      <c r="N49" s="902">
        <f t="shared" si="0"/>
        <v>63</v>
      </c>
      <c r="O49" s="902"/>
      <c r="P49" s="1068">
        <v>3498</v>
      </c>
      <c r="Q49" s="1068"/>
      <c r="R49" s="418"/>
      <c r="S49" s="1160"/>
      <c r="T49" s="1160"/>
      <c r="U49" s="1160"/>
      <c r="V49" s="67"/>
      <c r="W49" s="489"/>
    </row>
    <row r="50" spans="2:23" s="67" customFormat="1" ht="15" x14ac:dyDescent="0.25">
      <c r="B50" s="489"/>
      <c r="D50" s="905" t="s">
        <v>728</v>
      </c>
      <c r="E50" s="906"/>
      <c r="F50" s="906"/>
      <c r="G50" s="906"/>
      <c r="H50" s="906"/>
      <c r="I50" s="906"/>
      <c r="J50" s="906"/>
      <c r="K50" s="907"/>
      <c r="L50" s="911">
        <f t="shared" ref="L50" si="2">HLOOKUP(D50,breastfeeding,selection+1, FALSE)</f>
        <v>0.44919786096256686</v>
      </c>
      <c r="M50" s="911"/>
      <c r="N50" s="1070">
        <f t="shared" ref="N50" si="3">HLOOKUP(D50,breastfeeding, selection2+1, FALSE)</f>
        <v>0.33157894736842103</v>
      </c>
      <c r="O50" s="1070"/>
      <c r="P50" s="1070">
        <v>0.42093862815884475</v>
      </c>
      <c r="Q50" s="1070"/>
      <c r="R50" s="432"/>
      <c r="S50" s="1160"/>
      <c r="T50" s="1160"/>
      <c r="U50" s="1160"/>
      <c r="W50" s="489"/>
    </row>
    <row r="51" spans="2:23" ht="15" x14ac:dyDescent="0.25">
      <c r="B51" s="489"/>
      <c r="C51" s="67"/>
      <c r="D51" s="905" t="s">
        <v>726</v>
      </c>
      <c r="E51" s="906"/>
      <c r="F51" s="906"/>
      <c r="G51" s="906"/>
      <c r="H51" s="906"/>
      <c r="I51" s="906"/>
      <c r="J51" s="906"/>
      <c r="K51" s="907"/>
      <c r="L51" s="902">
        <f t="shared" si="1"/>
        <v>99</v>
      </c>
      <c r="M51" s="902"/>
      <c r="N51" s="902">
        <f t="shared" si="0"/>
        <v>90</v>
      </c>
      <c r="O51" s="902"/>
      <c r="P51" s="1068">
        <v>4605</v>
      </c>
      <c r="Q51" s="1068"/>
      <c r="R51" s="67"/>
      <c r="S51" s="67"/>
      <c r="T51" s="67"/>
      <c r="U51" s="67"/>
      <c r="V51" s="67"/>
      <c r="W51" s="489"/>
    </row>
    <row r="52" spans="2:23" ht="15" x14ac:dyDescent="0.25">
      <c r="B52" s="489"/>
      <c r="C52" s="67"/>
      <c r="D52" s="905" t="s">
        <v>727</v>
      </c>
      <c r="E52" s="906"/>
      <c r="F52" s="906"/>
      <c r="G52" s="906"/>
      <c r="H52" s="906"/>
      <c r="I52" s="906"/>
      <c r="J52" s="906"/>
      <c r="K52" s="907"/>
      <c r="L52" s="911">
        <f t="shared" si="1"/>
        <v>0.52941176470588236</v>
      </c>
      <c r="M52" s="911"/>
      <c r="N52" s="1070">
        <f t="shared" si="0"/>
        <v>0.47368421052631576</v>
      </c>
      <c r="O52" s="1070"/>
      <c r="P52" s="1070">
        <v>0.55415162454873645</v>
      </c>
      <c r="Q52" s="1070"/>
      <c r="R52" s="67"/>
      <c r="S52" s="67"/>
      <c r="T52" s="67"/>
      <c r="U52" s="67"/>
      <c r="V52" s="67"/>
      <c r="W52" s="489"/>
    </row>
    <row r="53" spans="2:23" ht="15" x14ac:dyDescent="0.25">
      <c r="B53" s="489"/>
      <c r="C53" s="92"/>
      <c r="D53" s="92"/>
      <c r="E53" s="92"/>
      <c r="F53" s="92"/>
      <c r="G53" s="92"/>
      <c r="H53" s="92"/>
      <c r="I53" s="92"/>
      <c r="J53" s="92"/>
      <c r="K53" s="92"/>
      <c r="L53" s="92"/>
      <c r="O53" s="67"/>
      <c r="Q53" s="67"/>
      <c r="S53" s="67"/>
      <c r="T53" s="67"/>
      <c r="U53" s="67"/>
      <c r="V53" s="67"/>
      <c r="W53" s="489"/>
    </row>
    <row r="54" spans="2:23" ht="15" x14ac:dyDescent="0.25">
      <c r="B54" s="489"/>
      <c r="C54" s="92"/>
      <c r="D54" s="1083" t="s">
        <v>503</v>
      </c>
      <c r="E54" s="1084"/>
      <c r="F54" s="1084"/>
      <c r="G54" s="1084"/>
      <c r="H54" s="1084"/>
      <c r="I54" s="1084"/>
      <c r="J54" s="1084"/>
      <c r="K54" s="1085"/>
      <c r="L54" s="1011" t="str">
        <f>INDEX(Locations, selection)</f>
        <v>Angmering</v>
      </c>
      <c r="M54" s="1013"/>
      <c r="N54" s="1026" t="str">
        <f>INDEX(Locations, selection2)</f>
        <v>Bewbush</v>
      </c>
      <c r="O54" s="1028"/>
      <c r="P54" s="1075" t="s">
        <v>291</v>
      </c>
      <c r="Q54" s="1076"/>
      <c r="S54" s="1160" t="s">
        <v>947</v>
      </c>
      <c r="T54" s="1160"/>
      <c r="U54" s="1160"/>
      <c r="V54" s="67"/>
      <c r="W54" s="489"/>
    </row>
    <row r="55" spans="2:23" s="67" customFormat="1" ht="15" customHeight="1" x14ac:dyDescent="0.25">
      <c r="B55" s="489"/>
      <c r="C55" s="419"/>
      <c r="D55" s="1086"/>
      <c r="E55" s="1087"/>
      <c r="F55" s="1087"/>
      <c r="G55" s="1087"/>
      <c r="H55" s="1087"/>
      <c r="I55" s="1087"/>
      <c r="J55" s="1087"/>
      <c r="K55" s="1088"/>
      <c r="L55" s="1014"/>
      <c r="M55" s="850"/>
      <c r="N55" s="851"/>
      <c r="O55" s="1029"/>
      <c r="P55" s="1077"/>
      <c r="Q55" s="1078"/>
      <c r="R55" s="414"/>
      <c r="S55" s="1160"/>
      <c r="T55" s="1160"/>
      <c r="U55" s="1160"/>
      <c r="W55" s="489"/>
    </row>
    <row r="56" spans="2:23" s="67" customFormat="1" ht="15" x14ac:dyDescent="0.25">
      <c r="B56" s="489"/>
      <c r="C56" s="419"/>
      <c r="D56" s="1089"/>
      <c r="E56" s="1090"/>
      <c r="F56" s="1090"/>
      <c r="G56" s="1090"/>
      <c r="H56" s="1090"/>
      <c r="I56" s="1090"/>
      <c r="J56" s="1090"/>
      <c r="K56" s="1091"/>
      <c r="L56" s="1015"/>
      <c r="M56" s="1017"/>
      <c r="N56" s="1030"/>
      <c r="O56" s="1032"/>
      <c r="P56" s="1079"/>
      <c r="Q56" s="1080"/>
      <c r="R56" s="414"/>
      <c r="S56" s="1160"/>
      <c r="T56" s="1160"/>
      <c r="U56" s="1160"/>
      <c r="W56" s="489"/>
    </row>
    <row r="57" spans="2:23" s="67" customFormat="1" ht="15" x14ac:dyDescent="0.25">
      <c r="B57" s="489"/>
      <c r="C57" s="419"/>
      <c r="D57" s="905" t="s">
        <v>940</v>
      </c>
      <c r="E57" s="906"/>
      <c r="F57" s="906"/>
      <c r="G57" s="906"/>
      <c r="H57" s="906"/>
      <c r="I57" s="906"/>
      <c r="J57" s="906"/>
      <c r="K57" s="907"/>
      <c r="L57" s="902">
        <f>HLOOKUP(D57,breastfeeding1415,selection+1, FALSE)</f>
        <v>159</v>
      </c>
      <c r="M57" s="902"/>
      <c r="N57" s="902">
        <f>HLOOKUP(D57,breastfeeding1415, selection2+1, FALSE)</f>
        <v>206</v>
      </c>
      <c r="O57" s="902"/>
      <c r="P57" s="1068">
        <v>7801</v>
      </c>
      <c r="Q57" s="1068"/>
      <c r="R57" s="414"/>
      <c r="S57" s="1160"/>
      <c r="T57" s="1160"/>
      <c r="U57" s="1160"/>
      <c r="W57" s="489"/>
    </row>
    <row r="58" spans="2:23" s="67" customFormat="1" ht="15" x14ac:dyDescent="0.25">
      <c r="B58" s="489"/>
      <c r="C58" s="419"/>
      <c r="D58" s="905" t="s">
        <v>942</v>
      </c>
      <c r="E58" s="906"/>
      <c r="F58" s="906"/>
      <c r="G58" s="906"/>
      <c r="H58" s="906"/>
      <c r="I58" s="906"/>
      <c r="J58" s="906"/>
      <c r="K58" s="907"/>
      <c r="L58" s="902">
        <f>HLOOKUP(D58,breastfeeding1415,selection+1, FALSE)</f>
        <v>61</v>
      </c>
      <c r="M58" s="902"/>
      <c r="N58" s="902">
        <f>HLOOKUP(D58,breastfeeding1415, selection2+1, FALSE)</f>
        <v>55</v>
      </c>
      <c r="O58" s="902"/>
      <c r="P58" s="1068">
        <v>3156</v>
      </c>
      <c r="Q58" s="1068"/>
      <c r="R58" s="414"/>
      <c r="S58" s="1160"/>
      <c r="T58" s="1160"/>
      <c r="U58" s="1160"/>
      <c r="W58" s="489"/>
    </row>
    <row r="59" spans="2:23" s="67" customFormat="1" ht="15" x14ac:dyDescent="0.25">
      <c r="B59" s="489"/>
      <c r="C59" s="419"/>
      <c r="D59" s="415" t="s">
        <v>944</v>
      </c>
      <c r="E59" s="416"/>
      <c r="F59" s="416"/>
      <c r="G59" s="416"/>
      <c r="H59" s="416"/>
      <c r="I59" s="416"/>
      <c r="J59" s="416"/>
      <c r="K59" s="417"/>
      <c r="L59" s="911">
        <f>HLOOKUP(D59,breastfeeding1415,selection+1, FALSE)</f>
        <v>0.38364779874213839</v>
      </c>
      <c r="M59" s="911"/>
      <c r="N59" s="911">
        <f>HLOOKUP(D59,breastfeeding1415, selection2+1, FALSE)</f>
        <v>0.26699029126213591</v>
      </c>
      <c r="O59" s="911"/>
      <c r="P59" s="911">
        <v>0.40456351749775671</v>
      </c>
      <c r="Q59" s="911"/>
      <c r="R59" s="414"/>
      <c r="S59" s="1160"/>
      <c r="T59" s="1160"/>
      <c r="U59" s="1160"/>
      <c r="W59" s="489"/>
    </row>
    <row r="60" spans="2:23" s="67" customFormat="1" ht="15" x14ac:dyDescent="0.25">
      <c r="B60" s="489"/>
      <c r="C60" s="419"/>
      <c r="D60" s="905" t="s">
        <v>943</v>
      </c>
      <c r="E60" s="906"/>
      <c r="F60" s="906"/>
      <c r="G60" s="906"/>
      <c r="H60" s="906"/>
      <c r="I60" s="906"/>
      <c r="J60" s="906"/>
      <c r="K60" s="907"/>
      <c r="L60" s="902">
        <f>HLOOKUP(D60,breastfeeding1415,selection+1, FALSE)</f>
        <v>80</v>
      </c>
      <c r="M60" s="902"/>
      <c r="N60" s="902">
        <f>HLOOKUP(D60,breastfeeding1415, selection2+1, FALSE)</f>
        <v>99</v>
      </c>
      <c r="O60" s="902"/>
      <c r="P60" s="1068">
        <v>4394</v>
      </c>
      <c r="Q60" s="1068"/>
      <c r="R60" s="414"/>
      <c r="S60" s="1160"/>
      <c r="T60" s="1160"/>
      <c r="U60" s="1160"/>
      <c r="W60" s="489"/>
    </row>
    <row r="61" spans="2:23" s="67" customFormat="1" ht="15" x14ac:dyDescent="0.25">
      <c r="B61" s="489"/>
      <c r="C61" s="419"/>
      <c r="D61" s="905" t="s">
        <v>945</v>
      </c>
      <c r="E61" s="906"/>
      <c r="F61" s="906"/>
      <c r="G61" s="906"/>
      <c r="H61" s="906"/>
      <c r="I61" s="906"/>
      <c r="J61" s="906"/>
      <c r="K61" s="907"/>
      <c r="L61" s="911">
        <f>HLOOKUP(D61,breastfeeding1415,selection+1, FALSE)</f>
        <v>0.50314465408805031</v>
      </c>
      <c r="M61" s="911"/>
      <c r="N61" s="911">
        <f>HLOOKUP(D61,breastfeeding1415, selection2+1, FALSE)</f>
        <v>0.48058252427184467</v>
      </c>
      <c r="O61" s="911"/>
      <c r="P61" s="911">
        <v>0.56326112036918341</v>
      </c>
      <c r="Q61" s="911"/>
      <c r="W61" s="489"/>
    </row>
    <row r="62" spans="2:23" s="67" customFormat="1" ht="15" x14ac:dyDescent="0.25">
      <c r="B62" s="489"/>
      <c r="C62" s="485"/>
      <c r="D62" s="542"/>
      <c r="E62" s="542"/>
      <c r="F62" s="542"/>
      <c r="G62" s="542"/>
      <c r="H62" s="542"/>
      <c r="I62" s="542"/>
      <c r="J62" s="542"/>
      <c r="K62" s="542"/>
      <c r="L62" s="543"/>
      <c r="M62" s="543"/>
      <c r="N62" s="543"/>
      <c r="O62" s="543"/>
      <c r="P62" s="543"/>
      <c r="Q62" s="543"/>
      <c r="W62" s="489"/>
    </row>
    <row r="63" spans="2:23" s="67" customFormat="1" ht="15" customHeight="1" x14ac:dyDescent="0.25">
      <c r="B63" s="489"/>
      <c r="C63" s="485"/>
      <c r="D63" s="1083" t="s">
        <v>1018</v>
      </c>
      <c r="E63" s="1084"/>
      <c r="F63" s="1084"/>
      <c r="G63" s="1084"/>
      <c r="H63" s="1084"/>
      <c r="I63" s="1084"/>
      <c r="J63" s="1084"/>
      <c r="K63" s="1085"/>
      <c r="L63" s="1011" t="str">
        <f>INDEX(Locations, selection)</f>
        <v>Angmering</v>
      </c>
      <c r="M63" s="1013"/>
      <c r="N63" s="1026" t="str">
        <f>INDEX(Locations, selection2)</f>
        <v>Bewbush</v>
      </c>
      <c r="O63" s="1028"/>
      <c r="P63" s="1075" t="s">
        <v>291</v>
      </c>
      <c r="Q63" s="1076"/>
      <c r="S63" s="1232" t="s">
        <v>1064</v>
      </c>
      <c r="T63" s="1232"/>
      <c r="U63" s="1232"/>
      <c r="W63" s="489"/>
    </row>
    <row r="64" spans="2:23" s="67" customFormat="1" ht="15" customHeight="1" x14ac:dyDescent="0.25">
      <c r="B64" s="489"/>
      <c r="C64" s="485"/>
      <c r="D64" s="1086"/>
      <c r="E64" s="1087"/>
      <c r="F64" s="1087"/>
      <c r="G64" s="1087"/>
      <c r="H64" s="1087"/>
      <c r="I64" s="1087"/>
      <c r="J64" s="1087"/>
      <c r="K64" s="1088"/>
      <c r="L64" s="1014"/>
      <c r="M64" s="850"/>
      <c r="N64" s="851"/>
      <c r="O64" s="1029"/>
      <c r="P64" s="1077"/>
      <c r="Q64" s="1078"/>
      <c r="S64" s="1232"/>
      <c r="T64" s="1232"/>
      <c r="U64" s="1232"/>
      <c r="W64" s="489"/>
    </row>
    <row r="65" spans="2:23" s="67" customFormat="1" ht="15" x14ac:dyDescent="0.25">
      <c r="B65" s="489"/>
      <c r="C65" s="485"/>
      <c r="D65" s="1089"/>
      <c r="E65" s="1090"/>
      <c r="F65" s="1090"/>
      <c r="G65" s="1090"/>
      <c r="H65" s="1090"/>
      <c r="I65" s="1090"/>
      <c r="J65" s="1090"/>
      <c r="K65" s="1091"/>
      <c r="L65" s="1015"/>
      <c r="M65" s="1017"/>
      <c r="N65" s="1030"/>
      <c r="O65" s="1032"/>
      <c r="P65" s="1079"/>
      <c r="Q65" s="1080"/>
      <c r="S65" s="1232"/>
      <c r="T65" s="1232"/>
      <c r="U65" s="1232"/>
      <c r="W65" s="489"/>
    </row>
    <row r="66" spans="2:23" s="67" customFormat="1" ht="15" x14ac:dyDescent="0.25">
      <c r="B66" s="489"/>
      <c r="C66" s="687"/>
      <c r="D66" s="905" t="s">
        <v>1113</v>
      </c>
      <c r="E66" s="906"/>
      <c r="F66" s="906"/>
      <c r="G66" s="906"/>
      <c r="H66" s="906"/>
      <c r="I66" s="906"/>
      <c r="J66" s="906"/>
      <c r="K66" s="907"/>
      <c r="L66" s="902">
        <f t="shared" ref="L66:L72" si="4">HLOOKUP(D66,Breastfeeding1516,selection+1, FALSE)</f>
        <v>178</v>
      </c>
      <c r="M66" s="902"/>
      <c r="N66" s="902">
        <f t="shared" ref="N66:N72" si="5">HLOOKUP(D66,Breastfeeding1516,selection2+1,FALSE)</f>
        <v>220</v>
      </c>
      <c r="O66" s="902"/>
      <c r="P66" s="903">
        <f>Data!GV76</f>
        <v>8763</v>
      </c>
      <c r="Q66" s="904"/>
      <c r="S66" s="1232"/>
      <c r="T66" s="1232"/>
      <c r="U66" s="1232"/>
      <c r="W66" s="489"/>
    </row>
    <row r="67" spans="2:23" s="67" customFormat="1" ht="15" x14ac:dyDescent="0.25">
      <c r="B67" s="489"/>
      <c r="C67" s="485"/>
      <c r="D67" s="905" t="s">
        <v>1019</v>
      </c>
      <c r="E67" s="906"/>
      <c r="F67" s="906"/>
      <c r="G67" s="906"/>
      <c r="H67" s="906"/>
      <c r="I67" s="906"/>
      <c r="J67" s="906"/>
      <c r="K67" s="907"/>
      <c r="L67" s="902">
        <f t="shared" si="4"/>
        <v>165</v>
      </c>
      <c r="M67" s="902"/>
      <c r="N67" s="902">
        <f t="shared" si="5"/>
        <v>197</v>
      </c>
      <c r="O67" s="902"/>
      <c r="P67" s="1068">
        <f>Data!GX76</f>
        <v>7043</v>
      </c>
      <c r="Q67" s="1068"/>
      <c r="S67" s="1232"/>
      <c r="T67" s="1232"/>
      <c r="U67" s="1232"/>
      <c r="W67" s="489"/>
    </row>
    <row r="68" spans="2:23" s="67" customFormat="1" ht="15" customHeight="1" x14ac:dyDescent="0.25">
      <c r="B68" s="489"/>
      <c r="C68" s="687"/>
      <c r="D68" s="908" t="s">
        <v>1118</v>
      </c>
      <c r="E68" s="909"/>
      <c r="F68" s="909"/>
      <c r="G68" s="909"/>
      <c r="H68" s="909"/>
      <c r="I68" s="909"/>
      <c r="J68" s="909"/>
      <c r="K68" s="910"/>
      <c r="L68" s="911">
        <f t="shared" si="4"/>
        <v>0.9269662921348315</v>
      </c>
      <c r="M68" s="911"/>
      <c r="N68" s="911">
        <f t="shared" si="5"/>
        <v>0.8954545454545455</v>
      </c>
      <c r="O68" s="911"/>
      <c r="P68" s="911">
        <f>Data!GY76</f>
        <v>0.80372018715051918</v>
      </c>
      <c r="Q68" s="911"/>
      <c r="S68" s="1232"/>
      <c r="T68" s="1232"/>
      <c r="U68" s="1232"/>
      <c r="W68" s="489"/>
    </row>
    <row r="69" spans="2:23" s="67" customFormat="1" ht="15" x14ac:dyDescent="0.25">
      <c r="B69" s="489"/>
      <c r="C69" s="485"/>
      <c r="D69" s="905" t="s">
        <v>1020</v>
      </c>
      <c r="E69" s="906"/>
      <c r="F69" s="906"/>
      <c r="G69" s="906"/>
      <c r="H69" s="906"/>
      <c r="I69" s="906"/>
      <c r="J69" s="906"/>
      <c r="K69" s="907"/>
      <c r="L69" s="902">
        <f t="shared" si="4"/>
        <v>69</v>
      </c>
      <c r="M69" s="902"/>
      <c r="N69" s="902">
        <f t="shared" si="5"/>
        <v>59</v>
      </c>
      <c r="O69" s="902"/>
      <c r="P69" s="1068">
        <f>Data!GZ76</f>
        <v>2898</v>
      </c>
      <c r="Q69" s="1068"/>
      <c r="S69" s="1232"/>
      <c r="T69" s="1232"/>
      <c r="U69" s="1232"/>
      <c r="W69" s="489"/>
    </row>
    <row r="70" spans="2:23" s="67" customFormat="1" ht="15" customHeight="1" x14ac:dyDescent="0.25">
      <c r="B70" s="489"/>
      <c r="C70" s="485"/>
      <c r="D70" s="479" t="s">
        <v>1021</v>
      </c>
      <c r="E70" s="480"/>
      <c r="F70" s="480"/>
      <c r="G70" s="480"/>
      <c r="H70" s="480"/>
      <c r="I70" s="480"/>
      <c r="J70" s="480"/>
      <c r="K70" s="481"/>
      <c r="L70" s="911">
        <f t="shared" si="4"/>
        <v>0.41818181818181815</v>
      </c>
      <c r="M70" s="911"/>
      <c r="N70" s="911">
        <f t="shared" si="5"/>
        <v>0.29949238578680204</v>
      </c>
      <c r="O70" s="911"/>
      <c r="P70" s="911">
        <f>Data!HC76</f>
        <v>0.41147238392730373</v>
      </c>
      <c r="Q70" s="911"/>
      <c r="S70" s="1233" t="s">
        <v>1117</v>
      </c>
      <c r="T70" s="1233"/>
      <c r="U70" s="1233"/>
      <c r="W70" s="489"/>
    </row>
    <row r="71" spans="2:23" s="67" customFormat="1" ht="15" customHeight="1" x14ac:dyDescent="0.25">
      <c r="B71" s="489"/>
      <c r="C71" s="485"/>
      <c r="D71" s="905" t="s">
        <v>1022</v>
      </c>
      <c r="E71" s="906"/>
      <c r="F71" s="906"/>
      <c r="G71" s="906"/>
      <c r="H71" s="906"/>
      <c r="I71" s="906"/>
      <c r="J71" s="906"/>
      <c r="K71" s="907"/>
      <c r="L71" s="902">
        <f t="shared" si="4"/>
        <v>91</v>
      </c>
      <c r="M71" s="902"/>
      <c r="N71" s="902">
        <f t="shared" si="5"/>
        <v>88</v>
      </c>
      <c r="O71" s="902"/>
      <c r="P71" s="1068">
        <f>Data!HB76</f>
        <v>4000</v>
      </c>
      <c r="Q71" s="1068"/>
      <c r="S71" s="1233"/>
      <c r="T71" s="1233"/>
      <c r="U71" s="1233"/>
      <c r="W71" s="489"/>
    </row>
    <row r="72" spans="2:23" s="67" customFormat="1" ht="15" customHeight="1" x14ac:dyDescent="0.25">
      <c r="B72" s="489"/>
      <c r="C72" s="419"/>
      <c r="D72" s="905" t="s">
        <v>1023</v>
      </c>
      <c r="E72" s="906"/>
      <c r="F72" s="906"/>
      <c r="G72" s="906"/>
      <c r="H72" s="906"/>
      <c r="I72" s="906"/>
      <c r="J72" s="906"/>
      <c r="K72" s="907"/>
      <c r="L72" s="911">
        <f t="shared" si="4"/>
        <v>0.55151515151515151</v>
      </c>
      <c r="M72" s="911"/>
      <c r="N72" s="911">
        <f t="shared" si="5"/>
        <v>0.4467005076142132</v>
      </c>
      <c r="O72" s="911"/>
      <c r="P72" s="911">
        <f>Data!HD76</f>
        <v>0.56793979838137154</v>
      </c>
      <c r="Q72" s="911"/>
      <c r="R72" s="74"/>
      <c r="S72" s="1233"/>
      <c r="T72" s="1233"/>
      <c r="U72" s="1233"/>
      <c r="W72" s="489"/>
    </row>
    <row r="73" spans="2:23" s="67" customFormat="1" ht="15" x14ac:dyDescent="0.25">
      <c r="B73" s="489"/>
      <c r="C73" s="485"/>
      <c r="D73" s="71"/>
      <c r="E73" s="71"/>
      <c r="F73" s="71"/>
      <c r="G73" s="71"/>
      <c r="H73" s="71"/>
      <c r="I73" s="71"/>
      <c r="J73" s="71"/>
      <c r="K73" s="71"/>
      <c r="L73" s="71"/>
      <c r="M73" s="71"/>
      <c r="N73" s="74"/>
      <c r="O73" s="74"/>
      <c r="P73" s="74"/>
      <c r="Q73" s="74"/>
      <c r="R73" s="74"/>
      <c r="S73" s="614"/>
      <c r="T73" s="614"/>
      <c r="U73" s="614"/>
      <c r="W73" s="489"/>
    </row>
    <row r="74" spans="2:23" s="67" customFormat="1" ht="15" x14ac:dyDescent="0.25">
      <c r="B74" s="489"/>
      <c r="C74" s="434"/>
      <c r="D74" s="544"/>
      <c r="E74" s="544"/>
      <c r="F74" s="544"/>
      <c r="G74" s="544"/>
      <c r="H74" s="544"/>
      <c r="I74" s="544"/>
      <c r="J74" s="544"/>
      <c r="U74" s="441"/>
      <c r="V74" s="433"/>
      <c r="W74" s="489"/>
    </row>
    <row r="75" spans="2:23" s="67" customFormat="1" ht="15" x14ac:dyDescent="0.25">
      <c r="B75" s="489"/>
      <c r="C75" s="434"/>
      <c r="D75" s="544"/>
      <c r="E75" s="563" t="s">
        <v>728</v>
      </c>
      <c r="F75" s="563"/>
      <c r="G75" s="563"/>
      <c r="H75" s="563"/>
      <c r="I75" s="563"/>
      <c r="J75" s="563"/>
      <c r="K75" s="563"/>
      <c r="L75" s="563"/>
      <c r="M75" s="74"/>
      <c r="N75" s="74"/>
      <c r="O75" s="74"/>
      <c r="P75" s="74"/>
      <c r="Q75" s="74"/>
      <c r="R75" s="74"/>
      <c r="U75" s="441"/>
      <c r="V75" s="433"/>
      <c r="W75" s="489"/>
    </row>
    <row r="76" spans="2:23" ht="15" x14ac:dyDescent="0.25">
      <c r="B76" s="489"/>
      <c r="C76" s="434"/>
      <c r="D76" s="544"/>
      <c r="E76" s="563"/>
      <c r="F76" s="1154" t="s">
        <v>948</v>
      </c>
      <c r="G76" s="1154"/>
      <c r="H76" s="1154"/>
      <c r="I76" s="1154" t="s">
        <v>949</v>
      </c>
      <c r="J76" s="1154"/>
      <c r="K76" s="1154"/>
      <c r="L76" s="563"/>
      <c r="M76" s="74"/>
      <c r="N76" s="74"/>
      <c r="O76" s="74"/>
      <c r="P76" s="74"/>
      <c r="Q76" s="74"/>
      <c r="R76" s="74"/>
      <c r="U76" s="441"/>
      <c r="V76" s="433"/>
      <c r="W76" s="489"/>
    </row>
    <row r="77" spans="2:23" ht="15" x14ac:dyDescent="0.25">
      <c r="B77" s="489"/>
      <c r="C77" s="434"/>
      <c r="D77" s="544"/>
      <c r="E77" s="563"/>
      <c r="F77" s="563" t="s">
        <v>613</v>
      </c>
      <c r="G77" s="563" t="s">
        <v>503</v>
      </c>
      <c r="H77" s="563" t="s">
        <v>1018</v>
      </c>
      <c r="I77" s="563" t="s">
        <v>613</v>
      </c>
      <c r="J77" s="563" t="s">
        <v>503</v>
      </c>
      <c r="K77" s="563" t="s">
        <v>1018</v>
      </c>
      <c r="L77" s="563"/>
      <c r="M77" s="74"/>
      <c r="N77" s="74"/>
      <c r="O77" s="74"/>
      <c r="P77" s="74"/>
      <c r="Q77" s="74"/>
      <c r="R77" s="74"/>
      <c r="U77" s="441"/>
      <c r="V77" s="433"/>
      <c r="W77" s="489"/>
    </row>
    <row r="78" spans="2:23" ht="15" x14ac:dyDescent="0.25">
      <c r="B78" s="489"/>
      <c r="C78" s="434"/>
      <c r="D78" s="544"/>
      <c r="E78" s="563" t="str">
        <f>L43</f>
        <v>Angmering</v>
      </c>
      <c r="F78" s="689">
        <f>IF(HLOOKUP(E75,breastfeeding,selection+1,FALSE) = "", "", HLOOKUP(E75,breastfeeding,selection+1,FALSE))</f>
        <v>0.44919786096256686</v>
      </c>
      <c r="G78" s="690">
        <f>L59</f>
        <v>0.38364779874213839</v>
      </c>
      <c r="H78" s="690">
        <f>IF(L70 = "", "", L70)</f>
        <v>0.41818181818181815</v>
      </c>
      <c r="I78" s="690">
        <f>IF(L52 = "", "", L52)</f>
        <v>0.52941176470588236</v>
      </c>
      <c r="J78" s="690">
        <f>L61</f>
        <v>0.50314465408805031</v>
      </c>
      <c r="K78" s="690">
        <f>IF(L72 = "", "", L72)</f>
        <v>0.55151515151515151</v>
      </c>
      <c r="L78" s="563"/>
      <c r="M78" s="74"/>
      <c r="N78" s="74"/>
      <c r="O78" s="74"/>
      <c r="P78" s="74"/>
      <c r="Q78" s="74"/>
      <c r="R78" s="74"/>
      <c r="U78" s="441"/>
      <c r="V78" s="433"/>
      <c r="W78" s="489"/>
    </row>
    <row r="79" spans="2:23" ht="15" x14ac:dyDescent="0.25">
      <c r="B79" s="489"/>
      <c r="C79" s="434"/>
      <c r="D79" s="544"/>
      <c r="E79" s="563" t="str">
        <f>N43</f>
        <v>Bewbush</v>
      </c>
      <c r="F79" s="689">
        <f>IF(HLOOKUP(E75,breastfeeding,selection2+1, FALSE) = "n/a", "", HLOOKUP(E75,breastfeeding,selection2+1, FALSE) )</f>
        <v>0.33157894736842103</v>
      </c>
      <c r="G79" s="690">
        <f>N59</f>
        <v>0.26699029126213591</v>
      </c>
      <c r="H79" s="690">
        <f>IF(N70 = "", "", N70)</f>
        <v>0.29949238578680204</v>
      </c>
      <c r="I79" s="690">
        <f>N52</f>
        <v>0.47368421052631576</v>
      </c>
      <c r="J79" s="690">
        <f>N61</f>
        <v>0.48058252427184467</v>
      </c>
      <c r="K79" s="690">
        <f>IF(N72 = "", "", N72)</f>
        <v>0.4467005076142132</v>
      </c>
      <c r="L79" s="563"/>
      <c r="M79" s="563"/>
      <c r="N79" s="563" t="s">
        <v>733</v>
      </c>
      <c r="O79" s="563" t="s">
        <v>735</v>
      </c>
      <c r="P79" s="563" t="s">
        <v>734</v>
      </c>
      <c r="Q79" s="563" t="s">
        <v>736</v>
      </c>
      <c r="R79" s="563"/>
      <c r="U79" s="441"/>
      <c r="V79" s="433"/>
      <c r="W79" s="489"/>
    </row>
    <row r="80" spans="2:23" ht="15" x14ac:dyDescent="0.25">
      <c r="B80" s="489"/>
      <c r="C80" s="434"/>
      <c r="D80" s="544"/>
      <c r="E80" s="563" t="str">
        <f>P43</f>
        <v>West Sussex</v>
      </c>
      <c r="F80" s="690">
        <f>P50</f>
        <v>0.42093862815884475</v>
      </c>
      <c r="G80" s="690">
        <f>P59</f>
        <v>0.40456351749775671</v>
      </c>
      <c r="H80" s="690">
        <f>P70</f>
        <v>0.41147238392730373</v>
      </c>
      <c r="I80" s="690">
        <f>P52</f>
        <v>0.55415162454873645</v>
      </c>
      <c r="J80" s="690">
        <f>P61</f>
        <v>0.56326112036918341</v>
      </c>
      <c r="K80" s="690">
        <f>P72</f>
        <v>0.56793979838137154</v>
      </c>
      <c r="L80" s="563"/>
      <c r="M80" s="563" t="s">
        <v>613</v>
      </c>
      <c r="N80" s="690">
        <f>I78-F83</f>
        <v>7.1411421085228355E-2</v>
      </c>
      <c r="O80" s="690">
        <f>F78-I83</f>
        <v>6.9557385517126646E-2</v>
      </c>
      <c r="P80" s="690">
        <f>G83-I78</f>
        <v>7.0227316201449175E-2</v>
      </c>
      <c r="Q80" s="690">
        <f>J83-F78</f>
        <v>7.1602657589108887E-2</v>
      </c>
      <c r="R80" s="563"/>
      <c r="U80" s="441"/>
      <c r="V80" s="433"/>
      <c r="W80" s="489"/>
    </row>
    <row r="81" spans="2:23" ht="15" x14ac:dyDescent="0.25">
      <c r="B81" s="489"/>
      <c r="C81" s="434"/>
      <c r="D81" s="433"/>
      <c r="E81" s="74"/>
      <c r="F81" s="74"/>
      <c r="G81" s="74"/>
      <c r="H81" s="74"/>
      <c r="I81" s="74"/>
      <c r="J81" s="74"/>
      <c r="K81" s="74"/>
      <c r="L81" s="74"/>
      <c r="M81" s="563"/>
      <c r="N81" s="690">
        <f>IF(F84 = "", "", I79-F84)</f>
        <v>6.9771484632111025E-2</v>
      </c>
      <c r="O81" s="690">
        <f>IF(I84 = "", "", F79-I84)</f>
        <v>6.3021398208596591E-2</v>
      </c>
      <c r="P81" s="690">
        <f>IF(G84 = "", "", G84-I79)</f>
        <v>7.0814550071543081E-2</v>
      </c>
      <c r="Q81" s="690">
        <f>IF(J84 = "", "",J84-F79)</f>
        <v>6.9697017020961705E-2</v>
      </c>
      <c r="R81" s="563"/>
      <c r="S81" s="433"/>
      <c r="T81" s="433"/>
      <c r="U81" s="441"/>
      <c r="V81" s="433"/>
      <c r="W81" s="489"/>
    </row>
    <row r="82" spans="2:23" ht="15" x14ac:dyDescent="0.25">
      <c r="B82" s="489"/>
      <c r="C82" s="434"/>
      <c r="D82" s="433"/>
      <c r="E82" s="563"/>
      <c r="F82" s="563" t="s">
        <v>729</v>
      </c>
      <c r="G82" s="563" t="s">
        <v>730</v>
      </c>
      <c r="H82" s="74"/>
      <c r="I82" s="563" t="s">
        <v>731</v>
      </c>
      <c r="J82" s="563" t="s">
        <v>732</v>
      </c>
      <c r="K82" s="74"/>
      <c r="L82" s="74"/>
      <c r="M82" s="563"/>
      <c r="N82" s="690">
        <f>I80-F85</f>
        <v>1.0709624548736474E-2</v>
      </c>
      <c r="O82" s="690">
        <f>F80-I85</f>
        <v>1.0576061592882935E-2</v>
      </c>
      <c r="P82" s="690">
        <f>G85-I80</f>
        <v>1.0659375451263498E-2</v>
      </c>
      <c r="Q82" s="690">
        <f>J85-F80</f>
        <v>1.0649123126649174E-2</v>
      </c>
      <c r="R82" s="563"/>
      <c r="S82" s="433"/>
      <c r="T82" s="433"/>
      <c r="U82" s="441"/>
      <c r="V82" s="433"/>
      <c r="W82" s="489"/>
    </row>
    <row r="83" spans="2:23" ht="15" x14ac:dyDescent="0.25">
      <c r="B83" s="489"/>
      <c r="C83" s="434"/>
      <c r="D83" s="433"/>
      <c r="E83" s="563" t="s">
        <v>613</v>
      </c>
      <c r="F83" s="689">
        <f>IF(HLOOKUP(F$82,breastfeeding,selection+1,FALSE) = "n/a", "", HLOOKUP(F$82,breastfeeding,selection+1,FALSE))</f>
        <v>0.458000343620654</v>
      </c>
      <c r="G83" s="689">
        <f>IF(HLOOKUP(G$82,breastfeeding,selection+1,FALSE) = "n/a", "", HLOOKUP(G$82,breastfeeding,selection+1,FALSE))</f>
        <v>0.59963908090733153</v>
      </c>
      <c r="H83" s="74"/>
      <c r="I83" s="689">
        <f>IF(HLOOKUP(I$82,breastfeeding,selection+1,FALSE) = "n/a", "", HLOOKUP(I$82,breastfeeding,selection+1,FALSE))</f>
        <v>0.37964047544544022</v>
      </c>
      <c r="J83" s="689">
        <f>IF(HLOOKUP(J$82,breastfeeding,selection+1,FALSE) = "n/a", "", HLOOKUP(J$82,breastfeeding,selection+1,FALSE))</f>
        <v>0.52080051855167575</v>
      </c>
      <c r="K83" s="74"/>
      <c r="L83" s="74"/>
      <c r="M83" s="563" t="s">
        <v>503</v>
      </c>
      <c r="N83" s="690">
        <f>J78-F86</f>
        <v>7.686817000974433E-2</v>
      </c>
      <c r="O83" s="690">
        <f>G78-I86</f>
        <v>7.1992892621754567E-2</v>
      </c>
      <c r="P83" s="690">
        <f>G86-J78</f>
        <v>7.6719804117273749E-2</v>
      </c>
      <c r="Q83" s="690">
        <f>J86-G78</f>
        <v>7.7482430643166456E-2</v>
      </c>
      <c r="R83" s="563"/>
      <c r="S83" s="433"/>
      <c r="T83" s="433"/>
      <c r="U83" s="74"/>
      <c r="V83" s="433"/>
      <c r="W83" s="489"/>
    </row>
    <row r="84" spans="2:23" s="67" customFormat="1" ht="15" x14ac:dyDescent="0.25">
      <c r="B84" s="489"/>
      <c r="C84" s="204"/>
      <c r="D84" s="433"/>
      <c r="E84" s="563"/>
      <c r="F84" s="689">
        <f>IF(HLOOKUP(F$82,breastfeeding,selection2+1,FALSE) = "n/a", "", HLOOKUP(F$82,breastfeeding,selection2+1,FALSE))</f>
        <v>0.40391272589420474</v>
      </c>
      <c r="G84" s="689">
        <f>IF(HLOOKUP(G$82,breastfeeding,selection2+1,FALSE) = "n/a", "", HLOOKUP(G$82,breastfeeding,selection2+1,FALSE))</f>
        <v>0.54449876059785884</v>
      </c>
      <c r="H84" s="74"/>
      <c r="I84" s="689">
        <f>IF(HLOOKUP(I$82,breastfeeding,selection2+1,FALSE) = "n/a", "", HLOOKUP(I$82,breastfeeding,selection2+1,FALSE))</f>
        <v>0.26855754915982444</v>
      </c>
      <c r="J84" s="689">
        <f>IF(HLOOKUP(J$82,breastfeeding,selection2+1,FALSE) = "n/a", "", HLOOKUP(J$82,breastfeeding,selection2+1,FALSE))</f>
        <v>0.40127596438938273</v>
      </c>
      <c r="K84" s="74"/>
      <c r="L84" s="74"/>
      <c r="M84" s="563"/>
      <c r="N84" s="690">
        <f>J79-F87</f>
        <v>6.7245159546942823E-2</v>
      </c>
      <c r="O84" s="690">
        <f>G79-I87</f>
        <v>5.5741846998347971E-2</v>
      </c>
      <c r="P84" s="690">
        <f>G87-J79</f>
        <v>6.7956090874152775E-2</v>
      </c>
      <c r="Q84" s="690">
        <f>J87-G79</f>
        <v>6.427302292486764E-2</v>
      </c>
      <c r="R84" s="563"/>
      <c r="S84" s="433"/>
      <c r="T84" s="433"/>
      <c r="U84" s="74"/>
      <c r="V84" s="433"/>
      <c r="W84" s="489"/>
    </row>
    <row r="85" spans="2:23" s="67" customFormat="1" ht="15" x14ac:dyDescent="0.25">
      <c r="B85" s="489"/>
      <c r="C85" s="204"/>
      <c r="D85" s="74"/>
      <c r="E85" s="563"/>
      <c r="F85" s="691">
        <f>Data!GJ76</f>
        <v>0.54344199999999998</v>
      </c>
      <c r="G85" s="691">
        <f>Data!GK76</f>
        <v>0.56481099999999995</v>
      </c>
      <c r="H85" s="74"/>
      <c r="I85" s="691">
        <f>Data!GH76</f>
        <v>0.41036256656596182</v>
      </c>
      <c r="J85" s="691">
        <f>Data!GI76</f>
        <v>0.43158775128549393</v>
      </c>
      <c r="K85" s="74"/>
      <c r="L85" s="74"/>
      <c r="M85" s="563"/>
      <c r="N85" s="690">
        <f>J80-F88</f>
        <v>1.1034706226567326E-2</v>
      </c>
      <c r="O85" s="690">
        <f>G80-I88</f>
        <v>1.0841855944892786E-2</v>
      </c>
      <c r="P85" s="690">
        <f>G88-J80</f>
        <v>1.0972433343733989E-2</v>
      </c>
      <c r="Q85" s="690">
        <f>J88-G80</f>
        <v>1.0935801560433722E-2</v>
      </c>
      <c r="R85" s="563"/>
      <c r="S85" s="74"/>
      <c r="T85" s="74"/>
      <c r="U85" s="74"/>
      <c r="V85" s="433"/>
      <c r="W85" s="489"/>
    </row>
    <row r="86" spans="2:23" s="67" customFormat="1" ht="15" x14ac:dyDescent="0.25">
      <c r="B86" s="489"/>
      <c r="C86" s="204"/>
      <c r="D86" s="74"/>
      <c r="E86" s="563" t="s">
        <v>503</v>
      </c>
      <c r="F86" s="689">
        <f>HLOOKUP(F$82,breastfeeding1415,selection+1,FALSE)</f>
        <v>0.42627648407830598</v>
      </c>
      <c r="G86" s="689">
        <f>HLOOKUP(G$82,breastfeeding1415,selection+1,FALSE)</f>
        <v>0.57986445820532406</v>
      </c>
      <c r="H86" s="74"/>
      <c r="I86" s="689">
        <f>HLOOKUP(I$82,breastfeeding1415,selection+1,FALSE)</f>
        <v>0.31165490612038382</v>
      </c>
      <c r="J86" s="689">
        <f>HLOOKUP(J$82,breastfeeding1415,selection+1,FALSE)</f>
        <v>0.46113022938530485</v>
      </c>
      <c r="K86" s="74"/>
      <c r="L86" s="74"/>
      <c r="M86" s="563" t="s">
        <v>1018</v>
      </c>
      <c r="N86" s="690">
        <f>K78-F89</f>
        <v>7.6198474227538227E-2</v>
      </c>
      <c r="O86" s="690">
        <f>H78-I89</f>
        <v>7.2563792896942036E-2</v>
      </c>
      <c r="P86" s="690">
        <f>G89-K78</f>
        <v>7.3854342228567127E-2</v>
      </c>
      <c r="Q86" s="690">
        <f>J89-H78</f>
        <v>7.6286826071778502E-2</v>
      </c>
      <c r="R86" s="563"/>
      <c r="S86" s="74"/>
      <c r="T86" s="74"/>
      <c r="U86" s="74"/>
      <c r="V86" s="433"/>
      <c r="W86" s="489"/>
    </row>
    <row r="87" spans="2:23" s="67" customFormat="1" ht="15" x14ac:dyDescent="0.25">
      <c r="B87" s="489"/>
      <c r="C87" s="204"/>
      <c r="D87" s="71"/>
      <c r="E87" s="563"/>
      <c r="F87" s="689">
        <f>HLOOKUP(F$82,breastfeeding1415,selection2+1,FALSE)</f>
        <v>0.41333736472490185</v>
      </c>
      <c r="G87" s="689">
        <f>HLOOKUP(G$82,breastfeeding1415,selection2+1,FALSE)</f>
        <v>0.54853861514599744</v>
      </c>
      <c r="H87" s="74"/>
      <c r="I87" s="689">
        <f>HLOOKUP(I$82,breastfeeding1415,selection2+1,FALSE)</f>
        <v>0.21124844426378794</v>
      </c>
      <c r="J87" s="689">
        <f>HLOOKUP(J$82,breastfeeding1415,selection2+1,FALSE)</f>
        <v>0.33126331418700355</v>
      </c>
      <c r="K87" s="74"/>
      <c r="L87" s="74"/>
      <c r="M87" s="563"/>
      <c r="N87" s="690">
        <f t="shared" ref="N87:N88" si="6">K79-F90</f>
        <v>6.7743974974300958E-2</v>
      </c>
      <c r="O87" s="690">
        <f t="shared" ref="O87:O88" si="7">H79-I90</f>
        <v>5.9627134596703435E-2</v>
      </c>
      <c r="P87" s="690">
        <f t="shared" ref="P87:P88" si="8">G90-K79</f>
        <v>6.9782874774831583E-2</v>
      </c>
      <c r="Q87" s="690">
        <f t="shared" ref="Q87:Q88" si="9">J90-H79</f>
        <v>6.7297281465366399E-2</v>
      </c>
      <c r="R87" s="563"/>
      <c r="S87" s="74"/>
      <c r="T87" s="74"/>
      <c r="U87" s="74"/>
      <c r="W87" s="489"/>
    </row>
    <row r="88" spans="2:23" s="67" customFormat="1" ht="15" x14ac:dyDescent="0.25">
      <c r="B88" s="489"/>
      <c r="C88" s="204"/>
      <c r="D88" s="71"/>
      <c r="E88" s="563"/>
      <c r="F88" s="691">
        <f>Data!GT76</f>
        <v>0.55222641414261608</v>
      </c>
      <c r="G88" s="691">
        <f>Data!GU76</f>
        <v>0.5742335537129174</v>
      </c>
      <c r="H88" s="74"/>
      <c r="I88" s="691">
        <f>Data!GR76</f>
        <v>0.39372166155286392</v>
      </c>
      <c r="J88" s="691">
        <f>Data!GS76</f>
        <v>0.41549931905819043</v>
      </c>
      <c r="K88" s="74"/>
      <c r="L88" s="74"/>
      <c r="M88" s="563"/>
      <c r="N88" s="690">
        <f t="shared" si="6"/>
        <v>1.1602854073464841E-2</v>
      </c>
      <c r="O88" s="690">
        <f t="shared" si="7"/>
        <v>1.1441434199538192E-2</v>
      </c>
      <c r="P88" s="690">
        <f t="shared" si="8"/>
        <v>1.1528781756301787E-2</v>
      </c>
      <c r="Q88" s="690">
        <f t="shared" si="9"/>
        <v>1.1537952673417506E-2</v>
      </c>
      <c r="R88" s="563"/>
      <c r="S88" s="74"/>
      <c r="T88" s="74"/>
      <c r="U88" s="74"/>
      <c r="W88" s="489"/>
    </row>
    <row r="89" spans="2:23" s="67" customFormat="1" ht="15" x14ac:dyDescent="0.25">
      <c r="B89" s="489"/>
      <c r="C89" s="485"/>
      <c r="D89" s="71"/>
      <c r="E89" s="563" t="s">
        <v>1018</v>
      </c>
      <c r="F89" s="689">
        <f>IF(HLOOKUP(F$82,Breastfeeding1516,selection+1,FALSE) = "n/a", "", HLOOKUP(F$82,Breastfeeding1516,selection+1,FALSE))</f>
        <v>0.47531667728761329</v>
      </c>
      <c r="G89" s="689">
        <f>IF(HLOOKUP(G$82,Breastfeeding1516,selection+1,FALSE) = "n/a", "", HLOOKUP(G$82,Breastfeeding1516,selection+1,FALSE))</f>
        <v>0.62536949374371864</v>
      </c>
      <c r="H89" s="74"/>
      <c r="I89" s="689">
        <f>IF(HLOOKUP(I$82,Breastfeeding1516,selection+1,FALSE) = "n/a", "", HLOOKUP(I$82,Breastfeeding1516,selection+1,FALSE))</f>
        <v>0.34561802528487612</v>
      </c>
      <c r="J89" s="689">
        <f>IF(HLOOKUP(J$82,Breastfeeding1516,selection+1,FALSE) = "n/a", "", HLOOKUP(J$82,Breastfeeding1516,selection+1,FALSE))</f>
        <v>0.49446864425359666</v>
      </c>
      <c r="K89" s="74"/>
      <c r="L89" s="74"/>
      <c r="M89" s="563"/>
      <c r="N89" s="563"/>
      <c r="O89" s="563"/>
      <c r="P89" s="563"/>
      <c r="Q89" s="563"/>
      <c r="R89" s="563"/>
      <c r="S89" s="74"/>
      <c r="T89" s="74"/>
      <c r="U89" s="74"/>
      <c r="W89" s="489"/>
    </row>
    <row r="90" spans="2:23" s="67" customFormat="1" ht="15" x14ac:dyDescent="0.25">
      <c r="B90" s="489"/>
      <c r="C90" s="485"/>
      <c r="D90" s="71"/>
      <c r="E90" s="563"/>
      <c r="F90" s="689">
        <f>IF(HLOOKUP(F$82,Breastfeeding1516,selection2+1,FALSE) = "n/a", "", HLOOKUP(F$82,Breastfeeding1516,selection2+1,FALSE))</f>
        <v>0.37895653263991225</v>
      </c>
      <c r="G90" s="689">
        <f>IF(HLOOKUP(G$82,Breastfeeding1516,selection2+1,FALSE) = "n/a", "", HLOOKUP(G$82,Breastfeeding1516,selection2+1,FALSE))</f>
        <v>0.51648338238904479</v>
      </c>
      <c r="H90" s="74"/>
      <c r="I90" s="689">
        <f>IF(HLOOKUP(I$82,Breastfeeding1516,selection2+1,FALSE) = "n/a", "", HLOOKUP(I$82,Breastfeeding1516,selection2+1,FALSE))</f>
        <v>0.23986525119009861</v>
      </c>
      <c r="J90" s="689">
        <f>IF(HLOOKUP(J$82,Breastfeeding1516,selection2+1,FALSE) = "n/a", "", HLOOKUP(J$82,Breastfeeding1516,selection2+1,FALSE))</f>
        <v>0.36678966725216844</v>
      </c>
      <c r="K90" s="74"/>
      <c r="L90" s="74"/>
      <c r="M90" s="563"/>
      <c r="N90" s="563"/>
      <c r="O90" s="563"/>
      <c r="P90" s="563"/>
      <c r="Q90" s="563"/>
      <c r="R90" s="563"/>
      <c r="S90" s="74"/>
      <c r="T90" s="74"/>
      <c r="U90" s="74"/>
      <c r="W90" s="489"/>
    </row>
    <row r="91" spans="2:23" s="67" customFormat="1" ht="15" x14ac:dyDescent="0.25">
      <c r="B91" s="489"/>
      <c r="C91" s="204"/>
      <c r="D91" s="204"/>
      <c r="E91" s="71"/>
      <c r="F91" s="75">
        <f>Data!HG76</f>
        <v>0.5563369443079067</v>
      </c>
      <c r="G91" s="75">
        <f>Data!HH76</f>
        <v>0.57946858013767333</v>
      </c>
      <c r="H91" s="75"/>
      <c r="I91" s="75">
        <f>Data!HE76</f>
        <v>0.40003094972776554</v>
      </c>
      <c r="J91" s="75">
        <f>Data!HF76</f>
        <v>0.42301033660072124</v>
      </c>
      <c r="K91" s="71"/>
      <c r="L91" s="71"/>
      <c r="M91" s="563"/>
      <c r="N91" s="563"/>
      <c r="O91" s="563"/>
      <c r="P91" s="563"/>
      <c r="Q91" s="563"/>
      <c r="R91" s="563"/>
      <c r="W91" s="489"/>
    </row>
    <row r="92" spans="2:23" s="67" customFormat="1" ht="15" x14ac:dyDescent="0.25">
      <c r="B92" s="489"/>
      <c r="C92" s="485"/>
      <c r="D92" s="485"/>
      <c r="E92" s="485"/>
      <c r="F92" s="485"/>
      <c r="G92" s="485"/>
      <c r="H92" s="485"/>
      <c r="I92" s="485"/>
      <c r="J92" s="485"/>
      <c r="K92" s="485"/>
      <c r="L92" s="485"/>
      <c r="M92" s="545"/>
      <c r="N92" s="545"/>
      <c r="O92" s="545"/>
      <c r="P92" s="545"/>
      <c r="Q92" s="545"/>
      <c r="R92" s="545"/>
      <c r="W92" s="489"/>
    </row>
    <row r="93" spans="2:23" ht="15" x14ac:dyDescent="0.25">
      <c r="B93" s="489"/>
      <c r="C93" s="92"/>
      <c r="D93" s="92"/>
      <c r="E93" s="92"/>
      <c r="F93" s="92"/>
      <c r="G93" s="92"/>
      <c r="H93" s="92"/>
      <c r="I93" s="92"/>
      <c r="J93" s="92"/>
      <c r="K93" s="92"/>
      <c r="L93" s="92"/>
      <c r="M93" s="92"/>
      <c r="N93" s="67"/>
      <c r="O93" s="67"/>
      <c r="Q93" s="67"/>
      <c r="R93" s="67"/>
      <c r="S93" s="67"/>
      <c r="T93" s="67"/>
      <c r="U93" s="67"/>
      <c r="V93" s="67"/>
      <c r="W93" s="489"/>
    </row>
    <row r="94" spans="2:23" ht="15" x14ac:dyDescent="0.25">
      <c r="B94" s="489"/>
      <c r="C94" s="92"/>
      <c r="D94" s="92"/>
      <c r="E94" s="92"/>
      <c r="F94" s="92"/>
      <c r="G94" s="92"/>
      <c r="H94" s="92"/>
      <c r="I94" s="92"/>
      <c r="J94" s="92"/>
      <c r="K94" s="92"/>
      <c r="L94" s="92"/>
      <c r="M94" s="92"/>
      <c r="N94" s="67"/>
      <c r="O94" s="67"/>
      <c r="Q94" s="67"/>
      <c r="R94" s="67"/>
      <c r="S94" s="67"/>
      <c r="T94" s="67"/>
      <c r="U94" s="67"/>
      <c r="V94" s="67"/>
      <c r="W94" s="489"/>
    </row>
    <row r="95" spans="2:23" ht="15" x14ac:dyDescent="0.25">
      <c r="B95" s="489"/>
      <c r="C95" s="92"/>
      <c r="D95" s="92"/>
      <c r="E95" s="92"/>
      <c r="F95" s="92"/>
      <c r="G95" s="92"/>
      <c r="H95" s="92"/>
      <c r="I95" s="92"/>
      <c r="J95" s="92"/>
      <c r="K95" s="92"/>
      <c r="L95" s="92"/>
      <c r="M95" s="92"/>
      <c r="N95" s="67"/>
      <c r="O95" s="67"/>
      <c r="Q95" s="67"/>
      <c r="R95" s="67"/>
      <c r="S95" s="67"/>
      <c r="T95" s="67"/>
      <c r="U95" s="67"/>
      <c r="V95" s="67"/>
      <c r="W95" s="489"/>
    </row>
    <row r="96" spans="2:23" s="67" customFormat="1" ht="62.25" customHeight="1" x14ac:dyDescent="0.25">
      <c r="B96" s="489"/>
      <c r="C96" s="1150" t="s">
        <v>1072</v>
      </c>
      <c r="D96" s="1150"/>
      <c r="E96" s="1150"/>
      <c r="F96" s="1150"/>
      <c r="G96" s="1150"/>
      <c r="H96" s="1150"/>
      <c r="I96" s="1150"/>
      <c r="J96" s="1150"/>
      <c r="K96" s="1150"/>
      <c r="L96" s="1150"/>
      <c r="M96" s="1150"/>
      <c r="N96" s="1150"/>
      <c r="O96" s="1150"/>
      <c r="P96" s="1150"/>
      <c r="Q96" s="1150"/>
      <c r="R96" s="1150"/>
      <c r="S96" s="1150"/>
      <c r="T96" s="1150"/>
      <c r="U96" s="1150"/>
      <c r="W96" s="489"/>
    </row>
    <row r="97" spans="2:23" s="67" customFormat="1" ht="15" x14ac:dyDescent="0.25">
      <c r="B97" s="489"/>
      <c r="C97" s="1152"/>
      <c r="D97" s="1152"/>
      <c r="E97" s="1152"/>
      <c r="F97" s="1152"/>
      <c r="G97" s="1152"/>
      <c r="H97" s="1152"/>
      <c r="I97" s="1152"/>
      <c r="J97" s="1152"/>
      <c r="K97" s="1152"/>
      <c r="L97" s="1152"/>
      <c r="M97" s="1152"/>
      <c r="W97" s="489"/>
    </row>
    <row r="98" spans="2:23" s="67" customFormat="1" ht="18" customHeight="1" x14ac:dyDescent="0.25">
      <c r="B98" s="489"/>
      <c r="C98" s="557" t="s">
        <v>1067</v>
      </c>
      <c r="D98" s="133"/>
      <c r="E98" s="133"/>
      <c r="F98" s="133"/>
      <c r="G98" s="133"/>
      <c r="H98" s="133"/>
      <c r="I98" s="133"/>
      <c r="J98" s="133"/>
      <c r="K98" s="133"/>
      <c r="L98" s="133"/>
      <c r="M98" s="133"/>
      <c r="W98" s="489"/>
    </row>
    <row r="99" spans="2:23" s="67" customFormat="1" ht="34.5" customHeight="1" x14ac:dyDescent="0.2">
      <c r="B99" s="489"/>
      <c r="C99" s="1151" t="s">
        <v>497</v>
      </c>
      <c r="D99" s="1151"/>
      <c r="E99" s="1151"/>
      <c r="F99" s="1151"/>
      <c r="G99" s="1151"/>
      <c r="H99" s="1151"/>
      <c r="I99" s="1151"/>
      <c r="J99" s="1151"/>
      <c r="K99" s="1151"/>
      <c r="L99" s="1151"/>
      <c r="M99" s="1151"/>
      <c r="N99" s="1151"/>
      <c r="O99" s="1151"/>
      <c r="P99" s="1151"/>
      <c r="Q99" s="1151"/>
      <c r="R99" s="1151"/>
      <c r="S99" s="1151"/>
      <c r="T99" s="1151"/>
      <c r="U99" s="1151"/>
      <c r="W99" s="489"/>
    </row>
    <row r="100" spans="2:23" s="67" customFormat="1" ht="15" x14ac:dyDescent="0.25">
      <c r="B100" s="489"/>
      <c r="C100" s="132"/>
      <c r="D100" s="133"/>
      <c r="E100" s="133"/>
      <c r="F100" s="133"/>
      <c r="G100" s="133"/>
      <c r="H100" s="133"/>
      <c r="I100" s="133"/>
      <c r="J100" s="133"/>
      <c r="K100" s="133"/>
      <c r="L100" s="133"/>
      <c r="M100" s="133"/>
      <c r="W100" s="489"/>
    </row>
    <row r="101" spans="2:23" s="67" customFormat="1" ht="15" x14ac:dyDescent="0.25">
      <c r="B101" s="489"/>
      <c r="C101" s="134" t="s">
        <v>498</v>
      </c>
      <c r="D101" s="135"/>
      <c r="E101" s="133"/>
      <c r="F101" s="133"/>
      <c r="G101" s="133"/>
      <c r="H101" s="133"/>
      <c r="I101" s="133"/>
      <c r="J101" s="133"/>
      <c r="K101" s="133"/>
      <c r="L101" s="133"/>
      <c r="M101" s="133"/>
      <c r="W101" s="489"/>
    </row>
    <row r="102" spans="2:23" s="67" customFormat="1" ht="15" x14ac:dyDescent="0.25">
      <c r="B102" s="489"/>
      <c r="C102" s="134" t="s">
        <v>499</v>
      </c>
      <c r="D102" s="135"/>
      <c r="E102" s="133"/>
      <c r="F102" s="133"/>
      <c r="G102" s="133"/>
      <c r="H102" s="133"/>
      <c r="I102" s="133"/>
      <c r="J102" s="133"/>
      <c r="K102" s="133"/>
      <c r="L102" s="133"/>
      <c r="M102" s="133"/>
      <c r="W102" s="489"/>
    </row>
    <row r="103" spans="2:23" s="67" customFormat="1" ht="15" x14ac:dyDescent="0.25">
      <c r="B103" s="489"/>
      <c r="C103" s="136" t="s">
        <v>500</v>
      </c>
      <c r="D103" s="131"/>
      <c r="E103" s="92"/>
      <c r="F103" s="92"/>
      <c r="G103" s="92"/>
      <c r="H103" s="92"/>
      <c r="I103" s="92"/>
      <c r="J103" s="92"/>
      <c r="K103" s="92"/>
      <c r="L103" s="92"/>
      <c r="M103" s="92"/>
      <c r="W103" s="489"/>
    </row>
    <row r="104" spans="2:23" s="67" customFormat="1" ht="15" x14ac:dyDescent="0.25">
      <c r="B104" s="489"/>
      <c r="C104" s="136"/>
      <c r="D104" s="131"/>
      <c r="E104" s="92"/>
      <c r="F104" s="92"/>
      <c r="G104" s="92"/>
      <c r="H104" s="92"/>
      <c r="I104" s="92"/>
      <c r="J104" s="92"/>
      <c r="K104" s="92"/>
      <c r="L104" s="92"/>
      <c r="M104" s="92"/>
      <c r="W104" s="489"/>
    </row>
    <row r="105" spans="2:23" s="67" customFormat="1" ht="15" x14ac:dyDescent="0.25">
      <c r="B105" s="489"/>
      <c r="C105" s="136"/>
      <c r="D105" s="158" t="s">
        <v>1026</v>
      </c>
      <c r="E105" s="524"/>
      <c r="F105" s="524"/>
      <c r="G105" s="524"/>
      <c r="H105" s="524"/>
      <c r="I105" s="524"/>
      <c r="J105" s="524"/>
      <c r="K105" s="524"/>
      <c r="L105" s="524"/>
      <c r="M105" s="524"/>
      <c r="W105" s="489"/>
    </row>
    <row r="106" spans="2:23" s="67" customFormat="1" ht="15" x14ac:dyDescent="0.25">
      <c r="B106" s="489"/>
      <c r="C106" s="136"/>
      <c r="D106" s="131"/>
      <c r="E106" s="524"/>
      <c r="F106" s="524"/>
      <c r="G106" s="524"/>
      <c r="H106" s="524"/>
      <c r="I106" s="524"/>
      <c r="J106" s="524"/>
      <c r="K106" s="524"/>
      <c r="L106" s="524"/>
      <c r="M106" s="524"/>
      <c r="W106" s="489"/>
    </row>
    <row r="107" spans="2:23" s="67" customFormat="1" ht="15" customHeight="1" x14ac:dyDescent="0.25">
      <c r="B107" s="489"/>
      <c r="C107" s="92"/>
      <c r="D107" s="844" t="s">
        <v>510</v>
      </c>
      <c r="E107" s="844"/>
      <c r="F107" s="844"/>
      <c r="G107" s="844"/>
      <c r="H107" s="844"/>
      <c r="I107" s="844"/>
      <c r="J107" s="1074" t="s">
        <v>502</v>
      </c>
      <c r="K107" s="1074"/>
      <c r="L107" s="1074"/>
      <c r="M107" s="1074"/>
      <c r="N107" s="1074" t="s">
        <v>503</v>
      </c>
      <c r="O107" s="1074"/>
      <c r="P107" s="1074"/>
      <c r="Q107" s="1074"/>
      <c r="R107" s="1071" t="s">
        <v>1065</v>
      </c>
      <c r="S107" s="621"/>
      <c r="T107" s="620"/>
      <c r="U107" s="620"/>
      <c r="W107" s="489"/>
    </row>
    <row r="108" spans="2:23" s="67" customFormat="1" ht="15" x14ac:dyDescent="0.25">
      <c r="B108" s="489"/>
      <c r="C108" s="92"/>
      <c r="D108" s="844"/>
      <c r="E108" s="844"/>
      <c r="F108" s="844"/>
      <c r="G108" s="844"/>
      <c r="H108" s="844"/>
      <c r="I108" s="844"/>
      <c r="J108" s="1074"/>
      <c r="K108" s="1074"/>
      <c r="L108" s="1074"/>
      <c r="M108" s="1074"/>
      <c r="N108" s="1074"/>
      <c r="O108" s="1074"/>
      <c r="P108" s="1074"/>
      <c r="Q108" s="1074"/>
      <c r="R108" s="1072"/>
      <c r="S108" s="621"/>
      <c r="T108" s="620"/>
      <c r="U108" s="620"/>
      <c r="W108" s="489"/>
    </row>
    <row r="109" spans="2:23" s="67" customFormat="1" ht="15" x14ac:dyDescent="0.25">
      <c r="B109" s="489"/>
      <c r="C109" s="92"/>
      <c r="D109" s="844"/>
      <c r="E109" s="844"/>
      <c r="F109" s="844"/>
      <c r="G109" s="844"/>
      <c r="H109" s="844"/>
      <c r="I109" s="844"/>
      <c r="J109" s="546" t="s">
        <v>504</v>
      </c>
      <c r="K109" s="546" t="s">
        <v>505</v>
      </c>
      <c r="L109" s="546" t="s">
        <v>506</v>
      </c>
      <c r="M109" s="546" t="s">
        <v>507</v>
      </c>
      <c r="N109" s="546" t="s">
        <v>504</v>
      </c>
      <c r="O109" s="546" t="s">
        <v>505</v>
      </c>
      <c r="P109" s="546" t="s">
        <v>506</v>
      </c>
      <c r="Q109" s="546" t="s">
        <v>507</v>
      </c>
      <c r="R109" s="610" t="s">
        <v>1066</v>
      </c>
      <c r="S109" s="622"/>
      <c r="T109" s="613"/>
      <c r="U109" s="613"/>
      <c r="W109" s="489"/>
    </row>
    <row r="110" spans="2:23" s="67" customFormat="1" ht="20.25" customHeight="1" x14ac:dyDescent="0.25">
      <c r="B110" s="489"/>
      <c r="C110" s="92"/>
      <c r="D110" s="853" t="s">
        <v>268</v>
      </c>
      <c r="E110" s="853"/>
      <c r="F110" s="853"/>
      <c r="G110" s="853"/>
      <c r="H110" s="853"/>
      <c r="I110" s="853"/>
      <c r="J110" s="547">
        <v>0.498</v>
      </c>
      <c r="K110" s="548">
        <v>0.42880523731587561</v>
      </c>
      <c r="L110" s="548">
        <v>0.3390894819466248</v>
      </c>
      <c r="M110" s="548">
        <v>0.3637236084452975</v>
      </c>
      <c r="N110" s="548">
        <v>0.3445149592021759</v>
      </c>
      <c r="O110" s="548">
        <v>0.24902723735408561</v>
      </c>
      <c r="P110" s="548">
        <v>0.23868677905944988</v>
      </c>
      <c r="Q110" s="548">
        <v>0.20950704225352113</v>
      </c>
      <c r="R110" s="548">
        <v>0.185</v>
      </c>
      <c r="S110" s="623"/>
      <c r="T110" s="250"/>
      <c r="U110" s="250"/>
      <c r="W110" s="489"/>
    </row>
    <row r="111" spans="2:23" s="67" customFormat="1" ht="20.25" customHeight="1" x14ac:dyDescent="0.25">
      <c r="B111" s="489"/>
      <c r="C111" s="92"/>
      <c r="D111" s="853" t="s">
        <v>269</v>
      </c>
      <c r="E111" s="853"/>
      <c r="F111" s="853"/>
      <c r="G111" s="853"/>
      <c r="H111" s="853"/>
      <c r="I111" s="853"/>
      <c r="J111" s="548">
        <v>0.55844155844155841</v>
      </c>
      <c r="K111" s="548">
        <v>0.40454545454545454</v>
      </c>
      <c r="L111" s="548">
        <v>0.40825688073394495</v>
      </c>
      <c r="M111" s="548">
        <v>0.3832199546485261</v>
      </c>
      <c r="N111" s="548">
        <v>0.39195979899497485</v>
      </c>
      <c r="O111" s="548">
        <v>0.34624697336561744</v>
      </c>
      <c r="P111" s="548">
        <v>0.27033492822966509</v>
      </c>
      <c r="Q111" s="548">
        <v>0.26735218508997427</v>
      </c>
      <c r="R111" s="548">
        <v>0.17499999999999999</v>
      </c>
      <c r="S111" s="623"/>
      <c r="T111" s="250"/>
      <c r="U111" s="250"/>
      <c r="W111" s="489"/>
    </row>
    <row r="112" spans="2:23" s="67" customFormat="1" ht="20.25" customHeight="1" x14ac:dyDescent="0.25">
      <c r="B112" s="489"/>
      <c r="C112" s="92"/>
      <c r="D112" s="853" t="s">
        <v>270</v>
      </c>
      <c r="E112" s="853"/>
      <c r="F112" s="853"/>
      <c r="G112" s="853"/>
      <c r="H112" s="853"/>
      <c r="I112" s="853"/>
      <c r="J112" s="547">
        <v>0.59099999999999997</v>
      </c>
      <c r="K112" s="548">
        <v>0.50701754385964914</v>
      </c>
      <c r="L112" s="548">
        <v>0.40063091482649843</v>
      </c>
      <c r="M112" s="548">
        <v>0.43016759776536312</v>
      </c>
      <c r="N112" s="548">
        <v>0.40217391304347827</v>
      </c>
      <c r="O112" s="548">
        <v>0.34353741496598639</v>
      </c>
      <c r="P112" s="548">
        <v>0.32263814616755793</v>
      </c>
      <c r="Q112" s="548">
        <v>0.31433506044905007</v>
      </c>
      <c r="R112" s="548">
        <v>0.312</v>
      </c>
      <c r="S112" s="623"/>
      <c r="T112" s="250"/>
      <c r="U112" s="250"/>
      <c r="W112" s="489"/>
    </row>
    <row r="113" spans="2:23" s="67" customFormat="1" ht="20.25" customHeight="1" x14ac:dyDescent="0.25">
      <c r="B113" s="489"/>
      <c r="C113" s="92"/>
      <c r="D113" s="853" t="s">
        <v>501</v>
      </c>
      <c r="E113" s="853"/>
      <c r="F113" s="853"/>
      <c r="G113" s="853"/>
      <c r="H113" s="853"/>
      <c r="I113" s="853"/>
      <c r="J113" s="548">
        <v>0.59513776337115076</v>
      </c>
      <c r="K113" s="548">
        <v>0.56274340112505405</v>
      </c>
      <c r="L113" s="548">
        <v>0.56806529245579152</v>
      </c>
      <c r="M113" s="548">
        <v>0.57185663247666241</v>
      </c>
      <c r="N113" s="548">
        <v>0.49324606600751986</v>
      </c>
      <c r="O113" s="548">
        <v>0.4716832721552176</v>
      </c>
      <c r="P113" s="548">
        <v>0.49552438209752842</v>
      </c>
      <c r="Q113" s="548">
        <v>0.38761011651037225</v>
      </c>
      <c r="R113" s="548">
        <v>0.47</v>
      </c>
      <c r="S113" s="623"/>
      <c r="T113" s="250"/>
      <c r="U113" s="250"/>
      <c r="W113" s="489"/>
    </row>
    <row r="114" spans="2:23" s="67" customFormat="1" ht="20.25" customHeight="1" x14ac:dyDescent="0.25">
      <c r="B114" s="489"/>
      <c r="C114" s="92"/>
      <c r="D114" s="853" t="s">
        <v>293</v>
      </c>
      <c r="E114" s="853"/>
      <c r="F114" s="853"/>
      <c r="G114" s="853"/>
      <c r="H114" s="853"/>
      <c r="I114" s="853"/>
      <c r="J114" s="548">
        <v>0.45743165632896854</v>
      </c>
      <c r="K114" s="548">
        <v>0.45729092546298339</v>
      </c>
      <c r="L114" s="548">
        <v>0.45666947521202467</v>
      </c>
      <c r="M114" s="548">
        <v>0.46152359727151515</v>
      </c>
      <c r="N114" s="547">
        <v>0.44600000000000001</v>
      </c>
      <c r="O114" s="547">
        <v>0.441</v>
      </c>
      <c r="P114" s="547">
        <v>0.437</v>
      </c>
      <c r="Q114" s="547">
        <v>0.42899999999999999</v>
      </c>
      <c r="R114" s="549">
        <v>0.45200000000000001</v>
      </c>
      <c r="S114" s="623"/>
      <c r="T114" s="250"/>
      <c r="U114" s="250"/>
      <c r="W114" s="489"/>
    </row>
    <row r="115" spans="2:23" s="67" customFormat="1" ht="15" x14ac:dyDescent="0.25">
      <c r="B115" s="489"/>
      <c r="C115" s="92"/>
      <c r="D115" s="1153" t="s">
        <v>509</v>
      </c>
      <c r="E115" s="1153"/>
      <c r="F115" s="1153"/>
      <c r="G115" s="1153"/>
      <c r="H115" s="1153"/>
      <c r="I115" s="1153"/>
      <c r="J115" s="1153"/>
      <c r="K115" s="1153"/>
      <c r="L115" s="1153"/>
      <c r="M115" s="92"/>
      <c r="W115" s="489"/>
    </row>
    <row r="116" spans="2:23" s="67" customFormat="1" ht="32.25" customHeight="1" x14ac:dyDescent="0.25">
      <c r="B116" s="489"/>
      <c r="C116" s="524"/>
      <c r="D116" s="1073" t="s">
        <v>1068</v>
      </c>
      <c r="E116" s="1073"/>
      <c r="F116" s="1073"/>
      <c r="G116" s="1073"/>
      <c r="H116" s="1073"/>
      <c r="I116" s="1073"/>
      <c r="J116" s="1073"/>
      <c r="K116" s="1073"/>
      <c r="L116" s="1073"/>
      <c r="M116" s="1073"/>
      <c r="N116" s="1073"/>
      <c r="O116" s="1073"/>
      <c r="P116" s="1073"/>
      <c r="Q116" s="1073"/>
      <c r="R116" s="1073"/>
      <c r="W116" s="489"/>
    </row>
    <row r="117" spans="2:23" s="67" customFormat="1" ht="15" x14ac:dyDescent="0.25">
      <c r="B117" s="489"/>
      <c r="C117" s="612"/>
      <c r="D117" s="611"/>
      <c r="E117" s="611"/>
      <c r="F117" s="611"/>
      <c r="G117" s="611"/>
      <c r="H117" s="611"/>
      <c r="I117" s="611"/>
      <c r="J117" s="611"/>
      <c r="K117" s="611"/>
      <c r="L117" s="611"/>
      <c r="M117" s="612"/>
      <c r="W117" s="489"/>
    </row>
    <row r="118" spans="2:23" s="67" customFormat="1" ht="108.75" customHeight="1" x14ac:dyDescent="0.25">
      <c r="B118" s="489"/>
      <c r="C118" s="1150" t="s">
        <v>1073</v>
      </c>
      <c r="D118" s="1150"/>
      <c r="E118" s="1150"/>
      <c r="F118" s="1150"/>
      <c r="G118" s="1150"/>
      <c r="H118" s="1150"/>
      <c r="I118" s="1150"/>
      <c r="J118" s="1150"/>
      <c r="K118" s="1150"/>
      <c r="L118" s="1150"/>
      <c r="M118" s="1150"/>
      <c r="N118" s="1150"/>
      <c r="O118" s="1150"/>
      <c r="P118" s="1150"/>
      <c r="Q118" s="1150"/>
      <c r="R118" s="1150"/>
      <c r="S118" s="1150"/>
      <c r="T118" s="1150"/>
      <c r="U118" s="1150"/>
      <c r="W118" s="489"/>
    </row>
    <row r="119" spans="2:23" s="67" customFormat="1" ht="15" x14ac:dyDescent="0.25">
      <c r="B119" s="489"/>
      <c r="C119" s="524"/>
      <c r="D119" s="550"/>
      <c r="E119" s="550"/>
      <c r="F119" s="550"/>
      <c r="G119" s="550"/>
      <c r="H119" s="550"/>
      <c r="I119" s="550"/>
      <c r="J119" s="550"/>
      <c r="K119" s="550"/>
      <c r="L119" s="550"/>
      <c r="M119" s="524"/>
      <c r="W119" s="489"/>
    </row>
    <row r="120" spans="2:23" s="67" customFormat="1" ht="15" x14ac:dyDescent="0.25">
      <c r="B120" s="489"/>
      <c r="C120" s="557" t="s">
        <v>1045</v>
      </c>
      <c r="D120" s="550"/>
      <c r="E120" s="550"/>
      <c r="F120" s="550"/>
      <c r="G120" s="550"/>
      <c r="H120" s="550"/>
      <c r="I120" s="550"/>
      <c r="J120" s="550"/>
      <c r="K120" s="550"/>
      <c r="L120" s="550"/>
      <c r="M120" s="524"/>
      <c r="W120" s="489"/>
    </row>
    <row r="121" spans="2:23" s="67" customFormat="1" ht="15" x14ac:dyDescent="0.25">
      <c r="B121" s="489"/>
      <c r="C121" s="92"/>
      <c r="W121" s="489"/>
    </row>
    <row r="122" spans="2:23" s="67" customFormat="1" ht="154.5" customHeight="1" x14ac:dyDescent="0.2">
      <c r="B122" s="489"/>
      <c r="C122" s="1151" t="s">
        <v>1025</v>
      </c>
      <c r="D122" s="1151"/>
      <c r="E122" s="1151"/>
      <c r="F122" s="1151"/>
      <c r="G122" s="1151"/>
      <c r="H122" s="1151"/>
      <c r="I122" s="1151"/>
      <c r="J122" s="1151"/>
      <c r="K122" s="1151"/>
      <c r="L122" s="1151"/>
      <c r="M122" s="1151"/>
      <c r="N122" s="1151"/>
      <c r="O122" s="1151"/>
      <c r="P122" s="1151"/>
      <c r="Q122" s="1151"/>
      <c r="R122" s="1151"/>
      <c r="S122" s="1151"/>
      <c r="T122" s="1151"/>
      <c r="U122" s="1151"/>
      <c r="W122" s="489"/>
    </row>
    <row r="123" spans="2:23" s="67" customFormat="1" ht="15" x14ac:dyDescent="0.25">
      <c r="B123" s="489"/>
      <c r="C123" s="524"/>
      <c r="D123" s="522"/>
      <c r="E123" s="522"/>
      <c r="F123" s="522"/>
      <c r="G123" s="522"/>
      <c r="H123" s="522"/>
      <c r="I123" s="522"/>
      <c r="J123" s="522"/>
      <c r="K123" s="522"/>
      <c r="L123" s="522"/>
      <c r="M123" s="522"/>
      <c r="N123" s="522"/>
      <c r="O123" s="522"/>
      <c r="P123" s="522"/>
      <c r="Q123" s="522"/>
      <c r="R123" s="522"/>
      <c r="S123" s="522"/>
      <c r="W123" s="489"/>
    </row>
    <row r="124" spans="2:23" s="67" customFormat="1" ht="15" customHeight="1" x14ac:dyDescent="0.25">
      <c r="B124" s="489"/>
      <c r="C124" s="524"/>
      <c r="D124" s="844" t="s">
        <v>1028</v>
      </c>
      <c r="E124" s="844"/>
      <c r="F124" s="844"/>
      <c r="G124" s="844"/>
      <c r="H124" s="844"/>
      <c r="I124" s="844"/>
      <c r="J124" s="1074" t="s">
        <v>1024</v>
      </c>
      <c r="K124" s="1074"/>
      <c r="L124" s="1074"/>
      <c r="M124" s="1074"/>
      <c r="N124" s="1074"/>
      <c r="O124" s="1074" t="s">
        <v>1070</v>
      </c>
      <c r="P124" s="1074"/>
      <c r="Q124" s="1074"/>
      <c r="R124" s="1074"/>
      <c r="S124" s="1074"/>
      <c r="W124" s="489"/>
    </row>
    <row r="125" spans="2:23" s="67" customFormat="1" ht="15" x14ac:dyDescent="0.25">
      <c r="B125" s="489"/>
      <c r="C125" s="524"/>
      <c r="D125" s="844"/>
      <c r="E125" s="844"/>
      <c r="F125" s="844"/>
      <c r="G125" s="844"/>
      <c r="H125" s="844"/>
      <c r="I125" s="844"/>
      <c r="J125" s="1074"/>
      <c r="K125" s="1074"/>
      <c r="L125" s="1074"/>
      <c r="M125" s="1074"/>
      <c r="N125" s="1074"/>
      <c r="O125" s="1074"/>
      <c r="P125" s="1074"/>
      <c r="Q125" s="1074"/>
      <c r="R125" s="1074"/>
      <c r="S125" s="1074"/>
      <c r="W125" s="489"/>
    </row>
    <row r="126" spans="2:23" s="67" customFormat="1" ht="15" x14ac:dyDescent="0.25">
      <c r="B126" s="489"/>
      <c r="C126" s="524"/>
      <c r="D126" s="844"/>
      <c r="E126" s="844"/>
      <c r="F126" s="844"/>
      <c r="G126" s="844"/>
      <c r="H126" s="844"/>
      <c r="I126" s="844"/>
      <c r="J126" s="546" t="s">
        <v>504</v>
      </c>
      <c r="K126" s="546" t="s">
        <v>505</v>
      </c>
      <c r="L126" s="546" t="s">
        <v>506</v>
      </c>
      <c r="M126" s="546" t="s">
        <v>507</v>
      </c>
      <c r="N126" s="610" t="s">
        <v>1069</v>
      </c>
      <c r="O126" s="610" t="s">
        <v>504</v>
      </c>
      <c r="P126" s="610" t="s">
        <v>505</v>
      </c>
      <c r="Q126" s="610" t="s">
        <v>506</v>
      </c>
      <c r="R126" s="610" t="s">
        <v>507</v>
      </c>
      <c r="S126" s="610" t="s">
        <v>1069</v>
      </c>
      <c r="W126" s="489"/>
    </row>
    <row r="127" spans="2:23" s="67" customFormat="1" ht="19.5" customHeight="1" x14ac:dyDescent="0.25">
      <c r="B127" s="489"/>
      <c r="C127" s="524"/>
      <c r="D127" s="853" t="s">
        <v>291</v>
      </c>
      <c r="E127" s="853"/>
      <c r="F127" s="853"/>
      <c r="G127" s="853"/>
      <c r="H127" s="853"/>
      <c r="I127" s="853"/>
      <c r="J127" s="551" t="s">
        <v>471</v>
      </c>
      <c r="K127" s="552">
        <v>0.45400000000000001</v>
      </c>
      <c r="L127" s="552">
        <v>0.45500000000000002</v>
      </c>
      <c r="M127" s="552">
        <v>0.46899999999999997</v>
      </c>
      <c r="N127" s="552">
        <v>0.45900000000000002</v>
      </c>
      <c r="O127" s="552">
        <v>0.49</v>
      </c>
      <c r="P127" s="1140" t="s">
        <v>1071</v>
      </c>
      <c r="Q127" s="1141"/>
      <c r="R127" s="1141"/>
      <c r="S127" s="1142"/>
      <c r="W127" s="489"/>
    </row>
    <row r="128" spans="2:23" s="67" customFormat="1" ht="19.5" customHeight="1" x14ac:dyDescent="0.25">
      <c r="B128" s="489"/>
      <c r="C128" s="524"/>
      <c r="D128" s="853" t="s">
        <v>292</v>
      </c>
      <c r="E128" s="853"/>
      <c r="F128" s="853"/>
      <c r="G128" s="853"/>
      <c r="H128" s="853"/>
      <c r="I128" s="853"/>
      <c r="J128" s="552">
        <v>0.48399999999999999</v>
      </c>
      <c r="K128" s="552">
        <v>0.48699999999999999</v>
      </c>
      <c r="L128" s="552">
        <v>0.47599999999999998</v>
      </c>
      <c r="M128" s="552">
        <v>0.49199999999999999</v>
      </c>
      <c r="N128" s="552">
        <v>0.496</v>
      </c>
      <c r="O128" s="552">
        <v>0.504</v>
      </c>
      <c r="P128" s="1143"/>
      <c r="Q128" s="1144"/>
      <c r="R128" s="1144"/>
      <c r="S128" s="1145"/>
      <c r="W128" s="489"/>
    </row>
    <row r="129" spans="2:23" s="67" customFormat="1" ht="19.5" customHeight="1" x14ac:dyDescent="0.25">
      <c r="B129" s="489"/>
      <c r="C129" s="524"/>
      <c r="D129" s="853" t="s">
        <v>293</v>
      </c>
      <c r="E129" s="853"/>
      <c r="F129" s="853"/>
      <c r="G129" s="853"/>
      <c r="H129" s="853"/>
      <c r="I129" s="853"/>
      <c r="J129" s="549">
        <v>0.442</v>
      </c>
      <c r="K129" s="549">
        <v>0.43099999999999999</v>
      </c>
      <c r="L129" s="549">
        <v>0.43</v>
      </c>
      <c r="M129" s="549">
        <v>0.439</v>
      </c>
      <c r="N129" s="549">
        <v>0.432</v>
      </c>
      <c r="O129" s="549">
        <v>0.438</v>
      </c>
      <c r="P129" s="1146"/>
      <c r="Q129" s="1147"/>
      <c r="R129" s="1147"/>
      <c r="S129" s="1148"/>
      <c r="W129" s="489"/>
    </row>
    <row r="130" spans="2:23" s="67" customFormat="1" ht="15" x14ac:dyDescent="0.25">
      <c r="B130" s="489"/>
      <c r="C130" s="524"/>
      <c r="D130" s="1105" t="s">
        <v>1027</v>
      </c>
      <c r="E130" s="1186"/>
      <c r="F130" s="1186"/>
      <c r="G130" s="1186"/>
      <c r="H130" s="1186"/>
      <c r="I130" s="1186"/>
      <c r="J130" s="1186"/>
      <c r="K130" s="1186"/>
      <c r="L130" s="1186"/>
      <c r="M130" s="1186"/>
      <c r="N130" s="1186"/>
      <c r="O130" s="1186"/>
      <c r="P130" s="1186"/>
      <c r="Q130" s="1186"/>
      <c r="R130" s="1186"/>
      <c r="S130" s="1186"/>
      <c r="W130" s="489"/>
    </row>
    <row r="131" spans="2:23" s="67" customFormat="1" ht="15" x14ac:dyDescent="0.25">
      <c r="B131" s="489"/>
      <c r="C131" s="92"/>
      <c r="W131" s="489"/>
    </row>
    <row r="132" spans="2:23" s="67" customFormat="1" ht="15" x14ac:dyDescent="0.25">
      <c r="B132" s="489"/>
      <c r="C132" s="487"/>
      <c r="D132" s="487"/>
      <c r="E132" s="487"/>
      <c r="F132" s="487"/>
      <c r="G132" s="487"/>
      <c r="H132" s="487"/>
      <c r="I132" s="487"/>
      <c r="J132" s="487"/>
      <c r="K132" s="487"/>
      <c r="L132" s="487"/>
      <c r="M132" s="487"/>
      <c r="N132" s="489"/>
      <c r="O132" s="489"/>
      <c r="P132" s="489"/>
      <c r="Q132" s="489"/>
      <c r="R132" s="489"/>
      <c r="S132" s="489"/>
      <c r="T132" s="489"/>
      <c r="U132" s="489"/>
      <c r="V132" s="489"/>
      <c r="W132" s="489"/>
    </row>
    <row r="133" spans="2:23" s="67" customFormat="1" ht="15" x14ac:dyDescent="0.25">
      <c r="B133" s="489"/>
      <c r="C133" s="487"/>
      <c r="D133" s="487"/>
      <c r="E133" s="487"/>
      <c r="F133" s="487"/>
      <c r="G133" s="487"/>
      <c r="H133" s="487"/>
      <c r="I133" s="487"/>
      <c r="J133" s="487"/>
      <c r="K133" s="487"/>
      <c r="L133" s="487"/>
      <c r="M133" s="487"/>
      <c r="N133" s="489"/>
      <c r="O133" s="489"/>
      <c r="P133" s="489"/>
      <c r="Q133" s="489"/>
      <c r="R133" s="489"/>
      <c r="S133" s="489"/>
      <c r="T133" s="489"/>
      <c r="U133" s="489"/>
      <c r="V133" s="489"/>
      <c r="W133" s="489"/>
    </row>
    <row r="134" spans="2:23" ht="15" x14ac:dyDescent="0.25">
      <c r="B134" s="489"/>
      <c r="C134" s="487"/>
      <c r="D134" s="487"/>
      <c r="E134" s="487"/>
      <c r="F134" s="487"/>
      <c r="G134" s="487"/>
      <c r="H134" s="487"/>
      <c r="I134" s="487"/>
      <c r="J134" s="487"/>
      <c r="K134" s="487"/>
      <c r="L134" s="487"/>
      <c r="M134" s="487"/>
      <c r="N134" s="489"/>
      <c r="O134" s="489"/>
      <c r="P134" s="489"/>
      <c r="Q134" s="489"/>
      <c r="R134" s="489"/>
      <c r="S134" s="489"/>
      <c r="T134" s="489"/>
      <c r="U134" s="489"/>
      <c r="V134" s="489"/>
      <c r="W134" s="489"/>
    </row>
    <row r="135" spans="2:23" ht="15" x14ac:dyDescent="0.25">
      <c r="B135" s="489"/>
      <c r="C135" s="137"/>
      <c r="D135" s="137"/>
      <c r="E135" s="137"/>
      <c r="F135" s="137"/>
      <c r="G135" s="137"/>
      <c r="H135" s="137"/>
      <c r="I135" s="137"/>
      <c r="J135" s="137"/>
      <c r="K135" s="137"/>
      <c r="L135" s="137"/>
      <c r="M135" s="137"/>
      <c r="N135" s="67"/>
      <c r="O135" s="67"/>
      <c r="Q135" s="67"/>
      <c r="R135" s="67"/>
      <c r="S135" s="67"/>
      <c r="T135" s="67"/>
      <c r="U135" s="67"/>
      <c r="V135" s="67"/>
      <c r="W135" s="489"/>
    </row>
    <row r="136" spans="2:23" ht="15" x14ac:dyDescent="0.25">
      <c r="B136" s="489"/>
      <c r="C136" s="137"/>
      <c r="D136" s="137"/>
      <c r="E136" s="137"/>
      <c r="F136" s="137"/>
      <c r="G136" s="137"/>
      <c r="H136" s="137"/>
      <c r="I136" s="137"/>
      <c r="J136" s="137"/>
      <c r="K136" s="137"/>
      <c r="L136" s="137"/>
      <c r="M136" s="137"/>
      <c r="N136" s="67"/>
      <c r="O136" s="67"/>
      <c r="Q136" s="67"/>
      <c r="R136" s="67"/>
      <c r="S136" s="67"/>
      <c r="T136" s="67"/>
      <c r="U136" s="67"/>
      <c r="V136" s="67"/>
      <c r="W136" s="489"/>
    </row>
    <row r="137" spans="2:23" ht="15" x14ac:dyDescent="0.25">
      <c r="B137" s="489"/>
      <c r="C137" s="137"/>
      <c r="D137" s="137"/>
      <c r="E137" s="137"/>
      <c r="F137" s="137"/>
      <c r="G137" s="137"/>
      <c r="H137" s="137"/>
      <c r="I137" s="137"/>
      <c r="J137" s="137"/>
      <c r="K137" s="137"/>
      <c r="L137" s="137"/>
      <c r="M137" s="137"/>
      <c r="N137" s="67"/>
      <c r="O137" s="67"/>
      <c r="Q137" s="67"/>
      <c r="R137" s="67"/>
      <c r="S137" s="67"/>
      <c r="T137" s="67"/>
      <c r="U137" s="67"/>
      <c r="V137" s="67"/>
      <c r="W137" s="489"/>
    </row>
    <row r="138" spans="2:23" ht="15" x14ac:dyDescent="0.25">
      <c r="B138" s="489"/>
      <c r="C138" s="137"/>
      <c r="D138" s="137"/>
      <c r="E138" s="137"/>
      <c r="F138" s="137"/>
      <c r="G138" s="137"/>
      <c r="H138" s="137"/>
      <c r="I138" s="137"/>
      <c r="J138" s="137"/>
      <c r="K138" s="137"/>
      <c r="L138" s="137"/>
      <c r="M138" s="137"/>
      <c r="N138" s="67"/>
      <c r="O138" s="67"/>
      <c r="Q138" s="67"/>
      <c r="R138" s="67"/>
      <c r="S138" s="67"/>
      <c r="T138" s="67"/>
      <c r="U138" s="67"/>
      <c r="V138" s="67"/>
      <c r="W138" s="489"/>
    </row>
    <row r="139" spans="2:23" ht="15" x14ac:dyDescent="0.25">
      <c r="B139" s="489"/>
      <c r="C139" s="137"/>
      <c r="D139" s="137"/>
      <c r="E139" s="137"/>
      <c r="F139" s="137"/>
      <c r="G139" s="137"/>
      <c r="H139" s="137"/>
      <c r="I139" s="137"/>
      <c r="J139" s="137"/>
      <c r="K139" s="137"/>
      <c r="L139" s="137"/>
      <c r="M139" s="137"/>
      <c r="N139" s="67"/>
      <c r="O139" s="67"/>
      <c r="Q139" s="67"/>
      <c r="R139" s="67"/>
      <c r="S139" s="67"/>
      <c r="T139" s="67"/>
      <c r="U139" s="67"/>
      <c r="V139" s="67"/>
      <c r="W139" s="489"/>
    </row>
    <row r="140" spans="2:23" ht="15" x14ac:dyDescent="0.25">
      <c r="B140" s="489"/>
      <c r="C140" s="137"/>
      <c r="D140" s="137"/>
      <c r="E140" s="137"/>
      <c r="F140" s="137"/>
      <c r="G140" s="137"/>
      <c r="H140" s="137"/>
      <c r="I140" s="137"/>
      <c r="J140" s="137"/>
      <c r="K140" s="137"/>
      <c r="L140" s="137"/>
      <c r="M140" s="137"/>
      <c r="N140" s="67"/>
      <c r="O140" s="67"/>
      <c r="Q140" s="67"/>
      <c r="R140" s="67"/>
      <c r="S140" s="67"/>
      <c r="T140" s="67"/>
      <c r="U140" s="67"/>
      <c r="V140" s="67"/>
      <c r="W140" s="489"/>
    </row>
    <row r="141" spans="2:23" ht="15" x14ac:dyDescent="0.25">
      <c r="B141" s="489"/>
      <c r="C141" s="137"/>
      <c r="D141" s="137"/>
      <c r="E141" s="137"/>
      <c r="F141" s="137"/>
      <c r="G141" s="137"/>
      <c r="H141" s="137"/>
      <c r="I141" s="137"/>
      <c r="J141" s="137"/>
      <c r="K141" s="137"/>
      <c r="L141" s="137"/>
      <c r="M141" s="137"/>
      <c r="N141" s="67"/>
      <c r="O141" s="67"/>
      <c r="Q141" s="67"/>
      <c r="R141" s="67"/>
      <c r="S141" s="67"/>
      <c r="T141" s="67"/>
      <c r="U141" s="67"/>
      <c r="V141" s="67"/>
      <c r="W141" s="489"/>
    </row>
    <row r="142" spans="2:23" ht="15" x14ac:dyDescent="0.25">
      <c r="B142" s="489"/>
      <c r="C142" s="137"/>
      <c r="D142" s="137"/>
      <c r="E142" s="137"/>
      <c r="F142" s="137"/>
      <c r="G142" s="137"/>
      <c r="H142" s="137"/>
      <c r="I142" s="137"/>
      <c r="J142" s="137"/>
      <c r="K142" s="137"/>
      <c r="L142" s="137"/>
      <c r="M142" s="137"/>
      <c r="N142" s="67"/>
      <c r="O142" s="67"/>
      <c r="Q142" s="67"/>
      <c r="R142" s="67"/>
      <c r="S142" s="67"/>
      <c r="T142" s="67"/>
      <c r="U142" s="67"/>
      <c r="V142" s="67"/>
      <c r="W142" s="489"/>
    </row>
    <row r="143" spans="2:23" x14ac:dyDescent="0.2">
      <c r="B143" s="489"/>
      <c r="C143" s="67"/>
      <c r="D143" s="67"/>
      <c r="E143" s="67"/>
      <c r="F143" s="67"/>
      <c r="G143" s="67"/>
      <c r="H143" s="67"/>
      <c r="I143" s="67"/>
      <c r="J143" s="67"/>
      <c r="K143" s="67"/>
      <c r="L143" s="67"/>
      <c r="M143" s="67"/>
      <c r="N143" s="67"/>
      <c r="O143" s="67"/>
      <c r="Q143" s="67"/>
      <c r="R143" s="67"/>
      <c r="S143" s="67"/>
      <c r="T143" s="67"/>
      <c r="U143" s="67"/>
      <c r="V143" s="67"/>
      <c r="W143" s="489"/>
    </row>
    <row r="144" spans="2:23" x14ac:dyDescent="0.2">
      <c r="B144" s="489"/>
      <c r="C144" s="67"/>
      <c r="D144" s="67"/>
      <c r="E144" s="67"/>
      <c r="F144" s="67"/>
      <c r="G144" s="67"/>
      <c r="H144" s="67"/>
      <c r="I144" s="67"/>
      <c r="J144" s="67"/>
      <c r="K144" s="67"/>
      <c r="L144" s="67"/>
      <c r="M144" s="67"/>
      <c r="N144" s="67"/>
      <c r="O144" s="67"/>
      <c r="Q144" s="67"/>
      <c r="R144" s="67"/>
      <c r="S144" s="67"/>
      <c r="T144" s="67"/>
      <c r="U144" s="67"/>
      <c r="V144" s="67"/>
      <c r="W144" s="489"/>
    </row>
    <row r="145" spans="2:23" x14ac:dyDescent="0.2">
      <c r="B145" s="489"/>
      <c r="C145" s="67"/>
      <c r="D145" s="67"/>
      <c r="E145" s="67"/>
      <c r="F145" s="67"/>
      <c r="G145" s="67"/>
      <c r="H145" s="67"/>
      <c r="I145" s="67"/>
      <c r="J145" s="67"/>
      <c r="K145" s="67"/>
      <c r="L145" s="67"/>
      <c r="M145" s="67"/>
      <c r="N145" s="67"/>
      <c r="O145" s="67"/>
      <c r="Q145" s="67"/>
      <c r="R145" s="67"/>
      <c r="S145" s="67"/>
      <c r="T145" s="67"/>
      <c r="U145" s="67"/>
      <c r="V145" s="67"/>
      <c r="W145" s="489"/>
    </row>
    <row r="146" spans="2:23" x14ac:dyDescent="0.2">
      <c r="B146" s="489"/>
      <c r="C146" s="67"/>
      <c r="D146" s="67"/>
      <c r="E146" s="67"/>
      <c r="F146" s="67"/>
      <c r="G146" s="67"/>
      <c r="H146" s="67"/>
      <c r="I146" s="67"/>
      <c r="J146" s="67"/>
      <c r="K146" s="67"/>
      <c r="L146" s="67"/>
      <c r="M146" s="67"/>
      <c r="N146" s="67"/>
      <c r="O146" s="67"/>
      <c r="Q146" s="67"/>
      <c r="R146" s="67"/>
      <c r="S146" s="67"/>
      <c r="T146" s="67"/>
      <c r="U146" s="67"/>
      <c r="V146" s="67"/>
      <c r="W146" s="489"/>
    </row>
    <row r="147" spans="2:23" x14ac:dyDescent="0.2">
      <c r="B147" s="489"/>
      <c r="C147" s="67"/>
      <c r="D147" s="67"/>
      <c r="E147" s="67"/>
      <c r="F147" s="67"/>
      <c r="G147" s="67"/>
      <c r="H147" s="67"/>
      <c r="I147" s="67"/>
      <c r="J147" s="67"/>
      <c r="K147" s="67"/>
      <c r="L147" s="67"/>
      <c r="M147" s="67"/>
      <c r="N147" s="67"/>
      <c r="O147" s="67"/>
      <c r="Q147" s="67"/>
      <c r="R147" s="67"/>
      <c r="S147" s="67"/>
      <c r="T147" s="67"/>
      <c r="U147" s="67"/>
      <c r="V147" s="67"/>
      <c r="W147" s="489"/>
    </row>
    <row r="148" spans="2:23" x14ac:dyDescent="0.2">
      <c r="B148" s="489"/>
      <c r="C148" s="67"/>
      <c r="D148" s="67"/>
      <c r="E148" s="67"/>
      <c r="F148" s="67"/>
      <c r="G148" s="67"/>
      <c r="H148" s="67"/>
      <c r="I148" s="67"/>
      <c r="J148" s="67"/>
      <c r="K148" s="67"/>
      <c r="L148" s="67"/>
      <c r="M148" s="67"/>
      <c r="N148" s="67"/>
      <c r="O148" s="67"/>
      <c r="Q148" s="67"/>
      <c r="R148" s="67"/>
      <c r="S148" s="67"/>
      <c r="T148" s="67"/>
      <c r="U148" s="67"/>
      <c r="V148" s="67"/>
      <c r="W148" s="489"/>
    </row>
    <row r="149" spans="2:23" x14ac:dyDescent="0.2">
      <c r="B149" s="489"/>
      <c r="C149" s="67"/>
      <c r="D149" s="67"/>
      <c r="E149" s="67"/>
      <c r="F149" s="67"/>
      <c r="G149" s="67"/>
      <c r="H149" s="67"/>
      <c r="I149" s="67"/>
      <c r="J149" s="67"/>
      <c r="K149" s="67"/>
      <c r="L149" s="67"/>
      <c r="M149" s="67"/>
      <c r="N149" s="67"/>
      <c r="O149" s="67"/>
      <c r="Q149" s="67"/>
      <c r="R149" s="67"/>
      <c r="S149" s="67"/>
      <c r="T149" s="67"/>
      <c r="U149" s="67"/>
      <c r="V149" s="67"/>
      <c r="W149" s="489"/>
    </row>
    <row r="150" spans="2:23" x14ac:dyDescent="0.2">
      <c r="B150" s="489"/>
      <c r="C150" s="67"/>
      <c r="D150" s="67"/>
      <c r="E150" s="67"/>
      <c r="F150" s="67"/>
      <c r="G150" s="67"/>
      <c r="H150" s="67"/>
      <c r="I150" s="67"/>
      <c r="J150" s="67"/>
      <c r="K150" s="67"/>
      <c r="L150" s="67"/>
      <c r="M150" s="67"/>
      <c r="N150" s="67"/>
      <c r="O150" s="67"/>
      <c r="Q150" s="67"/>
      <c r="R150" s="67"/>
      <c r="S150" s="67"/>
      <c r="T150" s="67"/>
      <c r="U150" s="67"/>
      <c r="V150" s="67"/>
      <c r="W150" s="489"/>
    </row>
    <row r="151" spans="2:23" x14ac:dyDescent="0.2">
      <c r="B151" s="489"/>
      <c r="C151" s="67"/>
      <c r="D151" s="67"/>
      <c r="E151" s="67"/>
      <c r="F151" s="67"/>
      <c r="G151" s="67"/>
      <c r="H151" s="67"/>
      <c r="I151" s="67"/>
      <c r="J151" s="67"/>
      <c r="K151" s="67"/>
      <c r="L151" s="67"/>
      <c r="M151" s="67"/>
      <c r="N151" s="67"/>
      <c r="O151" s="67"/>
      <c r="Q151" s="67"/>
      <c r="R151" s="67"/>
      <c r="S151" s="67"/>
      <c r="T151" s="67"/>
      <c r="U151" s="67"/>
      <c r="V151" s="67"/>
      <c r="W151" s="489"/>
    </row>
    <row r="152" spans="2:23" s="67" customFormat="1" x14ac:dyDescent="0.2">
      <c r="B152" s="489"/>
      <c r="W152" s="489"/>
    </row>
    <row r="153" spans="2:23" s="67" customFormat="1" x14ac:dyDescent="0.2">
      <c r="B153" s="489"/>
      <c r="W153" s="489"/>
    </row>
    <row r="154" spans="2:23" ht="21" customHeight="1" x14ac:dyDescent="0.25">
      <c r="B154" s="489"/>
      <c r="C154" s="128" t="s">
        <v>511</v>
      </c>
      <c r="D154" s="137"/>
      <c r="E154" s="137"/>
      <c r="F154" s="137"/>
      <c r="G154" s="137"/>
      <c r="H154" s="137"/>
      <c r="I154" s="137"/>
      <c r="J154" s="137"/>
      <c r="K154" s="137"/>
      <c r="L154" s="137"/>
      <c r="M154" s="137"/>
      <c r="N154" s="137"/>
      <c r="O154" s="137"/>
      <c r="P154" s="137"/>
      <c r="Q154" s="137"/>
      <c r="R154" s="137"/>
      <c r="S154" s="137"/>
      <c r="T154" s="137"/>
      <c r="U154" s="137"/>
      <c r="V154" s="137"/>
      <c r="W154" s="489"/>
    </row>
    <row r="155" spans="2:23" ht="49.5" customHeight="1" x14ac:dyDescent="0.25">
      <c r="B155" s="489"/>
      <c r="C155" s="1149" t="s">
        <v>512</v>
      </c>
      <c r="D155" s="1149"/>
      <c r="E155" s="1149"/>
      <c r="F155" s="1149"/>
      <c r="G155" s="1149"/>
      <c r="H155" s="1149"/>
      <c r="I155" s="1149"/>
      <c r="J155" s="1149"/>
      <c r="K155" s="1149"/>
      <c r="L155" s="1149"/>
      <c r="M155" s="1149"/>
      <c r="N155" s="1149"/>
      <c r="O155" s="1149"/>
      <c r="P155" s="1149"/>
      <c r="Q155" s="1149"/>
      <c r="R155" s="1149"/>
      <c r="S155" s="1149"/>
      <c r="T155" s="212"/>
      <c r="U155" s="212"/>
      <c r="V155" s="137"/>
      <c r="W155" s="489"/>
    </row>
    <row r="156" spans="2:23" ht="33" customHeight="1" x14ac:dyDescent="0.25">
      <c r="B156" s="489"/>
      <c r="C156" s="829" t="s">
        <v>759</v>
      </c>
      <c r="D156" s="829"/>
      <c r="E156" s="829"/>
      <c r="F156" s="829"/>
      <c r="G156" s="829"/>
      <c r="H156" s="829"/>
      <c r="I156" s="829"/>
      <c r="J156" s="829"/>
      <c r="K156" s="829"/>
      <c r="L156" s="829"/>
      <c r="M156" s="829"/>
      <c r="N156" s="829"/>
      <c r="O156" s="829"/>
      <c r="P156" s="829"/>
      <c r="Q156" s="829"/>
      <c r="R156" s="829"/>
      <c r="S156" s="829"/>
      <c r="T156" s="829"/>
      <c r="U156" s="829"/>
      <c r="V156" s="137"/>
      <c r="W156" s="489"/>
    </row>
    <row r="157" spans="2:23" ht="21" customHeight="1" x14ac:dyDescent="0.25">
      <c r="B157" s="489"/>
      <c r="C157" s="829" t="s">
        <v>513</v>
      </c>
      <c r="D157" s="829"/>
      <c r="E157" s="829"/>
      <c r="F157" s="829"/>
      <c r="G157" s="829"/>
      <c r="H157" s="829"/>
      <c r="I157" s="829"/>
      <c r="J157" s="829"/>
      <c r="K157" s="829"/>
      <c r="L157" s="829"/>
      <c r="M157" s="829"/>
      <c r="N157" s="829"/>
      <c r="O157" s="829"/>
      <c r="P157" s="829"/>
      <c r="Q157" s="829"/>
      <c r="R157" s="829"/>
      <c r="S157" s="829"/>
      <c r="T157" s="829"/>
      <c r="U157" s="829"/>
      <c r="V157" s="137"/>
      <c r="W157" s="489"/>
    </row>
    <row r="158" spans="2:23" ht="15" x14ac:dyDescent="0.25">
      <c r="B158" s="489"/>
      <c r="C158" s="137"/>
      <c r="D158" s="137"/>
      <c r="E158" s="137"/>
      <c r="F158" s="137"/>
      <c r="G158" s="137"/>
      <c r="H158" s="137"/>
      <c r="I158" s="137"/>
      <c r="J158" s="137"/>
      <c r="K158" s="137"/>
      <c r="L158" s="137"/>
      <c r="M158" s="137"/>
      <c r="N158" s="137"/>
      <c r="O158" s="137"/>
      <c r="P158" s="137"/>
      <c r="Q158" s="137"/>
      <c r="R158" s="137"/>
      <c r="S158" s="137"/>
      <c r="T158" s="137"/>
      <c r="U158" s="137"/>
      <c r="V158" s="137"/>
      <c r="W158" s="489"/>
    </row>
    <row r="159" spans="2:23" s="67" customFormat="1" ht="15" x14ac:dyDescent="0.25">
      <c r="B159" s="489"/>
      <c r="C159" s="137"/>
      <c r="D159" s="137"/>
      <c r="E159" s="137"/>
      <c r="F159" s="137"/>
      <c r="G159" s="137"/>
      <c r="H159" s="137"/>
      <c r="I159" s="137"/>
      <c r="J159" s="137"/>
      <c r="K159" s="137"/>
      <c r="L159" s="137"/>
      <c r="M159" s="137"/>
      <c r="N159" s="137"/>
      <c r="O159" s="137"/>
      <c r="P159" s="137"/>
      <c r="Q159" s="137"/>
      <c r="R159" s="137"/>
      <c r="S159" s="137"/>
      <c r="T159" s="137"/>
      <c r="U159" s="137"/>
      <c r="V159" s="137"/>
      <c r="W159" s="489"/>
    </row>
    <row r="160" spans="2:23" s="67" customFormat="1" ht="15" x14ac:dyDescent="0.25">
      <c r="B160" s="489"/>
      <c r="C160" s="137"/>
      <c r="D160" s="137"/>
      <c r="E160" s="137"/>
      <c r="F160" s="137"/>
      <c r="G160" s="137"/>
      <c r="H160" s="137"/>
      <c r="I160" s="137"/>
      <c r="J160" s="137"/>
      <c r="K160" s="137"/>
      <c r="L160" s="137"/>
      <c r="M160" s="137"/>
      <c r="N160" s="137"/>
      <c r="O160" s="137"/>
      <c r="P160" s="137"/>
      <c r="Q160" s="137"/>
      <c r="R160" s="137"/>
      <c r="S160" s="137"/>
      <c r="T160" s="137"/>
      <c r="U160" s="137"/>
      <c r="V160" s="137"/>
      <c r="W160" s="489"/>
    </row>
    <row r="161" spans="2:30" s="67" customFormat="1" ht="15" x14ac:dyDescent="0.25">
      <c r="B161" s="489"/>
      <c r="C161" s="137"/>
      <c r="D161" s="137"/>
      <c r="E161" s="137"/>
      <c r="F161" s="137"/>
      <c r="G161" s="137"/>
      <c r="H161" s="137"/>
      <c r="I161" s="137"/>
      <c r="J161" s="137"/>
      <c r="K161" s="137"/>
      <c r="L161" s="137"/>
      <c r="M161" s="137"/>
      <c r="N161" s="137"/>
      <c r="O161" s="137"/>
      <c r="P161" s="137"/>
      <c r="Q161" s="137"/>
      <c r="R161" s="137"/>
      <c r="S161" s="137"/>
      <c r="T161" s="137"/>
      <c r="U161" s="137"/>
      <c r="V161" s="137"/>
      <c r="W161" s="489"/>
    </row>
    <row r="162" spans="2:30" ht="15" x14ac:dyDescent="0.25">
      <c r="B162" s="489"/>
      <c r="C162" s="137"/>
      <c r="D162" s="137"/>
      <c r="E162" s="137"/>
      <c r="F162" s="137"/>
      <c r="G162" s="137"/>
      <c r="H162" s="137"/>
      <c r="I162" s="137"/>
      <c r="J162" s="137"/>
      <c r="K162" s="137"/>
      <c r="L162" s="137"/>
      <c r="M162" s="137"/>
      <c r="N162" s="137"/>
      <c r="O162" s="137"/>
      <c r="P162" s="137"/>
      <c r="Q162" s="137"/>
      <c r="R162" s="137"/>
      <c r="S162" s="137"/>
      <c r="T162" s="137"/>
      <c r="U162" s="137"/>
      <c r="V162" s="137"/>
      <c r="W162" s="489"/>
      <c r="X162" s="67"/>
      <c r="Y162" s="67"/>
      <c r="Z162" s="67"/>
      <c r="AA162" s="67"/>
      <c r="AB162" s="67"/>
      <c r="AC162" s="67"/>
      <c r="AD162" s="67"/>
    </row>
    <row r="163" spans="2:30" ht="15" x14ac:dyDescent="0.25">
      <c r="B163" s="489"/>
      <c r="C163" s="137"/>
      <c r="D163" s="137"/>
      <c r="E163" s="1139" t="s">
        <v>514</v>
      </c>
      <c r="F163" s="1139"/>
      <c r="G163" s="1139"/>
      <c r="H163" s="1139"/>
      <c r="I163" s="777" t="str">
        <f>INDEX(Locations, selection)</f>
        <v>Angmering</v>
      </c>
      <c r="J163" s="777"/>
      <c r="K163" s="777"/>
      <c r="L163" s="779" t="str">
        <f>INDEX(Locations, selection2)</f>
        <v>Bewbush</v>
      </c>
      <c r="M163" s="779"/>
      <c r="N163" s="779"/>
      <c r="O163" s="773" t="s">
        <v>291</v>
      </c>
      <c r="P163" s="773"/>
      <c r="Q163" s="773"/>
      <c r="R163" s="774" t="s">
        <v>293</v>
      </c>
      <c r="S163" s="774"/>
      <c r="T163" s="774"/>
      <c r="U163" s="137"/>
      <c r="V163" s="137"/>
      <c r="W163" s="489"/>
      <c r="X163" s="1161"/>
      <c r="Y163" s="1161"/>
      <c r="Z163" s="1161"/>
      <c r="AA163" s="1161"/>
      <c r="AB163" s="1161"/>
      <c r="AC163" s="1161"/>
      <c r="AD163" s="1161"/>
    </row>
    <row r="164" spans="2:30" ht="15" x14ac:dyDescent="0.25">
      <c r="B164" s="489"/>
      <c r="C164" s="137"/>
      <c r="D164" s="137"/>
      <c r="E164" s="1139"/>
      <c r="F164" s="1139"/>
      <c r="G164" s="1139"/>
      <c r="H164" s="1139"/>
      <c r="I164" s="777"/>
      <c r="J164" s="777"/>
      <c r="K164" s="777"/>
      <c r="L164" s="779"/>
      <c r="M164" s="779"/>
      <c r="N164" s="779"/>
      <c r="O164" s="773"/>
      <c r="P164" s="773"/>
      <c r="Q164" s="773"/>
      <c r="R164" s="774"/>
      <c r="S164" s="774"/>
      <c r="T164" s="774"/>
      <c r="U164" s="137"/>
      <c r="V164" s="137"/>
      <c r="W164" s="489"/>
      <c r="X164" s="1161"/>
      <c r="Y164" s="1161"/>
      <c r="Z164" s="1161"/>
      <c r="AA164" s="1161"/>
      <c r="AB164" s="1161"/>
      <c r="AC164" s="1161"/>
      <c r="AD164" s="1161"/>
    </row>
    <row r="165" spans="2:30" ht="15" x14ac:dyDescent="0.25">
      <c r="B165" s="489"/>
      <c r="C165" s="137"/>
      <c r="D165" s="137"/>
      <c r="E165" s="1139"/>
      <c r="F165" s="1139"/>
      <c r="G165" s="1139"/>
      <c r="H165" s="1139"/>
      <c r="I165" s="777"/>
      <c r="J165" s="777"/>
      <c r="K165" s="777"/>
      <c r="L165" s="779"/>
      <c r="M165" s="779"/>
      <c r="N165" s="779"/>
      <c r="O165" s="773"/>
      <c r="P165" s="773"/>
      <c r="Q165" s="773"/>
      <c r="R165" s="774"/>
      <c r="S165" s="774"/>
      <c r="T165" s="774"/>
      <c r="U165" s="137"/>
      <c r="V165" s="137"/>
      <c r="W165" s="489"/>
      <c r="X165" s="1161"/>
      <c r="Y165" s="1161"/>
      <c r="Z165" s="1161"/>
      <c r="AA165" s="1161"/>
      <c r="AB165" s="1161"/>
      <c r="AC165" s="1161"/>
      <c r="AD165" s="1161"/>
    </row>
    <row r="166" spans="2:30" ht="15" x14ac:dyDescent="0.25">
      <c r="B166" s="489"/>
      <c r="C166" s="137"/>
      <c r="D166" s="137"/>
      <c r="E166" s="1025" t="s">
        <v>738</v>
      </c>
      <c r="F166" s="1025"/>
      <c r="G166" s="1025"/>
      <c r="H166" s="1025"/>
      <c r="I166" s="903">
        <f>HLOOKUP($E166,Obese2009,selection+1, FALSE)</f>
        <v>161</v>
      </c>
      <c r="J166" s="1024"/>
      <c r="K166" s="904"/>
      <c r="L166" s="903">
        <f>HLOOKUP($E166,Obese2009, selection2+1, FALSE)</f>
        <v>139</v>
      </c>
      <c r="M166" s="1024"/>
      <c r="N166" s="904"/>
      <c r="O166" s="903">
        <f>Data!HV76</f>
        <v>6935</v>
      </c>
      <c r="P166" s="1024"/>
      <c r="Q166" s="904"/>
      <c r="R166" s="1018">
        <f>Data!HV78</f>
        <v>526499</v>
      </c>
      <c r="S166" s="1019"/>
      <c r="T166" s="1020"/>
      <c r="U166" s="137"/>
      <c r="V166" s="137"/>
      <c r="W166" s="489"/>
      <c r="X166" s="1162"/>
      <c r="Y166" s="1162"/>
      <c r="Z166" s="1162"/>
      <c r="AA166" s="1162"/>
      <c r="AB166" s="1162"/>
      <c r="AC166" s="214"/>
      <c r="AD166" s="214"/>
    </row>
    <row r="167" spans="2:30" ht="15" x14ac:dyDescent="0.25">
      <c r="B167" s="489"/>
      <c r="C167" s="137"/>
      <c r="D167" s="137"/>
      <c r="E167" s="1025" t="s">
        <v>742</v>
      </c>
      <c r="F167" s="1025"/>
      <c r="G167" s="1025"/>
      <c r="H167" s="1025"/>
      <c r="I167" s="903">
        <f>HLOOKUP($E167,Obese2009,selection+1, FALSE)</f>
        <v>10</v>
      </c>
      <c r="J167" s="1024"/>
      <c r="K167" s="904"/>
      <c r="L167" s="903">
        <f>HLOOKUP($E167,Obese2009, selection2+1, FALSE)</f>
        <v>13</v>
      </c>
      <c r="M167" s="1024"/>
      <c r="N167" s="904"/>
      <c r="O167" s="903">
        <f>Data!HW76</f>
        <v>540.92999999999995</v>
      </c>
      <c r="P167" s="1024"/>
      <c r="Q167" s="904"/>
      <c r="R167" s="1018">
        <f>Data!HW78</f>
        <v>51596.902000000002</v>
      </c>
      <c r="S167" s="1019"/>
      <c r="T167" s="1020"/>
      <c r="U167" s="137"/>
      <c r="V167" s="137"/>
      <c r="W167" s="489"/>
      <c r="X167" s="1162"/>
      <c r="Y167" s="1162"/>
      <c r="Z167" s="1162"/>
      <c r="AA167" s="1162"/>
      <c r="AB167" s="1162"/>
      <c r="AC167" s="1162"/>
      <c r="AD167" s="1162"/>
    </row>
    <row r="168" spans="2:30" ht="15" x14ac:dyDescent="0.25">
      <c r="B168" s="489"/>
      <c r="C168" s="137"/>
      <c r="D168" s="137"/>
      <c r="E168" s="1056" t="s">
        <v>737</v>
      </c>
      <c r="F168" s="1056"/>
      <c r="G168" s="1056"/>
      <c r="H168" s="1056"/>
      <c r="I168" s="1063">
        <f>HLOOKUP($E168,Obese2009,selection+1, FALSE)</f>
        <v>6.2111801242236024E-2</v>
      </c>
      <c r="J168" s="1064"/>
      <c r="K168" s="1065"/>
      <c r="L168" s="1063">
        <f>HLOOKUP($E168,Obese2009, selection2+1, FALSE)</f>
        <v>9.3525179856115109E-2</v>
      </c>
      <c r="M168" s="1064"/>
      <c r="N168" s="1065"/>
      <c r="O168" s="1063">
        <f>Data!HX76</f>
        <v>7.8E-2</v>
      </c>
      <c r="P168" s="1064"/>
      <c r="Q168" s="1065"/>
      <c r="R168" s="1063">
        <f>Data!HX78</f>
        <v>9.8000000000000004E-2</v>
      </c>
      <c r="S168" s="1064"/>
      <c r="T168" s="1065"/>
      <c r="U168" s="137"/>
      <c r="V168" s="137"/>
      <c r="W168" s="489"/>
    </row>
    <row r="169" spans="2:30" ht="15" x14ac:dyDescent="0.25">
      <c r="B169" s="489"/>
      <c r="C169" s="137"/>
      <c r="D169" s="137"/>
      <c r="E169" s="1025" t="s">
        <v>739</v>
      </c>
      <c r="F169" s="1025"/>
      <c r="G169" s="1025"/>
      <c r="H169" s="1025"/>
      <c r="I169" s="924" t="str">
        <f>HLOOKUP($E169,Obese2009,selection+1, FALSE)</f>
        <v>No Sig diff</v>
      </c>
      <c r="J169" s="925"/>
      <c r="K169" s="926"/>
      <c r="L169" s="924" t="str">
        <f>HLOOKUP($E169,Obese2009, selection2+1, FALSE)</f>
        <v>No Sig diff</v>
      </c>
      <c r="M169" s="925"/>
      <c r="N169" s="926"/>
      <c r="O169" s="1163" t="str">
        <f>Data!IA76</f>
        <v>Sig better than Eng.</v>
      </c>
      <c r="P169" s="925"/>
      <c r="Q169" s="926"/>
      <c r="R169" s="924" t="s">
        <v>286</v>
      </c>
      <c r="S169" s="925"/>
      <c r="T169" s="926"/>
      <c r="U169" s="137"/>
      <c r="V169" s="137"/>
      <c r="W169" s="489"/>
    </row>
    <row r="170" spans="2:30" ht="15" x14ac:dyDescent="0.25">
      <c r="B170" s="489"/>
      <c r="C170" s="71" t="s">
        <v>526</v>
      </c>
      <c r="D170" s="71" t="s">
        <v>527</v>
      </c>
      <c r="E170" s="1025" t="s">
        <v>740</v>
      </c>
      <c r="F170" s="1025"/>
      <c r="G170" s="1025"/>
      <c r="H170" s="1025"/>
      <c r="I170" s="213">
        <f>HLOOKUP(C170,Obese2009,selection+1,FALSE)</f>
        <v>3.4084412068514494E-2</v>
      </c>
      <c r="J170" s="209" t="s">
        <v>744</v>
      </c>
      <c r="K170" s="213">
        <f>HLOOKUP(D170,Obese2009,selection+1,FALSE)</f>
        <v>0.11054824886072183</v>
      </c>
      <c r="L170" s="213">
        <f>HLOOKUP(C170,Obese2009,selection2+1,FALSE)</f>
        <v>5.5472392932265871E-2</v>
      </c>
      <c r="M170" s="209" t="s">
        <v>744</v>
      </c>
      <c r="N170" s="213">
        <f>HLOOKUP(D170,Obese2009,selection2+1,FALSE)</f>
        <v>0.153440755022583</v>
      </c>
      <c r="O170" s="213">
        <f>Data!HY76</f>
        <v>7.1999999999999995E-2</v>
      </c>
      <c r="P170" s="209" t="s">
        <v>744</v>
      </c>
      <c r="Q170" s="213">
        <f>Data!HZ76</f>
        <v>8.4000000000000005E-2</v>
      </c>
      <c r="R170" s="213">
        <f>Data!HY78</f>
        <v>9.7000000000000003E-2</v>
      </c>
      <c r="S170" s="209" t="s">
        <v>744</v>
      </c>
      <c r="T170" s="213">
        <f>Data!HZ78</f>
        <v>9.9000000000000005E-2</v>
      </c>
      <c r="U170" s="137"/>
      <c r="V170" s="137"/>
      <c r="W170" s="489"/>
    </row>
    <row r="171" spans="2:30" ht="15" x14ac:dyDescent="0.25">
      <c r="B171" s="489"/>
      <c r="C171" s="137"/>
      <c r="D171" s="137"/>
      <c r="E171" s="1139" t="s">
        <v>515</v>
      </c>
      <c r="F171" s="1139"/>
      <c r="G171" s="1139"/>
      <c r="H171" s="1139"/>
      <c r="I171" s="777" t="str">
        <f>INDEX(Locations, selection)</f>
        <v>Angmering</v>
      </c>
      <c r="J171" s="777"/>
      <c r="K171" s="777"/>
      <c r="L171" s="779" t="str">
        <f>INDEX(Locations, selection2)</f>
        <v>Bewbush</v>
      </c>
      <c r="M171" s="779"/>
      <c r="N171" s="779"/>
      <c r="O171" s="773" t="s">
        <v>291</v>
      </c>
      <c r="P171" s="773"/>
      <c r="Q171" s="773"/>
      <c r="R171" s="774" t="s">
        <v>293</v>
      </c>
      <c r="S171" s="774"/>
      <c r="T171" s="774"/>
      <c r="U171" s="137"/>
      <c r="V171" s="137"/>
      <c r="W171" s="489"/>
    </row>
    <row r="172" spans="2:30" ht="15" x14ac:dyDescent="0.25">
      <c r="B172" s="489"/>
      <c r="C172" s="137"/>
      <c r="D172" s="137"/>
      <c r="E172" s="1139"/>
      <c r="F172" s="1139"/>
      <c r="G172" s="1139"/>
      <c r="H172" s="1139"/>
      <c r="I172" s="777"/>
      <c r="J172" s="777"/>
      <c r="K172" s="777"/>
      <c r="L172" s="779"/>
      <c r="M172" s="779"/>
      <c r="N172" s="779"/>
      <c r="O172" s="773"/>
      <c r="P172" s="773"/>
      <c r="Q172" s="773"/>
      <c r="R172" s="774"/>
      <c r="S172" s="774"/>
      <c r="T172" s="774"/>
      <c r="U172" s="137"/>
      <c r="V172" s="137"/>
      <c r="W172" s="489"/>
    </row>
    <row r="173" spans="2:30" ht="15" x14ac:dyDescent="0.25">
      <c r="B173" s="489"/>
      <c r="C173" s="137"/>
      <c r="D173" s="137"/>
      <c r="E173" s="1139"/>
      <c r="F173" s="1139"/>
      <c r="G173" s="1139"/>
      <c r="H173" s="1139"/>
      <c r="I173" s="777"/>
      <c r="J173" s="777"/>
      <c r="K173" s="777"/>
      <c r="L173" s="779"/>
      <c r="M173" s="779"/>
      <c r="N173" s="779"/>
      <c r="O173" s="773"/>
      <c r="P173" s="773"/>
      <c r="Q173" s="773"/>
      <c r="R173" s="774"/>
      <c r="S173" s="774"/>
      <c r="T173" s="774"/>
      <c r="U173" s="137"/>
      <c r="V173" s="137"/>
      <c r="W173" s="489"/>
    </row>
    <row r="174" spans="2:30" ht="15" x14ac:dyDescent="0.25">
      <c r="B174" s="489"/>
      <c r="C174" s="137"/>
      <c r="D174" s="137"/>
      <c r="E174" s="1025" t="s">
        <v>738</v>
      </c>
      <c r="F174" s="1025"/>
      <c r="G174" s="1025"/>
      <c r="H174" s="1025"/>
      <c r="I174" s="903">
        <f>HLOOKUP($E174,Obese2010,selection+1, FALSE)</f>
        <v>163</v>
      </c>
      <c r="J174" s="1024"/>
      <c r="K174" s="904"/>
      <c r="L174" s="903">
        <f>HLOOKUP($E174, Obese2010, selection2+1, FALSE)</f>
        <v>167</v>
      </c>
      <c r="M174" s="1024"/>
      <c r="N174" s="904"/>
      <c r="O174" s="1057">
        <f>Data!IB76</f>
        <v>7601</v>
      </c>
      <c r="P174" s="1058"/>
      <c r="Q174" s="1059"/>
      <c r="R174" s="1057">
        <f>Data!IB78</f>
        <v>540228</v>
      </c>
      <c r="S174" s="1058"/>
      <c r="T174" s="1059"/>
      <c r="U174" s="137"/>
      <c r="V174" s="137"/>
      <c r="W174" s="489"/>
    </row>
    <row r="175" spans="2:30" ht="15" x14ac:dyDescent="0.25">
      <c r="B175" s="489"/>
      <c r="C175" s="137"/>
      <c r="D175" s="137"/>
      <c r="E175" s="1025" t="s">
        <v>742</v>
      </c>
      <c r="F175" s="1025"/>
      <c r="G175" s="1025"/>
      <c r="H175" s="1025"/>
      <c r="I175" s="903">
        <f>HLOOKUP($E175,Obese2010,selection+1, FALSE)</f>
        <v>9</v>
      </c>
      <c r="J175" s="1024"/>
      <c r="K175" s="904"/>
      <c r="L175" s="903">
        <f>HLOOKUP($E175, Obese2010, selection2+1, FALSE)</f>
        <v>17</v>
      </c>
      <c r="M175" s="1024"/>
      <c r="N175" s="904"/>
      <c r="O175" s="1057">
        <f>Data!IC76</f>
        <v>608.08000000000004</v>
      </c>
      <c r="P175" s="1058"/>
      <c r="Q175" s="1059"/>
      <c r="R175" s="1057">
        <f>Data!IC78</f>
        <v>50781.432000000001</v>
      </c>
      <c r="S175" s="1058"/>
      <c r="T175" s="1059"/>
      <c r="U175" s="137"/>
      <c r="V175" s="137"/>
      <c r="W175" s="489"/>
    </row>
    <row r="176" spans="2:30" ht="15" x14ac:dyDescent="0.25">
      <c r="B176" s="489"/>
      <c r="C176" s="137"/>
      <c r="D176" s="137"/>
      <c r="E176" s="1056" t="s">
        <v>737</v>
      </c>
      <c r="F176" s="1056"/>
      <c r="G176" s="1056"/>
      <c r="H176" s="1056"/>
      <c r="I176" s="1063">
        <f>HLOOKUP($E176,Obese2010,selection+1, FALSE)</f>
        <v>5.5214723926380369E-2</v>
      </c>
      <c r="J176" s="1064"/>
      <c r="K176" s="1065"/>
      <c r="L176" s="1063">
        <f>HLOOKUP($E176, Obese2010, selection2+1, FALSE)</f>
        <v>0.10179640718562874</v>
      </c>
      <c r="M176" s="1064"/>
      <c r="N176" s="1065"/>
      <c r="O176" s="1060">
        <f>Data!ID76</f>
        <v>0.08</v>
      </c>
      <c r="P176" s="1061"/>
      <c r="Q176" s="1062"/>
      <c r="R176" s="1060">
        <f>Data!ID78</f>
        <v>9.4E-2</v>
      </c>
      <c r="S176" s="1061"/>
      <c r="T176" s="1062"/>
      <c r="U176" s="137"/>
      <c r="V176" s="137"/>
      <c r="W176" s="489"/>
    </row>
    <row r="177" spans="2:23" ht="15" x14ac:dyDescent="0.25">
      <c r="B177" s="489"/>
      <c r="C177" s="137"/>
      <c r="D177" s="137"/>
      <c r="E177" s="1025" t="s">
        <v>739</v>
      </c>
      <c r="F177" s="1025"/>
      <c r="G177" s="1025"/>
      <c r="H177" s="1025"/>
      <c r="I177" s="1018" t="str">
        <f>HLOOKUP($E177,Obese2010,selection+1, FALSE)</f>
        <v>No Sig diff</v>
      </c>
      <c r="J177" s="1019"/>
      <c r="K177" s="1020"/>
      <c r="L177" s="1018" t="str">
        <f>HLOOKUP($E177, Obese2010, selection2+1, FALSE)</f>
        <v>No Sig diff</v>
      </c>
      <c r="M177" s="1019"/>
      <c r="N177" s="1020"/>
      <c r="O177" s="924" t="str">
        <f>Data!IG76</f>
        <v>Sig better than Eng.</v>
      </c>
      <c r="P177" s="925"/>
      <c r="Q177" s="926"/>
      <c r="R177" s="924" t="s">
        <v>286</v>
      </c>
      <c r="S177" s="925"/>
      <c r="T177" s="926"/>
      <c r="U177" s="137"/>
      <c r="V177" s="137"/>
      <c r="W177" s="489"/>
    </row>
    <row r="178" spans="2:23" ht="15" x14ac:dyDescent="0.25">
      <c r="B178" s="489"/>
      <c r="C178" s="71" t="s">
        <v>526</v>
      </c>
      <c r="D178" s="71" t="s">
        <v>527</v>
      </c>
      <c r="E178" s="1025" t="s">
        <v>740</v>
      </c>
      <c r="F178" s="1025"/>
      <c r="G178" s="1025"/>
      <c r="H178" s="1025"/>
      <c r="I178" s="213">
        <f>HLOOKUP(C178,Obese2010, selection+1, FALSE)</f>
        <v>2.9317368755345873E-2</v>
      </c>
      <c r="J178" s="213" t="s">
        <v>744</v>
      </c>
      <c r="K178" s="213">
        <f>HLOOKUP(D178,Obese2010,selection+1, FALSE)</f>
        <v>0.10159409039323013</v>
      </c>
      <c r="L178" s="213">
        <f>HLOOKUP(C178,Obese2010,selection2+1, FALSE)</f>
        <v>6.453215761708575E-2</v>
      </c>
      <c r="M178" s="213" t="s">
        <v>744</v>
      </c>
      <c r="N178" s="213">
        <f>HLOOKUP(D178,Obese2010, selection2+1,FALSE)</f>
        <v>0.15696828543643829</v>
      </c>
      <c r="O178" s="213">
        <f>Data!IE76</f>
        <v>7.3999999999999996E-2</v>
      </c>
      <c r="P178" s="213" t="s">
        <v>744</v>
      </c>
      <c r="Q178" s="213">
        <f>Data!IF76</f>
        <v>8.6000000000000007E-2</v>
      </c>
      <c r="R178" s="213">
        <f>Data!IE78</f>
        <v>9.2999999999999999E-2</v>
      </c>
      <c r="S178" s="213" t="s">
        <v>744</v>
      </c>
      <c r="T178" s="213">
        <f>Data!IF78</f>
        <v>9.5000000000000001E-2</v>
      </c>
      <c r="U178" s="137"/>
      <c r="V178" s="137"/>
      <c r="W178" s="489"/>
    </row>
    <row r="179" spans="2:23" ht="15" x14ac:dyDescent="0.25">
      <c r="B179" s="489"/>
      <c r="C179" s="137"/>
      <c r="D179" s="137"/>
      <c r="E179" s="1002" t="s">
        <v>516</v>
      </c>
      <c r="F179" s="1003"/>
      <c r="G179" s="1003"/>
      <c r="H179" s="1004"/>
      <c r="I179" s="1011" t="str">
        <f>INDEX(Locations, selection)</f>
        <v>Angmering</v>
      </c>
      <c r="J179" s="1012"/>
      <c r="K179" s="1013"/>
      <c r="L179" s="1026" t="str">
        <f>INDEX(Locations, selection2)</f>
        <v>Bewbush</v>
      </c>
      <c r="M179" s="1027"/>
      <c r="N179" s="1028"/>
      <c r="O179" s="1033" t="s">
        <v>291</v>
      </c>
      <c r="P179" s="1034"/>
      <c r="Q179" s="1035"/>
      <c r="R179" s="1047" t="s">
        <v>293</v>
      </c>
      <c r="S179" s="1048"/>
      <c r="T179" s="1049"/>
      <c r="U179" s="137"/>
      <c r="V179" s="137"/>
      <c r="W179" s="489"/>
    </row>
    <row r="180" spans="2:23" ht="15" x14ac:dyDescent="0.25">
      <c r="B180" s="489"/>
      <c r="C180" s="137"/>
      <c r="D180" s="137"/>
      <c r="E180" s="1005"/>
      <c r="F180" s="1006"/>
      <c r="G180" s="1006"/>
      <c r="H180" s="1007"/>
      <c r="I180" s="1014"/>
      <c r="J180" s="849"/>
      <c r="K180" s="850"/>
      <c r="L180" s="851"/>
      <c r="M180" s="852"/>
      <c r="N180" s="1029"/>
      <c r="O180" s="1036"/>
      <c r="P180" s="1037"/>
      <c r="Q180" s="1038"/>
      <c r="R180" s="1050"/>
      <c r="S180" s="1051"/>
      <c r="T180" s="1052"/>
      <c r="U180" s="137"/>
      <c r="V180" s="137"/>
      <c r="W180" s="489"/>
    </row>
    <row r="181" spans="2:23" ht="15" x14ac:dyDescent="0.25">
      <c r="B181" s="489"/>
      <c r="C181" s="137"/>
      <c r="D181" s="137"/>
      <c r="E181" s="1008"/>
      <c r="F181" s="1009"/>
      <c r="G181" s="1009"/>
      <c r="H181" s="1010"/>
      <c r="I181" s="1015"/>
      <c r="J181" s="1016"/>
      <c r="K181" s="1017"/>
      <c r="L181" s="1030"/>
      <c r="M181" s="1031"/>
      <c r="N181" s="1032"/>
      <c r="O181" s="1039"/>
      <c r="P181" s="1040"/>
      <c r="Q181" s="1041"/>
      <c r="R181" s="1053"/>
      <c r="S181" s="1054"/>
      <c r="T181" s="1055"/>
      <c r="U181" s="137"/>
      <c r="V181" s="137"/>
      <c r="W181" s="489"/>
    </row>
    <row r="182" spans="2:23" ht="15" x14ac:dyDescent="0.25">
      <c r="B182" s="489"/>
      <c r="C182" s="137"/>
      <c r="D182" s="137"/>
      <c r="E182" s="1025" t="s">
        <v>738</v>
      </c>
      <c r="F182" s="1025"/>
      <c r="G182" s="1025"/>
      <c r="H182" s="1025"/>
      <c r="I182" s="903">
        <f>HLOOKUP($E182,Obese2011,selection+1, FALSE)</f>
        <v>130</v>
      </c>
      <c r="J182" s="1024"/>
      <c r="K182" s="904"/>
      <c r="L182" s="903">
        <f>HLOOKUP($E182, Obese2011, selection2+1, FALSE)</f>
        <v>148</v>
      </c>
      <c r="M182" s="1024"/>
      <c r="N182" s="904"/>
      <c r="O182" s="1057">
        <f>Data!IH76</f>
        <v>6858</v>
      </c>
      <c r="P182" s="1058"/>
      <c r="Q182" s="1059"/>
      <c r="R182" s="1057">
        <f>Data!IH78</f>
        <v>565662</v>
      </c>
      <c r="S182" s="1058"/>
      <c r="T182" s="1059"/>
      <c r="U182" s="137"/>
      <c r="V182" s="137"/>
      <c r="W182" s="489"/>
    </row>
    <row r="183" spans="2:23" ht="15" x14ac:dyDescent="0.25">
      <c r="B183" s="489"/>
      <c r="C183" s="137"/>
      <c r="D183" s="137"/>
      <c r="E183" s="1025" t="s">
        <v>742</v>
      </c>
      <c r="F183" s="1025"/>
      <c r="G183" s="1025"/>
      <c r="H183" s="1025"/>
      <c r="I183" s="903">
        <f>HLOOKUP($E183,Obese2011,selection+1, FALSE)</f>
        <v>9</v>
      </c>
      <c r="J183" s="1024"/>
      <c r="K183" s="904"/>
      <c r="L183" s="903">
        <f>HLOOKUP($E183, Obese2011, selection2+1, FALSE)</f>
        <v>15</v>
      </c>
      <c r="M183" s="1024"/>
      <c r="N183" s="904"/>
      <c r="O183" s="1057">
        <f>Data!II76</f>
        <v>541.78200000000004</v>
      </c>
      <c r="P183" s="1058"/>
      <c r="Q183" s="1059"/>
      <c r="R183" s="1057">
        <f>Data!II78</f>
        <v>53737.89</v>
      </c>
      <c r="S183" s="1058"/>
      <c r="T183" s="1059"/>
      <c r="U183" s="137"/>
      <c r="V183" s="137"/>
      <c r="W183" s="489"/>
    </row>
    <row r="184" spans="2:23" ht="15" x14ac:dyDescent="0.25">
      <c r="B184" s="489"/>
      <c r="C184" s="137"/>
      <c r="D184" s="137"/>
      <c r="E184" s="1056" t="s">
        <v>737</v>
      </c>
      <c r="F184" s="1056"/>
      <c r="G184" s="1056"/>
      <c r="H184" s="1056"/>
      <c r="I184" s="1063">
        <f>HLOOKUP($E184,Obese2011,selection+1, FALSE)</f>
        <v>6.9230769230769235E-2</v>
      </c>
      <c r="J184" s="1064"/>
      <c r="K184" s="1065"/>
      <c r="L184" s="1063">
        <f>HLOOKUP($E184, Obese2011, selection2+1, FALSE)</f>
        <v>0.10135135135135136</v>
      </c>
      <c r="M184" s="1064"/>
      <c r="N184" s="1065"/>
      <c r="O184" s="1060">
        <f>Data!IJ76</f>
        <v>7.9000000000000001E-2</v>
      </c>
      <c r="P184" s="1061"/>
      <c r="Q184" s="1062"/>
      <c r="R184" s="1060">
        <f>Data!IJ78</f>
        <v>9.5000000000000001E-2</v>
      </c>
      <c r="S184" s="1061"/>
      <c r="T184" s="1062"/>
      <c r="U184" s="137"/>
      <c r="V184" s="137"/>
      <c r="W184" s="489"/>
    </row>
    <row r="185" spans="2:23" ht="15" x14ac:dyDescent="0.25">
      <c r="B185" s="489"/>
      <c r="C185" s="137"/>
      <c r="D185" s="137"/>
      <c r="E185" s="1025" t="s">
        <v>739</v>
      </c>
      <c r="F185" s="1025"/>
      <c r="G185" s="1025"/>
      <c r="H185" s="1025"/>
      <c r="I185" s="1018" t="str">
        <f>HLOOKUP($E185,Obese2011,selection+1, FALSE)</f>
        <v>No Sig diff</v>
      </c>
      <c r="J185" s="1019"/>
      <c r="K185" s="1020"/>
      <c r="L185" s="1018" t="str">
        <f>HLOOKUP($E185, Obese2011, selection2+1, FALSE)</f>
        <v>No Sig diff</v>
      </c>
      <c r="M185" s="1019"/>
      <c r="N185" s="1020"/>
      <c r="O185" s="924" t="str">
        <f>Data!IM76</f>
        <v>Sig better than Eng.</v>
      </c>
      <c r="P185" s="925"/>
      <c r="Q185" s="926"/>
      <c r="R185" s="924" t="s">
        <v>286</v>
      </c>
      <c r="S185" s="925"/>
      <c r="T185" s="926"/>
      <c r="U185" s="137"/>
      <c r="V185" s="137"/>
      <c r="W185" s="489"/>
    </row>
    <row r="186" spans="2:23" ht="15" x14ac:dyDescent="0.25">
      <c r="B186" s="489"/>
      <c r="C186" s="71" t="s">
        <v>526</v>
      </c>
      <c r="D186" s="71" t="s">
        <v>527</v>
      </c>
      <c r="E186" s="1025" t="s">
        <v>740</v>
      </c>
      <c r="F186" s="1025"/>
      <c r="G186" s="1025"/>
      <c r="H186" s="1025"/>
      <c r="I186" s="213">
        <f>HLOOKUP(C186,Obese2011, selection+1, FALSE)</f>
        <v>3.6847119144994243E-2</v>
      </c>
      <c r="J186" s="213" t="s">
        <v>744</v>
      </c>
      <c r="K186" s="213">
        <f>HLOOKUP(D186,Obese2011,selection+1, FALSE)</f>
        <v>0.12634191819174664</v>
      </c>
      <c r="L186" s="213">
        <f>HLOOKUP(C186,Obese2011,selection2+1, FALSE)</f>
        <v>6.2386399530736276E-2</v>
      </c>
      <c r="M186" s="213" t="s">
        <v>744</v>
      </c>
      <c r="N186" s="213">
        <f>HLOOKUP(D186,Obese2011, selection2+1,FALSE)</f>
        <v>0.160487241723308</v>
      </c>
      <c r="O186" s="213">
        <f>Data!IK76</f>
        <v>7.2999999999999995E-2</v>
      </c>
      <c r="P186" s="213" t="s">
        <v>744</v>
      </c>
      <c r="Q186" s="213">
        <f>Data!IL76</f>
        <v>8.5000000000000006E-2</v>
      </c>
      <c r="R186" s="213">
        <f>Data!IK78</f>
        <v>9.4E-2</v>
      </c>
      <c r="S186" s="213" t="s">
        <v>744</v>
      </c>
      <c r="T186" s="213">
        <f>Data!IL78</f>
        <v>9.6000000000000002E-2</v>
      </c>
      <c r="U186" s="137"/>
      <c r="V186" s="137"/>
      <c r="W186" s="489"/>
    </row>
    <row r="187" spans="2:23" ht="15" x14ac:dyDescent="0.25">
      <c r="B187" s="489"/>
      <c r="C187" s="137"/>
      <c r="D187" s="137"/>
      <c r="E187" s="1002" t="s">
        <v>517</v>
      </c>
      <c r="F187" s="1003"/>
      <c r="G187" s="1003"/>
      <c r="H187" s="1004"/>
      <c r="I187" s="1011" t="str">
        <f>INDEX(Locations, selection)</f>
        <v>Angmering</v>
      </c>
      <c r="J187" s="1012"/>
      <c r="K187" s="1013"/>
      <c r="L187" s="1026" t="str">
        <f>INDEX(Locations, selection2)</f>
        <v>Bewbush</v>
      </c>
      <c r="M187" s="1027"/>
      <c r="N187" s="1028"/>
      <c r="O187" s="1033" t="s">
        <v>291</v>
      </c>
      <c r="P187" s="1034"/>
      <c r="Q187" s="1035"/>
      <c r="R187" s="1047" t="s">
        <v>293</v>
      </c>
      <c r="S187" s="1048"/>
      <c r="T187" s="1049"/>
      <c r="U187" s="137"/>
      <c r="V187" s="137"/>
      <c r="W187" s="489"/>
    </row>
    <row r="188" spans="2:23" ht="15" x14ac:dyDescent="0.25">
      <c r="B188" s="489"/>
      <c r="C188" s="137"/>
      <c r="D188" s="137"/>
      <c r="E188" s="1005"/>
      <c r="F188" s="1006"/>
      <c r="G188" s="1006"/>
      <c r="H188" s="1007"/>
      <c r="I188" s="1014"/>
      <c r="J188" s="849"/>
      <c r="K188" s="850"/>
      <c r="L188" s="851"/>
      <c r="M188" s="852"/>
      <c r="N188" s="1029"/>
      <c r="O188" s="1036"/>
      <c r="P188" s="1037"/>
      <c r="Q188" s="1038"/>
      <c r="R188" s="1050"/>
      <c r="S188" s="1051"/>
      <c r="T188" s="1052"/>
      <c r="U188" s="137"/>
      <c r="V188" s="137"/>
      <c r="W188" s="489"/>
    </row>
    <row r="189" spans="2:23" ht="15" x14ac:dyDescent="0.25">
      <c r="B189" s="489"/>
      <c r="C189" s="137"/>
      <c r="D189" s="137"/>
      <c r="E189" s="1008"/>
      <c r="F189" s="1009"/>
      <c r="G189" s="1009"/>
      <c r="H189" s="1010"/>
      <c r="I189" s="1015"/>
      <c r="J189" s="1016"/>
      <c r="K189" s="1017"/>
      <c r="L189" s="1030"/>
      <c r="M189" s="1031"/>
      <c r="N189" s="1032"/>
      <c r="O189" s="1039"/>
      <c r="P189" s="1040"/>
      <c r="Q189" s="1041"/>
      <c r="R189" s="1053"/>
      <c r="S189" s="1054"/>
      <c r="T189" s="1055"/>
      <c r="U189" s="137"/>
      <c r="V189" s="137"/>
      <c r="W189" s="489"/>
    </row>
    <row r="190" spans="2:23" ht="15" x14ac:dyDescent="0.25">
      <c r="B190" s="489"/>
      <c r="C190" s="137"/>
      <c r="D190" s="137"/>
      <c r="E190" s="1025" t="s">
        <v>738</v>
      </c>
      <c r="F190" s="1025"/>
      <c r="G190" s="1025"/>
      <c r="H190" s="1025"/>
      <c r="I190" s="903">
        <f>HLOOKUP($E190,Obese2012,selection+1, FALSE)</f>
        <v>165</v>
      </c>
      <c r="J190" s="1024"/>
      <c r="K190" s="904"/>
      <c r="L190" s="903">
        <f>HLOOKUP($E190, Obese2012, selection2+1, FALSE)</f>
        <v>185</v>
      </c>
      <c r="M190" s="1024"/>
      <c r="N190" s="904"/>
      <c r="O190" s="1057">
        <f>Data!IN76</f>
        <v>7939</v>
      </c>
      <c r="P190" s="1058"/>
      <c r="Q190" s="1059"/>
      <c r="R190" s="1057">
        <f>Data!IN78</f>
        <v>586332</v>
      </c>
      <c r="S190" s="1058"/>
      <c r="T190" s="1059"/>
      <c r="U190" s="137"/>
      <c r="V190" s="137"/>
      <c r="W190" s="489"/>
    </row>
    <row r="191" spans="2:23" ht="15" x14ac:dyDescent="0.25">
      <c r="B191" s="489"/>
      <c r="C191" s="137"/>
      <c r="D191" s="137"/>
      <c r="E191" s="1025" t="s">
        <v>742</v>
      </c>
      <c r="F191" s="1025"/>
      <c r="G191" s="1025"/>
      <c r="H191" s="1025"/>
      <c r="I191" s="903">
        <f>HLOOKUP($E191,Obese2012,selection+1, FALSE)</f>
        <v>16</v>
      </c>
      <c r="J191" s="1024"/>
      <c r="K191" s="904"/>
      <c r="L191" s="903">
        <f>HLOOKUP($E191, Obese2012, selection2+1, FALSE)</f>
        <v>22</v>
      </c>
      <c r="M191" s="1024"/>
      <c r="N191" s="904"/>
      <c r="O191" s="1057">
        <f>Data!IO76</f>
        <v>674.81500000000005</v>
      </c>
      <c r="P191" s="1058"/>
      <c r="Q191" s="1059"/>
      <c r="R191" s="1057">
        <f>Data!IO78</f>
        <v>54528.875999999997</v>
      </c>
      <c r="S191" s="1058"/>
      <c r="T191" s="1059"/>
      <c r="U191" s="137"/>
      <c r="V191" s="137"/>
      <c r="W191" s="489"/>
    </row>
    <row r="192" spans="2:23" ht="15" x14ac:dyDescent="0.25">
      <c r="B192" s="489"/>
      <c r="C192" s="137"/>
      <c r="D192" s="137"/>
      <c r="E192" s="1056" t="s">
        <v>737</v>
      </c>
      <c r="F192" s="1056"/>
      <c r="G192" s="1056"/>
      <c r="H192" s="1056"/>
      <c r="I192" s="1063">
        <f>HLOOKUP($E192,Obese2012,selection+1, FALSE)</f>
        <v>9.696969696969697E-2</v>
      </c>
      <c r="J192" s="1064"/>
      <c r="K192" s="1065"/>
      <c r="L192" s="1063">
        <f>HLOOKUP($E192, Obese2012, selection2+1, FALSE)</f>
        <v>0.11891891891891893</v>
      </c>
      <c r="M192" s="1064"/>
      <c r="N192" s="1065"/>
      <c r="O192" s="1060">
        <f>Data!IP76</f>
        <v>8.5000000000000006E-2</v>
      </c>
      <c r="P192" s="1061"/>
      <c r="Q192" s="1062"/>
      <c r="R192" s="1060">
        <f>Data!IP78</f>
        <v>9.2999999999999999E-2</v>
      </c>
      <c r="S192" s="1061"/>
      <c r="T192" s="1062"/>
      <c r="U192" s="137"/>
      <c r="V192" s="137"/>
      <c r="W192" s="489"/>
    </row>
    <row r="193" spans="2:23" ht="15" x14ac:dyDescent="0.25">
      <c r="B193" s="489"/>
      <c r="C193" s="137"/>
      <c r="D193" s="137"/>
      <c r="E193" s="1025" t="s">
        <v>739</v>
      </c>
      <c r="F193" s="1025"/>
      <c r="G193" s="1025"/>
      <c r="H193" s="1025"/>
      <c r="I193" s="1018" t="str">
        <f>HLOOKUP($E193,Obese2012,selection+1, FALSE)</f>
        <v>No Sig diff</v>
      </c>
      <c r="J193" s="1019"/>
      <c r="K193" s="1020"/>
      <c r="L193" s="1018" t="str">
        <f>HLOOKUP($E193, Obese2012, selection2+1, FALSE)</f>
        <v>No Sig diff</v>
      </c>
      <c r="M193" s="1019"/>
      <c r="N193" s="1020"/>
      <c r="O193" s="924" t="str">
        <f>Data!IS76</f>
        <v>Sig better than Eng.</v>
      </c>
      <c r="P193" s="925"/>
      <c r="Q193" s="926"/>
      <c r="R193" s="924" t="s">
        <v>286</v>
      </c>
      <c r="S193" s="925"/>
      <c r="T193" s="926"/>
      <c r="U193" s="137"/>
      <c r="V193" s="137"/>
      <c r="W193" s="489"/>
    </row>
    <row r="194" spans="2:23" ht="15" x14ac:dyDescent="0.25">
      <c r="B194" s="489"/>
      <c r="C194" s="71" t="s">
        <v>526</v>
      </c>
      <c r="D194" s="71" t="s">
        <v>527</v>
      </c>
      <c r="E194" s="1025" t="s">
        <v>740</v>
      </c>
      <c r="F194" s="1025"/>
      <c r="G194" s="1025"/>
      <c r="H194" s="1025"/>
      <c r="I194" s="213">
        <f>HLOOKUP(C194,Obese2012, selection+1, FALSE)</f>
        <v>6.0572005169180751E-2</v>
      </c>
      <c r="J194" s="213" t="s">
        <v>744</v>
      </c>
      <c r="K194" s="213">
        <f>HLOOKUP(D194,Obese2012,selection+1, FALSE)</f>
        <v>0.15170677440922217</v>
      </c>
      <c r="L194" s="213">
        <f>HLOOKUP(C194,Obese2012,selection2+1, FALSE)</f>
        <v>7.9857528522488064E-2</v>
      </c>
      <c r="M194" s="213" t="s">
        <v>744</v>
      </c>
      <c r="N194" s="213">
        <f>HLOOKUP(D194,Obese2012, selection2+1,FALSE)</f>
        <v>0.17348439713018241</v>
      </c>
      <c r="O194" s="213">
        <f>Data!IQ76</f>
        <v>7.9000000000000001E-2</v>
      </c>
      <c r="P194" s="213" t="s">
        <v>744</v>
      </c>
      <c r="Q194" s="213">
        <f>Data!IR76</f>
        <v>9.1000000000000011E-2</v>
      </c>
      <c r="R194" s="213">
        <f>Data!IQ78</f>
        <v>9.1999999999999998E-2</v>
      </c>
      <c r="S194" s="213" t="s">
        <v>744</v>
      </c>
      <c r="T194" s="213">
        <f>Data!IR78</f>
        <v>9.4E-2</v>
      </c>
      <c r="U194" s="137"/>
      <c r="V194" s="137"/>
      <c r="W194" s="489"/>
    </row>
    <row r="195" spans="2:23" ht="15" x14ac:dyDescent="0.25">
      <c r="B195" s="489"/>
      <c r="C195" s="137"/>
      <c r="D195" s="137"/>
      <c r="E195" s="1002" t="s">
        <v>518</v>
      </c>
      <c r="F195" s="1003"/>
      <c r="G195" s="1003"/>
      <c r="H195" s="1004"/>
      <c r="I195" s="1011" t="str">
        <f>INDEX(Locations, selection)</f>
        <v>Angmering</v>
      </c>
      <c r="J195" s="1012"/>
      <c r="K195" s="1013"/>
      <c r="L195" s="1026" t="str">
        <f>INDEX(Locations, selection2)</f>
        <v>Bewbush</v>
      </c>
      <c r="M195" s="1027"/>
      <c r="N195" s="1028"/>
      <c r="O195" s="1033" t="s">
        <v>291</v>
      </c>
      <c r="P195" s="1034"/>
      <c r="Q195" s="1035"/>
      <c r="R195" s="1047" t="s">
        <v>293</v>
      </c>
      <c r="S195" s="1048"/>
      <c r="T195" s="1049"/>
      <c r="U195" s="137"/>
      <c r="V195" s="137"/>
      <c r="W195" s="489"/>
    </row>
    <row r="196" spans="2:23" ht="15" x14ac:dyDescent="0.25">
      <c r="B196" s="489"/>
      <c r="C196" s="137"/>
      <c r="D196" s="137"/>
      <c r="E196" s="1005"/>
      <c r="F196" s="1006"/>
      <c r="G196" s="1006"/>
      <c r="H196" s="1007"/>
      <c r="I196" s="1014"/>
      <c r="J196" s="849"/>
      <c r="K196" s="850"/>
      <c r="L196" s="851"/>
      <c r="M196" s="852"/>
      <c r="N196" s="1029"/>
      <c r="O196" s="1036"/>
      <c r="P196" s="1037"/>
      <c r="Q196" s="1038"/>
      <c r="R196" s="1050"/>
      <c r="S196" s="1051"/>
      <c r="T196" s="1052"/>
      <c r="U196" s="137"/>
      <c r="V196" s="137"/>
      <c r="W196" s="489"/>
    </row>
    <row r="197" spans="2:23" x14ac:dyDescent="0.2">
      <c r="B197" s="489"/>
      <c r="C197" s="67"/>
      <c r="D197" s="67"/>
      <c r="E197" s="1008"/>
      <c r="F197" s="1009"/>
      <c r="G197" s="1009"/>
      <c r="H197" s="1010"/>
      <c r="I197" s="1015"/>
      <c r="J197" s="1016"/>
      <c r="K197" s="1017"/>
      <c r="L197" s="1030"/>
      <c r="M197" s="1031"/>
      <c r="N197" s="1032"/>
      <c r="O197" s="1039"/>
      <c r="P197" s="1040"/>
      <c r="Q197" s="1041"/>
      <c r="R197" s="1053"/>
      <c r="S197" s="1054"/>
      <c r="T197" s="1055"/>
      <c r="U197" s="67"/>
      <c r="V197" s="67"/>
      <c r="W197" s="489"/>
    </row>
    <row r="198" spans="2:23" ht="15" x14ac:dyDescent="0.2">
      <c r="B198" s="489"/>
      <c r="C198" s="67"/>
      <c r="D198" s="67"/>
      <c r="E198" s="1025" t="s">
        <v>738</v>
      </c>
      <c r="F198" s="1025"/>
      <c r="G198" s="1025"/>
      <c r="H198" s="1025"/>
      <c r="I198" s="903">
        <f>IF(HLOOKUP($E198,Obese2013,selection+1, FALSE) ="", "", HLOOKUP($E198,Obese2013,selection+1, FALSE))</f>
        <v>117</v>
      </c>
      <c r="J198" s="1024"/>
      <c r="K198" s="904"/>
      <c r="L198" s="903">
        <f>IF(HLOOKUP($E198,Obese2013, selection2+1, FALSE) = "", "", HLOOKUP($E198,Obese2013, selection2+1, FALSE))</f>
        <v>116</v>
      </c>
      <c r="M198" s="1024"/>
      <c r="N198" s="904"/>
      <c r="O198" s="903">
        <f>Data!IT76</f>
        <v>5584</v>
      </c>
      <c r="P198" s="1024"/>
      <c r="Q198" s="904"/>
      <c r="R198" s="1018">
        <f>Data!IT78</f>
        <v>587336</v>
      </c>
      <c r="S198" s="1019"/>
      <c r="T198" s="1020"/>
      <c r="U198" s="67"/>
      <c r="V198" s="67"/>
      <c r="W198" s="489"/>
    </row>
    <row r="199" spans="2:23" ht="15" x14ac:dyDescent="0.2">
      <c r="B199" s="489"/>
      <c r="C199" s="67"/>
      <c r="D199" s="67"/>
      <c r="E199" s="1025" t="s">
        <v>742</v>
      </c>
      <c r="F199" s="1025"/>
      <c r="G199" s="1025"/>
      <c r="H199" s="1025"/>
      <c r="I199" s="903">
        <f>IF(HLOOKUP($E199,Obese2013,selection+1, FALSE) ="", "", HLOOKUP($E199,Obese2013,selection+1, FALSE))</f>
        <v>12</v>
      </c>
      <c r="J199" s="1024"/>
      <c r="K199" s="904"/>
      <c r="L199" s="903">
        <f>IF(HLOOKUP($E199,Obese2013, selection2+1, FALSE) = "", "", HLOOKUP($E199,Obese2013, selection2+1, FALSE))</f>
        <v>13</v>
      </c>
      <c r="M199" s="1024"/>
      <c r="N199" s="904"/>
      <c r="O199" s="903">
        <f>Data!IU76</f>
        <v>474.99737599999992</v>
      </c>
      <c r="P199" s="1024"/>
      <c r="Q199" s="904"/>
      <c r="R199" s="1018">
        <f>Data!IU78</f>
        <v>55672.992103999997</v>
      </c>
      <c r="S199" s="1019"/>
      <c r="T199" s="1020"/>
      <c r="U199" s="67"/>
      <c r="V199" s="67"/>
      <c r="W199" s="489"/>
    </row>
    <row r="200" spans="2:23" ht="15" x14ac:dyDescent="0.2">
      <c r="B200" s="489"/>
      <c r="C200" s="67"/>
      <c r="D200" s="67"/>
      <c r="E200" s="1056" t="s">
        <v>737</v>
      </c>
      <c r="F200" s="1056"/>
      <c r="G200" s="1056"/>
      <c r="H200" s="1056"/>
      <c r="I200" s="1063">
        <f>IF(HLOOKUP($E200,Obese2013,selection+1, FALSE) ="", "", HLOOKUP($E200,Obese2013,selection+1, FALSE))</f>
        <v>0.10256410256410256</v>
      </c>
      <c r="J200" s="1064"/>
      <c r="K200" s="1065"/>
      <c r="L200" s="1063">
        <f>IF(HLOOKUP($E200,Obese2013, selection2+1, FALSE) = "", "", HLOOKUP($E200,Obese2013, selection2+1, FALSE))</f>
        <v>0.11206896551724138</v>
      </c>
      <c r="M200" s="1064"/>
      <c r="N200" s="1065"/>
      <c r="O200" s="1063">
        <f>Data!IV76</f>
        <v>8.5063999999999987E-2</v>
      </c>
      <c r="P200" s="1064"/>
      <c r="Q200" s="1065"/>
      <c r="R200" s="1063">
        <f>Data!IV78</f>
        <v>9.4788999999999998E-2</v>
      </c>
      <c r="S200" s="1064"/>
      <c r="T200" s="1065"/>
      <c r="U200" s="67"/>
      <c r="V200" s="67"/>
      <c r="W200" s="489"/>
    </row>
    <row r="201" spans="2:23" ht="15" x14ac:dyDescent="0.2">
      <c r="B201" s="489"/>
      <c r="C201" s="67"/>
      <c r="D201" s="67"/>
      <c r="E201" s="1025" t="s">
        <v>739</v>
      </c>
      <c r="F201" s="1025"/>
      <c r="G201" s="1025"/>
      <c r="H201" s="1025"/>
      <c r="I201" s="1018" t="str">
        <f>IF(HLOOKUP($E201,Obese2013,selection+1, FALSE) ="", "", HLOOKUP($E201,Obese2013,selection+1, FALSE))</f>
        <v>No Sig diff</v>
      </c>
      <c r="J201" s="1019"/>
      <c r="K201" s="1020"/>
      <c r="L201" s="1018" t="str">
        <f>IF(HLOOKUP($E201,Obese2013, selection2+1, FALSE) = "", "", HLOOKUP($E201,Obese2013, selection2+1, FALSE))</f>
        <v>No Sig diff</v>
      </c>
      <c r="M201" s="1019"/>
      <c r="N201" s="1020"/>
      <c r="O201" s="1021" t="str">
        <f>Data!IY76</f>
        <v>Sig better than Eng.</v>
      </c>
      <c r="P201" s="1022"/>
      <c r="Q201" s="1023"/>
      <c r="R201" s="924" t="s">
        <v>286</v>
      </c>
      <c r="S201" s="925"/>
      <c r="T201" s="926"/>
      <c r="U201" s="67"/>
      <c r="V201" s="67"/>
      <c r="W201" s="489"/>
    </row>
    <row r="202" spans="2:23" ht="15" x14ac:dyDescent="0.25">
      <c r="B202" s="489"/>
      <c r="C202" s="71" t="s">
        <v>526</v>
      </c>
      <c r="D202" s="71" t="s">
        <v>527</v>
      </c>
      <c r="E202" s="1025" t="s">
        <v>740</v>
      </c>
      <c r="F202" s="1025"/>
      <c r="G202" s="1025"/>
      <c r="H202" s="1025"/>
      <c r="I202" s="213">
        <f>IF(HLOOKUP(C202,Obese2013,selection+1,FALSE)= "", "", HLOOKUP(C202,Obese2013,selection+1,FALSE))</f>
        <v>5.9649622027734467E-2</v>
      </c>
      <c r="J202" s="209" t="s">
        <v>744</v>
      </c>
      <c r="K202" s="213">
        <f>IF(HLOOKUP(D202,Obese2013,selection+1,FALSE) = "","", HLOOKUP(D202,Obese2013,selection+1,FALSE))</f>
        <v>0.17074695785802793</v>
      </c>
      <c r="L202" s="213">
        <f>IF(HLOOKUP(C202,Obese2013,selection2+1,FALSE) = "","", HLOOKUP(C202,Obese2013,selection2+1,FALSE))</f>
        <v>6.6673496204662189E-2</v>
      </c>
      <c r="M202" s="209" t="s">
        <v>744</v>
      </c>
      <c r="N202" s="213">
        <f>IF(HLOOKUP(D202,Obese2013,selection2+1,FALSE) = "", "",HLOOKUP(D202,Obese2013,selection2+1,FALSE))</f>
        <v>0.18233431056229885</v>
      </c>
      <c r="O202" s="213">
        <f>Data!IW76</f>
        <v>7.8029000000000001E-2</v>
      </c>
      <c r="P202" s="209" t="s">
        <v>744</v>
      </c>
      <c r="Q202" s="213">
        <f>Data!IX76</f>
        <v>9.2669999999999988E-2</v>
      </c>
      <c r="R202" s="213">
        <f>Data!IW78</f>
        <v>9.4042999999999988E-2</v>
      </c>
      <c r="S202" s="209" t="s">
        <v>744</v>
      </c>
      <c r="T202" s="213">
        <f>Data!IX78</f>
        <v>9.5541000000000001E-2</v>
      </c>
      <c r="U202" s="67"/>
      <c r="V202" s="67"/>
      <c r="W202" s="489"/>
    </row>
    <row r="203" spans="2:23" s="67" customFormat="1" ht="15" x14ac:dyDescent="0.25">
      <c r="B203" s="489"/>
      <c r="C203" s="71"/>
      <c r="D203" s="71"/>
      <c r="E203" s="1002" t="s">
        <v>985</v>
      </c>
      <c r="F203" s="1003"/>
      <c r="G203" s="1003"/>
      <c r="H203" s="1004"/>
      <c r="I203" s="1011" t="str">
        <f>INDEX(Locations, selection)</f>
        <v>Angmering</v>
      </c>
      <c r="J203" s="1012"/>
      <c r="K203" s="1013"/>
      <c r="L203" s="1026" t="str">
        <f>INDEX(Locations, selection2)</f>
        <v>Bewbush</v>
      </c>
      <c r="M203" s="1027"/>
      <c r="N203" s="1028"/>
      <c r="O203" s="1033" t="s">
        <v>291</v>
      </c>
      <c r="P203" s="1034"/>
      <c r="Q203" s="1035"/>
      <c r="R203" s="1047" t="s">
        <v>293</v>
      </c>
      <c r="S203" s="1048"/>
      <c r="T203" s="1049"/>
      <c r="W203" s="489"/>
    </row>
    <row r="204" spans="2:23" s="67" customFormat="1" ht="15" x14ac:dyDescent="0.25">
      <c r="B204" s="489"/>
      <c r="C204" s="71"/>
      <c r="D204" s="71"/>
      <c r="E204" s="1005"/>
      <c r="F204" s="1006"/>
      <c r="G204" s="1006"/>
      <c r="H204" s="1007"/>
      <c r="I204" s="1014"/>
      <c r="J204" s="849"/>
      <c r="K204" s="850"/>
      <c r="L204" s="851"/>
      <c r="M204" s="852"/>
      <c r="N204" s="1029"/>
      <c r="O204" s="1036"/>
      <c r="P204" s="1037"/>
      <c r="Q204" s="1038"/>
      <c r="R204" s="1050"/>
      <c r="S204" s="1051"/>
      <c r="T204" s="1052"/>
      <c r="W204" s="489"/>
    </row>
    <row r="205" spans="2:23" s="67" customFormat="1" ht="15" x14ac:dyDescent="0.25">
      <c r="B205" s="489"/>
      <c r="C205" s="71"/>
      <c r="D205" s="71"/>
      <c r="E205" s="1008"/>
      <c r="F205" s="1009"/>
      <c r="G205" s="1009"/>
      <c r="H205" s="1010"/>
      <c r="I205" s="1015"/>
      <c r="J205" s="1016"/>
      <c r="K205" s="1017"/>
      <c r="L205" s="1030"/>
      <c r="M205" s="1031"/>
      <c r="N205" s="1032"/>
      <c r="O205" s="1039"/>
      <c r="P205" s="1040"/>
      <c r="Q205" s="1041"/>
      <c r="R205" s="1053"/>
      <c r="S205" s="1054"/>
      <c r="T205" s="1055"/>
      <c r="W205" s="489"/>
    </row>
    <row r="206" spans="2:23" s="67" customFormat="1" ht="15" x14ac:dyDescent="0.25">
      <c r="B206" s="489"/>
      <c r="C206" s="71"/>
      <c r="D206" s="71"/>
      <c r="E206" s="1025" t="s">
        <v>738</v>
      </c>
      <c r="F206" s="1025"/>
      <c r="G206" s="1025"/>
      <c r="H206" s="1025"/>
      <c r="I206" s="903">
        <f>IF(HLOOKUP($E206,Obese2014,selection+1, FALSE) ="", "", HLOOKUP($E206,Obese2014,selection+1, FALSE))</f>
        <v>194</v>
      </c>
      <c r="J206" s="1024"/>
      <c r="K206" s="904"/>
      <c r="L206" s="903">
        <f>IF(HLOOKUP($E206,Obese2014, selection2+1, FALSE) = "", "", HLOOKUP($E206,Obese2014, selection2+1, FALSE))</f>
        <v>243</v>
      </c>
      <c r="M206" s="1024"/>
      <c r="N206" s="904"/>
      <c r="O206" s="903">
        <f>Data!IZ76</f>
        <v>8184</v>
      </c>
      <c r="P206" s="1024"/>
      <c r="Q206" s="904"/>
      <c r="R206" s="1018">
        <f>Data!IZ78</f>
        <v>610636</v>
      </c>
      <c r="S206" s="1019"/>
      <c r="T206" s="1020"/>
      <c r="W206" s="489"/>
    </row>
    <row r="207" spans="2:23" s="67" customFormat="1" ht="15" x14ac:dyDescent="0.25">
      <c r="B207" s="489"/>
      <c r="C207" s="71"/>
      <c r="D207" s="71"/>
      <c r="E207" s="1025" t="s">
        <v>742</v>
      </c>
      <c r="F207" s="1025"/>
      <c r="G207" s="1025"/>
      <c r="H207" s="1025"/>
      <c r="I207" s="903">
        <f>IF(HLOOKUP($E207,Obese2014,selection+1, FALSE) ="", "", HLOOKUP($E207,Obese2014,selection+1, FALSE))</f>
        <v>23</v>
      </c>
      <c r="J207" s="1024"/>
      <c r="K207" s="904"/>
      <c r="L207" s="903">
        <f>IF(HLOOKUP($E207,Obese2014, selection2+1, FALSE) = "", "", HLOOKUP($E207,Obese2014, selection2+1, FALSE))</f>
        <v>26</v>
      </c>
      <c r="M207" s="1024"/>
      <c r="N207" s="904"/>
      <c r="O207" s="903">
        <f>Data!JA76</f>
        <v>593.99999999999977</v>
      </c>
      <c r="P207" s="1024"/>
      <c r="Q207" s="904"/>
      <c r="R207" s="1018">
        <f>Data!JA78</f>
        <v>55449</v>
      </c>
      <c r="S207" s="1019"/>
      <c r="T207" s="1020"/>
      <c r="W207" s="489"/>
    </row>
    <row r="208" spans="2:23" s="67" customFormat="1" ht="15" x14ac:dyDescent="0.25">
      <c r="B208" s="489"/>
      <c r="C208" s="71"/>
      <c r="D208" s="71"/>
      <c r="E208" s="1056" t="s">
        <v>737</v>
      </c>
      <c r="F208" s="1056"/>
      <c r="G208" s="1056"/>
      <c r="H208" s="1056"/>
      <c r="I208" s="1063">
        <f>IF(HLOOKUP($E208,Obese2014,selection+1, FALSE) ="", "", HLOOKUP($E208,Obese2014,selection+1, FALSE))</f>
        <v>0.11855670103092783</v>
      </c>
      <c r="J208" s="1064"/>
      <c r="K208" s="1065"/>
      <c r="L208" s="1063">
        <f>IF(HLOOKUP($E208,Obese2014, selection2+1, FALSE) = "", "", HLOOKUP($E208,Obese2014, selection2+1, FALSE))</f>
        <v>0.10699588477366255</v>
      </c>
      <c r="M208" s="1064"/>
      <c r="N208" s="1065"/>
      <c r="O208" s="1063">
        <f>Data!JB76</f>
        <v>7.25806451612903E-2</v>
      </c>
      <c r="P208" s="1064"/>
      <c r="Q208" s="1065"/>
      <c r="R208" s="1063">
        <f>Data!JB78</f>
        <v>9.0805324284844002E-2</v>
      </c>
      <c r="S208" s="1064"/>
      <c r="T208" s="1065"/>
      <c r="W208" s="489"/>
    </row>
    <row r="209" spans="2:23" s="67" customFormat="1" ht="15" x14ac:dyDescent="0.25">
      <c r="B209" s="489"/>
      <c r="C209" s="71"/>
      <c r="D209" s="71"/>
      <c r="E209" s="1025" t="s">
        <v>739</v>
      </c>
      <c r="F209" s="1025"/>
      <c r="G209" s="1025"/>
      <c r="H209" s="1025"/>
      <c r="I209" s="1018" t="str">
        <f>IF(HLOOKUP($E209,Obese2014,selection+1, FALSE) ="", "", HLOOKUP($E209,Obese2014,selection+1, FALSE))</f>
        <v>No Sig diff</v>
      </c>
      <c r="J209" s="1019"/>
      <c r="K209" s="1020"/>
      <c r="L209" s="1018" t="str">
        <f>IF(HLOOKUP($E209,Obese2014, selection2+1, FALSE) = "", "", HLOOKUP($E209,Obese2014, selection2+1, FALSE))</f>
        <v>No Sig diff</v>
      </c>
      <c r="M209" s="1019"/>
      <c r="N209" s="1020"/>
      <c r="O209" s="1021" t="str">
        <f>Data!JE76</f>
        <v>Sig better than Eng.</v>
      </c>
      <c r="P209" s="1022"/>
      <c r="Q209" s="1023"/>
      <c r="R209" s="924" t="s">
        <v>286</v>
      </c>
      <c r="S209" s="925"/>
      <c r="T209" s="926"/>
      <c r="W209" s="489"/>
    </row>
    <row r="210" spans="2:23" ht="15" x14ac:dyDescent="0.25">
      <c r="B210" s="489"/>
      <c r="C210" s="71" t="s">
        <v>526</v>
      </c>
      <c r="D210" s="71" t="s">
        <v>527</v>
      </c>
      <c r="E210" s="1025" t="s">
        <v>740</v>
      </c>
      <c r="F210" s="1025"/>
      <c r="G210" s="1025"/>
      <c r="H210" s="1025"/>
      <c r="I210" s="456">
        <f>IF(HLOOKUP(C210,Obese2014,selection+1,FALSE)= "", "", HLOOKUP(C210,Obese2014,selection+1,FALSE))</f>
        <v>8.0312981203821396E-2</v>
      </c>
      <c r="J210" s="451" t="s">
        <v>744</v>
      </c>
      <c r="K210" s="456">
        <f>IF(HLOOKUP(D210,Obese2014,selection+1,FALSE) = "","", HLOOKUP(D210,Obese2014,selection+1,FALSE))</f>
        <v>0.17161327893291761</v>
      </c>
      <c r="L210" s="456">
        <f>IF(HLOOKUP(C210,Obese2014,selection2+1,FALSE) = "","", HLOOKUP(C210,Obese2014,selection2+1,FALSE))</f>
        <v>7.4068882718747134E-2</v>
      </c>
      <c r="M210" s="451" t="s">
        <v>744</v>
      </c>
      <c r="N210" s="456">
        <f>IF(HLOOKUP(D210,Obese2014,selection2+1,FALSE) = "", "",HLOOKUP(D210,Obese2014,selection2+1,FALSE))</f>
        <v>0.15215510367106519</v>
      </c>
      <c r="O210" s="456">
        <f>Data!JC76</f>
        <v>6.7157915551190397E-2</v>
      </c>
      <c r="P210" s="451" t="s">
        <v>744</v>
      </c>
      <c r="Q210" s="456">
        <f>Data!JD76</f>
        <v>7.8404436237721309E-2</v>
      </c>
      <c r="R210" s="456">
        <f>Data!JC78</f>
        <v>9.008721860664419E-2</v>
      </c>
      <c r="S210" s="451" t="s">
        <v>744</v>
      </c>
      <c r="T210" s="456">
        <f>Data!JD78</f>
        <v>9.1528578348031797E-2</v>
      </c>
      <c r="U210" s="67"/>
      <c r="V210" s="67"/>
      <c r="W210" s="489"/>
    </row>
    <row r="211" spans="2:23" s="67" customFormat="1" ht="15" x14ac:dyDescent="0.25">
      <c r="B211" s="489"/>
      <c r="C211" s="71"/>
      <c r="D211" s="71"/>
      <c r="E211" s="1002" t="s">
        <v>1029</v>
      </c>
      <c r="F211" s="1003"/>
      <c r="G211" s="1003"/>
      <c r="H211" s="1004"/>
      <c r="I211" s="1011" t="str">
        <f>INDEX(Locations, selection)</f>
        <v>Angmering</v>
      </c>
      <c r="J211" s="1012"/>
      <c r="K211" s="1013"/>
      <c r="L211" s="1026" t="str">
        <f>INDEX(Locations, selection2)</f>
        <v>Bewbush</v>
      </c>
      <c r="M211" s="1027"/>
      <c r="N211" s="1028"/>
      <c r="O211" s="1033" t="s">
        <v>291</v>
      </c>
      <c r="P211" s="1034"/>
      <c r="Q211" s="1035"/>
      <c r="R211" s="1047" t="s">
        <v>293</v>
      </c>
      <c r="S211" s="1048"/>
      <c r="T211" s="1049"/>
      <c r="W211" s="489"/>
    </row>
    <row r="212" spans="2:23" s="67" customFormat="1" ht="15" x14ac:dyDescent="0.25">
      <c r="B212" s="489"/>
      <c r="C212" s="71"/>
      <c r="D212" s="71"/>
      <c r="E212" s="1005"/>
      <c r="F212" s="1006"/>
      <c r="G212" s="1006"/>
      <c r="H212" s="1007"/>
      <c r="I212" s="1014"/>
      <c r="J212" s="849"/>
      <c r="K212" s="850"/>
      <c r="L212" s="851"/>
      <c r="M212" s="852"/>
      <c r="N212" s="1029"/>
      <c r="O212" s="1036"/>
      <c r="P212" s="1037"/>
      <c r="Q212" s="1038"/>
      <c r="R212" s="1050"/>
      <c r="S212" s="1051"/>
      <c r="T212" s="1052"/>
      <c r="W212" s="489"/>
    </row>
    <row r="213" spans="2:23" s="67" customFormat="1" ht="15" x14ac:dyDescent="0.25">
      <c r="B213" s="489"/>
      <c r="C213" s="71"/>
      <c r="D213" s="71"/>
      <c r="E213" s="1008"/>
      <c r="F213" s="1009"/>
      <c r="G213" s="1009"/>
      <c r="H213" s="1010"/>
      <c r="I213" s="1015"/>
      <c r="J213" s="1016"/>
      <c r="K213" s="1017"/>
      <c r="L213" s="1030"/>
      <c r="M213" s="1031"/>
      <c r="N213" s="1032"/>
      <c r="O213" s="1039"/>
      <c r="P213" s="1040"/>
      <c r="Q213" s="1041"/>
      <c r="R213" s="1053"/>
      <c r="S213" s="1054"/>
      <c r="T213" s="1055"/>
      <c r="W213" s="489"/>
    </row>
    <row r="214" spans="2:23" s="67" customFormat="1" ht="15" x14ac:dyDescent="0.25">
      <c r="B214" s="489"/>
      <c r="C214" s="71"/>
      <c r="D214" s="71"/>
      <c r="E214" s="1025" t="s">
        <v>738</v>
      </c>
      <c r="F214" s="1025"/>
      <c r="G214" s="1025"/>
      <c r="H214" s="1025"/>
      <c r="I214" s="903">
        <f>IF(HLOOKUP($E214,Obese2016,selection+1, FALSE) ="", "", HLOOKUP($E214,Obese2016,selection+1, FALSE))</f>
        <v>212</v>
      </c>
      <c r="J214" s="1024"/>
      <c r="K214" s="904"/>
      <c r="L214" s="903">
        <f>IF(HLOOKUP($E214,Obese2016, selection2+1, FALSE) = "", "", HLOOKUP($E214,Obese2016, selection2+1, FALSE))</f>
        <v>194</v>
      </c>
      <c r="M214" s="1024"/>
      <c r="N214" s="904"/>
      <c r="O214" s="903">
        <f>Data!JF76</f>
        <v>8426</v>
      </c>
      <c r="P214" s="1024"/>
      <c r="Q214" s="904"/>
      <c r="R214" s="1018">
        <f>Data!JF78</f>
        <v>625326</v>
      </c>
      <c r="S214" s="1019"/>
      <c r="T214" s="1020"/>
      <c r="W214" s="489"/>
    </row>
    <row r="215" spans="2:23" s="67" customFormat="1" ht="15" x14ac:dyDescent="0.25">
      <c r="B215" s="489"/>
      <c r="C215" s="71"/>
      <c r="D215" s="71"/>
      <c r="E215" s="1025" t="s">
        <v>742</v>
      </c>
      <c r="F215" s="1025"/>
      <c r="G215" s="1025"/>
      <c r="H215" s="1025"/>
      <c r="I215" s="903">
        <f>IF(HLOOKUP($E215,Obese2016,selection+1, FALSE) ="", "", HLOOKUP($E215,Obese2016,selection+1, FALSE))</f>
        <v>19</v>
      </c>
      <c r="J215" s="1024"/>
      <c r="K215" s="904"/>
      <c r="L215" s="903">
        <f>IF(HLOOKUP($E215,Obese2016, selection2+1, FALSE) = "", "", HLOOKUP($E215,Obese2016, selection2+1, FALSE))</f>
        <v>31</v>
      </c>
      <c r="M215" s="1024"/>
      <c r="N215" s="904"/>
      <c r="O215" s="903">
        <f>Data!JG76</f>
        <v>636.00000000000034</v>
      </c>
      <c r="P215" s="1024"/>
      <c r="Q215" s="904"/>
      <c r="R215" s="1018">
        <f>Data!JG78</f>
        <v>58240</v>
      </c>
      <c r="S215" s="1019"/>
      <c r="T215" s="1020"/>
      <c r="W215" s="489"/>
    </row>
    <row r="216" spans="2:23" s="67" customFormat="1" ht="15" x14ac:dyDescent="0.25">
      <c r="B216" s="489"/>
      <c r="C216" s="71"/>
      <c r="D216" s="71"/>
      <c r="E216" s="1056" t="s">
        <v>737</v>
      </c>
      <c r="F216" s="1056"/>
      <c r="G216" s="1056"/>
      <c r="H216" s="1056"/>
      <c r="I216" s="1063">
        <f>IF(HLOOKUP($E216,Obese2016,selection+1, FALSE) ="", "", HLOOKUP($E216,Obese2016,selection+1, FALSE))</f>
        <v>8.9622641509433956E-2</v>
      </c>
      <c r="J216" s="1064"/>
      <c r="K216" s="1065"/>
      <c r="L216" s="1063">
        <f>IF(HLOOKUP($E216,Obese2016, selection2+1, FALSE) = "", "", HLOOKUP($E216,Obese2016, selection2+1, FALSE))</f>
        <v>0.15979381443298968</v>
      </c>
      <c r="M216" s="1064"/>
      <c r="N216" s="1065"/>
      <c r="O216" s="1063">
        <f>Data!JH76</f>
        <v>7.5480655115119907E-2</v>
      </c>
      <c r="P216" s="1064"/>
      <c r="Q216" s="1065"/>
      <c r="R216" s="1063">
        <f>Data!JH78</f>
        <v>9.3135420564633489E-2</v>
      </c>
      <c r="S216" s="1064"/>
      <c r="T216" s="1065"/>
      <c r="W216" s="489"/>
    </row>
    <row r="217" spans="2:23" s="67" customFormat="1" ht="15" x14ac:dyDescent="0.25">
      <c r="B217" s="489"/>
      <c r="C217" s="71"/>
      <c r="D217" s="71"/>
      <c r="E217" s="1025" t="s">
        <v>739</v>
      </c>
      <c r="F217" s="1025"/>
      <c r="G217" s="1025"/>
      <c r="H217" s="1025"/>
      <c r="I217" s="903" t="str">
        <f>IF(HLOOKUP($E217,Obese2016,selection+1, FALSE) ="", "", HLOOKUP($E217,Obese2016,selection+1, FALSE))</f>
        <v>No Sig diff</v>
      </c>
      <c r="J217" s="1024"/>
      <c r="K217" s="904"/>
      <c r="L217" s="1018" t="str">
        <f>IF(HLOOKUP($E217,Obese2016, selection2+1, FALSE) = "", "", HLOOKUP($E217,Obese2016, selection2+1, FALSE))</f>
        <v>Sig worse than Eng.</v>
      </c>
      <c r="M217" s="1019"/>
      <c r="N217" s="1020"/>
      <c r="O217" s="1021" t="str">
        <f>Data!JK76</f>
        <v>Sig better than Eng.</v>
      </c>
      <c r="P217" s="1022"/>
      <c r="Q217" s="1023"/>
      <c r="R217" s="924" t="s">
        <v>286</v>
      </c>
      <c r="S217" s="925"/>
      <c r="T217" s="926"/>
      <c r="W217" s="489"/>
    </row>
    <row r="218" spans="2:23" s="67" customFormat="1" ht="15" x14ac:dyDescent="0.25">
      <c r="B218" s="489"/>
      <c r="C218" s="71" t="s">
        <v>526</v>
      </c>
      <c r="D218" s="71" t="s">
        <v>527</v>
      </c>
      <c r="E218" s="1025" t="s">
        <v>740</v>
      </c>
      <c r="F218" s="1025"/>
      <c r="G218" s="1025"/>
      <c r="H218" s="1025"/>
      <c r="I218" s="601">
        <f>IF(HLOOKUP(C218,Obese2016,selection+1,FALSE)= "", "", HLOOKUP(C218,Obese2016,selection+1,FALSE))</f>
        <v>5.8126142464667338E-2</v>
      </c>
      <c r="J218" s="525" t="s">
        <v>744</v>
      </c>
      <c r="K218" s="601">
        <f>IF(HLOOKUP(D218,Obese2016,selection+1,FALSE) = "","", HLOOKUP(D218,Obese2016,selection+1,FALSE))</f>
        <v>0.13572660042034557</v>
      </c>
      <c r="L218" s="601">
        <f>IF(HLOOKUP(C218,Obese2016,selection2+1,FALSE) = "","", HLOOKUP(C218,Obese2016,selection2+1,FALSE))</f>
        <v>0.11491617463307494</v>
      </c>
      <c r="M218" s="525" t="s">
        <v>744</v>
      </c>
      <c r="N218" s="601">
        <f>IF(HLOOKUP(D218,Obese2016,selection2+1,FALSE) = "", "",HLOOKUP(D218,Obese2016,selection2+1,FALSE))</f>
        <v>0.21788292224563824</v>
      </c>
      <c r="O218" s="523">
        <f>Data!JI76</f>
        <v>7.0031632904304808E-2</v>
      </c>
      <c r="P218" s="525" t="s">
        <v>744</v>
      </c>
      <c r="Q218" s="523">
        <f>Data!JJ76</f>
        <v>8.1316582249338201E-2</v>
      </c>
      <c r="R218" s="523">
        <f>Data!JI78</f>
        <v>9.2417601107732103E-2</v>
      </c>
      <c r="S218" s="525" t="s">
        <v>744</v>
      </c>
      <c r="T218" s="523">
        <f>Data!JJ78</f>
        <v>9.38582388347175E-2</v>
      </c>
      <c r="W218" s="489"/>
    </row>
    <row r="219" spans="2:23" s="67" customFormat="1" ht="15" x14ac:dyDescent="0.2">
      <c r="B219" s="489"/>
      <c r="E219" s="111"/>
      <c r="F219" s="111"/>
      <c r="G219" s="111"/>
      <c r="H219" s="111"/>
      <c r="I219" s="464"/>
      <c r="J219" s="450"/>
      <c r="K219" s="464"/>
      <c r="L219" s="464"/>
      <c r="M219" s="450"/>
      <c r="N219" s="464"/>
      <c r="O219" s="464"/>
      <c r="P219" s="450"/>
      <c r="Q219" s="464"/>
      <c r="R219" s="464"/>
      <c r="S219" s="450"/>
      <c r="T219" s="464"/>
      <c r="W219" s="489"/>
    </row>
    <row r="220" spans="2:23" x14ac:dyDescent="0.2">
      <c r="B220" s="489"/>
      <c r="C220" s="67"/>
      <c r="D220" s="67"/>
      <c r="E220" s="67"/>
      <c r="F220" s="67"/>
      <c r="G220" s="67"/>
      <c r="H220" s="67"/>
      <c r="I220" s="67"/>
      <c r="J220" s="67"/>
      <c r="K220" s="67"/>
      <c r="L220" s="67"/>
      <c r="M220" s="67"/>
      <c r="N220" s="67"/>
      <c r="O220" s="67"/>
      <c r="Q220" s="67"/>
      <c r="R220" s="67"/>
      <c r="S220" s="67"/>
      <c r="T220" s="67"/>
      <c r="U220" s="67"/>
      <c r="V220" s="67"/>
      <c r="W220" s="489"/>
    </row>
    <row r="221" spans="2:23" x14ac:dyDescent="0.2">
      <c r="B221" s="489"/>
      <c r="C221" s="67"/>
      <c r="D221" s="67"/>
      <c r="E221" s="67"/>
      <c r="F221" s="67"/>
      <c r="G221" s="67"/>
      <c r="H221" s="67"/>
      <c r="I221" s="67"/>
      <c r="J221" s="67"/>
      <c r="K221" s="67"/>
      <c r="L221" s="67"/>
      <c r="M221" s="67"/>
      <c r="N221" s="67"/>
      <c r="O221" s="67"/>
      <c r="Q221" s="67"/>
      <c r="R221" s="67"/>
      <c r="S221" s="67"/>
      <c r="T221" s="67"/>
      <c r="U221" s="67"/>
      <c r="V221" s="67"/>
      <c r="W221" s="489"/>
    </row>
    <row r="222" spans="2:23" x14ac:dyDescent="0.2">
      <c r="B222" s="489"/>
      <c r="C222" s="67"/>
      <c r="D222" s="67"/>
      <c r="E222" s="67"/>
      <c r="F222" s="67"/>
      <c r="G222" s="67"/>
      <c r="H222" s="67"/>
      <c r="I222" s="67"/>
      <c r="J222" s="67"/>
      <c r="K222" s="67"/>
      <c r="L222" s="67"/>
      <c r="M222" s="67"/>
      <c r="N222" s="67"/>
      <c r="O222" s="67"/>
      <c r="Q222" s="67"/>
      <c r="R222" s="67"/>
      <c r="S222" s="67"/>
      <c r="T222" s="67"/>
      <c r="U222" s="67"/>
      <c r="V222" s="67"/>
      <c r="W222" s="489"/>
    </row>
    <row r="223" spans="2:23" x14ac:dyDescent="0.2">
      <c r="B223" s="489"/>
      <c r="C223" s="67"/>
      <c r="D223" s="67"/>
      <c r="E223" s="67"/>
      <c r="F223" s="67"/>
      <c r="G223" s="67"/>
      <c r="H223" s="67"/>
      <c r="I223" s="67"/>
      <c r="J223" s="67"/>
      <c r="K223" s="67"/>
      <c r="L223" s="67"/>
      <c r="M223" s="67"/>
      <c r="N223" s="67"/>
      <c r="O223" s="67"/>
      <c r="Q223" s="67"/>
      <c r="R223" s="67"/>
      <c r="S223" s="67"/>
      <c r="T223" s="67"/>
      <c r="U223" s="67"/>
      <c r="V223" s="67"/>
      <c r="W223" s="489"/>
    </row>
    <row r="224" spans="2:23" x14ac:dyDescent="0.2">
      <c r="B224" s="489"/>
      <c r="C224" s="67"/>
      <c r="D224" s="67"/>
      <c r="E224" s="67"/>
      <c r="F224" s="67"/>
      <c r="G224" s="67"/>
      <c r="H224" s="67"/>
      <c r="I224" s="67"/>
      <c r="J224" s="67"/>
      <c r="K224" s="67"/>
      <c r="L224" s="67"/>
      <c r="M224" s="67"/>
      <c r="N224" s="67"/>
      <c r="O224" s="67"/>
      <c r="Q224" s="67"/>
      <c r="R224" s="67"/>
      <c r="S224" s="67"/>
      <c r="T224" s="67"/>
      <c r="U224" s="67"/>
      <c r="V224" s="67"/>
      <c r="W224" s="489"/>
    </row>
    <row r="225" spans="2:23" ht="15" x14ac:dyDescent="0.25">
      <c r="B225" s="489"/>
      <c r="C225" s="208"/>
      <c r="D225" s="208"/>
      <c r="E225" s="1139" t="s">
        <v>519</v>
      </c>
      <c r="F225" s="1139"/>
      <c r="G225" s="1139"/>
      <c r="H225" s="1139"/>
      <c r="I225" s="777" t="str">
        <f>INDEX(Locations, selection)</f>
        <v>Angmering</v>
      </c>
      <c r="J225" s="777"/>
      <c r="K225" s="777"/>
      <c r="L225" s="779" t="str">
        <f>INDEX(Locations, selection2)</f>
        <v>Bewbush</v>
      </c>
      <c r="M225" s="779"/>
      <c r="N225" s="779"/>
      <c r="O225" s="773" t="s">
        <v>291</v>
      </c>
      <c r="P225" s="773"/>
      <c r="Q225" s="773"/>
      <c r="R225" s="774" t="s">
        <v>293</v>
      </c>
      <c r="S225" s="774"/>
      <c r="T225" s="774"/>
      <c r="U225" s="67"/>
      <c r="V225" s="67"/>
      <c r="W225" s="489"/>
    </row>
    <row r="226" spans="2:23" ht="15" x14ac:dyDescent="0.25">
      <c r="B226" s="489"/>
      <c r="C226" s="208"/>
      <c r="D226" s="208"/>
      <c r="E226" s="1139"/>
      <c r="F226" s="1139"/>
      <c r="G226" s="1139"/>
      <c r="H226" s="1139"/>
      <c r="I226" s="777"/>
      <c r="J226" s="777"/>
      <c r="K226" s="777"/>
      <c r="L226" s="779"/>
      <c r="M226" s="779"/>
      <c r="N226" s="779"/>
      <c r="O226" s="773"/>
      <c r="P226" s="773"/>
      <c r="Q226" s="773"/>
      <c r="R226" s="774"/>
      <c r="S226" s="774"/>
      <c r="T226" s="774"/>
      <c r="U226" s="67"/>
      <c r="V226" s="67"/>
      <c r="W226" s="489"/>
    </row>
    <row r="227" spans="2:23" ht="15" x14ac:dyDescent="0.25">
      <c r="B227" s="489"/>
      <c r="C227" s="208"/>
      <c r="D227" s="208"/>
      <c r="E227" s="1139"/>
      <c r="F227" s="1139"/>
      <c r="G227" s="1139"/>
      <c r="H227" s="1139"/>
      <c r="I227" s="777"/>
      <c r="J227" s="777"/>
      <c r="K227" s="777"/>
      <c r="L227" s="779"/>
      <c r="M227" s="779"/>
      <c r="N227" s="779"/>
      <c r="O227" s="773"/>
      <c r="P227" s="773"/>
      <c r="Q227" s="773"/>
      <c r="R227" s="774"/>
      <c r="S227" s="774"/>
      <c r="T227" s="774"/>
      <c r="U227" s="67"/>
      <c r="V227" s="67"/>
      <c r="W227" s="489"/>
    </row>
    <row r="228" spans="2:23" ht="15" x14ac:dyDescent="0.25">
      <c r="B228" s="489"/>
      <c r="C228" s="208"/>
      <c r="D228" s="208"/>
      <c r="E228" s="1025" t="s">
        <v>738</v>
      </c>
      <c r="F228" s="1025"/>
      <c r="G228" s="1025"/>
      <c r="H228" s="1025"/>
      <c r="I228" s="903">
        <f>HLOOKUP($E228,Y6Obese2009,selection+1, FALSE)</f>
        <v>174</v>
      </c>
      <c r="J228" s="1024"/>
      <c r="K228" s="904"/>
      <c r="L228" s="903">
        <f>HLOOKUP($E228,Y6Obese2009, selection2+1, FALSE)</f>
        <v>133</v>
      </c>
      <c r="M228" s="1024"/>
      <c r="N228" s="904"/>
      <c r="O228" s="903">
        <f>Data!JL76</f>
        <v>7034</v>
      </c>
      <c r="P228" s="1024"/>
      <c r="Q228" s="904"/>
      <c r="R228" s="1018">
        <f>Data!JL78</f>
        <v>499867</v>
      </c>
      <c r="S228" s="1019"/>
      <c r="T228" s="1020"/>
      <c r="U228" s="67"/>
      <c r="V228" s="67"/>
      <c r="W228" s="489"/>
    </row>
    <row r="229" spans="2:23" ht="15" x14ac:dyDescent="0.25">
      <c r="B229" s="489"/>
      <c r="C229" s="208"/>
      <c r="D229" s="208"/>
      <c r="E229" s="1025" t="s">
        <v>742</v>
      </c>
      <c r="F229" s="1025"/>
      <c r="G229" s="1025"/>
      <c r="H229" s="1025"/>
      <c r="I229" s="903">
        <f>HLOOKUP($E229,Y6Obese2009,selection+1, FALSE)</f>
        <v>26</v>
      </c>
      <c r="J229" s="1024"/>
      <c r="K229" s="904"/>
      <c r="L229" s="903">
        <f>HLOOKUP($E229,Y6Obese2009, selection2+1, FALSE)</f>
        <v>30</v>
      </c>
      <c r="M229" s="1024"/>
      <c r="N229" s="904"/>
      <c r="O229" s="903">
        <f>Data!JM76</f>
        <v>1104.338</v>
      </c>
      <c r="P229" s="1024"/>
      <c r="Q229" s="904"/>
      <c r="R229" s="1018">
        <f>Data!JM78</f>
        <v>93475.129000000001</v>
      </c>
      <c r="S229" s="1019"/>
      <c r="T229" s="1020"/>
      <c r="U229" s="67"/>
      <c r="V229" s="67"/>
      <c r="W229" s="489"/>
    </row>
    <row r="230" spans="2:23" ht="15" x14ac:dyDescent="0.25">
      <c r="B230" s="489"/>
      <c r="C230" s="208"/>
      <c r="D230" s="208"/>
      <c r="E230" s="1056" t="s">
        <v>737</v>
      </c>
      <c r="F230" s="1056"/>
      <c r="G230" s="1056"/>
      <c r="H230" s="1056"/>
      <c r="I230" s="1063">
        <f>HLOOKUP($E230,Y6Obese2009,selection+1, FALSE)</f>
        <v>0.14942528735632185</v>
      </c>
      <c r="J230" s="1064"/>
      <c r="K230" s="1065"/>
      <c r="L230" s="1063">
        <f>HLOOKUP($E230,Y6Obese2009, selection2+1, FALSE)</f>
        <v>0.22556390977443608</v>
      </c>
      <c r="M230" s="1064"/>
      <c r="N230" s="1065"/>
      <c r="O230" s="1063">
        <f>Data!JN76</f>
        <v>0.157</v>
      </c>
      <c r="P230" s="1064"/>
      <c r="Q230" s="1065"/>
      <c r="R230" s="1063">
        <f>Data!JN78</f>
        <v>0.187</v>
      </c>
      <c r="S230" s="1064"/>
      <c r="T230" s="1065"/>
      <c r="U230" s="67"/>
      <c r="V230" s="67"/>
      <c r="W230" s="489"/>
    </row>
    <row r="231" spans="2:23" ht="15" x14ac:dyDescent="0.25">
      <c r="B231" s="489"/>
      <c r="C231" s="208"/>
      <c r="D231" s="208"/>
      <c r="E231" s="1025" t="s">
        <v>739</v>
      </c>
      <c r="F231" s="1025"/>
      <c r="G231" s="1025"/>
      <c r="H231" s="1025"/>
      <c r="I231" s="924" t="str">
        <f>HLOOKUP($E231,Y6Obese2009,selection+1, FALSE)</f>
        <v>No Sig diff</v>
      </c>
      <c r="J231" s="925"/>
      <c r="K231" s="926"/>
      <c r="L231" s="924" t="str">
        <f>HLOOKUP($E231,Y6Obese2009, selection2+1, FALSE)</f>
        <v>No Sig diff</v>
      </c>
      <c r="M231" s="925"/>
      <c r="N231" s="926"/>
      <c r="O231" s="1021" t="str">
        <f>Data!JQ76</f>
        <v>Sig better than Eng.</v>
      </c>
      <c r="P231" s="1022"/>
      <c r="Q231" s="1023"/>
      <c r="R231" s="924" t="s">
        <v>286</v>
      </c>
      <c r="S231" s="925"/>
      <c r="T231" s="926"/>
      <c r="U231" s="67"/>
      <c r="V231" s="67"/>
      <c r="W231" s="489"/>
    </row>
    <row r="232" spans="2:23" ht="15" x14ac:dyDescent="0.25">
      <c r="B232" s="489"/>
      <c r="C232" s="71" t="s">
        <v>526</v>
      </c>
      <c r="D232" s="71" t="s">
        <v>527</v>
      </c>
      <c r="E232" s="1025" t="s">
        <v>740</v>
      </c>
      <c r="F232" s="1025"/>
      <c r="G232" s="1025"/>
      <c r="H232" s="1025"/>
      <c r="I232" s="213">
        <f>HLOOKUP(C232,Y6Obese2009,selection+1,FALSE)</f>
        <v>0.10405726954201303</v>
      </c>
      <c r="J232" s="209" t="s">
        <v>744</v>
      </c>
      <c r="K232" s="213">
        <f>HLOOKUP(D232,Y6Obese2009,selection+1,FALSE)</f>
        <v>0.20993846121160956</v>
      </c>
      <c r="L232" s="213">
        <f>HLOOKUP(C232,Y6Obese2009,selection2+1,FALSE)</f>
        <v>0.16281825028236413</v>
      </c>
      <c r="M232" s="209" t="s">
        <v>744</v>
      </c>
      <c r="N232" s="213">
        <f>HLOOKUP(D232,Y6Obese2009,selection2+1,FALSE)</f>
        <v>0.30371769117048725</v>
      </c>
      <c r="O232" s="213">
        <f>Data!JO76</f>
        <v>0.14799999999999999</v>
      </c>
      <c r="P232" s="209" t="s">
        <v>744</v>
      </c>
      <c r="Q232" s="213">
        <f>Data!JP76</f>
        <v>0.16600000000000001</v>
      </c>
      <c r="R232" s="213">
        <f>Data!JO78</f>
        <v>0.186</v>
      </c>
      <c r="S232" s="209" t="s">
        <v>744</v>
      </c>
      <c r="T232" s="213">
        <f>Data!JP78</f>
        <v>0.188</v>
      </c>
      <c r="U232" s="67"/>
      <c r="V232" s="67"/>
      <c r="W232" s="489"/>
    </row>
    <row r="233" spans="2:23" ht="15" x14ac:dyDescent="0.25">
      <c r="B233" s="489"/>
      <c r="C233" s="208"/>
      <c r="D233" s="208"/>
      <c r="E233" s="1139" t="s">
        <v>520</v>
      </c>
      <c r="F233" s="1139"/>
      <c r="G233" s="1139"/>
      <c r="H233" s="1139"/>
      <c r="I233" s="777" t="str">
        <f>INDEX(Locations, selection)</f>
        <v>Angmering</v>
      </c>
      <c r="J233" s="777"/>
      <c r="K233" s="777"/>
      <c r="L233" s="779" t="str">
        <f>INDEX(Locations, selection2)</f>
        <v>Bewbush</v>
      </c>
      <c r="M233" s="779"/>
      <c r="N233" s="779"/>
      <c r="O233" s="773" t="s">
        <v>291</v>
      </c>
      <c r="P233" s="773"/>
      <c r="Q233" s="773"/>
      <c r="R233" s="774" t="s">
        <v>293</v>
      </c>
      <c r="S233" s="774"/>
      <c r="T233" s="774"/>
      <c r="U233" s="67"/>
      <c r="V233" s="67"/>
      <c r="W233" s="489"/>
    </row>
    <row r="234" spans="2:23" ht="15" x14ac:dyDescent="0.25">
      <c r="B234" s="489"/>
      <c r="C234" s="208"/>
      <c r="D234" s="208"/>
      <c r="E234" s="1139"/>
      <c r="F234" s="1139"/>
      <c r="G234" s="1139"/>
      <c r="H234" s="1139"/>
      <c r="I234" s="777"/>
      <c r="J234" s="777"/>
      <c r="K234" s="777"/>
      <c r="L234" s="779"/>
      <c r="M234" s="779"/>
      <c r="N234" s="779"/>
      <c r="O234" s="773"/>
      <c r="P234" s="773"/>
      <c r="Q234" s="773"/>
      <c r="R234" s="774"/>
      <c r="S234" s="774"/>
      <c r="T234" s="774"/>
      <c r="U234" s="67"/>
      <c r="V234" s="67"/>
      <c r="W234" s="489"/>
    </row>
    <row r="235" spans="2:23" ht="15" x14ac:dyDescent="0.25">
      <c r="B235" s="489"/>
      <c r="C235" s="208"/>
      <c r="D235" s="208"/>
      <c r="E235" s="1139"/>
      <c r="F235" s="1139"/>
      <c r="G235" s="1139"/>
      <c r="H235" s="1139"/>
      <c r="I235" s="777"/>
      <c r="J235" s="777"/>
      <c r="K235" s="777"/>
      <c r="L235" s="779"/>
      <c r="M235" s="779"/>
      <c r="N235" s="779"/>
      <c r="O235" s="773"/>
      <c r="P235" s="773"/>
      <c r="Q235" s="773"/>
      <c r="R235" s="774"/>
      <c r="S235" s="774"/>
      <c r="T235" s="774"/>
      <c r="U235" s="67"/>
      <c r="V235" s="67"/>
      <c r="W235" s="489"/>
    </row>
    <row r="236" spans="2:23" ht="15" x14ac:dyDescent="0.25">
      <c r="B236" s="489"/>
      <c r="C236" s="208"/>
      <c r="D236" s="208"/>
      <c r="E236" s="1025" t="s">
        <v>738</v>
      </c>
      <c r="F236" s="1025"/>
      <c r="G236" s="1025"/>
      <c r="H236" s="1025"/>
      <c r="I236" s="903">
        <f>HLOOKUP($E236,Y6Obese2010,selection+1, FALSE)</f>
        <v>171</v>
      </c>
      <c r="J236" s="1024"/>
      <c r="K236" s="904"/>
      <c r="L236" s="903">
        <f>HLOOKUP($E236, Y6Obese2010, selection2+1, FALSE)</f>
        <v>167</v>
      </c>
      <c r="M236" s="1024"/>
      <c r="N236" s="904"/>
      <c r="O236" s="1057">
        <f>Data!JR76</f>
        <v>7004</v>
      </c>
      <c r="P236" s="1058"/>
      <c r="Q236" s="1059"/>
      <c r="R236" s="1057">
        <f>Data!JR78</f>
        <v>464334</v>
      </c>
      <c r="S236" s="1058"/>
      <c r="T236" s="1059"/>
      <c r="U236" s="67"/>
      <c r="V236" s="67"/>
      <c r="W236" s="489"/>
    </row>
    <row r="237" spans="2:23" ht="15" x14ac:dyDescent="0.25">
      <c r="B237" s="489"/>
      <c r="C237" s="208"/>
      <c r="D237" s="208"/>
      <c r="E237" s="1025" t="s">
        <v>742</v>
      </c>
      <c r="F237" s="1025"/>
      <c r="G237" s="1025"/>
      <c r="H237" s="1025"/>
      <c r="I237" s="903">
        <f>HLOOKUP($E237,Y6Obese2010,selection+1, FALSE)</f>
        <v>30</v>
      </c>
      <c r="J237" s="1024"/>
      <c r="K237" s="904"/>
      <c r="L237" s="903">
        <f>HLOOKUP($E237, Y6Obese2010, selection2+1, FALSE)</f>
        <v>39</v>
      </c>
      <c r="M237" s="1024"/>
      <c r="N237" s="904"/>
      <c r="O237" s="1057">
        <f>Data!JS76</f>
        <v>1113.636</v>
      </c>
      <c r="P237" s="1058"/>
      <c r="Q237" s="1059"/>
      <c r="R237" s="1057">
        <f>Data!JS78</f>
        <v>88223.46</v>
      </c>
      <c r="S237" s="1058"/>
      <c r="T237" s="1059"/>
      <c r="U237" s="67"/>
      <c r="V237" s="67"/>
      <c r="W237" s="489"/>
    </row>
    <row r="238" spans="2:23" ht="15" x14ac:dyDescent="0.25">
      <c r="B238" s="489"/>
      <c r="C238" s="208"/>
      <c r="D238" s="208"/>
      <c r="E238" s="1056" t="s">
        <v>737</v>
      </c>
      <c r="F238" s="1056"/>
      <c r="G238" s="1056"/>
      <c r="H238" s="1056"/>
      <c r="I238" s="1063">
        <f>HLOOKUP($E238,Y6Obese2010,selection+1, FALSE)</f>
        <v>0.17543859649122806</v>
      </c>
      <c r="J238" s="1064"/>
      <c r="K238" s="1065"/>
      <c r="L238" s="1063">
        <f>HLOOKUP($E238, Y6Obese2010, selection2+1, FALSE)</f>
        <v>0.23353293413173654</v>
      </c>
      <c r="M238" s="1064"/>
      <c r="N238" s="1065"/>
      <c r="O238" s="1060">
        <f>Data!JT76</f>
        <v>0.159</v>
      </c>
      <c r="P238" s="1061"/>
      <c r="Q238" s="1062"/>
      <c r="R238" s="1060">
        <f>Data!JT78</f>
        <v>0.19</v>
      </c>
      <c r="S238" s="1061"/>
      <c r="T238" s="1062"/>
      <c r="U238" s="67"/>
      <c r="V238" s="67"/>
      <c r="W238" s="489"/>
    </row>
    <row r="239" spans="2:23" ht="15" x14ac:dyDescent="0.25">
      <c r="B239" s="489"/>
      <c r="C239" s="208"/>
      <c r="D239" s="208"/>
      <c r="E239" s="1025" t="s">
        <v>739</v>
      </c>
      <c r="F239" s="1025"/>
      <c r="G239" s="1025"/>
      <c r="H239" s="1025"/>
      <c r="I239" s="1018" t="str">
        <f>HLOOKUP($E239,Y6Obese2010,selection+1, FALSE)</f>
        <v>No Sig diff</v>
      </c>
      <c r="J239" s="1019"/>
      <c r="K239" s="1020"/>
      <c r="L239" s="1018" t="str">
        <f>HLOOKUP($E239, Y6Obese2010, selection2+1, FALSE)</f>
        <v>No Sig diff</v>
      </c>
      <c r="M239" s="1019"/>
      <c r="N239" s="1020"/>
      <c r="O239" s="924" t="str">
        <f>Data!JW76</f>
        <v>Sig better than Eng.</v>
      </c>
      <c r="P239" s="925"/>
      <c r="Q239" s="926"/>
      <c r="R239" s="924" t="s">
        <v>286</v>
      </c>
      <c r="S239" s="925"/>
      <c r="T239" s="926"/>
      <c r="U239" s="67"/>
      <c r="V239" s="67"/>
      <c r="W239" s="489"/>
    </row>
    <row r="240" spans="2:23" ht="15" x14ac:dyDescent="0.25">
      <c r="B240" s="489"/>
      <c r="C240" s="71" t="s">
        <v>526</v>
      </c>
      <c r="D240" s="71" t="s">
        <v>527</v>
      </c>
      <c r="E240" s="1025" t="s">
        <v>740</v>
      </c>
      <c r="F240" s="1025"/>
      <c r="G240" s="1025"/>
      <c r="H240" s="1025"/>
      <c r="I240" s="213">
        <f>HLOOKUP(C240,Y6Obese2010, selection+1, FALSE)</f>
        <v>0.12574362675464065</v>
      </c>
      <c r="J240" s="213" t="s">
        <v>744</v>
      </c>
      <c r="K240" s="213">
        <f>HLOOKUP(D240,Y6Obese2010,selection+1, FALSE)</f>
        <v>0.23939550701434556</v>
      </c>
      <c r="L240" s="213">
        <f>HLOOKUP(C240,Y6Obese2010,selection2+1, FALSE)</f>
        <v>0.17580094582420591</v>
      </c>
      <c r="M240" s="213" t="s">
        <v>744</v>
      </c>
      <c r="N240" s="213">
        <f>HLOOKUP(D240,Y6Obese2010, selection2+1,FALSE)</f>
        <v>0.30324822283567104</v>
      </c>
      <c r="O240" s="213">
        <f>Data!KA76</f>
        <v>0.14699999999999999</v>
      </c>
      <c r="P240" s="213" t="s">
        <v>744</v>
      </c>
      <c r="Q240" s="213">
        <f>Data!JV76</f>
        <v>0.16800000000000001</v>
      </c>
      <c r="R240" s="213">
        <f>Data!JU78</f>
        <v>0.189</v>
      </c>
      <c r="S240" s="213" t="s">
        <v>744</v>
      </c>
      <c r="T240" s="213">
        <f>Data!JV78</f>
        <v>0.191</v>
      </c>
      <c r="U240" s="67"/>
      <c r="V240" s="67"/>
      <c r="W240" s="489"/>
    </row>
    <row r="241" spans="2:23" ht="15" x14ac:dyDescent="0.25">
      <c r="B241" s="489"/>
      <c r="C241" s="208"/>
      <c r="D241" s="208"/>
      <c r="E241" s="1002" t="s">
        <v>521</v>
      </c>
      <c r="F241" s="1003"/>
      <c r="G241" s="1003"/>
      <c r="H241" s="1004"/>
      <c r="I241" s="1011" t="str">
        <f>INDEX(Locations, selection)</f>
        <v>Angmering</v>
      </c>
      <c r="J241" s="1012"/>
      <c r="K241" s="1013"/>
      <c r="L241" s="1026" t="str">
        <f>INDEX(Locations, selection2)</f>
        <v>Bewbush</v>
      </c>
      <c r="M241" s="1027"/>
      <c r="N241" s="1028"/>
      <c r="O241" s="1033" t="s">
        <v>291</v>
      </c>
      <c r="P241" s="1034"/>
      <c r="Q241" s="1035"/>
      <c r="R241" s="1047" t="s">
        <v>293</v>
      </c>
      <c r="S241" s="1048"/>
      <c r="T241" s="1049"/>
      <c r="U241" s="67"/>
      <c r="V241" s="67"/>
      <c r="W241" s="489"/>
    </row>
    <row r="242" spans="2:23" ht="15" x14ac:dyDescent="0.25">
      <c r="B242" s="489"/>
      <c r="C242" s="208"/>
      <c r="D242" s="208"/>
      <c r="E242" s="1005"/>
      <c r="F242" s="1006"/>
      <c r="G242" s="1006"/>
      <c r="H242" s="1007"/>
      <c r="I242" s="1014"/>
      <c r="J242" s="849"/>
      <c r="K242" s="850"/>
      <c r="L242" s="851"/>
      <c r="M242" s="852"/>
      <c r="N242" s="1029"/>
      <c r="O242" s="1036"/>
      <c r="P242" s="1037"/>
      <c r="Q242" s="1038"/>
      <c r="R242" s="1050"/>
      <c r="S242" s="1051"/>
      <c r="T242" s="1052"/>
      <c r="U242" s="67"/>
      <c r="V242" s="67"/>
      <c r="W242" s="489"/>
    </row>
    <row r="243" spans="2:23" ht="15" x14ac:dyDescent="0.25">
      <c r="B243" s="489"/>
      <c r="C243" s="208"/>
      <c r="D243" s="208"/>
      <c r="E243" s="1008"/>
      <c r="F243" s="1009"/>
      <c r="G243" s="1009"/>
      <c r="H243" s="1010"/>
      <c r="I243" s="1015"/>
      <c r="J243" s="1016"/>
      <c r="K243" s="1017"/>
      <c r="L243" s="1030"/>
      <c r="M243" s="1031"/>
      <c r="N243" s="1032"/>
      <c r="O243" s="1039"/>
      <c r="P243" s="1040"/>
      <c r="Q243" s="1041"/>
      <c r="R243" s="1053"/>
      <c r="S243" s="1054"/>
      <c r="T243" s="1055"/>
      <c r="U243" s="67"/>
      <c r="V243" s="67"/>
      <c r="W243" s="489"/>
    </row>
    <row r="244" spans="2:23" ht="15" x14ac:dyDescent="0.25">
      <c r="B244" s="489"/>
      <c r="C244" s="208"/>
      <c r="D244" s="208"/>
      <c r="E244" s="1025" t="s">
        <v>738</v>
      </c>
      <c r="F244" s="1025"/>
      <c r="G244" s="1025"/>
      <c r="H244" s="1025"/>
      <c r="I244" s="903">
        <f>HLOOKUP($E244,Y6Obese2011,selection+1, FALSE)</f>
        <v>191</v>
      </c>
      <c r="J244" s="1024"/>
      <c r="K244" s="904"/>
      <c r="L244" s="903">
        <f>HLOOKUP($E244, Y6Obese2011, selection2+1, FALSE)</f>
        <v>177</v>
      </c>
      <c r="M244" s="1024"/>
      <c r="N244" s="904"/>
      <c r="O244" s="1057">
        <f>Data!JX76</f>
        <v>6928</v>
      </c>
      <c r="P244" s="1058"/>
      <c r="Q244" s="1059"/>
      <c r="R244" s="1057">
        <f>Data!JX78</f>
        <v>491118</v>
      </c>
      <c r="S244" s="1058"/>
      <c r="T244" s="1059"/>
      <c r="U244" s="67"/>
      <c r="V244" s="67"/>
      <c r="W244" s="489"/>
    </row>
    <row r="245" spans="2:23" ht="15" x14ac:dyDescent="0.25">
      <c r="B245" s="489"/>
      <c r="C245" s="208"/>
      <c r="D245" s="208"/>
      <c r="E245" s="1025" t="s">
        <v>742</v>
      </c>
      <c r="F245" s="1025"/>
      <c r="G245" s="1025"/>
      <c r="H245" s="1025"/>
      <c r="I245" s="903">
        <f>HLOOKUP($E245,Y6Obese2011,selection+1, FALSE)</f>
        <v>35</v>
      </c>
      <c r="J245" s="1024"/>
      <c r="K245" s="904"/>
      <c r="L245" s="903">
        <f>HLOOKUP($E245, Y6Obese2011, selection2+1, FALSE)</f>
        <v>39</v>
      </c>
      <c r="M245" s="1024"/>
      <c r="N245" s="904"/>
      <c r="O245" s="1057">
        <f>Data!JY76</f>
        <v>1080.768</v>
      </c>
      <c r="P245" s="1058"/>
      <c r="Q245" s="1059"/>
      <c r="R245" s="1057">
        <f>Data!JY78</f>
        <v>94294.656000000003</v>
      </c>
      <c r="S245" s="1058"/>
      <c r="T245" s="1059"/>
      <c r="U245" s="67"/>
      <c r="V245" s="67"/>
      <c r="W245" s="489"/>
    </row>
    <row r="246" spans="2:23" ht="15" x14ac:dyDescent="0.25">
      <c r="B246" s="489"/>
      <c r="C246" s="208"/>
      <c r="D246" s="208"/>
      <c r="E246" s="1056" t="s">
        <v>737</v>
      </c>
      <c r="F246" s="1056"/>
      <c r="G246" s="1056"/>
      <c r="H246" s="1056"/>
      <c r="I246" s="1063">
        <f>HLOOKUP($E246,Y6Obese2011,selection+1, FALSE)</f>
        <v>0.18324607329842932</v>
      </c>
      <c r="J246" s="1064"/>
      <c r="K246" s="1065"/>
      <c r="L246" s="1063">
        <f>HLOOKUP($E246, Y6Obese2011, selection2+1, FALSE)</f>
        <v>0.22033898305084745</v>
      </c>
      <c r="M246" s="1064"/>
      <c r="N246" s="1065"/>
      <c r="O246" s="1060">
        <f>Data!JZ76</f>
        <v>0.156</v>
      </c>
      <c r="P246" s="1061"/>
      <c r="Q246" s="1062"/>
      <c r="R246" s="1060">
        <f>Data!JZ78</f>
        <v>0.192</v>
      </c>
      <c r="S246" s="1061"/>
      <c r="T246" s="1062"/>
      <c r="U246" s="67"/>
      <c r="V246" s="67"/>
      <c r="W246" s="489"/>
    </row>
    <row r="247" spans="2:23" ht="15" x14ac:dyDescent="0.25">
      <c r="B247" s="489"/>
      <c r="C247" s="208"/>
      <c r="D247" s="208"/>
      <c r="E247" s="1025" t="s">
        <v>739</v>
      </c>
      <c r="F247" s="1025"/>
      <c r="G247" s="1025"/>
      <c r="H247" s="1025"/>
      <c r="I247" s="1018" t="str">
        <f>HLOOKUP($E247,Y6Obese2011,selection+1, FALSE)</f>
        <v>No Sig diff</v>
      </c>
      <c r="J247" s="1019"/>
      <c r="K247" s="1020"/>
      <c r="L247" s="1018" t="str">
        <f>HLOOKUP($E247, Y6Obese2011, selection2+1, FALSE)</f>
        <v>No Sig diff</v>
      </c>
      <c r="M247" s="1019"/>
      <c r="N247" s="1020"/>
      <c r="O247" s="924" t="str">
        <f>Data!KC76</f>
        <v>Sig better than Eng.</v>
      </c>
      <c r="P247" s="925"/>
      <c r="Q247" s="926"/>
      <c r="R247" s="924" t="s">
        <v>286</v>
      </c>
      <c r="S247" s="925"/>
      <c r="T247" s="926"/>
      <c r="U247" s="67"/>
      <c r="V247" s="67"/>
      <c r="W247" s="489"/>
    </row>
    <row r="248" spans="2:23" ht="15" x14ac:dyDescent="0.25">
      <c r="B248" s="489"/>
      <c r="C248" s="71" t="s">
        <v>526</v>
      </c>
      <c r="D248" s="71" t="s">
        <v>527</v>
      </c>
      <c r="E248" s="1025" t="s">
        <v>740</v>
      </c>
      <c r="F248" s="1025"/>
      <c r="G248" s="1025"/>
      <c r="H248" s="1025"/>
      <c r="I248" s="213">
        <f>HLOOKUP(C248,Y6Obese2011, selection+1, FALSE)</f>
        <v>0.13481200656779935</v>
      </c>
      <c r="J248" s="213" t="s">
        <v>744</v>
      </c>
      <c r="K248" s="213">
        <f>HLOOKUP(D248,Y6Obese2011,selection+1, FALSE)</f>
        <v>0.24417026582756324</v>
      </c>
      <c r="L248" s="213">
        <f>HLOOKUP(C248,Y6Obese2011,selection2+1, FALSE)</f>
        <v>0.1655797355444994</v>
      </c>
      <c r="M248" s="213" t="s">
        <v>744</v>
      </c>
      <c r="N248" s="213">
        <f>HLOOKUP(D248,Y6Obese2011, selection2+1,FALSE)</f>
        <v>0.28697942513911712</v>
      </c>
      <c r="O248" s="213">
        <f>Data!KA76</f>
        <v>0.14699999999999999</v>
      </c>
      <c r="P248" s="213" t="s">
        <v>744</v>
      </c>
      <c r="Q248" s="213">
        <f>Data!KB76</f>
        <v>0.16500000000000001</v>
      </c>
      <c r="R248" s="213">
        <f>Data!KA78</f>
        <v>0.191</v>
      </c>
      <c r="S248" s="213" t="s">
        <v>744</v>
      </c>
      <c r="T248" s="213">
        <f>Data!KB78</f>
        <v>0.193</v>
      </c>
      <c r="U248" s="67"/>
      <c r="V248" s="67"/>
      <c r="W248" s="489"/>
    </row>
    <row r="249" spans="2:23" ht="15" x14ac:dyDescent="0.25">
      <c r="B249" s="489"/>
      <c r="C249" s="208"/>
      <c r="D249" s="208"/>
      <c r="E249" s="1002" t="s">
        <v>522</v>
      </c>
      <c r="F249" s="1003"/>
      <c r="G249" s="1003"/>
      <c r="H249" s="1004"/>
      <c r="I249" s="1011" t="str">
        <f>INDEX(Locations, selection)</f>
        <v>Angmering</v>
      </c>
      <c r="J249" s="1012"/>
      <c r="K249" s="1013"/>
      <c r="L249" s="1026" t="str">
        <f>INDEX(Locations, selection2)</f>
        <v>Bewbush</v>
      </c>
      <c r="M249" s="1027"/>
      <c r="N249" s="1028"/>
      <c r="O249" s="1033" t="s">
        <v>291</v>
      </c>
      <c r="P249" s="1034"/>
      <c r="Q249" s="1035"/>
      <c r="R249" s="1047" t="s">
        <v>293</v>
      </c>
      <c r="S249" s="1048"/>
      <c r="T249" s="1049"/>
      <c r="U249" s="67"/>
      <c r="V249" s="67"/>
      <c r="W249" s="489"/>
    </row>
    <row r="250" spans="2:23" ht="15" x14ac:dyDescent="0.25">
      <c r="B250" s="489"/>
      <c r="C250" s="208"/>
      <c r="D250" s="208"/>
      <c r="E250" s="1005"/>
      <c r="F250" s="1006"/>
      <c r="G250" s="1006"/>
      <c r="H250" s="1007"/>
      <c r="I250" s="1014"/>
      <c r="J250" s="849"/>
      <c r="K250" s="850"/>
      <c r="L250" s="851"/>
      <c r="M250" s="852"/>
      <c r="N250" s="1029"/>
      <c r="O250" s="1036"/>
      <c r="P250" s="1037"/>
      <c r="Q250" s="1038"/>
      <c r="R250" s="1050"/>
      <c r="S250" s="1051"/>
      <c r="T250" s="1052"/>
      <c r="U250" s="67"/>
      <c r="V250" s="67"/>
      <c r="W250" s="489"/>
    </row>
    <row r="251" spans="2:23" ht="15" x14ac:dyDescent="0.25">
      <c r="B251" s="489"/>
      <c r="C251" s="208"/>
      <c r="D251" s="208"/>
      <c r="E251" s="1008"/>
      <c r="F251" s="1009"/>
      <c r="G251" s="1009"/>
      <c r="H251" s="1010"/>
      <c r="I251" s="1015"/>
      <c r="J251" s="1016"/>
      <c r="K251" s="1017"/>
      <c r="L251" s="1030"/>
      <c r="M251" s="1031"/>
      <c r="N251" s="1032"/>
      <c r="O251" s="1039"/>
      <c r="P251" s="1040"/>
      <c r="Q251" s="1041"/>
      <c r="R251" s="1053"/>
      <c r="S251" s="1054"/>
      <c r="T251" s="1055"/>
      <c r="U251" s="67"/>
      <c r="V251" s="67"/>
      <c r="W251" s="489"/>
    </row>
    <row r="252" spans="2:23" ht="15" x14ac:dyDescent="0.25">
      <c r="B252" s="489"/>
      <c r="C252" s="208"/>
      <c r="D252" s="208"/>
      <c r="E252" s="1025" t="s">
        <v>738</v>
      </c>
      <c r="F252" s="1025"/>
      <c r="G252" s="1025"/>
      <c r="H252" s="1025"/>
      <c r="I252" s="903">
        <f>HLOOKUP($E252,Y6Obese2012,selection+1, FALSE)</f>
        <v>186</v>
      </c>
      <c r="J252" s="1024"/>
      <c r="K252" s="904"/>
      <c r="L252" s="903">
        <f>HLOOKUP($E252, Y6Obese2012, selection2+1, FALSE)</f>
        <v>160</v>
      </c>
      <c r="M252" s="1024"/>
      <c r="N252" s="904"/>
      <c r="O252" s="1057">
        <f>Data!KD76</f>
        <v>6804</v>
      </c>
      <c r="P252" s="1058"/>
      <c r="Q252" s="1059"/>
      <c r="R252" s="1057">
        <f>Data!KD78</f>
        <v>487817</v>
      </c>
      <c r="S252" s="1058"/>
      <c r="T252" s="1059"/>
      <c r="U252" s="67"/>
      <c r="V252" s="67"/>
      <c r="W252" s="489"/>
    </row>
    <row r="253" spans="2:23" ht="15" x14ac:dyDescent="0.25">
      <c r="B253" s="489"/>
      <c r="C253" s="208"/>
      <c r="D253" s="208"/>
      <c r="E253" s="1025" t="s">
        <v>742</v>
      </c>
      <c r="F253" s="1025"/>
      <c r="G253" s="1025"/>
      <c r="H253" s="1025"/>
      <c r="I253" s="903">
        <f>HLOOKUP($E253,Y6Obese2012,selection+1, FALSE)</f>
        <v>18</v>
      </c>
      <c r="J253" s="1024"/>
      <c r="K253" s="904"/>
      <c r="L253" s="903">
        <f>HLOOKUP($E253, Y6Obese2012, selection2+1, FALSE)</f>
        <v>33</v>
      </c>
      <c r="M253" s="1024"/>
      <c r="N253" s="904"/>
      <c r="O253" s="1057">
        <f>Data!KE76</f>
        <v>1000.188</v>
      </c>
      <c r="P253" s="1058"/>
      <c r="Q253" s="1059"/>
      <c r="R253" s="1057">
        <f>Data!KE78</f>
        <v>92197.413</v>
      </c>
      <c r="S253" s="1058"/>
      <c r="T253" s="1059"/>
      <c r="U253" s="67"/>
      <c r="V253" s="67"/>
      <c r="W253" s="489"/>
    </row>
    <row r="254" spans="2:23" ht="15" x14ac:dyDescent="0.25">
      <c r="B254" s="489"/>
      <c r="C254" s="208"/>
      <c r="D254" s="208"/>
      <c r="E254" s="1056" t="s">
        <v>737</v>
      </c>
      <c r="F254" s="1056"/>
      <c r="G254" s="1056"/>
      <c r="H254" s="1056"/>
      <c r="I254" s="1063">
        <f>HLOOKUP($E254,Y6Obese2012,selection+1, FALSE)</f>
        <v>9.6774193548387094E-2</v>
      </c>
      <c r="J254" s="1064"/>
      <c r="K254" s="1065"/>
      <c r="L254" s="1063">
        <f>HLOOKUP($E254, Y6Obese2012, selection2+1, FALSE)</f>
        <v>0.20624999999999999</v>
      </c>
      <c r="M254" s="1064"/>
      <c r="N254" s="1065"/>
      <c r="O254" s="1060">
        <f>Data!KF76</f>
        <v>0.14699999999999999</v>
      </c>
      <c r="P254" s="1061"/>
      <c r="Q254" s="1062"/>
      <c r="R254" s="1060">
        <f>Data!KF78</f>
        <v>0.189</v>
      </c>
      <c r="S254" s="1061"/>
      <c r="T254" s="1062"/>
      <c r="U254" s="67"/>
      <c r="V254" s="67"/>
      <c r="W254" s="489"/>
    </row>
    <row r="255" spans="2:23" ht="15" x14ac:dyDescent="0.25">
      <c r="B255" s="489"/>
      <c r="C255" s="208"/>
      <c r="D255" s="208"/>
      <c r="E255" s="1025" t="s">
        <v>739</v>
      </c>
      <c r="F255" s="1025"/>
      <c r="G255" s="1025"/>
      <c r="H255" s="1025"/>
      <c r="I255" s="1018" t="str">
        <f>HLOOKUP($E255,Y6Obese2012,selection+1, FALSE)</f>
        <v>Sig better than Eng.</v>
      </c>
      <c r="J255" s="1019"/>
      <c r="K255" s="1020"/>
      <c r="L255" s="1018" t="str">
        <f>HLOOKUP($E255, Y6Obese2012, selection2+1, FALSE)</f>
        <v>No Sig diff</v>
      </c>
      <c r="M255" s="1019"/>
      <c r="N255" s="1020"/>
      <c r="O255" s="924" t="str">
        <f>Data!KI76</f>
        <v>Sig better than Eng.</v>
      </c>
      <c r="P255" s="925"/>
      <c r="Q255" s="926"/>
      <c r="R255" s="924" t="s">
        <v>286</v>
      </c>
      <c r="S255" s="925"/>
      <c r="T255" s="926"/>
      <c r="U255" s="67"/>
      <c r="V255" s="67"/>
      <c r="W255" s="489"/>
    </row>
    <row r="256" spans="2:23" ht="15" x14ac:dyDescent="0.25">
      <c r="B256" s="489"/>
      <c r="C256" s="71" t="s">
        <v>526</v>
      </c>
      <c r="D256" s="71" t="s">
        <v>527</v>
      </c>
      <c r="E256" s="1025" t="s">
        <v>740</v>
      </c>
      <c r="F256" s="1025"/>
      <c r="G256" s="1025"/>
      <c r="H256" s="1025"/>
      <c r="I256" s="213">
        <f>HLOOKUP(C256,Y6Obese2012, selection+1, FALSE)</f>
        <v>6.2093076397520854E-2</v>
      </c>
      <c r="J256" s="213" t="s">
        <v>744</v>
      </c>
      <c r="K256" s="213">
        <f>HLOOKUP(D256,Y6Obese2012,selection+1, FALSE)</f>
        <v>0.14777393088419472</v>
      </c>
      <c r="L256" s="213">
        <f>HLOOKUP(C256,Y6Obese2012,selection2+1, FALSE)</f>
        <v>0.15080086366994011</v>
      </c>
      <c r="M256" s="213" t="s">
        <v>744</v>
      </c>
      <c r="N256" s="213">
        <f>HLOOKUP(D256,Y6Obese2012, selection2+1,FALSE)</f>
        <v>0.27547377599331924</v>
      </c>
      <c r="O256" s="213">
        <f>Data!KG76</f>
        <v>0.13899999999999998</v>
      </c>
      <c r="P256" s="213" t="s">
        <v>744</v>
      </c>
      <c r="Q256" s="213">
        <f>Data!KH76</f>
        <v>0.155</v>
      </c>
      <c r="R256" s="213">
        <f>Data!KG78</f>
        <v>0.188</v>
      </c>
      <c r="S256" s="213" t="s">
        <v>744</v>
      </c>
      <c r="T256" s="213">
        <f>Data!KH78</f>
        <v>0.19</v>
      </c>
      <c r="U256" s="67"/>
      <c r="V256" s="67"/>
      <c r="W256" s="489"/>
    </row>
    <row r="257" spans="2:23" ht="15" x14ac:dyDescent="0.25">
      <c r="B257" s="489"/>
      <c r="C257" s="208"/>
      <c r="D257" s="208"/>
      <c r="E257" s="1002" t="s">
        <v>523</v>
      </c>
      <c r="F257" s="1003"/>
      <c r="G257" s="1003"/>
      <c r="H257" s="1004"/>
      <c r="I257" s="1011" t="str">
        <f>INDEX(Locations, selection)</f>
        <v>Angmering</v>
      </c>
      <c r="J257" s="1012"/>
      <c r="K257" s="1013"/>
      <c r="L257" s="1026" t="str">
        <f>INDEX(Locations, selection2)</f>
        <v>Bewbush</v>
      </c>
      <c r="M257" s="1027"/>
      <c r="N257" s="1028"/>
      <c r="O257" s="1033" t="s">
        <v>291</v>
      </c>
      <c r="P257" s="1034"/>
      <c r="Q257" s="1035"/>
      <c r="R257" s="1047" t="s">
        <v>293</v>
      </c>
      <c r="S257" s="1048"/>
      <c r="T257" s="1049"/>
      <c r="U257" s="67"/>
      <c r="V257" s="67"/>
      <c r="W257" s="489"/>
    </row>
    <row r="258" spans="2:23" ht="15" x14ac:dyDescent="0.25">
      <c r="B258" s="489"/>
      <c r="C258" s="208"/>
      <c r="D258" s="208"/>
      <c r="E258" s="1005"/>
      <c r="F258" s="1006"/>
      <c r="G258" s="1006"/>
      <c r="H258" s="1007"/>
      <c r="I258" s="1014"/>
      <c r="J258" s="849"/>
      <c r="K258" s="850"/>
      <c r="L258" s="851"/>
      <c r="M258" s="852"/>
      <c r="N258" s="1029"/>
      <c r="O258" s="1036"/>
      <c r="P258" s="1037"/>
      <c r="Q258" s="1038"/>
      <c r="R258" s="1050"/>
      <c r="S258" s="1051"/>
      <c r="T258" s="1052"/>
      <c r="U258" s="67"/>
      <c r="V258" s="67"/>
      <c r="W258" s="489"/>
    </row>
    <row r="259" spans="2:23" x14ac:dyDescent="0.2">
      <c r="B259" s="489"/>
      <c r="C259" s="67"/>
      <c r="D259" s="67"/>
      <c r="E259" s="1008"/>
      <c r="F259" s="1009"/>
      <c r="G259" s="1009"/>
      <c r="H259" s="1010"/>
      <c r="I259" s="1015"/>
      <c r="J259" s="1016"/>
      <c r="K259" s="1017"/>
      <c r="L259" s="1030"/>
      <c r="M259" s="1031"/>
      <c r="N259" s="1032"/>
      <c r="O259" s="1039"/>
      <c r="P259" s="1040"/>
      <c r="Q259" s="1041"/>
      <c r="R259" s="1053"/>
      <c r="S259" s="1054"/>
      <c r="T259" s="1055"/>
      <c r="U259" s="67"/>
      <c r="V259" s="67"/>
      <c r="W259" s="489"/>
    </row>
    <row r="260" spans="2:23" ht="15" x14ac:dyDescent="0.2">
      <c r="B260" s="489"/>
      <c r="C260" s="67"/>
      <c r="D260" s="67"/>
      <c r="E260" s="1025" t="s">
        <v>738</v>
      </c>
      <c r="F260" s="1025"/>
      <c r="G260" s="1025"/>
      <c r="H260" s="1025"/>
      <c r="I260" s="903">
        <f>IF(HLOOKUP($E260,Y6Obese2013,selection+1, FALSE) ="", "", HLOOKUP($E260,Y6Obese2013,selection+1, FALSE))</f>
        <v>188</v>
      </c>
      <c r="J260" s="1024"/>
      <c r="K260" s="904"/>
      <c r="L260" s="903">
        <f>IF(HLOOKUP($E260,Y6Obese2013, selection2+1, FALSE) = "", "", HLOOKUP($E260,Y6Obese2013, selection2+1, FALSE))</f>
        <v>169</v>
      </c>
      <c r="M260" s="1024"/>
      <c r="N260" s="904"/>
      <c r="O260" s="903">
        <f>Data!KJ76</f>
        <v>7269</v>
      </c>
      <c r="P260" s="1024"/>
      <c r="Q260" s="904"/>
      <c r="R260" s="1018">
        <f>Data!KJ78</f>
        <v>514275</v>
      </c>
      <c r="S260" s="1019"/>
      <c r="T260" s="1020"/>
      <c r="U260" s="67"/>
      <c r="V260" s="67"/>
      <c r="W260" s="489"/>
    </row>
    <row r="261" spans="2:23" ht="15" x14ac:dyDescent="0.2">
      <c r="B261" s="489"/>
      <c r="C261" s="67"/>
      <c r="D261" s="67"/>
      <c r="E261" s="1025" t="s">
        <v>742</v>
      </c>
      <c r="F261" s="1025"/>
      <c r="G261" s="1025"/>
      <c r="H261" s="1025"/>
      <c r="I261" s="903">
        <f>IF(HLOOKUP($E261,Y6Obese2013,selection+1, FALSE) ="", "", HLOOKUP($E261,Y6Obese2013,selection+1, FALSE))</f>
        <v>36</v>
      </c>
      <c r="J261" s="1024"/>
      <c r="K261" s="904"/>
      <c r="L261" s="903">
        <f>IF(HLOOKUP($E261,Y6Obese2013, selection2+1, FALSE) = "", "", HLOOKUP($E261,Y6Obese2013, selection2+1, FALSE))</f>
        <v>39</v>
      </c>
      <c r="M261" s="1024"/>
      <c r="N261" s="904"/>
      <c r="O261" s="903">
        <f>Data!KK76</f>
        <v>1162.996386</v>
      </c>
      <c r="P261" s="1024"/>
      <c r="Q261" s="904"/>
      <c r="R261" s="1018">
        <f>Data!KK78</f>
        <v>98190.011475000007</v>
      </c>
      <c r="S261" s="1019"/>
      <c r="T261" s="1020"/>
      <c r="U261" s="67"/>
      <c r="V261" s="67"/>
      <c r="W261" s="489"/>
    </row>
    <row r="262" spans="2:23" ht="15" x14ac:dyDescent="0.2">
      <c r="B262" s="489"/>
      <c r="C262" s="67"/>
      <c r="D262" s="67"/>
      <c r="E262" s="1056" t="s">
        <v>737</v>
      </c>
      <c r="F262" s="1056"/>
      <c r="G262" s="1056"/>
      <c r="H262" s="1056"/>
      <c r="I262" s="1063">
        <f>IF(HLOOKUP($E262,Y6Obese2013,selection+1, FALSE) ="", "", HLOOKUP($E262,Y6Obese2013,selection+1, FALSE))</f>
        <v>0.19148936170212766</v>
      </c>
      <c r="J262" s="1064"/>
      <c r="K262" s="1065"/>
      <c r="L262" s="1063">
        <f>IF(HLOOKUP($E262,Y6Obese2013, selection2+1, FALSE) = "", "", HLOOKUP($E262,Y6Obese2013, selection2+1, FALSE))</f>
        <v>0.23076923076923078</v>
      </c>
      <c r="M262" s="1064"/>
      <c r="N262" s="1065"/>
      <c r="O262" s="1063">
        <f>Data!KL76</f>
        <v>0.159994</v>
      </c>
      <c r="P262" s="1064"/>
      <c r="Q262" s="1065"/>
      <c r="R262" s="1063">
        <f>Data!KL78</f>
        <v>0.19092900000000002</v>
      </c>
      <c r="S262" s="1064"/>
      <c r="T262" s="1065"/>
      <c r="U262" s="67"/>
      <c r="V262" s="67"/>
      <c r="W262" s="489"/>
    </row>
    <row r="263" spans="2:23" ht="15" x14ac:dyDescent="0.2">
      <c r="B263" s="489"/>
      <c r="C263" s="67"/>
      <c r="D263" s="67"/>
      <c r="E263" s="1025" t="s">
        <v>739</v>
      </c>
      <c r="F263" s="1025"/>
      <c r="G263" s="1025"/>
      <c r="H263" s="1025"/>
      <c r="I263" s="1018" t="str">
        <f>IF(HLOOKUP($E263,Y6Obese2013,selection+1, FALSE) ="", "", HLOOKUP($E263,Y6Obese2013,selection+1, FALSE))</f>
        <v>No Sig diff</v>
      </c>
      <c r="J263" s="1019"/>
      <c r="K263" s="1020"/>
      <c r="L263" s="1018" t="str">
        <f>IF(HLOOKUP($E263,Y6Obese2013, selection2+1, FALSE) = "", "", HLOOKUP($E263,Y6Obese2013, selection2+1, FALSE))</f>
        <v>No Sig diff</v>
      </c>
      <c r="M263" s="1019"/>
      <c r="N263" s="1020"/>
      <c r="O263" s="1021" t="str">
        <f>Data!KO76</f>
        <v>Sig better than Eng.</v>
      </c>
      <c r="P263" s="1022"/>
      <c r="Q263" s="1023"/>
      <c r="R263" s="924" t="s">
        <v>286</v>
      </c>
      <c r="S263" s="925"/>
      <c r="T263" s="926"/>
      <c r="U263" s="67"/>
      <c r="V263" s="67"/>
      <c r="W263" s="489"/>
    </row>
    <row r="264" spans="2:23" ht="15" x14ac:dyDescent="0.25">
      <c r="B264" s="489"/>
      <c r="C264" s="71" t="s">
        <v>526</v>
      </c>
      <c r="D264" s="71" t="s">
        <v>527</v>
      </c>
      <c r="E264" s="1025" t="s">
        <v>740</v>
      </c>
      <c r="F264" s="1025"/>
      <c r="G264" s="1025"/>
      <c r="H264" s="1025"/>
      <c r="I264" s="213">
        <f>IF(HLOOKUP(C264,Y6Obese2013,selection+1,FALSE)= "", "", HLOOKUP(C264,Y6Obese2013,selection+1,FALSE))</f>
        <v>0.14164627861962834</v>
      </c>
      <c r="J264" s="209" t="s">
        <v>744</v>
      </c>
      <c r="K264" s="213">
        <f>IF(HLOOKUP(D264,Y6Obese2013,selection+1,FALSE) = "","", HLOOKUP(D264,Y6Obese2013,selection+1,FALSE))</f>
        <v>0.25368776067987386</v>
      </c>
      <c r="L264" s="213">
        <f>IF(HLOOKUP(C264,Y6Obese2013,selection2+1,FALSE) = "","", HLOOKUP(C264,Y6Obese2013,selection2+1,FALSE))</f>
        <v>0.17365677440824237</v>
      </c>
      <c r="M264" s="209" t="s">
        <v>744</v>
      </c>
      <c r="N264" s="213">
        <f>IF(HLOOKUP(D264,Y6Obese2013,selection2+1,FALSE) = "", "",HLOOKUP(D264,Y6Obese2013,selection2+1,FALSE))</f>
        <v>0.29984917363861208</v>
      </c>
      <c r="O264" s="213">
        <f>Data!KM76</f>
        <v>0.15174699999999999</v>
      </c>
      <c r="P264" s="209" t="s">
        <v>744</v>
      </c>
      <c r="Q264" s="213">
        <f>Data!KN76</f>
        <v>0.168601</v>
      </c>
      <c r="R264" s="213">
        <f>Data!KM78</f>
        <v>0.18985700000000003</v>
      </c>
      <c r="S264" s="209" t="s">
        <v>744</v>
      </c>
      <c r="T264" s="213">
        <f>Data!KN78</f>
        <v>0.19200500000000001</v>
      </c>
      <c r="U264" s="67"/>
      <c r="V264" s="67"/>
      <c r="W264" s="489"/>
    </row>
    <row r="265" spans="2:23" s="67" customFormat="1" ht="15" x14ac:dyDescent="0.25">
      <c r="B265" s="489"/>
      <c r="C265" s="71"/>
      <c r="D265" s="71"/>
      <c r="E265" s="1002" t="s">
        <v>986</v>
      </c>
      <c r="F265" s="1003"/>
      <c r="G265" s="1003"/>
      <c r="H265" s="1004"/>
      <c r="I265" s="1011" t="str">
        <f>INDEX(Locations, selection)</f>
        <v>Angmering</v>
      </c>
      <c r="J265" s="1012"/>
      <c r="K265" s="1013"/>
      <c r="L265" s="1026" t="str">
        <f>INDEX(Locations, selection2)</f>
        <v>Bewbush</v>
      </c>
      <c r="M265" s="1027"/>
      <c r="N265" s="1028"/>
      <c r="O265" s="1033" t="s">
        <v>291</v>
      </c>
      <c r="P265" s="1034"/>
      <c r="Q265" s="1035"/>
      <c r="R265" s="1047" t="s">
        <v>293</v>
      </c>
      <c r="S265" s="1048"/>
      <c r="T265" s="1049"/>
      <c r="W265" s="489"/>
    </row>
    <row r="266" spans="2:23" s="67" customFormat="1" ht="15" x14ac:dyDescent="0.25">
      <c r="B266" s="489"/>
      <c r="C266" s="71"/>
      <c r="D266" s="71"/>
      <c r="E266" s="1005"/>
      <c r="F266" s="1006"/>
      <c r="G266" s="1006"/>
      <c r="H266" s="1007"/>
      <c r="I266" s="1014"/>
      <c r="J266" s="849"/>
      <c r="K266" s="850"/>
      <c r="L266" s="851"/>
      <c r="M266" s="852"/>
      <c r="N266" s="1029"/>
      <c r="O266" s="1036"/>
      <c r="P266" s="1037"/>
      <c r="Q266" s="1038"/>
      <c r="R266" s="1050"/>
      <c r="S266" s="1051"/>
      <c r="T266" s="1052"/>
      <c r="W266" s="489"/>
    </row>
    <row r="267" spans="2:23" s="67" customFormat="1" ht="15" x14ac:dyDescent="0.25">
      <c r="B267" s="489"/>
      <c r="C267" s="71"/>
      <c r="D267" s="71"/>
      <c r="E267" s="1008"/>
      <c r="F267" s="1009"/>
      <c r="G267" s="1009"/>
      <c r="H267" s="1010"/>
      <c r="I267" s="1015"/>
      <c r="J267" s="1016"/>
      <c r="K267" s="1017"/>
      <c r="L267" s="1030"/>
      <c r="M267" s="1031"/>
      <c r="N267" s="1032"/>
      <c r="O267" s="1039"/>
      <c r="P267" s="1040"/>
      <c r="Q267" s="1041"/>
      <c r="R267" s="1053"/>
      <c r="S267" s="1054"/>
      <c r="T267" s="1055"/>
      <c r="W267" s="489"/>
    </row>
    <row r="268" spans="2:23" s="67" customFormat="1" ht="15" x14ac:dyDescent="0.25">
      <c r="B268" s="489"/>
      <c r="C268" s="71"/>
      <c r="D268" s="71"/>
      <c r="E268" s="1025" t="s">
        <v>738</v>
      </c>
      <c r="F268" s="1025"/>
      <c r="G268" s="1025"/>
      <c r="H268" s="1025"/>
      <c r="I268" s="903">
        <f>IF(HLOOKUP($E268,ObeseY62014,selection+1, FALSE) ="", "", HLOOKUP($E268,ObeseY62014,selection+1, FALSE))</f>
        <v>191</v>
      </c>
      <c r="J268" s="1024"/>
      <c r="K268" s="904"/>
      <c r="L268" s="903">
        <f>IF(HLOOKUP($E268,ObeseY62014, selection2+1, FALSE) = "", "", HLOOKUP($E268,ObeseY62014, selection2+1, FALSE))</f>
        <v>162</v>
      </c>
      <c r="M268" s="1024"/>
      <c r="N268" s="904"/>
      <c r="O268" s="903">
        <f>Data!KP76</f>
        <v>7429</v>
      </c>
      <c r="P268" s="1024"/>
      <c r="Q268" s="904"/>
      <c r="R268" s="1018">
        <f>Data!KP78</f>
        <v>531223</v>
      </c>
      <c r="S268" s="1019"/>
      <c r="T268" s="1020"/>
      <c r="W268" s="489"/>
    </row>
    <row r="269" spans="2:23" s="67" customFormat="1" ht="15" x14ac:dyDescent="0.25">
      <c r="B269" s="489"/>
      <c r="C269" s="71"/>
      <c r="D269" s="71"/>
      <c r="E269" s="1025" t="s">
        <v>742</v>
      </c>
      <c r="F269" s="1025"/>
      <c r="G269" s="1025"/>
      <c r="H269" s="1025"/>
      <c r="I269" s="903">
        <f>IF(HLOOKUP($E269,ObeseY62014,selection+1, FALSE) ="", "", HLOOKUP($E269,ObeseY62014,selection+1, FALSE))</f>
        <v>28</v>
      </c>
      <c r="J269" s="1024"/>
      <c r="K269" s="904"/>
      <c r="L269" s="903">
        <f>IF(HLOOKUP($E269,ObeseY62014, selection2+1, FALSE) = "", "", HLOOKUP($E269,ObeseY62014, selection2+1, FALSE))</f>
        <v>32</v>
      </c>
      <c r="M269" s="1024"/>
      <c r="N269" s="904"/>
      <c r="O269" s="903">
        <f>Data!KQ76</f>
        <v>1184.000000000002</v>
      </c>
      <c r="P269" s="1024"/>
      <c r="Q269" s="904"/>
      <c r="R269" s="1018">
        <f>Data!KQ78</f>
        <v>101357.00000000003</v>
      </c>
      <c r="S269" s="1019"/>
      <c r="T269" s="1020"/>
      <c r="W269" s="489"/>
    </row>
    <row r="270" spans="2:23" s="67" customFormat="1" ht="15" x14ac:dyDescent="0.25">
      <c r="B270" s="489"/>
      <c r="C270" s="71"/>
      <c r="D270" s="71"/>
      <c r="E270" s="1056" t="s">
        <v>737</v>
      </c>
      <c r="F270" s="1056"/>
      <c r="G270" s="1056"/>
      <c r="H270" s="1056"/>
      <c r="I270" s="1063">
        <f>IF(HLOOKUP($E270,ObeseY62014,selection+1, FALSE) ="", "", HLOOKUP($E270,ObeseY62014,selection+1, FALSE))</f>
        <v>0.14659685863874344</v>
      </c>
      <c r="J270" s="1064"/>
      <c r="K270" s="1065"/>
      <c r="L270" s="1063">
        <f>IF(HLOOKUP($E270,ObeseY62014, selection2+1, FALSE) = "", "", HLOOKUP($E270,ObeseY62014, selection2+1, FALSE))</f>
        <v>0.19753086419753085</v>
      </c>
      <c r="M270" s="1064"/>
      <c r="N270" s="1065"/>
      <c r="O270" s="1063">
        <f>Data!KR76</f>
        <v>0.159375420648809</v>
      </c>
      <c r="P270" s="1064"/>
      <c r="Q270" s="1065"/>
      <c r="R270" s="1063">
        <f>Data!KR78</f>
        <v>0.19079934415490299</v>
      </c>
      <c r="S270" s="1064"/>
      <c r="T270" s="1065"/>
      <c r="W270" s="489"/>
    </row>
    <row r="271" spans="2:23" s="67" customFormat="1" ht="15" x14ac:dyDescent="0.25">
      <c r="B271" s="489"/>
      <c r="C271" s="71"/>
      <c r="D271" s="71"/>
      <c r="E271" s="1025" t="s">
        <v>739</v>
      </c>
      <c r="F271" s="1025"/>
      <c r="G271" s="1025"/>
      <c r="H271" s="1025"/>
      <c r="I271" s="1018" t="str">
        <f>IF(HLOOKUP($E271,ObeseY62014,selection+1, FALSE) ="", "", HLOOKUP($E271,ObeseY62014,selection+1, FALSE))</f>
        <v>No sig diff</v>
      </c>
      <c r="J271" s="1019"/>
      <c r="K271" s="1020"/>
      <c r="L271" s="1018" t="str">
        <f>IF(HLOOKUP($E271,ObeseY62014, selection2+1, FALSE) = "", "", HLOOKUP($E271,ObeseY62014, selection2+1, FALSE))</f>
        <v>No sig diff</v>
      </c>
      <c r="M271" s="1019"/>
      <c r="N271" s="1020"/>
      <c r="O271" s="1021" t="str">
        <f>Data!KU76</f>
        <v>Sig better than Eng.</v>
      </c>
      <c r="P271" s="1022"/>
      <c r="Q271" s="1023"/>
      <c r="R271" s="924" t="s">
        <v>286</v>
      </c>
      <c r="S271" s="925"/>
      <c r="T271" s="926"/>
      <c r="W271" s="489"/>
    </row>
    <row r="272" spans="2:23" s="67" customFormat="1" ht="15" x14ac:dyDescent="0.25">
      <c r="B272" s="489"/>
      <c r="C272" s="71" t="s">
        <v>526</v>
      </c>
      <c r="D272" s="71" t="s">
        <v>527</v>
      </c>
      <c r="E272" s="1025" t="s">
        <v>740</v>
      </c>
      <c r="F272" s="1025"/>
      <c r="G272" s="1025"/>
      <c r="H272" s="1025"/>
      <c r="I272" s="456">
        <f>IF(HLOOKUP(C272,ObeseY62014,selection+1,FALSE)= "", "", HLOOKUP(C272,ObeseY62014,selection+1,FALSE))</f>
        <v>0.10341352463772394</v>
      </c>
      <c r="J272" s="451" t="s">
        <v>744</v>
      </c>
      <c r="K272" s="456">
        <f>IF(HLOOKUP(D272,ObeseY62014,selection+1,FALSE) = "","", HLOOKUP(D272,ObeseY62014,selection+1,FALSE))</f>
        <v>0.20371545696040785</v>
      </c>
      <c r="L272" s="456">
        <f>IF(HLOOKUP(C272,ObeseY62014,selection2+1,FALSE) = "","", HLOOKUP(C272,ObeseY62014,selection2+1,FALSE))</f>
        <v>0.14353889090331648</v>
      </c>
      <c r="M272" s="451" t="s">
        <v>744</v>
      </c>
      <c r="N272" s="456">
        <f>IF(HLOOKUP(D272,ObeseY62014,selection2+1,FALSE) = "", "",HLOOKUP(D272,ObeseY62014,selection2+1,FALSE))</f>
        <v>0.26553528935967513</v>
      </c>
      <c r="O272" s="456">
        <f>Data!KS76</f>
        <v>0.151228469864401</v>
      </c>
      <c r="P272" s="451" t="s">
        <v>744</v>
      </c>
      <c r="Q272" s="456">
        <f>Data!KT76</f>
        <v>0.16787445624550401</v>
      </c>
      <c r="R272" s="456">
        <f>Data!KS78</f>
        <v>0.18974494357371099</v>
      </c>
      <c r="S272" s="451" t="s">
        <v>744</v>
      </c>
      <c r="T272" s="456">
        <f>Data!KT78</f>
        <v>0.19185821657936</v>
      </c>
      <c r="W272" s="489"/>
    </row>
    <row r="273" spans="2:23" x14ac:dyDescent="0.2">
      <c r="B273" s="489"/>
      <c r="C273" s="67"/>
      <c r="D273" s="67"/>
      <c r="E273" s="1002" t="s">
        <v>1030</v>
      </c>
      <c r="F273" s="1003"/>
      <c r="G273" s="1003"/>
      <c r="H273" s="1004"/>
      <c r="I273" s="1011" t="str">
        <f>INDEX(Locations, selection)</f>
        <v>Angmering</v>
      </c>
      <c r="J273" s="1012"/>
      <c r="K273" s="1013"/>
      <c r="L273" s="1026" t="str">
        <f>INDEX(Locations, selection2)</f>
        <v>Bewbush</v>
      </c>
      <c r="M273" s="1027"/>
      <c r="N273" s="1028"/>
      <c r="O273" s="1033" t="s">
        <v>291</v>
      </c>
      <c r="P273" s="1034"/>
      <c r="Q273" s="1035"/>
      <c r="R273" s="1047" t="s">
        <v>293</v>
      </c>
      <c r="S273" s="1048"/>
      <c r="T273" s="1049"/>
      <c r="U273" s="67"/>
      <c r="V273" s="67"/>
      <c r="W273" s="489"/>
    </row>
    <row r="274" spans="2:23" s="67" customFormat="1" x14ac:dyDescent="0.2">
      <c r="B274" s="489"/>
      <c r="E274" s="1005"/>
      <c r="F274" s="1006"/>
      <c r="G274" s="1006"/>
      <c r="H274" s="1007"/>
      <c r="I274" s="1014"/>
      <c r="J274" s="849"/>
      <c r="K274" s="850"/>
      <c r="L274" s="851"/>
      <c r="M274" s="852"/>
      <c r="N274" s="1029"/>
      <c r="O274" s="1036"/>
      <c r="P274" s="1037"/>
      <c r="Q274" s="1038"/>
      <c r="R274" s="1050"/>
      <c r="S274" s="1051"/>
      <c r="T274" s="1052"/>
      <c r="W274" s="489"/>
    </row>
    <row r="275" spans="2:23" s="67" customFormat="1" x14ac:dyDescent="0.2">
      <c r="B275" s="489"/>
      <c r="E275" s="1008"/>
      <c r="F275" s="1009"/>
      <c r="G275" s="1009"/>
      <c r="H275" s="1010"/>
      <c r="I275" s="1015"/>
      <c r="J275" s="1016"/>
      <c r="K275" s="1017"/>
      <c r="L275" s="1030"/>
      <c r="M275" s="1031"/>
      <c r="N275" s="1032"/>
      <c r="O275" s="1039"/>
      <c r="P275" s="1040"/>
      <c r="Q275" s="1041"/>
      <c r="R275" s="1053"/>
      <c r="S275" s="1054"/>
      <c r="T275" s="1055"/>
      <c r="W275" s="489"/>
    </row>
    <row r="276" spans="2:23" s="67" customFormat="1" ht="15" x14ac:dyDescent="0.2">
      <c r="B276" s="489"/>
      <c r="E276" s="1025" t="s">
        <v>738</v>
      </c>
      <c r="F276" s="1025"/>
      <c r="G276" s="1025"/>
      <c r="H276" s="1025"/>
      <c r="I276" s="903">
        <f>IF(HLOOKUP($E276,ObeseY62016,selection+1, FALSE) ="", "", HLOOKUP($E276,ObeseY62016,selection+1, FALSE))</f>
        <v>180</v>
      </c>
      <c r="J276" s="1024"/>
      <c r="K276" s="904"/>
      <c r="L276" s="903">
        <f>IF(HLOOKUP($E276,ObeseY62016, selection2+1, FALSE) = "", "", HLOOKUP($E276,ObeseY62016, selection2+1, FALSE))</f>
        <v>161</v>
      </c>
      <c r="M276" s="1024"/>
      <c r="N276" s="904"/>
      <c r="O276" s="903">
        <f>Data!KV76</f>
        <v>7571</v>
      </c>
      <c r="P276" s="1024"/>
      <c r="Q276" s="904"/>
      <c r="R276" s="1018">
        <f>Data!KV78</f>
        <v>544615</v>
      </c>
      <c r="S276" s="1019"/>
      <c r="T276" s="1020"/>
      <c r="W276" s="489"/>
    </row>
    <row r="277" spans="2:23" s="67" customFormat="1" ht="15" x14ac:dyDescent="0.2">
      <c r="B277" s="489"/>
      <c r="E277" s="1025" t="s">
        <v>742</v>
      </c>
      <c r="F277" s="1025"/>
      <c r="G277" s="1025"/>
      <c r="H277" s="1025"/>
      <c r="I277" s="903">
        <f>IF(HLOOKUP($E277,ObeseY62016,selection+1, FALSE) ="", "", HLOOKUP($E277,ObeseY62016,selection+1, FALSE))</f>
        <v>39</v>
      </c>
      <c r="J277" s="1024"/>
      <c r="K277" s="904"/>
      <c r="L277" s="903">
        <f>IF(HLOOKUP($E277,ObeseY62016, selection2+1, FALSE) = "", "", HLOOKUP($E277,ObeseY62016, selection2+1, FALSE))</f>
        <v>42</v>
      </c>
      <c r="M277" s="1024"/>
      <c r="N277" s="904"/>
      <c r="O277" s="903">
        <f>Data!KW76</f>
        <v>1227.0000000000036</v>
      </c>
      <c r="P277" s="1024"/>
      <c r="Q277" s="904"/>
      <c r="R277" s="1018">
        <f>Data!KW78</f>
        <v>107997.00000000003</v>
      </c>
      <c r="S277" s="1019"/>
      <c r="T277" s="1020"/>
      <c r="W277" s="489"/>
    </row>
    <row r="278" spans="2:23" s="67" customFormat="1" ht="15" x14ac:dyDescent="0.2">
      <c r="B278" s="489"/>
      <c r="E278" s="1056" t="s">
        <v>737</v>
      </c>
      <c r="F278" s="1056"/>
      <c r="G278" s="1056"/>
      <c r="H278" s="1056"/>
      <c r="I278" s="1063">
        <f>IF(HLOOKUP($E278,ObeseY62016,selection+1, FALSE) ="", "", HLOOKUP($E278,ObeseY62016,selection+1, FALSE))</f>
        <v>0.21666666666666667</v>
      </c>
      <c r="J278" s="1064"/>
      <c r="K278" s="1065"/>
      <c r="L278" s="1063">
        <f>IF(HLOOKUP($E278,ObeseY62016, selection2+1, FALSE) = "", "", HLOOKUP($E278,ObeseY62016, selection2+1, FALSE))</f>
        <v>0.2608695652173913</v>
      </c>
      <c r="M278" s="1064"/>
      <c r="N278" s="1065"/>
      <c r="O278" s="1063">
        <f>Data!KX76</f>
        <v>0.16206577730815</v>
      </c>
      <c r="P278" s="1064"/>
      <c r="Q278" s="1065"/>
      <c r="R278" s="1063">
        <f>Data!KX78</f>
        <v>0.19829971631335902</v>
      </c>
      <c r="S278" s="1064"/>
      <c r="T278" s="1065"/>
      <c r="W278" s="489"/>
    </row>
    <row r="279" spans="2:23" s="67" customFormat="1" ht="15" x14ac:dyDescent="0.2">
      <c r="B279" s="489"/>
      <c r="E279" s="1025" t="s">
        <v>739</v>
      </c>
      <c r="F279" s="1025"/>
      <c r="G279" s="1025"/>
      <c r="H279" s="1025"/>
      <c r="I279" s="1018" t="str">
        <f>IF(HLOOKUP($E279,ObeseY62016,selection+1, FALSE) ="", "", HLOOKUP($E279,ObeseY62016,selection+1, FALSE))</f>
        <v>No Sig diff</v>
      </c>
      <c r="J279" s="1019"/>
      <c r="K279" s="1020"/>
      <c r="L279" s="1018" t="str">
        <f>IF(HLOOKUP($E279,ObeseY62016, selection2+1, FALSE) = "", "", HLOOKUP($E279,ObeseY62016, selection2+1, FALSE))</f>
        <v>No Sig diff</v>
      </c>
      <c r="M279" s="1019"/>
      <c r="N279" s="1020"/>
      <c r="O279" s="1021" t="str">
        <f>Data!LA76</f>
        <v>Sig better than Eng.</v>
      </c>
      <c r="P279" s="1022"/>
      <c r="Q279" s="1023"/>
      <c r="R279" s="924" t="s">
        <v>286</v>
      </c>
      <c r="S279" s="925"/>
      <c r="T279" s="926"/>
      <c r="W279" s="489"/>
    </row>
    <row r="280" spans="2:23" s="67" customFormat="1" ht="15" x14ac:dyDescent="0.2">
      <c r="B280" s="489"/>
      <c r="C280" s="74" t="s">
        <v>526</v>
      </c>
      <c r="D280" s="74" t="s">
        <v>527</v>
      </c>
      <c r="E280" s="1025" t="s">
        <v>740</v>
      </c>
      <c r="F280" s="1025"/>
      <c r="G280" s="1025"/>
      <c r="H280" s="1025"/>
      <c r="I280" s="601">
        <f>IF(HLOOKUP(C280,ObeseY62016,selection+1,FALSE)= "", "", HLOOKUP(C280,ObeseY62016,selection+1,FALSE))</f>
        <v>0.16274157861520308</v>
      </c>
      <c r="J280" s="602" t="s">
        <v>744</v>
      </c>
      <c r="K280" s="601">
        <f>IF(HLOOKUP(D280,ObeseY62016,selection+1,FALSE) = "","", HLOOKUP(D280,ObeseY62016,selection+1,FALSE))</f>
        <v>0.282432536873711</v>
      </c>
      <c r="L280" s="601">
        <f>IF(HLOOKUP(C280,ObeseY62016,selection2+1,FALSE) = "","", HLOOKUP(C280,ObeseY62016,selection2+1,FALSE))</f>
        <v>0.19917824874131412</v>
      </c>
      <c r="M280" s="525" t="s">
        <v>744</v>
      </c>
      <c r="N280" s="601">
        <f>IF(HLOOKUP(D280,ObeseY62016,selection2+1,FALSE) = "", "",HLOOKUP(D280,ObeseY62016,selection2+1,FALSE))</f>
        <v>0.33370625403564474</v>
      </c>
      <c r="O280" s="523">
        <f>Data!KY76</f>
        <v>0.153936650003725</v>
      </c>
      <c r="P280" s="525" t="s">
        <v>744</v>
      </c>
      <c r="Q280" s="523">
        <f>Data!KZ76</f>
        <v>0.17053766040690502</v>
      </c>
      <c r="R280" s="523">
        <f>Data!KY78</f>
        <v>0.197242908377319</v>
      </c>
      <c r="S280" s="525" t="s">
        <v>744</v>
      </c>
      <c r="T280" s="523">
        <f>Data!KZ78</f>
        <v>0.19936078032402499</v>
      </c>
      <c r="W280" s="489"/>
    </row>
    <row r="281" spans="2:23" s="67" customFormat="1" x14ac:dyDescent="0.2">
      <c r="B281" s="489"/>
      <c r="W281" s="489"/>
    </row>
    <row r="282" spans="2:23" ht="13.5" customHeight="1" x14ac:dyDescent="0.2">
      <c r="B282" s="489"/>
      <c r="C282" s="67"/>
      <c r="D282" s="67"/>
      <c r="E282" s="67"/>
      <c r="F282" s="67"/>
      <c r="G282" s="67"/>
      <c r="H282" s="67"/>
      <c r="I282" s="67"/>
      <c r="J282" s="67"/>
      <c r="K282" s="67"/>
      <c r="L282" s="67"/>
      <c r="M282" s="67"/>
      <c r="N282" s="67"/>
      <c r="O282" s="67"/>
      <c r="Q282" s="67"/>
      <c r="R282" s="67"/>
      <c r="S282" s="67"/>
      <c r="T282" s="67"/>
      <c r="U282" s="67"/>
      <c r="V282" s="67"/>
      <c r="W282" s="489"/>
    </row>
    <row r="283" spans="2:23" x14ac:dyDescent="0.2">
      <c r="B283" s="489"/>
      <c r="C283" s="67"/>
      <c r="D283" s="67"/>
      <c r="E283" s="67"/>
      <c r="F283" s="67"/>
      <c r="G283" s="67"/>
      <c r="H283" s="67"/>
      <c r="I283" s="67"/>
      <c r="J283" s="67"/>
      <c r="K283" s="67"/>
      <c r="L283" s="67"/>
      <c r="M283" s="67"/>
      <c r="N283" s="67"/>
      <c r="O283" s="67"/>
      <c r="Q283" s="67"/>
      <c r="R283" s="67"/>
      <c r="S283" s="67"/>
      <c r="T283" s="67"/>
      <c r="U283" s="67"/>
      <c r="V283" s="67"/>
      <c r="W283" s="489"/>
    </row>
    <row r="284" spans="2:23" ht="22.5" customHeight="1" x14ac:dyDescent="0.2">
      <c r="B284" s="489"/>
      <c r="C284" s="148"/>
      <c r="D284" s="148"/>
      <c r="E284" s="148"/>
      <c r="F284" s="148"/>
      <c r="G284" s="148"/>
      <c r="H284" s="148"/>
      <c r="I284" s="148"/>
      <c r="J284" s="148"/>
      <c r="K284" s="148"/>
      <c r="L284" s="148"/>
      <c r="M284" s="148"/>
      <c r="N284" s="148"/>
      <c r="O284" s="148"/>
      <c r="P284" s="148"/>
      <c r="Q284" s="148"/>
      <c r="R284" s="148"/>
      <c r="S284" s="148"/>
      <c r="T284" s="148"/>
      <c r="U284" s="148"/>
      <c r="V284" s="67"/>
      <c r="W284" s="489"/>
    </row>
    <row r="285" spans="2:23" ht="15" x14ac:dyDescent="0.25">
      <c r="B285" s="489"/>
      <c r="C285" s="221" t="s">
        <v>524</v>
      </c>
      <c r="D285" s="71"/>
      <c r="E285" s="71"/>
      <c r="F285" s="71"/>
      <c r="G285" s="71"/>
      <c r="H285" s="71"/>
      <c r="I285" s="71"/>
      <c r="J285" s="71"/>
      <c r="K285" s="71"/>
      <c r="L285" s="71"/>
      <c r="M285" s="71"/>
      <c r="N285" s="71"/>
      <c r="O285" s="71"/>
      <c r="P285" s="71"/>
      <c r="Q285" s="71"/>
      <c r="R285" s="71"/>
      <c r="S285" s="71"/>
      <c r="T285" s="71"/>
      <c r="U285" s="71"/>
      <c r="V285" s="137"/>
      <c r="W285" s="489"/>
    </row>
    <row r="286" spans="2:23" ht="13.5" customHeight="1" x14ac:dyDescent="0.25">
      <c r="B286" s="489"/>
      <c r="C286" s="1045"/>
      <c r="D286" s="1045"/>
      <c r="E286" s="1045"/>
      <c r="F286" s="1045"/>
      <c r="G286" s="1045"/>
      <c r="H286" s="1045"/>
      <c r="I286" s="1045"/>
      <c r="J286" s="1045"/>
      <c r="K286" s="1045"/>
      <c r="L286" s="1045"/>
      <c r="M286" s="1045"/>
      <c r="N286" s="1045"/>
      <c r="O286" s="1045"/>
      <c r="P286" s="1045"/>
      <c r="Q286" s="1045"/>
      <c r="R286" s="1045"/>
      <c r="S286" s="1045"/>
      <c r="T286" s="1045"/>
      <c r="U286" s="1045"/>
      <c r="V286" s="137"/>
      <c r="W286" s="489"/>
    </row>
    <row r="287" spans="2:23" ht="15" x14ac:dyDescent="0.25">
      <c r="B287" s="489"/>
      <c r="C287" s="222" t="s">
        <v>745</v>
      </c>
      <c r="D287" s="222"/>
      <c r="E287" s="222"/>
      <c r="F287" s="222"/>
      <c r="G287" s="222"/>
      <c r="H287" s="222"/>
      <c r="I287" s="222"/>
      <c r="J287" s="222"/>
      <c r="K287" s="222" t="s">
        <v>746</v>
      </c>
      <c r="L287" s="222"/>
      <c r="M287" s="222"/>
      <c r="N287" s="222"/>
      <c r="O287" s="222"/>
      <c r="P287" s="222"/>
      <c r="Q287" s="606"/>
      <c r="R287" s="606"/>
      <c r="S287" s="606"/>
      <c r="T287" s="606"/>
      <c r="U287" s="606"/>
      <c r="V287" s="137"/>
      <c r="W287" s="489"/>
    </row>
    <row r="288" spans="2:23" ht="15" x14ac:dyDescent="0.25">
      <c r="B288" s="489"/>
      <c r="C288" s="71"/>
      <c r="D288" s="71" t="str">
        <f>I257</f>
        <v>Angmering</v>
      </c>
      <c r="E288" s="74" t="str">
        <f>L163</f>
        <v>Bewbush</v>
      </c>
      <c r="F288" s="71" t="str">
        <f>O257</f>
        <v>West Sussex</v>
      </c>
      <c r="G288" s="71" t="str">
        <f>R257</f>
        <v>England</v>
      </c>
      <c r="H288" s="71"/>
      <c r="I288" s="71"/>
      <c r="J288" s="71"/>
      <c r="K288" s="71"/>
      <c r="L288" s="71" t="str">
        <f>D288</f>
        <v>Angmering</v>
      </c>
      <c r="M288" s="71" t="str">
        <f>L265</f>
        <v>Bewbush</v>
      </c>
      <c r="N288" s="71" t="s">
        <v>291</v>
      </c>
      <c r="O288" s="71" t="s">
        <v>293</v>
      </c>
      <c r="P288" s="71"/>
      <c r="Q288" s="70"/>
      <c r="R288" s="70"/>
      <c r="S288" s="70"/>
      <c r="T288" s="70"/>
      <c r="U288" s="70"/>
      <c r="V288" s="137"/>
      <c r="W288" s="489"/>
    </row>
    <row r="289" spans="2:23" ht="15" x14ac:dyDescent="0.25">
      <c r="B289" s="489"/>
      <c r="C289" s="71" t="s">
        <v>741</v>
      </c>
      <c r="D289" s="75">
        <f>I168</f>
        <v>6.2111801242236024E-2</v>
      </c>
      <c r="E289" s="211">
        <f>L168</f>
        <v>9.3525179856115109E-2</v>
      </c>
      <c r="F289" s="75">
        <f>O168</f>
        <v>7.8E-2</v>
      </c>
      <c r="G289" s="75">
        <f>R168</f>
        <v>9.8000000000000004E-2</v>
      </c>
      <c r="H289" s="71"/>
      <c r="I289" s="71"/>
      <c r="J289" s="71"/>
      <c r="K289" s="71" t="s">
        <v>741</v>
      </c>
      <c r="L289" s="210">
        <f>I230</f>
        <v>0.14942528735632185</v>
      </c>
      <c r="M289" s="210">
        <f>L230</f>
        <v>0.22556390977443608</v>
      </c>
      <c r="N289" s="210">
        <f>O230</f>
        <v>0.157</v>
      </c>
      <c r="O289" s="210">
        <f>R230</f>
        <v>0.187</v>
      </c>
      <c r="P289" s="210"/>
      <c r="Q289" s="607"/>
      <c r="R289" s="148"/>
      <c r="S289" s="607"/>
      <c r="T289" s="607"/>
      <c r="U289" s="148"/>
      <c r="V289" s="137"/>
      <c r="W289" s="489"/>
    </row>
    <row r="290" spans="2:23" ht="15" x14ac:dyDescent="0.25">
      <c r="B290" s="489"/>
      <c r="C290" s="74"/>
      <c r="D290" s="75">
        <f>I168-I170</f>
        <v>2.802738917372153E-2</v>
      </c>
      <c r="E290" s="211">
        <f>L168-L170</f>
        <v>3.8052786923849238E-2</v>
      </c>
      <c r="F290" s="75">
        <f>O168-O170</f>
        <v>6.0000000000000053E-3</v>
      </c>
      <c r="G290" s="75">
        <f>R168-R170</f>
        <v>1.0000000000000009E-3</v>
      </c>
      <c r="H290" s="71"/>
      <c r="I290" s="71"/>
      <c r="J290" s="71"/>
      <c r="K290" s="71"/>
      <c r="L290" s="210">
        <f>K232-I230</f>
        <v>6.0513173855287705E-2</v>
      </c>
      <c r="M290" s="210">
        <f>N232-L230</f>
        <v>7.815378139605117E-2</v>
      </c>
      <c r="N290" s="210">
        <f>Q232-O230</f>
        <v>9.000000000000008E-3</v>
      </c>
      <c r="O290" s="210">
        <f>T232-R230</f>
        <v>1.0000000000000009E-3</v>
      </c>
      <c r="P290" s="71"/>
      <c r="Q290" s="70"/>
      <c r="R290" s="70"/>
      <c r="S290" s="70"/>
      <c r="T290" s="70"/>
      <c r="U290" s="70"/>
      <c r="V290" s="137"/>
      <c r="W290" s="489"/>
    </row>
    <row r="291" spans="2:23" ht="15" x14ac:dyDescent="0.25">
      <c r="B291" s="489"/>
      <c r="C291" s="74"/>
      <c r="D291" s="75">
        <f>K170-I168</f>
        <v>4.8436447618485805E-2</v>
      </c>
      <c r="E291" s="211">
        <f>N170-L168</f>
        <v>5.9915575166467894E-2</v>
      </c>
      <c r="F291" s="75">
        <f>Q170-O168</f>
        <v>6.0000000000000053E-3</v>
      </c>
      <c r="G291" s="75">
        <f>T170-R168</f>
        <v>1.0000000000000009E-3</v>
      </c>
      <c r="H291" s="71"/>
      <c r="I291" s="71"/>
      <c r="J291" s="71"/>
      <c r="K291" s="71"/>
      <c r="L291" s="210">
        <f>I230-I232</f>
        <v>4.5368017814308825E-2</v>
      </c>
      <c r="M291" s="210">
        <f>L230-L232</f>
        <v>6.2745659492071948E-2</v>
      </c>
      <c r="N291" s="210">
        <f>O230-O232</f>
        <v>9.000000000000008E-3</v>
      </c>
      <c r="O291" s="210">
        <f>R230-R232</f>
        <v>1.0000000000000009E-3</v>
      </c>
      <c r="P291" s="71"/>
      <c r="Q291" s="70"/>
      <c r="R291" s="70"/>
      <c r="S291" s="70"/>
      <c r="T291" s="70"/>
      <c r="U291" s="70"/>
      <c r="V291" s="137"/>
      <c r="W291" s="489"/>
    </row>
    <row r="292" spans="2:23" ht="15" x14ac:dyDescent="0.25">
      <c r="B292" s="489"/>
      <c r="C292" s="71" t="s">
        <v>608</v>
      </c>
      <c r="D292" s="75">
        <f>I176</f>
        <v>5.5214723926380369E-2</v>
      </c>
      <c r="E292" s="211">
        <f>L176</f>
        <v>0.10179640718562874</v>
      </c>
      <c r="F292" s="75">
        <f>O176</f>
        <v>0.08</v>
      </c>
      <c r="G292" s="75">
        <f>R176</f>
        <v>9.4E-2</v>
      </c>
      <c r="H292" s="71"/>
      <c r="I292" s="71"/>
      <c r="J292" s="71"/>
      <c r="K292" s="71" t="s">
        <v>608</v>
      </c>
      <c r="L292" s="210">
        <f>I238</f>
        <v>0.17543859649122806</v>
      </c>
      <c r="M292" s="210">
        <f>L238</f>
        <v>0.23353293413173654</v>
      </c>
      <c r="N292" s="210">
        <f>O238</f>
        <v>0.159</v>
      </c>
      <c r="O292" s="210">
        <f>R238</f>
        <v>0.19</v>
      </c>
      <c r="P292" s="210"/>
      <c r="Q292" s="607"/>
      <c r="R292" s="148"/>
      <c r="S292" s="607"/>
      <c r="T292" s="607"/>
      <c r="U292" s="148"/>
      <c r="V292" s="137"/>
      <c r="W292" s="489"/>
    </row>
    <row r="293" spans="2:23" ht="15" x14ac:dyDescent="0.25">
      <c r="B293" s="489"/>
      <c r="C293" s="74"/>
      <c r="D293" s="75">
        <f>I176-I178</f>
        <v>2.5897355171034496E-2</v>
      </c>
      <c r="E293" s="211">
        <f>L176-L178</f>
        <v>3.726424956854299E-2</v>
      </c>
      <c r="F293" s="75">
        <f>O176-O178</f>
        <v>6.0000000000000053E-3</v>
      </c>
      <c r="G293" s="75">
        <f>R176-R178</f>
        <v>1.0000000000000009E-3</v>
      </c>
      <c r="H293" s="71"/>
      <c r="I293" s="71"/>
      <c r="J293" s="71"/>
      <c r="K293" s="71"/>
      <c r="L293" s="210">
        <f>K240-I238</f>
        <v>6.3956910523117499E-2</v>
      </c>
      <c r="M293" s="210">
        <f>N240-L238</f>
        <v>6.9715288703934508E-2</v>
      </c>
      <c r="N293" s="210">
        <f>Q240-O238</f>
        <v>9.000000000000008E-3</v>
      </c>
      <c r="O293" s="210">
        <f>T240-R238</f>
        <v>1.0000000000000009E-3</v>
      </c>
      <c r="P293" s="71"/>
      <c r="Q293" s="70"/>
      <c r="R293" s="70"/>
      <c r="S293" s="70"/>
      <c r="T293" s="70"/>
      <c r="U293" s="70"/>
      <c r="V293" s="137"/>
      <c r="W293" s="489"/>
    </row>
    <row r="294" spans="2:23" ht="15" x14ac:dyDescent="0.25">
      <c r="B294" s="489"/>
      <c r="C294" s="74"/>
      <c r="D294" s="75">
        <f>K178-I176</f>
        <v>4.6379366466849758E-2</v>
      </c>
      <c r="E294" s="211">
        <f>N178-L176</f>
        <v>5.5171878250809547E-2</v>
      </c>
      <c r="F294" s="75">
        <f>Q178-O176</f>
        <v>6.0000000000000053E-3</v>
      </c>
      <c r="G294" s="75">
        <f>T178-R176</f>
        <v>1.0000000000000009E-3</v>
      </c>
      <c r="H294" s="71"/>
      <c r="I294" s="71"/>
      <c r="J294" s="71"/>
      <c r="K294" s="71"/>
      <c r="L294" s="210">
        <f>I238-I240</f>
        <v>4.9694969736587408E-2</v>
      </c>
      <c r="M294" s="210">
        <f>L238-L240</f>
        <v>5.7731988307530624E-2</v>
      </c>
      <c r="N294" s="210">
        <f>O238-O240</f>
        <v>1.2000000000000011E-2</v>
      </c>
      <c r="O294" s="210">
        <f>R238-R240</f>
        <v>1.0000000000000009E-3</v>
      </c>
      <c r="P294" s="71"/>
      <c r="Q294" s="70"/>
      <c r="R294" s="70"/>
      <c r="S294" s="70"/>
      <c r="T294" s="70"/>
      <c r="U294" s="70"/>
      <c r="V294" s="137"/>
      <c r="W294" s="489"/>
    </row>
    <row r="295" spans="2:23" ht="15" x14ac:dyDescent="0.25">
      <c r="B295" s="489"/>
      <c r="C295" s="71" t="s">
        <v>612</v>
      </c>
      <c r="D295" s="75">
        <f>I184</f>
        <v>6.9230769230769235E-2</v>
      </c>
      <c r="E295" s="211">
        <f>L184</f>
        <v>0.10135135135135136</v>
      </c>
      <c r="F295" s="75">
        <f>O184</f>
        <v>7.9000000000000001E-2</v>
      </c>
      <c r="G295" s="75">
        <f>R184</f>
        <v>9.5000000000000001E-2</v>
      </c>
      <c r="H295" s="210"/>
      <c r="I295" s="210"/>
      <c r="J295" s="74"/>
      <c r="K295" s="210" t="s">
        <v>612</v>
      </c>
      <c r="L295" s="210">
        <f>I246</f>
        <v>0.18324607329842932</v>
      </c>
      <c r="M295" s="210">
        <f>L246</f>
        <v>0.22033898305084745</v>
      </c>
      <c r="N295" s="210">
        <f>O246</f>
        <v>0.156</v>
      </c>
      <c r="O295" s="210">
        <f>R246</f>
        <v>0.192</v>
      </c>
      <c r="P295" s="210"/>
      <c r="Q295" s="607"/>
      <c r="R295" s="148"/>
      <c r="S295" s="607"/>
      <c r="T295" s="607"/>
      <c r="U295" s="148"/>
      <c r="V295" s="210">
        <f>S246</f>
        <v>0</v>
      </c>
      <c r="W295" s="489"/>
    </row>
    <row r="296" spans="2:23" ht="15" x14ac:dyDescent="0.25">
      <c r="B296" s="489"/>
      <c r="C296" s="74"/>
      <c r="D296" s="75">
        <f>I184-I186</f>
        <v>3.2383650085774991E-2</v>
      </c>
      <c r="E296" s="211">
        <f>L184-L186</f>
        <v>3.8964951820615081E-2</v>
      </c>
      <c r="F296" s="75">
        <f>O184-O186</f>
        <v>6.0000000000000053E-3</v>
      </c>
      <c r="G296" s="75">
        <f>R184-R186</f>
        <v>1.0000000000000009E-3</v>
      </c>
      <c r="H296" s="71"/>
      <c r="I296" s="71"/>
      <c r="J296" s="71"/>
      <c r="K296" s="71"/>
      <c r="L296" s="210">
        <f>K248-I246</f>
        <v>6.0924192529133919E-2</v>
      </c>
      <c r="M296" s="210">
        <f>N248-L246</f>
        <v>6.6640442088269664E-2</v>
      </c>
      <c r="N296" s="210">
        <f>Q248-O246</f>
        <v>9.000000000000008E-3</v>
      </c>
      <c r="O296" s="210">
        <f>T248-R246</f>
        <v>1.0000000000000009E-3</v>
      </c>
      <c r="P296" s="71"/>
      <c r="Q296" s="70"/>
      <c r="R296" s="70"/>
      <c r="S296" s="70"/>
      <c r="T296" s="70"/>
      <c r="U296" s="70"/>
      <c r="V296" s="137"/>
      <c r="W296" s="489"/>
    </row>
    <row r="297" spans="2:23" ht="15" x14ac:dyDescent="0.25">
      <c r="B297" s="489"/>
      <c r="C297" s="74"/>
      <c r="D297" s="75">
        <f>K186-I184</f>
        <v>5.7111148960977409E-2</v>
      </c>
      <c r="E297" s="211">
        <f>N186-L184</f>
        <v>5.9135890371956643E-2</v>
      </c>
      <c r="F297" s="75">
        <f>Q186-O184</f>
        <v>6.0000000000000053E-3</v>
      </c>
      <c r="G297" s="75">
        <f>T186-R184</f>
        <v>1.0000000000000009E-3</v>
      </c>
      <c r="H297" s="71"/>
      <c r="I297" s="71"/>
      <c r="J297" s="71"/>
      <c r="K297" s="71"/>
      <c r="L297" s="210">
        <f>I246-I248</f>
        <v>4.8434066730629971E-2</v>
      </c>
      <c r="M297" s="210">
        <f>L246-L248</f>
        <v>5.4759247506348058E-2</v>
      </c>
      <c r="N297" s="210">
        <f>O246-O248</f>
        <v>9.000000000000008E-3</v>
      </c>
      <c r="O297" s="210">
        <f>R246-R248</f>
        <v>1.0000000000000009E-3</v>
      </c>
      <c r="P297" s="71"/>
      <c r="Q297" s="70"/>
      <c r="R297" s="70"/>
      <c r="S297" s="70"/>
      <c r="T297" s="70"/>
      <c r="U297" s="70"/>
      <c r="V297" s="137"/>
      <c r="W297" s="489"/>
    </row>
    <row r="298" spans="2:23" ht="15" x14ac:dyDescent="0.25">
      <c r="B298" s="489"/>
      <c r="C298" s="71" t="s">
        <v>613</v>
      </c>
      <c r="D298" s="75">
        <f>I192</f>
        <v>9.696969696969697E-2</v>
      </c>
      <c r="E298" s="211">
        <f>L192</f>
        <v>0.11891891891891893</v>
      </c>
      <c r="F298" s="75">
        <f>O192</f>
        <v>8.5000000000000006E-2</v>
      </c>
      <c r="G298" s="75">
        <f>R192</f>
        <v>9.2999999999999999E-2</v>
      </c>
      <c r="H298" s="210"/>
      <c r="I298" s="210"/>
      <c r="J298" s="74"/>
      <c r="K298" s="210" t="s">
        <v>613</v>
      </c>
      <c r="L298" s="210">
        <f>I254</f>
        <v>9.6774193548387094E-2</v>
      </c>
      <c r="M298" s="210">
        <f>L254</f>
        <v>0.20624999999999999</v>
      </c>
      <c r="N298" s="210">
        <f>O254</f>
        <v>0.14699999999999999</v>
      </c>
      <c r="O298" s="210">
        <f>R254</f>
        <v>0.189</v>
      </c>
      <c r="P298" s="210"/>
      <c r="Q298" s="607"/>
      <c r="R298" s="148"/>
      <c r="S298" s="607"/>
      <c r="T298" s="607"/>
      <c r="U298" s="148"/>
      <c r="V298" s="137"/>
      <c r="W298" s="489"/>
    </row>
    <row r="299" spans="2:23" s="67" customFormat="1" ht="15" x14ac:dyDescent="0.25">
      <c r="B299" s="489"/>
      <c r="C299" s="71"/>
      <c r="D299" s="75">
        <f>I192-I194</f>
        <v>3.6397691800516219E-2</v>
      </c>
      <c r="E299" s="211">
        <f>L192-L194</f>
        <v>3.9061390396430862E-2</v>
      </c>
      <c r="F299" s="75">
        <f>O192-O194</f>
        <v>6.0000000000000053E-3</v>
      </c>
      <c r="G299" s="75">
        <f>R192-R194</f>
        <v>1.0000000000000009E-3</v>
      </c>
      <c r="H299" s="210"/>
      <c r="I299" s="210"/>
      <c r="J299" s="74"/>
      <c r="K299" s="210"/>
      <c r="L299" s="210">
        <f>K256-I254</f>
        <v>5.0999737335807621E-2</v>
      </c>
      <c r="M299" s="210">
        <f>N256-L254</f>
        <v>6.9223775993319248E-2</v>
      </c>
      <c r="N299" s="210">
        <f>Q256-O254</f>
        <v>8.0000000000000071E-3</v>
      </c>
      <c r="O299" s="210">
        <f>T256-R254</f>
        <v>1.0000000000000009E-3</v>
      </c>
      <c r="P299" s="210"/>
      <c r="Q299" s="607"/>
      <c r="R299" s="148"/>
      <c r="S299" s="607"/>
      <c r="T299" s="607"/>
      <c r="U299" s="148"/>
      <c r="V299" s="208"/>
      <c r="W299" s="489"/>
    </row>
    <row r="300" spans="2:23" s="67" customFormat="1" ht="13.5" customHeight="1" x14ac:dyDescent="0.25">
      <c r="B300" s="489"/>
      <c r="C300" s="71"/>
      <c r="D300" s="75">
        <f>K194-I192</f>
        <v>5.4737077439525203E-2</v>
      </c>
      <c r="E300" s="211">
        <f>N194-L192</f>
        <v>5.456547821126348E-2</v>
      </c>
      <c r="F300" s="75">
        <f>Q194-O192</f>
        <v>6.0000000000000053E-3</v>
      </c>
      <c r="G300" s="75">
        <f>T194-R192</f>
        <v>1.0000000000000009E-3</v>
      </c>
      <c r="H300" s="210"/>
      <c r="I300" s="210"/>
      <c r="J300" s="74"/>
      <c r="K300" s="210"/>
      <c r="L300" s="210">
        <f>I254-I256</f>
        <v>3.4681117150866241E-2</v>
      </c>
      <c r="M300" s="210">
        <f>L254-L256</f>
        <v>5.5449136330059878E-2</v>
      </c>
      <c r="N300" s="210">
        <f>O254-O256</f>
        <v>8.0000000000000071E-3</v>
      </c>
      <c r="O300" s="210">
        <f>R254-R256</f>
        <v>1.0000000000000009E-3</v>
      </c>
      <c r="P300" s="210"/>
      <c r="Q300" s="607"/>
      <c r="R300" s="148"/>
      <c r="S300" s="607"/>
      <c r="T300" s="607"/>
      <c r="U300" s="148"/>
      <c r="V300" s="208"/>
      <c r="W300" s="489"/>
    </row>
    <row r="301" spans="2:23" ht="15" x14ac:dyDescent="0.25">
      <c r="B301" s="489"/>
      <c r="C301" s="71" t="s">
        <v>502</v>
      </c>
      <c r="D301" s="75">
        <f>I200</f>
        <v>0.10256410256410256</v>
      </c>
      <c r="E301" s="211">
        <f>L200</f>
        <v>0.11206896551724138</v>
      </c>
      <c r="F301" s="75">
        <f>O200</f>
        <v>8.5063999999999987E-2</v>
      </c>
      <c r="G301" s="75">
        <f>R200</f>
        <v>9.4788999999999998E-2</v>
      </c>
      <c r="H301" s="71"/>
      <c r="I301" s="71"/>
      <c r="J301" s="71"/>
      <c r="K301" s="71" t="s">
        <v>502</v>
      </c>
      <c r="L301" s="75">
        <f>I262</f>
        <v>0.19148936170212766</v>
      </c>
      <c r="M301" s="75">
        <f>L262</f>
        <v>0.23076923076923078</v>
      </c>
      <c r="N301" s="75">
        <f>O262</f>
        <v>0.159994</v>
      </c>
      <c r="O301" s="75">
        <f>R262</f>
        <v>0.19092900000000002</v>
      </c>
      <c r="P301" s="71"/>
      <c r="Q301" s="70"/>
      <c r="R301" s="70"/>
      <c r="S301" s="70"/>
      <c r="T301" s="70"/>
      <c r="U301" s="70"/>
      <c r="V301" s="137"/>
      <c r="W301" s="489"/>
    </row>
    <row r="302" spans="2:23" s="67" customFormat="1" ht="15" x14ac:dyDescent="0.25">
      <c r="B302" s="489"/>
      <c r="C302" s="74"/>
      <c r="D302" s="75">
        <f>I200-I202</f>
        <v>4.2914480536368094E-2</v>
      </c>
      <c r="E302" s="211">
        <f>L200-L202</f>
        <v>4.5395469312579192E-2</v>
      </c>
      <c r="F302" s="75">
        <f>O200-O202</f>
        <v>7.0349999999999857E-3</v>
      </c>
      <c r="G302" s="75">
        <f>R200-R202</f>
        <v>7.4600000000001054E-4</v>
      </c>
      <c r="H302" s="71"/>
      <c r="I302" s="71"/>
      <c r="J302" s="71"/>
      <c r="K302" s="71"/>
      <c r="L302" s="75">
        <f>K264-I262</f>
        <v>6.2198398977746205E-2</v>
      </c>
      <c r="M302" s="75">
        <f>N264-L262</f>
        <v>6.9079942869381294E-2</v>
      </c>
      <c r="N302" s="75">
        <f>Q264-O262</f>
        <v>8.6070000000000035E-3</v>
      </c>
      <c r="O302" s="75">
        <f>T264-R262</f>
        <v>1.0759999999999936E-3</v>
      </c>
      <c r="P302" s="71"/>
      <c r="Q302" s="70"/>
      <c r="R302" s="70"/>
      <c r="S302" s="70"/>
      <c r="T302" s="70"/>
      <c r="U302" s="70"/>
      <c r="V302" s="208"/>
      <c r="W302" s="489"/>
    </row>
    <row r="303" spans="2:23" s="67" customFormat="1" ht="15" x14ac:dyDescent="0.25">
      <c r="B303" s="489"/>
      <c r="C303" s="74"/>
      <c r="D303" s="75">
        <f>K202-I200</f>
        <v>6.8182855293925371E-2</v>
      </c>
      <c r="E303" s="211">
        <f>N202-L200</f>
        <v>7.0265345045057465E-2</v>
      </c>
      <c r="F303" s="75">
        <f>Q202-O200</f>
        <v>7.6060000000000016E-3</v>
      </c>
      <c r="G303" s="75">
        <f>T202-R200</f>
        <v>7.5200000000000267E-4</v>
      </c>
      <c r="H303" s="71"/>
      <c r="I303" s="71"/>
      <c r="J303" s="71"/>
      <c r="K303" s="71"/>
      <c r="L303" s="75">
        <f>I262-I264</f>
        <v>4.9843083082499323E-2</v>
      </c>
      <c r="M303" s="75">
        <f>L262-L264</f>
        <v>5.7112456360988412E-2</v>
      </c>
      <c r="N303" s="75">
        <f>O262-O264</f>
        <v>8.2470000000000043E-3</v>
      </c>
      <c r="O303" s="75">
        <f>R262-R264</f>
        <v>1.0719999999999896E-3</v>
      </c>
      <c r="P303" s="71"/>
      <c r="Q303" s="70"/>
      <c r="R303" s="70"/>
      <c r="S303" s="70"/>
      <c r="T303" s="70"/>
      <c r="U303" s="70"/>
      <c r="V303" s="208"/>
      <c r="W303" s="489"/>
    </row>
    <row r="304" spans="2:23" s="67" customFormat="1" ht="15" x14ac:dyDescent="0.25">
      <c r="B304" s="489"/>
      <c r="C304" s="71" t="s">
        <v>503</v>
      </c>
      <c r="D304" s="75">
        <f>I208</f>
        <v>0.11855670103092783</v>
      </c>
      <c r="E304" s="211">
        <f>L208</f>
        <v>0.10699588477366255</v>
      </c>
      <c r="F304" s="75">
        <f>O208</f>
        <v>7.25806451612903E-2</v>
      </c>
      <c r="G304" s="75">
        <f>R208</f>
        <v>9.0805324284844002E-2</v>
      </c>
      <c r="H304" s="71"/>
      <c r="I304" s="71"/>
      <c r="J304" s="71"/>
      <c r="K304" s="71" t="s">
        <v>503</v>
      </c>
      <c r="L304" s="210">
        <f>I270</f>
        <v>0.14659685863874344</v>
      </c>
      <c r="M304" s="210">
        <f>L270</f>
        <v>0.19753086419753085</v>
      </c>
      <c r="N304" s="210">
        <f>O270</f>
        <v>0.159375420648809</v>
      </c>
      <c r="O304" s="210">
        <f>R270</f>
        <v>0.19079934415490299</v>
      </c>
      <c r="P304" s="71"/>
      <c r="Q304" s="70"/>
      <c r="R304" s="70"/>
      <c r="S304" s="70"/>
      <c r="T304" s="70"/>
      <c r="U304" s="70"/>
      <c r="V304" s="208"/>
      <c r="W304" s="489"/>
    </row>
    <row r="305" spans="2:23" s="67" customFormat="1" ht="15" x14ac:dyDescent="0.25">
      <c r="B305" s="489"/>
      <c r="C305" s="74"/>
      <c r="D305" s="75">
        <f>I208-I210</f>
        <v>3.8243719827106434E-2</v>
      </c>
      <c r="E305" s="211">
        <f>L208-L210</f>
        <v>3.2927002054915416E-2</v>
      </c>
      <c r="F305" s="75">
        <f>O208-O210</f>
        <v>5.4227296100999023E-3</v>
      </c>
      <c r="G305" s="75">
        <f>R208-R210</f>
        <v>7.1810567819981241E-4</v>
      </c>
      <c r="H305" s="71"/>
      <c r="I305" s="71"/>
      <c r="J305" s="71"/>
      <c r="K305" s="71"/>
      <c r="L305" s="210">
        <f>L304-I272</f>
        <v>4.3183334001019508E-2</v>
      </c>
      <c r="M305" s="210">
        <f>M304-L272</f>
        <v>5.3991973294214374E-2</v>
      </c>
      <c r="N305" s="210">
        <f>N304-O272</f>
        <v>8.1469507844079969E-3</v>
      </c>
      <c r="O305" s="210">
        <f>R270-R272</f>
        <v>1.0544005811919943E-3</v>
      </c>
      <c r="P305" s="71"/>
      <c r="Q305" s="71"/>
      <c r="R305" s="71"/>
      <c r="S305" s="71"/>
      <c r="T305" s="71"/>
      <c r="U305" s="71"/>
      <c r="V305" s="208"/>
      <c r="W305" s="489"/>
    </row>
    <row r="306" spans="2:23" ht="15" x14ac:dyDescent="0.25">
      <c r="B306" s="489"/>
      <c r="C306" s="71"/>
      <c r="D306" s="75">
        <f>K210-I208</f>
        <v>5.3056577901989782E-2</v>
      </c>
      <c r="E306" s="211">
        <f>N210-L208</f>
        <v>4.5159218897402639E-2</v>
      </c>
      <c r="F306" s="75">
        <f>Q210-O208</f>
        <v>5.8237910764310091E-3</v>
      </c>
      <c r="G306" s="75">
        <f>T210-R208</f>
        <v>7.2325406318779484E-4</v>
      </c>
      <c r="H306" s="71"/>
      <c r="I306" s="71"/>
      <c r="J306" s="71"/>
      <c r="K306" s="71"/>
      <c r="L306" s="211">
        <f>K272-I270</f>
        <v>5.711859832166441E-2</v>
      </c>
      <c r="M306" s="211">
        <f>N272-L270</f>
        <v>6.8004425162144277E-2</v>
      </c>
      <c r="N306" s="211">
        <f>Q272-O270</f>
        <v>8.4990355966950148E-3</v>
      </c>
      <c r="O306" s="211">
        <f>T272-R270</f>
        <v>1.0588724244570136E-3</v>
      </c>
      <c r="P306" s="71"/>
      <c r="Q306" s="71"/>
      <c r="R306" s="71"/>
      <c r="S306" s="71"/>
      <c r="T306" s="71"/>
      <c r="U306" s="71"/>
      <c r="V306" s="137"/>
      <c r="W306" s="489"/>
    </row>
    <row r="307" spans="2:23" x14ac:dyDescent="0.2">
      <c r="B307" s="489"/>
      <c r="C307" s="74" t="s">
        <v>1018</v>
      </c>
      <c r="D307" s="211">
        <f>I216</f>
        <v>8.9622641509433956E-2</v>
      </c>
      <c r="E307" s="211">
        <f>L216</f>
        <v>0.15979381443298968</v>
      </c>
      <c r="F307" s="211">
        <f>O216</f>
        <v>7.5480655115119907E-2</v>
      </c>
      <c r="G307" s="211">
        <f>R216</f>
        <v>9.3135420564633489E-2</v>
      </c>
      <c r="H307" s="74"/>
      <c r="I307" s="74"/>
      <c r="J307" s="74"/>
      <c r="K307" s="74" t="s">
        <v>1018</v>
      </c>
      <c r="L307" s="211">
        <f>I278</f>
        <v>0.21666666666666667</v>
      </c>
      <c r="M307" s="211">
        <f>L278</f>
        <v>0.2608695652173913</v>
      </c>
      <c r="N307" s="211">
        <f>O278</f>
        <v>0.16206577730815</v>
      </c>
      <c r="O307" s="211">
        <f>R278</f>
        <v>0.19829971631335902</v>
      </c>
      <c r="P307" s="74"/>
      <c r="Q307" s="74"/>
      <c r="R307" s="74"/>
      <c r="S307" s="74"/>
      <c r="T307" s="74"/>
      <c r="U307" s="74"/>
      <c r="V307" s="67"/>
      <c r="W307" s="489"/>
    </row>
    <row r="308" spans="2:23" x14ac:dyDescent="0.2">
      <c r="B308" s="489"/>
      <c r="C308" s="74"/>
      <c r="D308" s="211">
        <f>I216-I218</f>
        <v>3.1496499044766618E-2</v>
      </c>
      <c r="E308" s="211">
        <f>L216-L218</f>
        <v>4.4877639799914743E-2</v>
      </c>
      <c r="F308" s="211">
        <f>O216-O218</f>
        <v>5.4490222108150993E-3</v>
      </c>
      <c r="G308" s="211">
        <f>R216-R218</f>
        <v>7.1781945690138627E-4</v>
      </c>
      <c r="H308" s="74"/>
      <c r="I308" s="74"/>
      <c r="J308" s="74"/>
      <c r="K308" s="74"/>
      <c r="L308" s="211">
        <f>I278-I280</f>
        <v>5.3925088051463593E-2</v>
      </c>
      <c r="M308" s="211">
        <f>L278-L280</f>
        <v>6.1691316476077174E-2</v>
      </c>
      <c r="N308" s="211">
        <f>O278-O280</f>
        <v>8.129127304424999E-3</v>
      </c>
      <c r="O308" s="211">
        <f>R278-R280</f>
        <v>1.0568079360400162E-3</v>
      </c>
      <c r="P308" s="74"/>
      <c r="Q308" s="433"/>
      <c r="R308" s="433"/>
      <c r="S308" s="433"/>
      <c r="T308" s="433"/>
      <c r="U308" s="433"/>
      <c r="V308" s="67"/>
      <c r="W308" s="489"/>
    </row>
    <row r="309" spans="2:23" x14ac:dyDescent="0.2">
      <c r="B309" s="495"/>
      <c r="C309" s="74"/>
      <c r="D309" s="211">
        <f>K218-I216</f>
        <v>4.610395891091161E-2</v>
      </c>
      <c r="E309" s="211">
        <f>N218-L216</f>
        <v>5.808910781264856E-2</v>
      </c>
      <c r="F309" s="211">
        <f>Q218-O216</f>
        <v>5.8359271342182939E-3</v>
      </c>
      <c r="G309" s="211">
        <f>T218-R216</f>
        <v>7.2281827008401078E-4</v>
      </c>
      <c r="H309" s="74"/>
      <c r="I309" s="74"/>
      <c r="J309" s="74"/>
      <c r="K309" s="74"/>
      <c r="L309" s="211">
        <f>K280-I278</f>
        <v>6.576587020704433E-2</v>
      </c>
      <c r="M309" s="211">
        <f>N280-L278</f>
        <v>7.2836688818253448E-2</v>
      </c>
      <c r="N309" s="211">
        <f>Q280-O278</f>
        <v>8.4718830987550175E-3</v>
      </c>
      <c r="O309" s="211">
        <f>T280-R278</f>
        <v>1.0610640106659686E-3</v>
      </c>
      <c r="P309" s="74"/>
      <c r="Q309" s="433"/>
      <c r="R309" s="148"/>
      <c r="S309" s="148"/>
      <c r="T309" s="148"/>
      <c r="U309" s="148"/>
      <c r="V309" s="148"/>
      <c r="W309" s="495"/>
    </row>
    <row r="310" spans="2:23" s="67" customFormat="1" x14ac:dyDescent="0.2">
      <c r="B310" s="495"/>
      <c r="C310" s="74"/>
      <c r="D310" s="74"/>
      <c r="E310" s="74"/>
      <c r="F310" s="74"/>
      <c r="G310" s="74"/>
      <c r="H310" s="74"/>
      <c r="I310" s="74"/>
      <c r="J310" s="74"/>
      <c r="K310" s="74"/>
      <c r="L310" s="74"/>
      <c r="M310" s="74"/>
      <c r="N310" s="74"/>
      <c r="O310" s="74"/>
      <c r="P310" s="74"/>
      <c r="Q310" s="433"/>
      <c r="R310" s="148"/>
      <c r="S310" s="148"/>
      <c r="T310" s="148"/>
      <c r="U310" s="148"/>
      <c r="V310" s="148"/>
      <c r="W310" s="495"/>
    </row>
    <row r="311" spans="2:23" s="67" customFormat="1" x14ac:dyDescent="0.2">
      <c r="B311" s="495"/>
      <c r="C311" s="148"/>
      <c r="D311" s="148"/>
      <c r="E311" s="148"/>
      <c r="F311" s="148"/>
      <c r="G311" s="148"/>
      <c r="H311" s="148"/>
      <c r="I311" s="148"/>
      <c r="J311" s="148"/>
      <c r="K311" s="148"/>
      <c r="L311" s="148"/>
      <c r="M311" s="148"/>
      <c r="N311" s="148"/>
      <c r="O311" s="148"/>
      <c r="P311" s="148"/>
      <c r="Q311" s="148"/>
      <c r="R311" s="148"/>
      <c r="S311" s="148"/>
      <c r="T311" s="148"/>
      <c r="U311" s="148"/>
      <c r="V311" s="148"/>
      <c r="W311" s="495"/>
    </row>
    <row r="312" spans="2:23" s="67" customFormat="1" x14ac:dyDescent="0.2">
      <c r="B312" s="495"/>
      <c r="C312" s="148"/>
      <c r="D312" s="148"/>
      <c r="E312" s="148"/>
      <c r="F312" s="148"/>
      <c r="G312" s="148"/>
      <c r="H312" s="148"/>
      <c r="I312" s="148"/>
      <c r="J312" s="148"/>
      <c r="K312" s="148"/>
      <c r="L312" s="148"/>
      <c r="M312" s="148"/>
      <c r="N312" s="148"/>
      <c r="O312" s="148"/>
      <c r="P312" s="148"/>
      <c r="Q312" s="148"/>
      <c r="R312" s="148"/>
      <c r="S312" s="148"/>
      <c r="T312" s="148"/>
      <c r="U312" s="148"/>
      <c r="V312" s="148"/>
      <c r="W312" s="495"/>
    </row>
    <row r="313" spans="2:23" s="67" customFormat="1" x14ac:dyDescent="0.2">
      <c r="B313" s="495"/>
      <c r="C313" s="148"/>
      <c r="D313" s="148"/>
      <c r="E313" s="148"/>
      <c r="F313" s="148"/>
      <c r="G313" s="148"/>
      <c r="H313" s="148"/>
      <c r="I313" s="148"/>
      <c r="J313" s="148"/>
      <c r="K313" s="148"/>
      <c r="L313" s="148"/>
      <c r="M313" s="148"/>
      <c r="N313" s="148"/>
      <c r="O313" s="148"/>
      <c r="P313" s="148"/>
      <c r="Q313" s="148"/>
      <c r="R313" s="148"/>
      <c r="S313" s="148"/>
      <c r="T313" s="148"/>
      <c r="U313" s="148"/>
      <c r="V313" s="148"/>
      <c r="W313" s="495"/>
    </row>
    <row r="314" spans="2:23" s="67" customFormat="1" x14ac:dyDescent="0.2">
      <c r="B314" s="495"/>
      <c r="C314" s="148"/>
      <c r="D314" s="148"/>
      <c r="E314" s="148"/>
      <c r="F314" s="148"/>
      <c r="G314" s="148"/>
      <c r="H314" s="148"/>
      <c r="I314" s="148"/>
      <c r="J314" s="148"/>
      <c r="K314" s="148"/>
      <c r="L314" s="148"/>
      <c r="M314" s="148"/>
      <c r="N314" s="148"/>
      <c r="O314" s="148"/>
      <c r="P314" s="148"/>
      <c r="Q314" s="148"/>
      <c r="R314" s="148"/>
      <c r="S314" s="148"/>
      <c r="T314" s="148"/>
      <c r="U314" s="148"/>
      <c r="V314" s="148"/>
      <c r="W314" s="495"/>
    </row>
    <row r="315" spans="2:23" s="67" customFormat="1" x14ac:dyDescent="0.2">
      <c r="B315" s="495"/>
      <c r="C315" s="148"/>
      <c r="D315" s="148"/>
      <c r="E315" s="148"/>
      <c r="F315" s="148"/>
      <c r="G315" s="148"/>
      <c r="H315" s="148"/>
      <c r="I315" s="148"/>
      <c r="J315" s="148"/>
      <c r="K315" s="148"/>
      <c r="L315" s="148"/>
      <c r="M315" s="148"/>
      <c r="N315" s="148"/>
      <c r="O315" s="148"/>
      <c r="P315" s="148"/>
      <c r="Q315" s="148"/>
      <c r="R315" s="148"/>
      <c r="S315" s="148"/>
      <c r="T315" s="148"/>
      <c r="U315" s="148"/>
      <c r="V315" s="148"/>
      <c r="W315" s="495"/>
    </row>
    <row r="316" spans="2:23" s="67" customFormat="1" x14ac:dyDescent="0.2">
      <c r="B316" s="495"/>
      <c r="C316" s="148"/>
      <c r="D316" s="148"/>
      <c r="E316" s="148"/>
      <c r="F316" s="148"/>
      <c r="G316" s="148"/>
      <c r="H316" s="148"/>
      <c r="I316" s="148"/>
      <c r="J316" s="148"/>
      <c r="K316" s="148"/>
      <c r="L316" s="148"/>
      <c r="M316" s="148"/>
      <c r="N316" s="148"/>
      <c r="O316" s="148"/>
      <c r="P316" s="148"/>
      <c r="Q316" s="148"/>
      <c r="R316" s="148"/>
      <c r="S316" s="148"/>
      <c r="T316" s="148"/>
      <c r="U316" s="148"/>
      <c r="V316" s="148"/>
      <c r="W316" s="495"/>
    </row>
    <row r="317" spans="2:23" s="67" customFormat="1" x14ac:dyDescent="0.2">
      <c r="B317" s="495"/>
      <c r="C317" s="148"/>
      <c r="D317" s="148"/>
      <c r="E317" s="148"/>
      <c r="F317" s="148"/>
      <c r="G317" s="148"/>
      <c r="H317" s="148"/>
      <c r="I317" s="148"/>
      <c r="J317" s="148"/>
      <c r="K317" s="148"/>
      <c r="L317" s="148"/>
      <c r="M317" s="148"/>
      <c r="N317" s="148"/>
      <c r="O317" s="148"/>
      <c r="P317" s="148"/>
      <c r="Q317" s="148"/>
      <c r="R317" s="148"/>
      <c r="S317" s="148"/>
      <c r="T317" s="148"/>
      <c r="U317" s="148"/>
      <c r="V317" s="148"/>
      <c r="W317" s="495"/>
    </row>
    <row r="318" spans="2:23" s="67" customFormat="1" x14ac:dyDescent="0.2">
      <c r="B318" s="495"/>
      <c r="C318" s="148"/>
      <c r="D318" s="148"/>
      <c r="E318" s="148"/>
      <c r="F318" s="148"/>
      <c r="G318" s="148"/>
      <c r="H318" s="148"/>
      <c r="I318" s="148"/>
      <c r="J318" s="148"/>
      <c r="K318" s="148"/>
      <c r="L318" s="148"/>
      <c r="M318" s="148"/>
      <c r="N318" s="148"/>
      <c r="O318" s="148"/>
      <c r="P318" s="148"/>
      <c r="Q318" s="148"/>
      <c r="R318" s="148"/>
      <c r="S318" s="148"/>
      <c r="T318" s="148"/>
      <c r="U318" s="148"/>
      <c r="V318" s="148"/>
      <c r="W318" s="495"/>
    </row>
    <row r="319" spans="2:23" x14ac:dyDescent="0.2">
      <c r="B319" s="495"/>
      <c r="C319" s="148"/>
      <c r="D319" s="148"/>
      <c r="E319" s="148"/>
      <c r="F319" s="148"/>
      <c r="G319" s="148"/>
      <c r="H319" s="148"/>
      <c r="I319" s="148"/>
      <c r="J319" s="148"/>
      <c r="K319" s="148"/>
      <c r="L319" s="148"/>
      <c r="M319" s="148"/>
      <c r="N319" s="148"/>
      <c r="O319" s="148"/>
      <c r="P319" s="148"/>
      <c r="Q319" s="148"/>
      <c r="R319" s="148"/>
      <c r="S319" s="148"/>
      <c r="T319" s="148"/>
      <c r="U319" s="148"/>
      <c r="V319" s="148"/>
      <c r="W319" s="495"/>
    </row>
    <row r="320" spans="2:23" s="67" customFormat="1" x14ac:dyDescent="0.2">
      <c r="B320" s="495"/>
      <c r="C320" s="495"/>
      <c r="D320" s="495"/>
      <c r="E320" s="495"/>
      <c r="F320" s="495"/>
      <c r="G320" s="495"/>
      <c r="H320" s="495"/>
      <c r="I320" s="495"/>
      <c r="J320" s="495"/>
      <c r="K320" s="495"/>
      <c r="L320" s="495"/>
      <c r="M320" s="495"/>
      <c r="N320" s="495"/>
      <c r="O320" s="495"/>
      <c r="P320" s="495"/>
      <c r="Q320" s="495"/>
      <c r="R320" s="495"/>
      <c r="S320" s="495"/>
      <c r="T320" s="495"/>
      <c r="U320" s="495"/>
      <c r="V320" s="495"/>
      <c r="W320" s="495"/>
    </row>
    <row r="321" spans="2:23" x14ac:dyDescent="0.2">
      <c r="B321" s="495"/>
      <c r="C321" s="495"/>
      <c r="D321" s="495"/>
      <c r="E321" s="495"/>
      <c r="F321" s="495"/>
      <c r="G321" s="495"/>
      <c r="H321" s="495"/>
      <c r="I321" s="495"/>
      <c r="J321" s="495"/>
      <c r="K321" s="495"/>
      <c r="L321" s="495"/>
      <c r="M321" s="495"/>
      <c r="N321" s="495"/>
      <c r="O321" s="495"/>
      <c r="P321" s="495"/>
      <c r="Q321" s="495"/>
      <c r="R321" s="495"/>
      <c r="S321" s="495"/>
      <c r="T321" s="495"/>
      <c r="U321" s="495"/>
      <c r="V321" s="495"/>
      <c r="W321" s="495"/>
    </row>
    <row r="322" spans="2:23" x14ac:dyDescent="0.2">
      <c r="B322" s="495"/>
      <c r="C322" s="495"/>
      <c r="D322" s="495"/>
      <c r="E322" s="495"/>
      <c r="F322" s="495"/>
      <c r="G322" s="495"/>
      <c r="H322" s="495"/>
      <c r="I322" s="495"/>
      <c r="J322" s="495"/>
      <c r="K322" s="495"/>
      <c r="L322" s="495"/>
      <c r="M322" s="495"/>
      <c r="N322" s="495"/>
      <c r="O322" s="495"/>
      <c r="P322" s="495"/>
      <c r="Q322" s="495"/>
      <c r="R322" s="495"/>
      <c r="S322" s="495"/>
      <c r="T322" s="495"/>
      <c r="U322" s="495"/>
      <c r="V322" s="495"/>
      <c r="W322" s="495"/>
    </row>
    <row r="323" spans="2:23" x14ac:dyDescent="0.2">
      <c r="B323" s="495"/>
      <c r="C323" s="148"/>
      <c r="D323" s="148"/>
      <c r="E323" s="148"/>
      <c r="F323" s="148"/>
      <c r="G323" s="148"/>
      <c r="H323" s="148"/>
      <c r="I323" s="148"/>
      <c r="J323" s="148"/>
      <c r="K323" s="148"/>
      <c r="L323" s="148"/>
      <c r="M323" s="148"/>
      <c r="N323" s="148"/>
      <c r="O323" s="148"/>
      <c r="P323" s="148"/>
      <c r="Q323" s="148"/>
      <c r="R323" s="148"/>
      <c r="S323" s="148"/>
      <c r="T323" s="148"/>
      <c r="U323" s="148"/>
      <c r="V323" s="148"/>
      <c r="W323" s="495"/>
    </row>
    <row r="324" spans="2:23" x14ac:dyDescent="0.2">
      <c r="B324" s="495"/>
      <c r="C324" s="148"/>
      <c r="D324" s="148"/>
      <c r="E324" s="148"/>
      <c r="F324" s="148"/>
      <c r="G324" s="148"/>
      <c r="H324" s="148"/>
      <c r="I324" s="148"/>
      <c r="J324" s="148"/>
      <c r="K324" s="148"/>
      <c r="L324" s="148"/>
      <c r="M324" s="148"/>
      <c r="N324" s="148"/>
      <c r="O324" s="148"/>
      <c r="P324" s="148"/>
      <c r="Q324" s="148"/>
      <c r="R324" s="148"/>
      <c r="S324" s="148"/>
      <c r="T324" s="148"/>
      <c r="U324" s="148"/>
      <c r="V324" s="148"/>
      <c r="W324" s="495"/>
    </row>
    <row r="325" spans="2:23" x14ac:dyDescent="0.2">
      <c r="B325" s="495"/>
      <c r="C325" s="148"/>
      <c r="D325" s="148"/>
      <c r="E325" s="148"/>
      <c r="F325" s="148"/>
      <c r="G325" s="148"/>
      <c r="H325" s="148"/>
      <c r="I325" s="148"/>
      <c r="J325" s="148"/>
      <c r="K325" s="148"/>
      <c r="L325" s="148"/>
      <c r="M325" s="148"/>
      <c r="N325" s="148"/>
      <c r="O325" s="148"/>
      <c r="P325" s="148"/>
      <c r="Q325" s="148"/>
      <c r="R325" s="148"/>
      <c r="S325" s="148"/>
      <c r="T325" s="148"/>
      <c r="U325" s="148"/>
      <c r="V325" s="148"/>
      <c r="W325" s="495"/>
    </row>
    <row r="326" spans="2:23" x14ac:dyDescent="0.2">
      <c r="B326" s="495"/>
      <c r="C326" s="148"/>
      <c r="D326" s="148"/>
      <c r="E326" s="148"/>
      <c r="F326" s="148"/>
      <c r="G326" s="148"/>
      <c r="H326" s="148"/>
      <c r="I326" s="148"/>
      <c r="J326" s="148"/>
      <c r="K326" s="148"/>
      <c r="L326" s="148"/>
      <c r="M326" s="148"/>
      <c r="N326" s="148"/>
      <c r="O326" s="148"/>
      <c r="P326" s="148"/>
      <c r="Q326" s="148"/>
      <c r="R326" s="148"/>
      <c r="S326" s="148"/>
      <c r="T326" s="148"/>
      <c r="U326" s="148"/>
      <c r="V326" s="148"/>
      <c r="W326" s="495"/>
    </row>
    <row r="327" spans="2:23" x14ac:dyDescent="0.2">
      <c r="B327" s="495"/>
      <c r="C327" s="148"/>
      <c r="D327" s="148"/>
      <c r="E327" s="148"/>
      <c r="F327" s="148"/>
      <c r="G327" s="148"/>
      <c r="H327" s="148"/>
      <c r="I327" s="148"/>
      <c r="J327" s="148"/>
      <c r="K327" s="148"/>
      <c r="L327" s="148"/>
      <c r="M327" s="148"/>
      <c r="N327" s="148"/>
      <c r="O327" s="148"/>
      <c r="P327" s="148"/>
      <c r="Q327" s="148"/>
      <c r="R327" s="148"/>
      <c r="S327" s="148"/>
      <c r="T327" s="148"/>
      <c r="U327" s="148"/>
      <c r="V327" s="148"/>
      <c r="W327" s="495"/>
    </row>
    <row r="328" spans="2:23" x14ac:dyDescent="0.2">
      <c r="B328" s="495"/>
      <c r="C328" s="148"/>
      <c r="D328" s="148"/>
      <c r="E328" s="148"/>
      <c r="F328" s="148"/>
      <c r="G328" s="148"/>
      <c r="H328" s="148"/>
      <c r="I328" s="148"/>
      <c r="J328" s="148"/>
      <c r="K328" s="148"/>
      <c r="L328" s="148"/>
      <c r="M328" s="148"/>
      <c r="N328" s="148"/>
      <c r="O328" s="148"/>
      <c r="P328" s="148"/>
      <c r="Q328" s="148"/>
      <c r="R328" s="148"/>
      <c r="S328" s="148"/>
      <c r="T328" s="148"/>
      <c r="U328" s="148"/>
      <c r="V328" s="148"/>
      <c r="W328" s="495"/>
    </row>
    <row r="329" spans="2:23" x14ac:dyDescent="0.2">
      <c r="B329" s="495"/>
      <c r="C329" s="148"/>
      <c r="D329" s="148"/>
      <c r="E329" s="148"/>
      <c r="F329" s="148"/>
      <c r="G329" s="148"/>
      <c r="H329" s="148"/>
      <c r="I329" s="148"/>
      <c r="J329" s="148"/>
      <c r="K329" s="148"/>
      <c r="L329" s="148"/>
      <c r="M329" s="148"/>
      <c r="N329" s="148"/>
      <c r="O329" s="148"/>
      <c r="P329" s="148"/>
      <c r="Q329" s="148"/>
      <c r="R329" s="148"/>
      <c r="S329" s="148"/>
      <c r="T329" s="148"/>
      <c r="U329" s="148"/>
      <c r="V329" s="148"/>
      <c r="W329" s="495"/>
    </row>
    <row r="330" spans="2:23" x14ac:dyDescent="0.2">
      <c r="B330" s="495"/>
      <c r="C330" s="148"/>
      <c r="D330" s="148"/>
      <c r="E330" s="148"/>
      <c r="F330" s="148"/>
      <c r="G330" s="148"/>
      <c r="H330" s="148"/>
      <c r="I330" s="148"/>
      <c r="J330" s="148"/>
      <c r="K330" s="148"/>
      <c r="L330" s="148"/>
      <c r="M330" s="148"/>
      <c r="N330" s="148"/>
      <c r="O330" s="148"/>
      <c r="P330" s="148"/>
      <c r="Q330" s="148"/>
      <c r="R330" s="148"/>
      <c r="S330" s="148"/>
      <c r="T330" s="148"/>
      <c r="U330" s="148"/>
      <c r="V330" s="148"/>
      <c r="W330" s="495"/>
    </row>
    <row r="331" spans="2:23" x14ac:dyDescent="0.2">
      <c r="B331" s="495"/>
      <c r="C331" s="148"/>
      <c r="D331" s="148"/>
      <c r="E331" s="148"/>
      <c r="F331" s="148"/>
      <c r="G331" s="148"/>
      <c r="H331" s="148"/>
      <c r="I331" s="148"/>
      <c r="J331" s="148"/>
      <c r="K331" s="148"/>
      <c r="L331" s="148"/>
      <c r="M331" s="148"/>
      <c r="N331" s="148"/>
      <c r="O331" s="148"/>
      <c r="P331" s="148"/>
      <c r="Q331" s="148"/>
      <c r="R331" s="148"/>
      <c r="S331" s="148"/>
      <c r="T331" s="148"/>
      <c r="U331" s="148"/>
      <c r="V331" s="148"/>
      <c r="W331" s="495"/>
    </row>
    <row r="332" spans="2:23" x14ac:dyDescent="0.2">
      <c r="B332" s="495"/>
      <c r="C332" s="148"/>
      <c r="D332" s="148"/>
      <c r="E332" s="148"/>
      <c r="F332" s="148"/>
      <c r="G332" s="148"/>
      <c r="H332" s="148"/>
      <c r="I332" s="148"/>
      <c r="J332" s="148"/>
      <c r="K332" s="148"/>
      <c r="L332" s="148"/>
      <c r="M332" s="148"/>
      <c r="N332" s="148"/>
      <c r="O332" s="148"/>
      <c r="P332" s="148"/>
      <c r="Q332" s="148"/>
      <c r="R332" s="148"/>
      <c r="S332" s="148"/>
      <c r="T332" s="148"/>
      <c r="U332" s="148"/>
      <c r="V332" s="148"/>
      <c r="W332" s="495"/>
    </row>
    <row r="333" spans="2:23" x14ac:dyDescent="0.2">
      <c r="B333" s="495"/>
      <c r="C333" s="148"/>
      <c r="D333" s="148"/>
      <c r="E333" s="148"/>
      <c r="F333" s="148"/>
      <c r="G333" s="148"/>
      <c r="H333" s="148"/>
      <c r="I333" s="148"/>
      <c r="J333" s="148"/>
      <c r="K333" s="148"/>
      <c r="L333" s="148"/>
      <c r="M333" s="148"/>
      <c r="N333" s="148"/>
      <c r="O333" s="148"/>
      <c r="P333" s="148"/>
      <c r="Q333" s="148"/>
      <c r="R333" s="148"/>
      <c r="S333" s="148"/>
      <c r="T333" s="148"/>
      <c r="U333" s="148"/>
      <c r="V333" s="148"/>
      <c r="W333" s="495"/>
    </row>
    <row r="334" spans="2:23" x14ac:dyDescent="0.2">
      <c r="B334" s="495"/>
      <c r="C334" s="148"/>
      <c r="D334" s="148"/>
      <c r="E334" s="148"/>
      <c r="F334" s="148"/>
      <c r="G334" s="148"/>
      <c r="H334" s="148"/>
      <c r="I334" s="148"/>
      <c r="J334" s="148"/>
      <c r="K334" s="148"/>
      <c r="L334" s="148"/>
      <c r="M334" s="148"/>
      <c r="N334" s="148"/>
      <c r="O334" s="148"/>
      <c r="P334" s="148"/>
      <c r="Q334" s="148"/>
      <c r="R334" s="148"/>
      <c r="S334" s="148"/>
      <c r="T334" s="148"/>
      <c r="U334" s="148"/>
      <c r="V334" s="148"/>
      <c r="W334" s="495"/>
    </row>
    <row r="335" spans="2:23" x14ac:dyDescent="0.2">
      <c r="B335" s="495"/>
      <c r="C335" s="148"/>
      <c r="D335" s="148"/>
      <c r="E335" s="148"/>
      <c r="F335" s="148"/>
      <c r="G335" s="148"/>
      <c r="H335" s="148"/>
      <c r="I335" s="148"/>
      <c r="J335" s="148"/>
      <c r="K335" s="148"/>
      <c r="L335" s="148"/>
      <c r="M335" s="148"/>
      <c r="N335" s="148"/>
      <c r="O335" s="148"/>
      <c r="P335" s="148"/>
      <c r="Q335" s="148"/>
      <c r="R335" s="148"/>
      <c r="S335" s="148"/>
      <c r="T335" s="148"/>
      <c r="U335" s="148"/>
      <c r="V335" s="148"/>
      <c r="W335" s="495"/>
    </row>
    <row r="336" spans="2:23" x14ac:dyDescent="0.2">
      <c r="B336" s="495"/>
      <c r="C336" s="148"/>
      <c r="D336" s="148"/>
      <c r="E336" s="148"/>
      <c r="F336" s="148"/>
      <c r="G336" s="148"/>
      <c r="H336" s="148"/>
      <c r="I336" s="148"/>
      <c r="J336" s="148"/>
      <c r="K336" s="148"/>
      <c r="L336" s="148"/>
      <c r="M336" s="148"/>
      <c r="N336" s="148"/>
      <c r="O336" s="148"/>
      <c r="P336" s="148"/>
      <c r="Q336" s="148"/>
      <c r="R336" s="148"/>
      <c r="S336" s="148"/>
      <c r="T336" s="148"/>
      <c r="U336" s="148"/>
      <c r="V336" s="148"/>
      <c r="W336" s="495"/>
    </row>
    <row r="337" spans="2:23" x14ac:dyDescent="0.2">
      <c r="B337" s="495"/>
      <c r="C337" s="148"/>
      <c r="D337" s="148"/>
      <c r="E337" s="148"/>
      <c r="F337" s="148"/>
      <c r="G337" s="148"/>
      <c r="H337" s="148"/>
      <c r="I337" s="148"/>
      <c r="J337" s="148"/>
      <c r="K337" s="148"/>
      <c r="L337" s="148"/>
      <c r="M337" s="148"/>
      <c r="N337" s="148"/>
      <c r="O337" s="148"/>
      <c r="P337" s="148"/>
      <c r="Q337" s="148"/>
      <c r="R337" s="148"/>
      <c r="S337" s="148"/>
      <c r="T337" s="148"/>
      <c r="U337" s="148"/>
      <c r="V337" s="148"/>
      <c r="W337" s="495"/>
    </row>
    <row r="338" spans="2:23" x14ac:dyDescent="0.2">
      <c r="B338" s="495"/>
      <c r="C338" s="148"/>
      <c r="D338" s="148"/>
      <c r="E338" s="148"/>
      <c r="F338" s="148"/>
      <c r="G338" s="148"/>
      <c r="H338" s="148"/>
      <c r="I338" s="148"/>
      <c r="J338" s="148"/>
      <c r="K338" s="148"/>
      <c r="L338" s="148"/>
      <c r="M338" s="148"/>
      <c r="N338" s="148"/>
      <c r="O338" s="148"/>
      <c r="P338" s="148"/>
      <c r="Q338" s="148"/>
      <c r="R338" s="148"/>
      <c r="S338" s="148"/>
      <c r="T338" s="148"/>
      <c r="U338" s="148"/>
      <c r="V338" s="148"/>
      <c r="W338" s="495"/>
    </row>
    <row r="339" spans="2:23" x14ac:dyDescent="0.2">
      <c r="B339" s="495"/>
      <c r="C339" s="148"/>
      <c r="D339" s="148"/>
      <c r="E339" s="148"/>
      <c r="F339" s="148"/>
      <c r="G339" s="148"/>
      <c r="H339" s="148"/>
      <c r="I339" s="148"/>
      <c r="J339" s="148"/>
      <c r="K339" s="148"/>
      <c r="L339" s="148"/>
      <c r="M339" s="148"/>
      <c r="N339" s="148"/>
      <c r="O339" s="148"/>
      <c r="P339" s="148"/>
      <c r="Q339" s="148"/>
      <c r="R339" s="148"/>
      <c r="S339" s="148"/>
      <c r="T339" s="148"/>
      <c r="U339" s="148"/>
      <c r="V339" s="148"/>
      <c r="W339" s="495"/>
    </row>
    <row r="340" spans="2:23" x14ac:dyDescent="0.2">
      <c r="B340" s="495"/>
      <c r="C340" s="148"/>
      <c r="D340" s="148"/>
      <c r="E340" s="148"/>
      <c r="F340" s="148"/>
      <c r="G340" s="148"/>
      <c r="H340" s="148"/>
      <c r="I340" s="148"/>
      <c r="J340" s="148"/>
      <c r="K340" s="148"/>
      <c r="L340" s="148"/>
      <c r="M340" s="148"/>
      <c r="N340" s="148"/>
      <c r="O340" s="148"/>
      <c r="P340" s="148"/>
      <c r="Q340" s="148"/>
      <c r="R340" s="148"/>
      <c r="S340" s="148"/>
      <c r="T340" s="148"/>
      <c r="U340" s="148"/>
      <c r="V340" s="148"/>
      <c r="W340" s="495"/>
    </row>
    <row r="341" spans="2:23" ht="21" customHeight="1" x14ac:dyDescent="0.25">
      <c r="B341" s="495"/>
      <c r="C341" s="556" t="s">
        <v>1046</v>
      </c>
      <c r="D341" s="70"/>
      <c r="E341" s="70"/>
      <c r="F341" s="70"/>
      <c r="G341" s="70"/>
      <c r="H341" s="70"/>
      <c r="I341" s="70"/>
      <c r="J341" s="70"/>
      <c r="K341" s="70"/>
      <c r="L341" s="70"/>
      <c r="M341" s="70"/>
      <c r="N341" s="70"/>
      <c r="O341" s="70"/>
      <c r="P341" s="70"/>
      <c r="Q341" s="70"/>
      <c r="R341" s="70"/>
      <c r="S341" s="70"/>
      <c r="T341" s="70"/>
      <c r="U341" s="70"/>
      <c r="V341" s="70"/>
      <c r="W341" s="495"/>
    </row>
    <row r="342" spans="2:23" ht="42" customHeight="1" x14ac:dyDescent="0.25">
      <c r="B342" s="495"/>
      <c r="C342" s="748" t="s">
        <v>1031</v>
      </c>
      <c r="D342" s="748"/>
      <c r="E342" s="748"/>
      <c r="F342" s="748"/>
      <c r="G342" s="748"/>
      <c r="H342" s="748"/>
      <c r="I342" s="748"/>
      <c r="J342" s="748"/>
      <c r="K342" s="748"/>
      <c r="L342" s="748"/>
      <c r="M342" s="748"/>
      <c r="N342" s="748"/>
      <c r="O342" s="748"/>
      <c r="P342" s="748"/>
      <c r="Q342" s="748"/>
      <c r="R342" s="748"/>
      <c r="S342" s="748"/>
      <c r="T342" s="748"/>
      <c r="U342" s="748"/>
      <c r="V342" s="70"/>
      <c r="W342" s="495"/>
    </row>
    <row r="343" spans="2:23" ht="15" x14ac:dyDescent="0.25">
      <c r="B343" s="495"/>
      <c r="C343" s="70"/>
      <c r="D343" s="70"/>
      <c r="E343" s="70"/>
      <c r="F343" s="70"/>
      <c r="G343" s="70"/>
      <c r="H343" s="70"/>
      <c r="I343" s="70"/>
      <c r="J343" s="70"/>
      <c r="K343" s="70"/>
      <c r="L343" s="70"/>
      <c r="M343" s="70"/>
      <c r="N343" s="70"/>
      <c r="O343" s="70"/>
      <c r="P343" s="70"/>
      <c r="Q343" s="70"/>
      <c r="R343" s="70"/>
      <c r="S343" s="70"/>
      <c r="T343" s="70"/>
      <c r="U343" s="70"/>
      <c r="V343" s="70"/>
      <c r="W343" s="495"/>
    </row>
    <row r="344" spans="2:23" ht="15" x14ac:dyDescent="0.25">
      <c r="B344" s="495"/>
      <c r="C344" s="70"/>
      <c r="D344" s="70"/>
      <c r="E344" s="70"/>
      <c r="F344" s="70"/>
      <c r="G344" s="70"/>
      <c r="H344" s="70"/>
      <c r="I344" s="70"/>
      <c r="J344" s="70"/>
      <c r="K344" s="70"/>
      <c r="L344" s="70"/>
      <c r="M344" s="70"/>
      <c r="N344" s="70"/>
      <c r="O344" s="70"/>
      <c r="P344" s="70"/>
      <c r="Q344" s="70"/>
      <c r="R344" s="70"/>
      <c r="S344" s="70"/>
      <c r="T344" s="70"/>
      <c r="U344" s="70"/>
      <c r="V344" s="70"/>
      <c r="W344" s="495"/>
    </row>
    <row r="345" spans="2:23" ht="15" x14ac:dyDescent="0.25">
      <c r="B345" s="495"/>
      <c r="C345" s="70"/>
      <c r="D345" s="70"/>
      <c r="E345" s="70"/>
      <c r="F345" s="70"/>
      <c r="G345" s="70"/>
      <c r="H345" s="70"/>
      <c r="I345" s="70"/>
      <c r="J345" s="70"/>
      <c r="K345" s="70"/>
      <c r="L345" s="70"/>
      <c r="M345" s="70"/>
      <c r="N345" s="70"/>
      <c r="O345" s="70"/>
      <c r="P345" s="70"/>
      <c r="Q345" s="70"/>
      <c r="R345" s="70"/>
      <c r="S345" s="70"/>
      <c r="T345" s="70"/>
      <c r="U345" s="70"/>
      <c r="V345" s="70"/>
      <c r="W345" s="495"/>
    </row>
    <row r="346" spans="2:23" ht="15" x14ac:dyDescent="0.25">
      <c r="B346" s="495"/>
      <c r="C346" s="70"/>
      <c r="D346" s="70"/>
      <c r="E346" s="70"/>
      <c r="F346" s="70"/>
      <c r="G346" s="70"/>
      <c r="H346" s="70"/>
      <c r="I346" s="70"/>
      <c r="J346" s="70"/>
      <c r="K346" s="70"/>
      <c r="L346" s="70"/>
      <c r="M346" s="70"/>
      <c r="N346" s="70"/>
      <c r="O346" s="70"/>
      <c r="P346" s="70"/>
      <c r="Q346" s="70"/>
      <c r="R346" s="70"/>
      <c r="S346" s="70"/>
      <c r="T346" s="70"/>
      <c r="U346" s="70"/>
      <c r="V346" s="70"/>
      <c r="W346" s="495"/>
    </row>
    <row r="347" spans="2:23" ht="15" x14ac:dyDescent="0.25">
      <c r="B347" s="489"/>
      <c r="C347" s="137"/>
      <c r="D347" s="137"/>
      <c r="E347" s="137"/>
      <c r="F347" s="137"/>
      <c r="G347" s="137"/>
      <c r="H347" s="137"/>
      <c r="I347" s="137"/>
      <c r="J347" s="137"/>
      <c r="K347" s="137"/>
      <c r="L347" s="137"/>
      <c r="M347" s="137"/>
      <c r="N347" s="137"/>
      <c r="O347" s="137"/>
      <c r="P347" s="137"/>
      <c r="Q347" s="137"/>
      <c r="R347" s="137"/>
      <c r="S347" s="137"/>
      <c r="T347" s="137"/>
      <c r="U347" s="137"/>
      <c r="V347" s="137"/>
      <c r="W347" s="489"/>
    </row>
    <row r="348" spans="2:23" ht="15" x14ac:dyDescent="0.25">
      <c r="B348" s="489"/>
      <c r="C348" s="137"/>
      <c r="D348" s="137"/>
      <c r="E348" s="137"/>
      <c r="F348" s="137"/>
      <c r="G348" s="137"/>
      <c r="H348" s="137"/>
      <c r="I348" s="137"/>
      <c r="J348" s="137"/>
      <c r="K348" s="137"/>
      <c r="L348" s="137"/>
      <c r="M348" s="137"/>
      <c r="N348" s="137"/>
      <c r="O348" s="137"/>
      <c r="P348" s="137"/>
      <c r="Q348" s="137"/>
      <c r="R348" s="137"/>
      <c r="S348" s="137"/>
      <c r="T348" s="137"/>
      <c r="U348" s="137"/>
      <c r="V348" s="137"/>
      <c r="W348" s="489"/>
    </row>
    <row r="349" spans="2:23" ht="15" x14ac:dyDescent="0.25">
      <c r="B349" s="489"/>
      <c r="C349" s="137"/>
      <c r="D349" s="137"/>
      <c r="E349" s="137"/>
      <c r="F349" s="137"/>
      <c r="G349" s="137"/>
      <c r="H349" s="137"/>
      <c r="I349" s="137"/>
      <c r="J349" s="137"/>
      <c r="K349" s="137"/>
      <c r="L349" s="137"/>
      <c r="M349" s="137"/>
      <c r="N349" s="137"/>
      <c r="O349" s="137"/>
      <c r="P349" s="137"/>
      <c r="Q349" s="137"/>
      <c r="R349" s="137"/>
      <c r="S349" s="137"/>
      <c r="T349" s="137"/>
      <c r="U349" s="137"/>
      <c r="V349" s="137"/>
      <c r="W349" s="489"/>
    </row>
    <row r="350" spans="2:23" ht="15" x14ac:dyDescent="0.25">
      <c r="B350" s="489"/>
      <c r="C350" s="137"/>
      <c r="D350" s="137"/>
      <c r="E350" s="137"/>
      <c r="F350" s="137"/>
      <c r="G350" s="137"/>
      <c r="H350" s="137"/>
      <c r="I350" s="137"/>
      <c r="J350" s="137"/>
      <c r="K350" s="137"/>
      <c r="L350" s="137"/>
      <c r="M350" s="137"/>
      <c r="N350" s="137"/>
      <c r="O350" s="137"/>
      <c r="P350" s="137"/>
      <c r="Q350" s="137"/>
      <c r="R350" s="137"/>
      <c r="S350" s="137"/>
      <c r="T350" s="137"/>
      <c r="U350" s="137"/>
      <c r="V350" s="137"/>
      <c r="W350" s="489"/>
    </row>
    <row r="351" spans="2:23" ht="61.5" customHeight="1" x14ac:dyDescent="0.25">
      <c r="B351" s="489"/>
      <c r="C351" s="1046" t="s">
        <v>1034</v>
      </c>
      <c r="D351" s="1046"/>
      <c r="E351" s="1046"/>
      <c r="F351" s="1046"/>
      <c r="G351" s="1046"/>
      <c r="H351" s="1046"/>
      <c r="I351" s="1046"/>
      <c r="J351" s="1046"/>
      <c r="K351" s="1046"/>
      <c r="L351" s="1046"/>
      <c r="M351" s="1046"/>
      <c r="N351" s="1046"/>
      <c r="O351" s="1046"/>
      <c r="P351" s="1046"/>
      <c r="Q351" s="1046"/>
      <c r="R351" s="1046"/>
      <c r="S351" s="1046"/>
      <c r="T351" s="1046"/>
      <c r="U351" s="1046"/>
      <c r="V351" s="137"/>
      <c r="W351" s="489"/>
    </row>
    <row r="352" spans="2:23" s="67" customFormat="1" ht="15" x14ac:dyDescent="0.25">
      <c r="B352" s="489"/>
      <c r="C352" s="147" t="s">
        <v>573</v>
      </c>
      <c r="D352" s="126"/>
      <c r="E352" s="126"/>
      <c r="K352" s="126"/>
      <c r="L352" s="126"/>
      <c r="M352" s="126"/>
      <c r="N352" s="126"/>
      <c r="O352" s="126"/>
      <c r="P352" s="126"/>
      <c r="Q352" s="126"/>
      <c r="R352" s="126"/>
      <c r="S352" s="126"/>
      <c r="T352" s="126"/>
      <c r="U352" s="126"/>
      <c r="V352" s="137"/>
      <c r="W352" s="489"/>
    </row>
    <row r="353" spans="2:23" s="67" customFormat="1" ht="26.25" customHeight="1" x14ac:dyDescent="0.25">
      <c r="B353" s="489"/>
      <c r="C353" s="126"/>
      <c r="D353" s="149" t="s">
        <v>574</v>
      </c>
      <c r="E353" s="150"/>
      <c r="F353" s="126"/>
      <c r="G353" s="126"/>
      <c r="H353" s="1197" t="s">
        <v>575</v>
      </c>
      <c r="I353" s="1197"/>
      <c r="J353" s="1197"/>
      <c r="K353" s="1197"/>
      <c r="L353" s="1197"/>
      <c r="M353" s="1197"/>
      <c r="N353" s="1197"/>
      <c r="O353" s="1197"/>
      <c r="P353" s="1197"/>
      <c r="Q353" s="1197"/>
      <c r="R353" s="1197"/>
      <c r="S353" s="1197"/>
      <c r="T353" s="1197"/>
      <c r="U353" s="1197"/>
      <c r="V353" s="137"/>
      <c r="W353" s="489"/>
    </row>
    <row r="354" spans="2:23" s="67" customFormat="1" ht="48" customHeight="1" x14ac:dyDescent="0.25">
      <c r="B354" s="489"/>
      <c r="C354" s="126"/>
      <c r="D354" s="149" t="s">
        <v>576</v>
      </c>
      <c r="E354" s="150"/>
      <c r="F354" s="126"/>
      <c r="G354" s="126"/>
      <c r="H354" s="1198" t="s">
        <v>577</v>
      </c>
      <c r="I354" s="1198"/>
      <c r="J354" s="1198"/>
      <c r="K354" s="1198"/>
      <c r="L354" s="1198"/>
      <c r="M354" s="1198"/>
      <c r="N354" s="1198"/>
      <c r="O354" s="1198"/>
      <c r="P354" s="1198"/>
      <c r="Q354" s="1198"/>
      <c r="R354" s="1198"/>
      <c r="S354" s="1198"/>
      <c r="T354" s="1198"/>
      <c r="U354" s="1198"/>
      <c r="V354" s="137"/>
      <c r="W354" s="489"/>
    </row>
    <row r="355" spans="2:23" s="67" customFormat="1" ht="15" x14ac:dyDescent="0.25">
      <c r="B355" s="489"/>
      <c r="C355" s="126"/>
      <c r="D355" s="126"/>
      <c r="E355" s="126"/>
      <c r="F355" s="126"/>
      <c r="G355" s="126"/>
      <c r="H355" s="126"/>
      <c r="I355" s="126"/>
      <c r="J355" s="126"/>
      <c r="K355" s="126"/>
      <c r="L355" s="126"/>
      <c r="M355" s="126"/>
      <c r="N355" s="126"/>
      <c r="O355" s="126"/>
      <c r="P355" s="126"/>
      <c r="Q355" s="126"/>
      <c r="R355" s="126"/>
      <c r="S355" s="126"/>
      <c r="T355" s="126"/>
      <c r="U355" s="126"/>
      <c r="V355" s="137"/>
      <c r="W355" s="489"/>
    </row>
    <row r="356" spans="2:23" ht="15" x14ac:dyDescent="0.25">
      <c r="B356" s="489"/>
      <c r="C356" s="137"/>
      <c r="D356" s="137"/>
      <c r="E356" s="137"/>
      <c r="F356" s="137"/>
      <c r="G356" s="137"/>
      <c r="H356" s="137"/>
      <c r="I356" s="137"/>
      <c r="J356" s="137"/>
      <c r="K356" s="137"/>
      <c r="L356" s="137"/>
      <c r="M356" s="137"/>
      <c r="N356" s="137"/>
      <c r="O356" s="137"/>
      <c r="P356" s="137"/>
      <c r="Q356" s="137"/>
      <c r="R356" s="137"/>
      <c r="S356" s="137"/>
      <c r="T356" s="137"/>
      <c r="U356" s="137"/>
      <c r="V356" s="137"/>
      <c r="W356" s="489"/>
    </row>
    <row r="357" spans="2:23" s="67" customFormat="1" ht="15" x14ac:dyDescent="0.25">
      <c r="B357" s="489"/>
      <c r="C357" s="524"/>
      <c r="D357" s="1201"/>
      <c r="E357" s="1202"/>
      <c r="F357" s="1207" t="s">
        <v>612</v>
      </c>
      <c r="G357" s="1208"/>
      <c r="H357" s="1208"/>
      <c r="I357" s="1208"/>
      <c r="J357" s="1208"/>
      <c r="K357" s="1208"/>
      <c r="L357" s="1208"/>
      <c r="M357" s="1209"/>
      <c r="N357" s="1207" t="s">
        <v>503</v>
      </c>
      <c r="O357" s="1208"/>
      <c r="P357" s="1208"/>
      <c r="Q357" s="1208"/>
      <c r="R357" s="1208"/>
      <c r="S357" s="1208"/>
      <c r="T357" s="1208"/>
      <c r="U357" s="1209"/>
      <c r="V357" s="524"/>
      <c r="W357" s="489"/>
    </row>
    <row r="358" spans="2:23" ht="15" customHeight="1" x14ac:dyDescent="0.25">
      <c r="B358" s="489"/>
      <c r="C358" s="137"/>
      <c r="D358" s="1203"/>
      <c r="E358" s="1204"/>
      <c r="F358" s="1190" t="s">
        <v>528</v>
      </c>
      <c r="G358" s="1190"/>
      <c r="H358" s="1190"/>
      <c r="I358" s="1191"/>
      <c r="J358" s="1189" t="s">
        <v>529</v>
      </c>
      <c r="K358" s="1190"/>
      <c r="L358" s="1190"/>
      <c r="M358" s="1191"/>
      <c r="N358" s="1190" t="s">
        <v>528</v>
      </c>
      <c r="O358" s="1190"/>
      <c r="P358" s="1190"/>
      <c r="Q358" s="1191"/>
      <c r="R358" s="1189" t="s">
        <v>529</v>
      </c>
      <c r="S358" s="1190"/>
      <c r="T358" s="1190"/>
      <c r="U358" s="1191"/>
      <c r="V358" s="137"/>
      <c r="W358" s="489"/>
    </row>
    <row r="359" spans="2:23" ht="15" x14ac:dyDescent="0.25">
      <c r="B359" s="489"/>
      <c r="C359" s="137"/>
      <c r="D359" s="1203"/>
      <c r="E359" s="1204"/>
      <c r="F359" s="1193"/>
      <c r="G359" s="1193"/>
      <c r="H359" s="1193"/>
      <c r="I359" s="1194"/>
      <c r="J359" s="1192"/>
      <c r="K359" s="1193"/>
      <c r="L359" s="1193"/>
      <c r="M359" s="1194"/>
      <c r="N359" s="1193"/>
      <c r="O359" s="1193"/>
      <c r="P359" s="1193"/>
      <c r="Q359" s="1194"/>
      <c r="R359" s="1192"/>
      <c r="S359" s="1193"/>
      <c r="T359" s="1193"/>
      <c r="U359" s="1194"/>
      <c r="V359" s="137"/>
      <c r="W359" s="489"/>
    </row>
    <row r="360" spans="2:23" ht="30.75" customHeight="1" x14ac:dyDescent="0.25">
      <c r="B360" s="489"/>
      <c r="C360" s="137"/>
      <c r="D360" s="1205"/>
      <c r="E360" s="1206"/>
      <c r="F360" s="1199" t="s">
        <v>525</v>
      </c>
      <c r="G360" s="1200"/>
      <c r="H360" s="553" t="s">
        <v>526</v>
      </c>
      <c r="I360" s="553" t="s">
        <v>527</v>
      </c>
      <c r="J360" s="1187" t="s">
        <v>1036</v>
      </c>
      <c r="K360" s="1188"/>
      <c r="L360" s="553" t="s">
        <v>526</v>
      </c>
      <c r="M360" s="553" t="s">
        <v>527</v>
      </c>
      <c r="N360" s="1199" t="s">
        <v>525</v>
      </c>
      <c r="O360" s="1200"/>
      <c r="P360" s="553" t="s">
        <v>526</v>
      </c>
      <c r="Q360" s="553" t="s">
        <v>527</v>
      </c>
      <c r="R360" s="1187" t="s">
        <v>1037</v>
      </c>
      <c r="S360" s="1188"/>
      <c r="T360" s="553" t="s">
        <v>526</v>
      </c>
      <c r="U360" s="553" t="s">
        <v>527</v>
      </c>
      <c r="V360" s="137"/>
      <c r="W360" s="489"/>
    </row>
    <row r="361" spans="2:23" ht="16.5" customHeight="1" x14ac:dyDescent="0.25">
      <c r="B361" s="489"/>
      <c r="C361" s="137"/>
      <c r="D361" s="554" t="s">
        <v>398</v>
      </c>
      <c r="E361" s="555"/>
      <c r="F361" s="1060">
        <v>0.19400000000000001</v>
      </c>
      <c r="G361" s="1062"/>
      <c r="H361" s="312">
        <v>5.8000000000000003E-2</v>
      </c>
      <c r="I361" s="312">
        <v>0.33</v>
      </c>
      <c r="J361" s="1219">
        <v>4.03</v>
      </c>
      <c r="K361" s="1220"/>
      <c r="L361" s="559">
        <v>1.7999999999999998</v>
      </c>
      <c r="M361" s="559">
        <v>6.3</v>
      </c>
      <c r="N361" s="1234" t="s">
        <v>1032</v>
      </c>
      <c r="O361" s="1235"/>
      <c r="P361" s="1235"/>
      <c r="Q361" s="1235"/>
      <c r="R361" s="1235"/>
      <c r="S361" s="1235"/>
      <c r="T361" s="1235"/>
      <c r="U361" s="1236"/>
      <c r="V361" s="137"/>
      <c r="W361" s="489"/>
    </row>
    <row r="362" spans="2:23" ht="16.5" customHeight="1" x14ac:dyDescent="0.25">
      <c r="B362" s="489"/>
      <c r="C362" s="137"/>
      <c r="D362" s="520" t="s">
        <v>82</v>
      </c>
      <c r="E362" s="521"/>
      <c r="F362" s="1060">
        <v>0.22800000000000001</v>
      </c>
      <c r="G362" s="1062"/>
      <c r="H362" s="312">
        <v>0.09</v>
      </c>
      <c r="I362" s="312">
        <v>0.36599999999999999</v>
      </c>
      <c r="J362" s="1219">
        <v>2.86</v>
      </c>
      <c r="K362" s="1220"/>
      <c r="L362" s="559">
        <v>1.2</v>
      </c>
      <c r="M362" s="559">
        <v>4.5999999999999996</v>
      </c>
      <c r="N362" s="1234" t="s">
        <v>530</v>
      </c>
      <c r="O362" s="1235"/>
      <c r="P362" s="1235"/>
      <c r="Q362" s="1235"/>
      <c r="R362" s="1235"/>
      <c r="S362" s="1235"/>
      <c r="T362" s="1235"/>
      <c r="U362" s="1236"/>
      <c r="V362" s="137"/>
      <c r="W362" s="489"/>
    </row>
    <row r="363" spans="2:23" ht="16.5" customHeight="1" x14ac:dyDescent="0.25">
      <c r="B363" s="489"/>
      <c r="C363" s="137"/>
      <c r="D363" s="520" t="s">
        <v>44</v>
      </c>
      <c r="E363" s="521"/>
      <c r="F363" s="1060">
        <v>8.4000000000000005E-2</v>
      </c>
      <c r="G363" s="1062"/>
      <c r="H363" s="312">
        <v>1.2E-2</v>
      </c>
      <c r="I363" s="312">
        <v>0.156</v>
      </c>
      <c r="J363" s="1219">
        <v>3.2300000000000004</v>
      </c>
      <c r="K363" s="1220"/>
      <c r="L363" s="559">
        <v>1.7000000000000002</v>
      </c>
      <c r="M363" s="559">
        <v>4.7</v>
      </c>
      <c r="N363" s="1060">
        <v>0.23300000000000001</v>
      </c>
      <c r="O363" s="1062"/>
      <c r="P363" s="312">
        <v>8.9399999999999993E-2</v>
      </c>
      <c r="Q363" s="312">
        <v>0.3765</v>
      </c>
      <c r="R363" s="1219">
        <v>2.09</v>
      </c>
      <c r="S363" s="1220"/>
      <c r="T363" s="559">
        <v>1.6400000000000001</v>
      </c>
      <c r="U363" s="559">
        <v>2.54</v>
      </c>
      <c r="V363" s="137"/>
      <c r="W363" s="489"/>
    </row>
    <row r="364" spans="2:23" ht="16.5" customHeight="1" x14ac:dyDescent="0.25">
      <c r="B364" s="489"/>
      <c r="C364" s="137"/>
      <c r="D364" s="520" t="s">
        <v>79</v>
      </c>
      <c r="E364" s="521"/>
      <c r="F364" s="1060">
        <v>0.17699999999999999</v>
      </c>
      <c r="G364" s="1062"/>
      <c r="H364" s="312">
        <v>7.5999999999999998E-2</v>
      </c>
      <c r="I364" s="312">
        <v>0.27900000000000003</v>
      </c>
      <c r="J364" s="1219">
        <v>2.36</v>
      </c>
      <c r="K364" s="1220"/>
      <c r="L364" s="559">
        <v>1.2</v>
      </c>
      <c r="M364" s="559">
        <v>3.5000000000000004</v>
      </c>
      <c r="N364" s="1060">
        <v>0.253</v>
      </c>
      <c r="O364" s="1062"/>
      <c r="P364" s="312">
        <v>0.14630000000000001</v>
      </c>
      <c r="Q364" s="312">
        <v>0.35970000000000002</v>
      </c>
      <c r="R364" s="1219">
        <v>3.61</v>
      </c>
      <c r="S364" s="1220"/>
      <c r="T364" s="559">
        <v>1.78</v>
      </c>
      <c r="U364" s="559">
        <v>5.45</v>
      </c>
      <c r="V364" s="137"/>
      <c r="W364" s="489"/>
    </row>
    <row r="365" spans="2:23" ht="16.5" customHeight="1" x14ac:dyDescent="0.25">
      <c r="B365" s="489"/>
      <c r="C365" s="137"/>
      <c r="D365" s="520" t="s">
        <v>83</v>
      </c>
      <c r="E365" s="521"/>
      <c r="F365" s="1060">
        <v>8.1000000000000003E-2</v>
      </c>
      <c r="G365" s="1062"/>
      <c r="H365" s="312">
        <v>1.2999999999999999E-2</v>
      </c>
      <c r="I365" s="312">
        <v>0.14799999999999999</v>
      </c>
      <c r="J365" s="1219">
        <v>1.9</v>
      </c>
      <c r="K365" s="1220"/>
      <c r="L365" s="559">
        <v>1</v>
      </c>
      <c r="M365" s="559">
        <v>2.8000000000000003</v>
      </c>
      <c r="N365" s="1060">
        <v>0.13300000000000001</v>
      </c>
      <c r="O365" s="1062"/>
      <c r="P365" s="312">
        <v>6.5100000000000005E-2</v>
      </c>
      <c r="Q365" s="312">
        <v>0.2019</v>
      </c>
      <c r="R365" s="1221">
        <v>3.11</v>
      </c>
      <c r="S365" s="1222"/>
      <c r="T365" s="562">
        <v>0.83</v>
      </c>
      <c r="U365" s="562">
        <v>5.4</v>
      </c>
      <c r="V365" s="137"/>
      <c r="W365" s="489"/>
    </row>
    <row r="366" spans="2:23" ht="16.5" customHeight="1" x14ac:dyDescent="0.25">
      <c r="B366" s="489"/>
      <c r="C366" s="137"/>
      <c r="D366" s="520" t="s">
        <v>80</v>
      </c>
      <c r="E366" s="521"/>
      <c r="F366" s="1060">
        <v>6.9000000000000006E-2</v>
      </c>
      <c r="G366" s="1062"/>
      <c r="H366" s="312">
        <v>0</v>
      </c>
      <c r="I366" s="312">
        <v>0.14399999999999999</v>
      </c>
      <c r="J366" s="1219">
        <v>2</v>
      </c>
      <c r="K366" s="1220"/>
      <c r="L366" s="559">
        <v>0</v>
      </c>
      <c r="M366" s="559">
        <v>4</v>
      </c>
      <c r="N366" s="1060">
        <v>0.128</v>
      </c>
      <c r="O366" s="1062"/>
      <c r="P366" s="312">
        <v>8.48E-2</v>
      </c>
      <c r="Q366" s="312">
        <v>0.1709</v>
      </c>
      <c r="R366" s="1221">
        <v>2.4</v>
      </c>
      <c r="S366" s="1222"/>
      <c r="T366" s="562">
        <v>1.79</v>
      </c>
      <c r="U366" s="562">
        <v>3.01</v>
      </c>
      <c r="V366" s="137"/>
      <c r="W366" s="489"/>
    </row>
    <row r="367" spans="2:23" ht="16.5" customHeight="1" x14ac:dyDescent="0.25">
      <c r="B367" s="489"/>
      <c r="C367" s="137"/>
      <c r="D367" s="169" t="s">
        <v>81</v>
      </c>
      <c r="E367" s="170"/>
      <c r="F367" s="1227" t="s">
        <v>530</v>
      </c>
      <c r="G367" s="1228"/>
      <c r="H367" s="1228"/>
      <c r="I367" s="1228"/>
      <c r="J367" s="1228"/>
      <c r="K367" s="1228"/>
      <c r="L367" s="1228"/>
      <c r="M367" s="1229"/>
      <c r="N367" s="1060">
        <v>0.159</v>
      </c>
      <c r="O367" s="1062"/>
      <c r="P367" s="312">
        <v>9.3399999999999997E-2</v>
      </c>
      <c r="Q367" s="312">
        <v>0.22370000000000001</v>
      </c>
      <c r="R367" s="1221">
        <v>1.95</v>
      </c>
      <c r="S367" s="1222"/>
      <c r="T367" s="562">
        <v>1.3299999999999998</v>
      </c>
      <c r="U367" s="562">
        <v>2.56</v>
      </c>
      <c r="V367" s="137"/>
      <c r="W367" s="489"/>
    </row>
    <row r="368" spans="2:23" s="67" customFormat="1" ht="16.5" customHeight="1" x14ac:dyDescent="0.25">
      <c r="B368" s="489"/>
      <c r="C368" s="350"/>
      <c r="D368" s="351" t="s">
        <v>291</v>
      </c>
      <c r="E368" s="352"/>
      <c r="F368" s="1223">
        <v>0.14199999999999999</v>
      </c>
      <c r="G368" s="1224"/>
      <c r="H368" s="353">
        <v>0.10100000000000001</v>
      </c>
      <c r="I368" s="353">
        <v>0.183</v>
      </c>
      <c r="J368" s="1225">
        <v>2.93</v>
      </c>
      <c r="K368" s="1226"/>
      <c r="L368" s="560">
        <v>2.2999999999999998</v>
      </c>
      <c r="M368" s="560">
        <v>3.5999999999999996</v>
      </c>
      <c r="N368" s="1223">
        <v>0.17499999999999999</v>
      </c>
      <c r="O368" s="1224"/>
      <c r="P368" s="353">
        <v>0.14269999999999999</v>
      </c>
      <c r="Q368" s="353">
        <v>0.2074</v>
      </c>
      <c r="R368" s="1225">
        <v>2.6</v>
      </c>
      <c r="S368" s="1226"/>
      <c r="T368" s="560">
        <v>1.99</v>
      </c>
      <c r="U368" s="560">
        <v>3.25</v>
      </c>
      <c r="V368" s="350"/>
      <c r="W368" s="489"/>
    </row>
    <row r="369" spans="2:23" s="67" customFormat="1" ht="16.5" customHeight="1" x14ac:dyDescent="0.25">
      <c r="B369" s="489"/>
      <c r="C369" s="597"/>
      <c r="D369" s="595" t="s">
        <v>292</v>
      </c>
      <c r="E369" s="596"/>
      <c r="F369" s="1210">
        <v>0.21199999999999999</v>
      </c>
      <c r="G369" s="1211"/>
      <c r="H369" s="313">
        <v>0.20699999999999999</v>
      </c>
      <c r="I369" s="313">
        <v>0.217</v>
      </c>
      <c r="J369" s="1066">
        <v>3.17</v>
      </c>
      <c r="K369" s="1067"/>
      <c r="L369" s="561">
        <v>3.1</v>
      </c>
      <c r="M369" s="561">
        <v>3.24</v>
      </c>
      <c r="N369" s="1210">
        <v>0.2</v>
      </c>
      <c r="O369" s="1211"/>
      <c r="P369" s="313">
        <v>0.19359999999999999</v>
      </c>
      <c r="Q369" s="313">
        <v>0.2054</v>
      </c>
      <c r="R369" s="1066">
        <v>3.2</v>
      </c>
      <c r="S369" s="1067"/>
      <c r="T369" s="561">
        <v>3.1</v>
      </c>
      <c r="U369" s="561">
        <v>3.27</v>
      </c>
      <c r="V369" s="597"/>
      <c r="W369" s="489"/>
    </row>
    <row r="370" spans="2:23" ht="16.5" customHeight="1" x14ac:dyDescent="0.25">
      <c r="B370" s="489"/>
      <c r="C370" s="137"/>
      <c r="D370" s="163" t="s">
        <v>293</v>
      </c>
      <c r="E370" s="164"/>
      <c r="F370" s="1210">
        <v>0.27900000000000003</v>
      </c>
      <c r="G370" s="1211"/>
      <c r="H370" s="313">
        <v>0.27700000000000002</v>
      </c>
      <c r="I370" s="313">
        <v>0.28100000000000003</v>
      </c>
      <c r="J370" s="1066">
        <v>3.38</v>
      </c>
      <c r="K370" s="1067"/>
      <c r="L370" s="561">
        <v>3.3571770343595424</v>
      </c>
      <c r="M370" s="561">
        <v>3.411193142815566</v>
      </c>
      <c r="N370" s="1210">
        <v>0.247</v>
      </c>
      <c r="O370" s="1211"/>
      <c r="P370" s="313">
        <v>0.24479999999999999</v>
      </c>
      <c r="Q370" s="313">
        <v>0.24979999999999999</v>
      </c>
      <c r="R370" s="1066">
        <v>3.4000000000000004</v>
      </c>
      <c r="S370" s="1067"/>
      <c r="T370" s="561">
        <v>3.37</v>
      </c>
      <c r="U370" s="561">
        <v>3.4299999999999997</v>
      </c>
      <c r="V370" s="137"/>
      <c r="W370" s="489"/>
    </row>
    <row r="371" spans="2:23" ht="15" x14ac:dyDescent="0.25">
      <c r="B371" s="489"/>
      <c r="C371" s="137"/>
      <c r="D371" s="131" t="s">
        <v>1033</v>
      </c>
      <c r="E371" s="137"/>
      <c r="F371" s="137"/>
      <c r="G371" s="137"/>
      <c r="H371" s="137"/>
      <c r="I371" s="137"/>
      <c r="J371" s="137"/>
      <c r="K371" s="137"/>
      <c r="L371" s="137"/>
      <c r="M371" s="137"/>
      <c r="N371" s="137"/>
      <c r="O371" s="137"/>
      <c r="P371" s="137"/>
      <c r="Q371" s="137"/>
      <c r="R371" s="137"/>
      <c r="S371" s="137"/>
      <c r="T371" s="137"/>
      <c r="U371" s="137"/>
      <c r="V371" s="137"/>
      <c r="W371" s="489"/>
    </row>
    <row r="372" spans="2:23" ht="15" x14ac:dyDescent="0.25">
      <c r="B372" s="489"/>
      <c r="C372" s="137"/>
      <c r="D372" s="137"/>
      <c r="E372" s="137"/>
      <c r="F372" s="137"/>
      <c r="G372" s="137"/>
      <c r="H372" s="137"/>
      <c r="I372" s="137"/>
      <c r="J372" s="137"/>
      <c r="K372" s="137"/>
      <c r="L372" s="137"/>
      <c r="M372" s="137"/>
      <c r="N372" s="137"/>
      <c r="O372" s="137"/>
      <c r="P372" s="137"/>
      <c r="Q372" s="137"/>
      <c r="R372" s="137"/>
      <c r="S372" s="137"/>
      <c r="T372" s="137"/>
      <c r="U372" s="137"/>
      <c r="V372" s="137"/>
      <c r="W372" s="489"/>
    </row>
    <row r="373" spans="2:23" ht="15" x14ac:dyDescent="0.25">
      <c r="B373" s="489"/>
      <c r="C373" s="147" t="s">
        <v>531</v>
      </c>
      <c r="D373" s="137"/>
      <c r="E373" s="137"/>
      <c r="F373" s="137"/>
      <c r="G373" s="137"/>
      <c r="H373" s="137"/>
      <c r="I373" s="137"/>
      <c r="J373" s="137"/>
      <c r="K373" s="137"/>
      <c r="L373" s="137"/>
      <c r="M373" s="137"/>
      <c r="N373" s="137"/>
      <c r="O373" s="137"/>
      <c r="P373" s="137"/>
      <c r="Q373" s="137"/>
      <c r="R373" s="137"/>
      <c r="S373" s="137"/>
      <c r="T373" s="137"/>
      <c r="U373" s="137"/>
      <c r="V373" s="137"/>
      <c r="W373" s="489"/>
    </row>
    <row r="374" spans="2:23" ht="104.25" customHeight="1" x14ac:dyDescent="0.25">
      <c r="B374" s="489"/>
      <c r="C374" s="914" t="s">
        <v>532</v>
      </c>
      <c r="D374" s="914"/>
      <c r="E374" s="914"/>
      <c r="F374" s="914"/>
      <c r="G374" s="914"/>
      <c r="H374" s="914"/>
      <c r="I374" s="914"/>
      <c r="J374" s="914"/>
      <c r="K374" s="914"/>
      <c r="L374" s="914"/>
      <c r="M374" s="914"/>
      <c r="N374" s="914"/>
      <c r="O374" s="914"/>
      <c r="P374" s="914"/>
      <c r="Q374" s="914"/>
      <c r="R374" s="914"/>
      <c r="S374" s="914"/>
      <c r="T374" s="914"/>
      <c r="U374" s="914"/>
      <c r="V374" s="137"/>
      <c r="W374" s="489"/>
    </row>
    <row r="375" spans="2:23" s="67" customFormat="1" ht="15.75" customHeight="1" x14ac:dyDescent="0.25">
      <c r="B375" s="489"/>
      <c r="C375" s="609"/>
      <c r="D375" s="609"/>
      <c r="E375" s="609"/>
      <c r="F375" s="609"/>
      <c r="G375" s="609"/>
      <c r="H375" s="609"/>
      <c r="I375" s="609"/>
      <c r="J375" s="609"/>
      <c r="K375" s="609"/>
      <c r="L375" s="609"/>
      <c r="M375" s="609"/>
      <c r="N375" s="609"/>
      <c r="O375" s="609"/>
      <c r="P375" s="609"/>
      <c r="Q375" s="609"/>
      <c r="R375" s="609"/>
      <c r="S375" s="609"/>
      <c r="T375" s="609"/>
      <c r="U375" s="609"/>
      <c r="V375" s="612"/>
      <c r="W375" s="489"/>
    </row>
    <row r="376" spans="2:23" s="67" customFormat="1" ht="15.75" customHeight="1" x14ac:dyDescent="0.25">
      <c r="B376" s="489"/>
      <c r="C376" s="609"/>
      <c r="D376" s="609"/>
      <c r="E376" s="609"/>
      <c r="F376" s="609"/>
      <c r="G376" s="609"/>
      <c r="H376" s="609"/>
      <c r="I376" s="609"/>
      <c r="J376" s="609"/>
      <c r="K376" s="609"/>
      <c r="L376" s="609"/>
      <c r="M376" s="609"/>
      <c r="N376" s="609"/>
      <c r="O376" s="609"/>
      <c r="P376" s="609"/>
      <c r="Q376" s="609"/>
      <c r="R376" s="609"/>
      <c r="S376" s="609"/>
      <c r="T376" s="609"/>
      <c r="U376" s="609"/>
      <c r="V376" s="612"/>
      <c r="W376" s="489"/>
    </row>
    <row r="377" spans="2:23" s="67" customFormat="1" ht="15.75" customHeight="1" x14ac:dyDescent="0.25">
      <c r="B377" s="489"/>
      <c r="C377" s="609"/>
      <c r="D377" s="609"/>
      <c r="E377" s="609"/>
      <c r="F377" s="609"/>
      <c r="G377" s="609"/>
      <c r="H377" s="609"/>
      <c r="I377" s="609"/>
      <c r="J377" s="609"/>
      <c r="K377" s="609"/>
      <c r="L377" s="609"/>
      <c r="M377" s="609"/>
      <c r="N377" s="609"/>
      <c r="O377" s="609"/>
      <c r="P377" s="609"/>
      <c r="Q377" s="609"/>
      <c r="R377" s="609"/>
      <c r="S377" s="609"/>
      <c r="T377" s="609"/>
      <c r="U377" s="609"/>
      <c r="V377" s="612"/>
      <c r="W377" s="489"/>
    </row>
    <row r="378" spans="2:23" s="67" customFormat="1" ht="22.5" customHeight="1" x14ac:dyDescent="0.25">
      <c r="B378" s="489"/>
      <c r="C378" s="556" t="s">
        <v>1074</v>
      </c>
      <c r="D378" s="624"/>
      <c r="E378" s="624"/>
      <c r="F378" s="624"/>
      <c r="G378" s="624"/>
      <c r="H378" s="624"/>
      <c r="I378" s="624"/>
      <c r="J378" s="624"/>
      <c r="K378" s="624"/>
      <c r="L378" s="624"/>
      <c r="M378" s="624"/>
      <c r="N378" s="624"/>
      <c r="O378" s="624"/>
      <c r="P378" s="624"/>
      <c r="Q378" s="624"/>
      <c r="R378" s="624"/>
      <c r="S378" s="624"/>
      <c r="T378" s="624"/>
      <c r="U378" s="624"/>
      <c r="V378" s="612"/>
      <c r="W378" s="489"/>
    </row>
    <row r="379" spans="2:23" s="67" customFormat="1" ht="157.5" customHeight="1" x14ac:dyDescent="0.25">
      <c r="B379" s="489"/>
      <c r="C379" s="748" t="s">
        <v>1078</v>
      </c>
      <c r="D379" s="748"/>
      <c r="E379" s="748"/>
      <c r="F379" s="748"/>
      <c r="G379" s="748"/>
      <c r="H379" s="748"/>
      <c r="I379" s="748"/>
      <c r="J379" s="748"/>
      <c r="K379" s="748"/>
      <c r="L379" s="748"/>
      <c r="M379" s="748"/>
      <c r="N379" s="748"/>
      <c r="O379" s="748"/>
      <c r="P379" s="748"/>
      <c r="Q379" s="748"/>
      <c r="R379" s="748"/>
      <c r="S379" s="748"/>
      <c r="T379" s="748"/>
      <c r="U379" s="748"/>
      <c r="V379" s="612"/>
      <c r="W379" s="489"/>
    </row>
    <row r="380" spans="2:23" s="67" customFormat="1" ht="18" customHeight="1" x14ac:dyDescent="0.25">
      <c r="B380" s="489"/>
      <c r="C380" s="608"/>
      <c r="D380" s="608"/>
      <c r="E380" s="608"/>
      <c r="F380" s="608"/>
      <c r="G380" s="608"/>
      <c r="H380" s="608"/>
      <c r="I380" s="608"/>
      <c r="J380" s="608"/>
      <c r="K380" s="608"/>
      <c r="L380" s="608"/>
      <c r="M380" s="608"/>
      <c r="N380" s="608"/>
      <c r="O380" s="608"/>
      <c r="P380" s="608"/>
      <c r="Q380" s="608"/>
      <c r="R380" s="608"/>
      <c r="S380" s="608"/>
      <c r="T380" s="608"/>
      <c r="U380" s="608"/>
      <c r="V380" s="612"/>
      <c r="W380" s="489"/>
    </row>
    <row r="381" spans="2:23" s="67" customFormat="1" ht="18" customHeight="1" x14ac:dyDescent="0.25">
      <c r="B381" s="489"/>
      <c r="C381" s="608"/>
      <c r="D381" s="950" t="s">
        <v>440</v>
      </c>
      <c r="E381" s="951"/>
      <c r="F381" s="952" t="str">
        <f>INDEX(Locations, selection)</f>
        <v>Angmering</v>
      </c>
      <c r="G381" s="953"/>
      <c r="H381" s="954"/>
      <c r="I381" s="608"/>
      <c r="J381" s="608"/>
      <c r="K381" s="608"/>
      <c r="L381" s="608"/>
      <c r="M381" s="608"/>
      <c r="N381" s="608"/>
      <c r="O381" s="608"/>
      <c r="P381" s="608"/>
      <c r="Q381" s="608"/>
      <c r="R381" s="608"/>
      <c r="S381" s="608"/>
      <c r="T381" s="608"/>
      <c r="U381" s="608"/>
      <c r="V381" s="612"/>
      <c r="W381" s="489"/>
    </row>
    <row r="382" spans="2:23" s="67" customFormat="1" ht="18" customHeight="1" x14ac:dyDescent="0.25">
      <c r="B382" s="489"/>
      <c r="C382" s="608"/>
      <c r="D382" s="912" t="s">
        <v>817</v>
      </c>
      <c r="E382" s="912"/>
      <c r="F382" s="913" t="str">
        <f>IF(VLOOKUP(F381,Geographies,9,FALSE)="","",VLOOKUP(F381,Geographies,9,FALSE))</f>
        <v>Arun</v>
      </c>
      <c r="G382" s="913"/>
      <c r="H382" s="913"/>
      <c r="I382" s="608"/>
      <c r="J382" s="608"/>
      <c r="K382" s="608"/>
      <c r="L382" s="608"/>
      <c r="M382" s="608"/>
      <c r="N382" s="608"/>
      <c r="O382" s="608"/>
      <c r="P382" s="608"/>
      <c r="Q382" s="608"/>
      <c r="R382" s="608"/>
      <c r="S382" s="608"/>
      <c r="T382" s="608"/>
      <c r="U382" s="608"/>
      <c r="V382" s="612"/>
      <c r="W382" s="489"/>
    </row>
    <row r="383" spans="2:23" s="67" customFormat="1" ht="18" customHeight="1" x14ac:dyDescent="0.25">
      <c r="B383" s="489"/>
      <c r="C383" s="608"/>
      <c r="D383" s="608"/>
      <c r="E383" s="608"/>
      <c r="F383" s="608"/>
      <c r="G383" s="608"/>
      <c r="H383" s="608"/>
      <c r="I383" s="608"/>
      <c r="J383" s="608"/>
      <c r="K383" s="608"/>
      <c r="L383" s="608"/>
      <c r="M383" s="608"/>
      <c r="N383" s="608"/>
      <c r="O383" s="608"/>
      <c r="P383" s="608"/>
      <c r="Q383" s="608"/>
      <c r="R383" s="608"/>
      <c r="S383" s="608"/>
      <c r="T383" s="608"/>
      <c r="U383" s="608"/>
      <c r="V383" s="612"/>
      <c r="W383" s="489"/>
    </row>
    <row r="384" spans="2:23" s="67" customFormat="1" ht="15.75" customHeight="1" x14ac:dyDescent="0.25">
      <c r="B384" s="489"/>
      <c r="C384" s="609"/>
      <c r="D384" s="1044"/>
      <c r="E384" s="1044"/>
      <c r="F384" s="1001" t="s">
        <v>503</v>
      </c>
      <c r="G384" s="1001"/>
      <c r="H384" s="1001"/>
      <c r="I384" s="1001"/>
      <c r="J384" s="1001" t="s">
        <v>1065</v>
      </c>
      <c r="K384" s="1001"/>
      <c r="L384" s="1001"/>
      <c r="M384" s="1001"/>
      <c r="N384" s="609"/>
      <c r="O384" s="609"/>
      <c r="P384" s="609"/>
      <c r="Q384" s="609"/>
      <c r="R384" s="609"/>
      <c r="S384" s="609"/>
      <c r="T384" s="609"/>
      <c r="U384" s="609"/>
      <c r="V384" s="612"/>
      <c r="W384" s="489"/>
    </row>
    <row r="385" spans="2:23" s="67" customFormat="1" ht="44.25" customHeight="1" x14ac:dyDescent="0.25">
      <c r="B385" s="489"/>
      <c r="C385" s="609"/>
      <c r="D385" s="1044"/>
      <c r="E385" s="1044"/>
      <c r="F385" s="1001" t="s">
        <v>1080</v>
      </c>
      <c r="G385" s="1001"/>
      <c r="H385" s="1001" t="s">
        <v>1075</v>
      </c>
      <c r="I385" s="1001"/>
      <c r="J385" s="1001" t="s">
        <v>1080</v>
      </c>
      <c r="K385" s="1001"/>
      <c r="L385" s="1001" t="s">
        <v>1076</v>
      </c>
      <c r="M385" s="1001"/>
      <c r="N385" s="609"/>
      <c r="O385" s="625"/>
      <c r="P385" s="625"/>
      <c r="Q385" s="1000"/>
      <c r="R385" s="1000"/>
      <c r="S385" s="1000"/>
      <c r="T385" s="609"/>
      <c r="U385" s="609"/>
      <c r="V385" s="612"/>
      <c r="W385" s="489"/>
    </row>
    <row r="386" spans="2:23" s="67" customFormat="1" ht="15.75" customHeight="1" x14ac:dyDescent="0.25">
      <c r="B386" s="489"/>
      <c r="C386" s="609"/>
      <c r="D386" s="992" t="s">
        <v>398</v>
      </c>
      <c r="E386" s="993"/>
      <c r="F386" s="881">
        <v>7</v>
      </c>
      <c r="G386" s="948"/>
      <c r="H386" s="946">
        <v>1.7879948914431673E-3</v>
      </c>
      <c r="I386" s="947"/>
      <c r="J386" s="881" t="s">
        <v>1077</v>
      </c>
      <c r="K386" s="948"/>
      <c r="L386" s="946" t="s">
        <v>1077</v>
      </c>
      <c r="M386" s="947"/>
      <c r="N386" s="609"/>
      <c r="O386" s="998"/>
      <c r="P386" s="998"/>
      <c r="Q386" s="999"/>
      <c r="R386" s="999"/>
      <c r="S386" s="999"/>
      <c r="T386" s="609"/>
      <c r="U386" s="609"/>
      <c r="V386" s="612"/>
      <c r="W386" s="489"/>
    </row>
    <row r="387" spans="2:23" s="67" customFormat="1" ht="15.75" customHeight="1" x14ac:dyDescent="0.25">
      <c r="B387" s="489"/>
      <c r="C387" s="609"/>
      <c r="D387" s="992" t="s">
        <v>82</v>
      </c>
      <c r="E387" s="993"/>
      <c r="F387" s="949" t="s">
        <v>1077</v>
      </c>
      <c r="G387" s="948"/>
      <c r="H387" s="946" t="s">
        <v>1077</v>
      </c>
      <c r="I387" s="947"/>
      <c r="J387" s="881" t="s">
        <v>1077</v>
      </c>
      <c r="K387" s="948"/>
      <c r="L387" s="946" t="s">
        <v>1077</v>
      </c>
      <c r="M387" s="947"/>
      <c r="N387" s="609"/>
      <c r="O387" s="609"/>
      <c r="P387" s="626"/>
      <c r="Q387" s="609"/>
      <c r="R387" s="609"/>
      <c r="S387" s="609"/>
      <c r="T387" s="609"/>
      <c r="U387" s="609"/>
      <c r="V387" s="612"/>
      <c r="W387" s="489"/>
    </row>
    <row r="388" spans="2:23" s="67" customFormat="1" ht="15.75" customHeight="1" x14ac:dyDescent="0.25">
      <c r="B388" s="489"/>
      <c r="C388" s="609"/>
      <c r="D388" s="992" t="s">
        <v>44</v>
      </c>
      <c r="E388" s="993"/>
      <c r="F388" s="949" t="s">
        <v>1077</v>
      </c>
      <c r="G388" s="948"/>
      <c r="H388" s="946" t="s">
        <v>1077</v>
      </c>
      <c r="I388" s="947"/>
      <c r="J388" s="881">
        <v>6</v>
      </c>
      <c r="K388" s="948"/>
      <c r="L388" s="946">
        <v>1.0211027910142954E-3</v>
      </c>
      <c r="M388" s="947"/>
      <c r="N388" s="609"/>
      <c r="O388" s="609"/>
      <c r="P388" s="626"/>
      <c r="Q388" s="609"/>
      <c r="R388" s="609"/>
      <c r="S388" s="609"/>
      <c r="T388" s="609"/>
      <c r="U388" s="609"/>
      <c r="V388" s="612"/>
      <c r="W388" s="489"/>
    </row>
    <row r="389" spans="2:23" s="67" customFormat="1" ht="15.75" customHeight="1" x14ac:dyDescent="0.25">
      <c r="B389" s="489"/>
      <c r="C389" s="609"/>
      <c r="D389" s="992" t="s">
        <v>79</v>
      </c>
      <c r="E389" s="993"/>
      <c r="F389" s="949" t="s">
        <v>1077</v>
      </c>
      <c r="G389" s="948"/>
      <c r="H389" s="946" t="s">
        <v>1077</v>
      </c>
      <c r="I389" s="947"/>
      <c r="J389" s="881">
        <v>14</v>
      </c>
      <c r="K389" s="948"/>
      <c r="L389" s="946">
        <v>1.6774502755811168E-3</v>
      </c>
      <c r="M389" s="947"/>
      <c r="N389" s="609"/>
      <c r="O389" s="609"/>
      <c r="P389" s="626"/>
      <c r="Q389" s="609"/>
      <c r="R389" s="609"/>
      <c r="S389" s="609"/>
      <c r="T389" s="609"/>
      <c r="U389" s="609"/>
      <c r="V389" s="612"/>
      <c r="W389" s="489"/>
    </row>
    <row r="390" spans="2:23" s="67" customFormat="1" ht="15.75" customHeight="1" x14ac:dyDescent="0.25">
      <c r="B390" s="489"/>
      <c r="C390" s="609"/>
      <c r="D390" s="992" t="s">
        <v>83</v>
      </c>
      <c r="E390" s="993"/>
      <c r="F390" s="881">
        <v>9</v>
      </c>
      <c r="G390" s="948"/>
      <c r="H390" s="946">
        <v>1.2548800892359174E-3</v>
      </c>
      <c r="I390" s="947"/>
      <c r="J390" s="881">
        <v>10</v>
      </c>
      <c r="K390" s="948"/>
      <c r="L390" s="946">
        <v>1.4048890137679123E-3</v>
      </c>
      <c r="M390" s="947"/>
      <c r="N390" s="609"/>
      <c r="O390" s="609"/>
      <c r="P390" s="626"/>
      <c r="Q390" s="609"/>
      <c r="R390" s="609"/>
      <c r="S390" s="609"/>
      <c r="T390" s="609"/>
      <c r="U390" s="609"/>
      <c r="V390" s="612"/>
      <c r="W390" s="489"/>
    </row>
    <row r="391" spans="2:23" s="67" customFormat="1" ht="15.75" customHeight="1" x14ac:dyDescent="0.25">
      <c r="B391" s="489"/>
      <c r="C391" s="609"/>
      <c r="D391" s="992" t="s">
        <v>80</v>
      </c>
      <c r="E391" s="993"/>
      <c r="F391" s="881">
        <v>12</v>
      </c>
      <c r="G391" s="948"/>
      <c r="H391" s="946">
        <v>1.3801035077630822E-3</v>
      </c>
      <c r="I391" s="947"/>
      <c r="J391" s="881" t="s">
        <v>1077</v>
      </c>
      <c r="K391" s="948"/>
      <c r="L391" s="946" t="s">
        <v>1077</v>
      </c>
      <c r="M391" s="947"/>
      <c r="N391" s="609"/>
      <c r="O391" s="609"/>
      <c r="P391" s="626"/>
      <c r="Q391" s="609"/>
      <c r="R391" s="609"/>
      <c r="S391" s="609"/>
      <c r="T391" s="609"/>
      <c r="U391" s="609"/>
      <c r="V391" s="612"/>
      <c r="W391" s="489"/>
    </row>
    <row r="392" spans="2:23" s="67" customFormat="1" ht="15.75" customHeight="1" x14ac:dyDescent="0.25">
      <c r="B392" s="489"/>
      <c r="C392" s="609"/>
      <c r="D392" s="992" t="s">
        <v>81</v>
      </c>
      <c r="E392" s="993"/>
      <c r="F392" s="949" t="s">
        <v>1077</v>
      </c>
      <c r="G392" s="948"/>
      <c r="H392" s="946" t="s">
        <v>1077</v>
      </c>
      <c r="I392" s="947"/>
      <c r="J392" s="881" t="s">
        <v>1077</v>
      </c>
      <c r="K392" s="948"/>
      <c r="L392" s="946" t="s">
        <v>1077</v>
      </c>
      <c r="M392" s="947"/>
      <c r="N392" s="609"/>
      <c r="O392" s="609"/>
      <c r="P392" s="626"/>
      <c r="Q392" s="609"/>
      <c r="R392" s="609"/>
      <c r="S392" s="609"/>
      <c r="T392" s="609"/>
      <c r="U392" s="609"/>
      <c r="V392" s="612"/>
      <c r="W392" s="489"/>
    </row>
    <row r="393" spans="2:23" s="67" customFormat="1" ht="15.75" customHeight="1" x14ac:dyDescent="0.25">
      <c r="B393" s="489"/>
      <c r="C393" s="609"/>
      <c r="D393" s="994" t="s">
        <v>291</v>
      </c>
      <c r="E393" s="995"/>
      <c r="F393" s="982">
        <v>43</v>
      </c>
      <c r="G393" s="983"/>
      <c r="H393" s="934">
        <v>8.9618807444613493E-4</v>
      </c>
      <c r="I393" s="935"/>
      <c r="J393" s="982">
        <v>46</v>
      </c>
      <c r="K393" s="983"/>
      <c r="L393" s="934">
        <v>9.599532544502181E-4</v>
      </c>
      <c r="M393" s="935"/>
      <c r="N393" s="609"/>
      <c r="O393" s="609"/>
      <c r="P393" s="626"/>
      <c r="Q393" s="609"/>
      <c r="R393" s="609"/>
      <c r="S393" s="609"/>
      <c r="T393" s="609"/>
      <c r="U393" s="609"/>
      <c r="V393" s="612"/>
      <c r="W393" s="489"/>
    </row>
    <row r="394" spans="2:23" s="67" customFormat="1" ht="15.75" customHeight="1" x14ac:dyDescent="0.25">
      <c r="B394" s="489"/>
      <c r="C394" s="609"/>
      <c r="D394" s="996" t="s">
        <v>292</v>
      </c>
      <c r="E394" s="997"/>
      <c r="F394" s="945">
        <v>955</v>
      </c>
      <c r="G394" s="937"/>
      <c r="H394" s="936">
        <v>1.7418550000000001E-3</v>
      </c>
      <c r="I394" s="937"/>
      <c r="J394" s="939" t="s">
        <v>1071</v>
      </c>
      <c r="K394" s="940"/>
      <c r="L394" s="940"/>
      <c r="M394" s="941"/>
      <c r="N394" s="609"/>
      <c r="O394" s="609"/>
      <c r="P394" s="626"/>
      <c r="Q394" s="609"/>
      <c r="R394" s="609"/>
      <c r="S394" s="609"/>
      <c r="T394" s="609"/>
      <c r="U394" s="609"/>
      <c r="V394" s="612"/>
      <c r="W394" s="489"/>
    </row>
    <row r="395" spans="2:23" s="67" customFormat="1" ht="15.75" customHeight="1" x14ac:dyDescent="0.25">
      <c r="B395" s="489"/>
      <c r="C395" s="609"/>
      <c r="D395" s="996" t="s">
        <v>293</v>
      </c>
      <c r="E395" s="997"/>
      <c r="F395" s="938">
        <v>10001</v>
      </c>
      <c r="G395" s="937"/>
      <c r="H395" s="936">
        <v>2.9149301492200001E-3</v>
      </c>
      <c r="I395" s="937"/>
      <c r="J395" s="942"/>
      <c r="K395" s="943"/>
      <c r="L395" s="943"/>
      <c r="M395" s="944"/>
      <c r="N395" s="609"/>
      <c r="O395" s="609"/>
      <c r="P395" s="626"/>
      <c r="Q395" s="609"/>
      <c r="R395" s="609"/>
      <c r="S395" s="609"/>
      <c r="T395" s="609"/>
      <c r="U395" s="609"/>
      <c r="V395" s="612"/>
      <c r="W395" s="489"/>
    </row>
    <row r="396" spans="2:23" s="67" customFormat="1" ht="15.75" customHeight="1" x14ac:dyDescent="0.25">
      <c r="B396" s="489"/>
      <c r="C396" s="609"/>
      <c r="D396" s="973" t="s">
        <v>1079</v>
      </c>
      <c r="E396" s="973"/>
      <c r="F396" s="973"/>
      <c r="G396" s="973"/>
      <c r="H396" s="973"/>
      <c r="I396" s="973"/>
      <c r="J396" s="973"/>
      <c r="K396" s="973"/>
      <c r="L396" s="973"/>
      <c r="M396" s="973"/>
      <c r="N396" s="973"/>
      <c r="O396" s="973"/>
      <c r="P396" s="973"/>
      <c r="Q396" s="973"/>
      <c r="R396" s="973"/>
      <c r="S396" s="973"/>
      <c r="T396" s="609"/>
      <c r="U396" s="609"/>
      <c r="V396" s="612"/>
      <c r="W396" s="489"/>
    </row>
    <row r="397" spans="2:23" ht="15" x14ac:dyDescent="0.25">
      <c r="B397" s="489"/>
      <c r="C397" s="137"/>
      <c r="D397" s="137"/>
      <c r="E397" s="137"/>
      <c r="F397" s="137"/>
      <c r="G397" s="137"/>
      <c r="H397" s="137"/>
      <c r="I397" s="137"/>
      <c r="J397" s="137"/>
      <c r="K397" s="137"/>
      <c r="L397" s="137"/>
      <c r="M397" s="137"/>
      <c r="N397" s="137"/>
      <c r="O397" s="137"/>
      <c r="P397" s="137"/>
      <c r="Q397" s="137"/>
      <c r="R397" s="137"/>
      <c r="S397" s="137"/>
      <c r="T397" s="137"/>
      <c r="U397" s="137"/>
      <c r="V397" s="137"/>
      <c r="W397" s="489"/>
    </row>
    <row r="398" spans="2:23" ht="15" x14ac:dyDescent="0.25">
      <c r="B398" s="489"/>
      <c r="C398" s="487"/>
      <c r="D398" s="487"/>
      <c r="E398" s="487"/>
      <c r="F398" s="487"/>
      <c r="G398" s="487"/>
      <c r="H398" s="487"/>
      <c r="I398" s="487"/>
      <c r="J398" s="487"/>
      <c r="K398" s="487"/>
      <c r="L398" s="487"/>
      <c r="M398" s="487"/>
      <c r="N398" s="487"/>
      <c r="O398" s="487"/>
      <c r="P398" s="487"/>
      <c r="Q398" s="487"/>
      <c r="R398" s="487"/>
      <c r="S398" s="487"/>
      <c r="T398" s="487"/>
      <c r="U398" s="487"/>
      <c r="V398" s="487"/>
      <c r="W398" s="489"/>
    </row>
    <row r="399" spans="2:23" ht="15" x14ac:dyDescent="0.25">
      <c r="B399" s="489"/>
      <c r="C399" s="487"/>
      <c r="D399" s="487"/>
      <c r="E399" s="487"/>
      <c r="F399" s="487"/>
      <c r="G399" s="487"/>
      <c r="H399" s="487"/>
      <c r="I399" s="487"/>
      <c r="J399" s="487"/>
      <c r="K399" s="487"/>
      <c r="L399" s="487"/>
      <c r="M399" s="487"/>
      <c r="N399" s="487"/>
      <c r="O399" s="487"/>
      <c r="P399" s="487"/>
      <c r="Q399" s="487"/>
      <c r="R399" s="487"/>
      <c r="S399" s="487"/>
      <c r="T399" s="487"/>
      <c r="U399" s="487"/>
      <c r="V399" s="487"/>
      <c r="W399" s="489"/>
    </row>
    <row r="400" spans="2:23" ht="15" x14ac:dyDescent="0.25">
      <c r="B400" s="489"/>
      <c r="C400" s="487"/>
      <c r="D400" s="487"/>
      <c r="E400" s="487"/>
      <c r="F400" s="487"/>
      <c r="G400" s="487"/>
      <c r="H400" s="487"/>
      <c r="I400" s="487"/>
      <c r="J400" s="487"/>
      <c r="K400" s="487"/>
      <c r="L400" s="487"/>
      <c r="M400" s="487"/>
      <c r="N400" s="487"/>
      <c r="O400" s="487"/>
      <c r="P400" s="487"/>
      <c r="Q400" s="487"/>
      <c r="R400" s="487"/>
      <c r="S400" s="487"/>
      <c r="T400" s="487"/>
      <c r="U400" s="487"/>
      <c r="V400" s="487"/>
      <c r="W400" s="489"/>
    </row>
    <row r="401" spans="2:23" ht="15" x14ac:dyDescent="0.25">
      <c r="B401" s="489"/>
      <c r="C401" s="137"/>
      <c r="D401" s="137"/>
      <c r="E401" s="137"/>
      <c r="F401" s="137"/>
      <c r="G401" s="137"/>
      <c r="H401" s="137"/>
      <c r="I401" s="137"/>
      <c r="J401" s="137"/>
      <c r="K401" s="137"/>
      <c r="L401" s="137"/>
      <c r="M401" s="137"/>
      <c r="N401" s="137"/>
      <c r="O401" s="137"/>
      <c r="P401" s="137"/>
      <c r="Q401" s="137"/>
      <c r="R401" s="137"/>
      <c r="S401" s="137"/>
      <c r="T401" s="137"/>
      <c r="U401" s="137"/>
      <c r="V401" s="137"/>
      <c r="W401" s="489"/>
    </row>
    <row r="402" spans="2:23" ht="15" x14ac:dyDescent="0.25">
      <c r="B402" s="489"/>
      <c r="C402" s="126"/>
      <c r="D402" s="137"/>
      <c r="E402" s="137"/>
      <c r="F402" s="137"/>
      <c r="G402" s="137"/>
      <c r="H402" s="137"/>
      <c r="I402" s="137"/>
      <c r="J402" s="137"/>
      <c r="K402" s="137"/>
      <c r="L402" s="137"/>
      <c r="M402" s="137"/>
      <c r="N402" s="137"/>
      <c r="O402" s="137"/>
      <c r="P402" s="137"/>
      <c r="Q402" s="137"/>
      <c r="R402" s="137"/>
      <c r="S402" s="137"/>
      <c r="T402" s="137"/>
      <c r="U402" s="137"/>
      <c r="V402" s="137"/>
      <c r="W402" s="489"/>
    </row>
    <row r="403" spans="2:23" ht="15" x14ac:dyDescent="0.25">
      <c r="B403" s="489"/>
      <c r="C403" s="137"/>
      <c r="D403" s="137"/>
      <c r="E403" s="137"/>
      <c r="F403" s="137"/>
      <c r="G403" s="137"/>
      <c r="H403" s="137"/>
      <c r="I403" s="137"/>
      <c r="J403" s="137"/>
      <c r="K403" s="137"/>
      <c r="L403" s="137"/>
      <c r="M403" s="137"/>
      <c r="N403" s="137"/>
      <c r="O403" s="137"/>
      <c r="P403" s="137"/>
      <c r="Q403" s="137"/>
      <c r="R403" s="137"/>
      <c r="S403" s="137"/>
      <c r="T403" s="137"/>
      <c r="U403" s="137"/>
      <c r="V403" s="137"/>
      <c r="W403" s="489"/>
    </row>
    <row r="404" spans="2:23" ht="15" x14ac:dyDescent="0.25">
      <c r="B404" s="489"/>
      <c r="C404" s="137"/>
      <c r="D404" s="137"/>
      <c r="E404" s="137"/>
      <c r="F404" s="137"/>
      <c r="G404" s="137"/>
      <c r="H404" s="137"/>
      <c r="I404" s="137"/>
      <c r="J404" s="137"/>
      <c r="K404" s="137"/>
      <c r="L404" s="137"/>
      <c r="M404" s="137"/>
      <c r="N404" s="137"/>
      <c r="O404" s="137"/>
      <c r="P404" s="137"/>
      <c r="Q404" s="137"/>
      <c r="R404" s="137"/>
      <c r="S404" s="137"/>
      <c r="T404" s="137"/>
      <c r="U404" s="137"/>
      <c r="V404" s="137"/>
      <c r="W404" s="489"/>
    </row>
    <row r="405" spans="2:23" ht="15" x14ac:dyDescent="0.25">
      <c r="B405" s="489"/>
      <c r="C405" s="137"/>
      <c r="D405" s="137"/>
      <c r="E405" s="137"/>
      <c r="F405" s="137"/>
      <c r="G405" s="137"/>
      <c r="H405" s="137"/>
      <c r="I405" s="137"/>
      <c r="J405" s="137"/>
      <c r="K405" s="137"/>
      <c r="L405" s="137"/>
      <c r="M405" s="137"/>
      <c r="N405" s="137"/>
      <c r="O405" s="137"/>
      <c r="P405" s="137"/>
      <c r="Q405" s="137"/>
      <c r="R405" s="137"/>
      <c r="S405" s="137"/>
      <c r="T405" s="137"/>
      <c r="U405" s="137"/>
      <c r="V405" s="137"/>
      <c r="W405" s="489"/>
    </row>
    <row r="406" spans="2:23" ht="15" x14ac:dyDescent="0.25">
      <c r="B406" s="489"/>
      <c r="C406" s="137"/>
      <c r="D406" s="137"/>
      <c r="E406" s="137"/>
      <c r="F406" s="137"/>
      <c r="G406" s="137"/>
      <c r="H406" s="137"/>
      <c r="I406" s="137"/>
      <c r="J406" s="137"/>
      <c r="K406" s="137"/>
      <c r="L406" s="137"/>
      <c r="M406" s="137"/>
      <c r="N406" s="137"/>
      <c r="O406" s="137"/>
      <c r="P406" s="137"/>
      <c r="Q406" s="137"/>
      <c r="R406" s="137"/>
      <c r="S406" s="137"/>
      <c r="T406" s="137"/>
      <c r="U406" s="137"/>
      <c r="V406" s="137"/>
      <c r="W406" s="489"/>
    </row>
    <row r="407" spans="2:23" ht="15" x14ac:dyDescent="0.25">
      <c r="B407" s="489"/>
      <c r="C407" s="137"/>
      <c r="D407" s="137"/>
      <c r="E407" s="137"/>
      <c r="F407" s="137"/>
      <c r="G407" s="137"/>
      <c r="H407" s="137"/>
      <c r="I407" s="137"/>
      <c r="J407" s="137"/>
      <c r="K407" s="137"/>
      <c r="L407" s="137"/>
      <c r="M407" s="137"/>
      <c r="N407" s="137"/>
      <c r="O407" s="137"/>
      <c r="P407" s="137"/>
      <c r="Q407" s="137"/>
      <c r="R407" s="137"/>
      <c r="S407" s="137"/>
      <c r="T407" s="137"/>
      <c r="U407" s="137"/>
      <c r="V407" s="137"/>
      <c r="W407" s="489"/>
    </row>
    <row r="408" spans="2:23" ht="15" x14ac:dyDescent="0.25">
      <c r="B408" s="489"/>
      <c r="C408" s="137"/>
      <c r="D408" s="137"/>
      <c r="E408" s="137"/>
      <c r="F408" s="137"/>
      <c r="G408" s="137"/>
      <c r="H408" s="137"/>
      <c r="I408" s="137"/>
      <c r="J408" s="137"/>
      <c r="K408" s="137"/>
      <c r="L408" s="137"/>
      <c r="M408" s="137"/>
      <c r="N408" s="137"/>
      <c r="O408" s="137"/>
      <c r="P408" s="137"/>
      <c r="Q408" s="137"/>
      <c r="R408" s="137"/>
      <c r="S408" s="137"/>
      <c r="T408" s="137"/>
      <c r="U408" s="137"/>
      <c r="V408" s="137"/>
      <c r="W408" s="489"/>
    </row>
    <row r="409" spans="2:23" ht="15" x14ac:dyDescent="0.25">
      <c r="B409" s="489"/>
      <c r="C409" s="137"/>
      <c r="D409" s="137"/>
      <c r="E409" s="137"/>
      <c r="F409" s="137"/>
      <c r="G409" s="137"/>
      <c r="H409" s="137"/>
      <c r="I409" s="137"/>
      <c r="J409" s="137"/>
      <c r="K409" s="137"/>
      <c r="L409" s="137"/>
      <c r="M409" s="137"/>
      <c r="N409" s="137"/>
      <c r="O409" s="137"/>
      <c r="P409" s="137"/>
      <c r="Q409" s="137"/>
      <c r="R409" s="137"/>
      <c r="S409" s="137"/>
      <c r="T409" s="137"/>
      <c r="U409" s="137"/>
      <c r="V409" s="137"/>
      <c r="W409" s="489"/>
    </row>
    <row r="410" spans="2:23" ht="15" x14ac:dyDescent="0.25">
      <c r="B410" s="489"/>
      <c r="C410" s="137"/>
      <c r="D410" s="137"/>
      <c r="E410" s="137"/>
      <c r="F410" s="137"/>
      <c r="G410" s="137"/>
      <c r="H410" s="137"/>
      <c r="I410" s="137"/>
      <c r="J410" s="137"/>
      <c r="K410" s="137"/>
      <c r="L410" s="137"/>
      <c r="M410" s="137"/>
      <c r="N410" s="137"/>
      <c r="O410" s="137"/>
      <c r="P410" s="137"/>
      <c r="Q410" s="137"/>
      <c r="R410" s="137"/>
      <c r="S410" s="137"/>
      <c r="T410" s="137"/>
      <c r="U410" s="137"/>
      <c r="V410" s="137"/>
      <c r="W410" s="489"/>
    </row>
    <row r="411" spans="2:23" ht="15" x14ac:dyDescent="0.25">
      <c r="B411" s="489"/>
      <c r="C411" s="137"/>
      <c r="D411" s="137"/>
      <c r="E411" s="137"/>
      <c r="F411" s="137"/>
      <c r="G411" s="137"/>
      <c r="H411" s="137"/>
      <c r="I411" s="137"/>
      <c r="J411" s="137"/>
      <c r="K411" s="137"/>
      <c r="L411" s="137"/>
      <c r="M411" s="137"/>
      <c r="N411" s="137"/>
      <c r="O411" s="137"/>
      <c r="P411" s="137"/>
      <c r="Q411" s="137"/>
      <c r="R411" s="137"/>
      <c r="S411" s="137"/>
      <c r="T411" s="137"/>
      <c r="U411" s="137"/>
      <c r="V411" s="137"/>
      <c r="W411" s="489"/>
    </row>
    <row r="412" spans="2:23" ht="15" x14ac:dyDescent="0.25">
      <c r="B412" s="489"/>
      <c r="C412" s="137"/>
      <c r="D412" s="137"/>
      <c r="E412" s="137"/>
      <c r="F412" s="137"/>
      <c r="G412" s="137"/>
      <c r="H412" s="137"/>
      <c r="I412" s="137"/>
      <c r="J412" s="137"/>
      <c r="K412" s="137"/>
      <c r="L412" s="137"/>
      <c r="M412" s="137"/>
      <c r="N412" s="137"/>
      <c r="O412" s="137"/>
      <c r="P412" s="137"/>
      <c r="Q412" s="137"/>
      <c r="R412" s="137"/>
      <c r="S412" s="137"/>
      <c r="T412" s="137"/>
      <c r="U412" s="137"/>
      <c r="V412" s="137"/>
      <c r="W412" s="489"/>
    </row>
    <row r="413" spans="2:23" ht="15" x14ac:dyDescent="0.25">
      <c r="B413" s="489"/>
      <c r="C413" s="137"/>
      <c r="D413" s="137"/>
      <c r="E413" s="137"/>
      <c r="F413" s="137"/>
      <c r="G413" s="137"/>
      <c r="H413" s="137"/>
      <c r="I413" s="137"/>
      <c r="J413" s="137"/>
      <c r="K413" s="137"/>
      <c r="L413" s="137"/>
      <c r="M413" s="137"/>
      <c r="N413" s="137"/>
      <c r="O413" s="137"/>
      <c r="P413" s="137"/>
      <c r="Q413" s="137"/>
      <c r="R413" s="137"/>
      <c r="S413" s="137"/>
      <c r="T413" s="137"/>
      <c r="U413" s="137"/>
      <c r="V413" s="137"/>
      <c r="W413" s="489"/>
    </row>
    <row r="414" spans="2:23" ht="15" x14ac:dyDescent="0.25">
      <c r="B414" s="489"/>
      <c r="C414" s="137"/>
      <c r="D414" s="137"/>
      <c r="E414" s="137"/>
      <c r="F414" s="137"/>
      <c r="G414" s="137"/>
      <c r="H414" s="137"/>
      <c r="I414" s="137"/>
      <c r="J414" s="137"/>
      <c r="K414" s="137"/>
      <c r="L414" s="137"/>
      <c r="M414" s="137"/>
      <c r="N414" s="137"/>
      <c r="O414" s="137"/>
      <c r="P414" s="137"/>
      <c r="Q414" s="137"/>
      <c r="R414" s="137"/>
      <c r="S414" s="137"/>
      <c r="T414" s="137"/>
      <c r="U414" s="137"/>
      <c r="V414" s="137"/>
      <c r="W414" s="489"/>
    </row>
    <row r="415" spans="2:23" ht="15" x14ac:dyDescent="0.25">
      <c r="B415" s="489"/>
      <c r="C415" s="137"/>
      <c r="D415" s="137"/>
      <c r="E415" s="137"/>
      <c r="F415" s="137"/>
      <c r="G415" s="137"/>
      <c r="H415" s="137"/>
      <c r="I415" s="137"/>
      <c r="J415" s="137"/>
      <c r="K415" s="137"/>
      <c r="L415" s="137"/>
      <c r="M415" s="137"/>
      <c r="N415" s="137"/>
      <c r="O415" s="137"/>
      <c r="P415" s="137"/>
      <c r="Q415" s="137"/>
      <c r="R415" s="137"/>
      <c r="S415" s="137"/>
      <c r="T415" s="137"/>
      <c r="U415" s="137"/>
      <c r="V415" s="137"/>
      <c r="W415" s="489"/>
    </row>
    <row r="416" spans="2:23" ht="15" x14ac:dyDescent="0.25">
      <c r="B416" s="489"/>
      <c r="C416" s="137"/>
      <c r="D416" s="137"/>
      <c r="E416" s="137"/>
      <c r="F416" s="137"/>
      <c r="G416" s="137"/>
      <c r="H416" s="137"/>
      <c r="I416" s="137"/>
      <c r="J416" s="137"/>
      <c r="K416" s="137"/>
      <c r="L416" s="137"/>
      <c r="M416" s="137"/>
      <c r="N416" s="137"/>
      <c r="O416" s="137"/>
      <c r="P416" s="137"/>
      <c r="Q416" s="137"/>
      <c r="R416" s="137"/>
      <c r="S416" s="137"/>
      <c r="T416" s="137"/>
      <c r="U416" s="137"/>
      <c r="V416" s="137"/>
      <c r="W416" s="489"/>
    </row>
    <row r="417" spans="2:23" ht="15" x14ac:dyDescent="0.25">
      <c r="B417" s="489"/>
      <c r="C417" s="137"/>
      <c r="D417" s="137"/>
      <c r="E417" s="137"/>
      <c r="F417" s="137"/>
      <c r="G417" s="137"/>
      <c r="H417" s="137"/>
      <c r="I417" s="137"/>
      <c r="J417" s="137"/>
      <c r="K417" s="137"/>
      <c r="L417" s="137"/>
      <c r="M417" s="137"/>
      <c r="N417" s="137"/>
      <c r="O417" s="137"/>
      <c r="P417" s="137"/>
      <c r="Q417" s="137"/>
      <c r="R417" s="137"/>
      <c r="S417" s="137"/>
      <c r="T417" s="137"/>
      <c r="U417" s="137"/>
      <c r="V417" s="137"/>
      <c r="W417" s="489"/>
    </row>
    <row r="418" spans="2:23" ht="15" x14ac:dyDescent="0.25">
      <c r="B418" s="489"/>
      <c r="C418" s="137"/>
      <c r="D418" s="137"/>
      <c r="E418" s="137"/>
      <c r="F418" s="137"/>
      <c r="G418" s="137"/>
      <c r="H418" s="137"/>
      <c r="I418" s="137"/>
      <c r="J418" s="137"/>
      <c r="K418" s="137"/>
      <c r="L418" s="137"/>
      <c r="M418" s="137"/>
      <c r="N418" s="137"/>
      <c r="O418" s="137"/>
      <c r="P418" s="137"/>
      <c r="Q418" s="137"/>
      <c r="R418" s="137"/>
      <c r="S418" s="137"/>
      <c r="T418" s="137"/>
      <c r="U418" s="137"/>
      <c r="V418" s="137"/>
      <c r="W418" s="489"/>
    </row>
    <row r="419" spans="2:23" ht="15" x14ac:dyDescent="0.25">
      <c r="B419" s="489"/>
      <c r="C419" s="137"/>
      <c r="D419" s="137"/>
      <c r="E419" s="137"/>
      <c r="F419" s="137"/>
      <c r="G419" s="137"/>
      <c r="H419" s="137"/>
      <c r="I419" s="137"/>
      <c r="J419" s="137"/>
      <c r="K419" s="137"/>
      <c r="L419" s="137"/>
      <c r="M419" s="137"/>
      <c r="N419" s="137"/>
      <c r="O419" s="137"/>
      <c r="P419" s="137"/>
      <c r="Q419" s="137"/>
      <c r="R419" s="137"/>
      <c r="S419" s="137"/>
      <c r="T419" s="137"/>
      <c r="U419" s="137"/>
      <c r="V419" s="137"/>
      <c r="W419" s="489"/>
    </row>
    <row r="420" spans="2:23" ht="15" x14ac:dyDescent="0.25">
      <c r="B420" s="489"/>
      <c r="C420" s="137"/>
      <c r="D420" s="137"/>
      <c r="E420" s="137"/>
      <c r="F420" s="137"/>
      <c r="G420" s="137"/>
      <c r="H420" s="137"/>
      <c r="I420" s="137"/>
      <c r="J420" s="137"/>
      <c r="K420" s="137"/>
      <c r="L420" s="137"/>
      <c r="M420" s="137"/>
      <c r="N420" s="137"/>
      <c r="O420" s="137"/>
      <c r="P420" s="137"/>
      <c r="Q420" s="137"/>
      <c r="R420" s="137"/>
      <c r="S420" s="137"/>
      <c r="T420" s="137"/>
      <c r="U420" s="137"/>
      <c r="V420" s="137"/>
      <c r="W420" s="489"/>
    </row>
    <row r="421" spans="2:23" ht="15" x14ac:dyDescent="0.25">
      <c r="B421" s="489"/>
      <c r="C421" s="137"/>
      <c r="D421" s="137"/>
      <c r="E421" s="137"/>
      <c r="F421" s="137"/>
      <c r="G421" s="137"/>
      <c r="H421" s="137"/>
      <c r="I421" s="137"/>
      <c r="J421" s="137"/>
      <c r="K421" s="137"/>
      <c r="L421" s="137"/>
      <c r="M421" s="137"/>
      <c r="N421" s="137"/>
      <c r="O421" s="137"/>
      <c r="P421" s="137"/>
      <c r="Q421" s="137"/>
      <c r="R421" s="137"/>
      <c r="S421" s="137"/>
      <c r="T421" s="137"/>
      <c r="U421" s="137"/>
      <c r="V421" s="137"/>
      <c r="W421" s="489"/>
    </row>
    <row r="422" spans="2:23" ht="15" x14ac:dyDescent="0.25">
      <c r="B422" s="489"/>
      <c r="C422" s="137"/>
      <c r="D422" s="137"/>
      <c r="E422" s="137"/>
      <c r="F422" s="137"/>
      <c r="G422" s="137"/>
      <c r="H422" s="137"/>
      <c r="I422" s="137"/>
      <c r="J422" s="137"/>
      <c r="K422" s="137"/>
      <c r="L422" s="137"/>
      <c r="M422" s="137"/>
      <c r="N422" s="137"/>
      <c r="O422" s="137"/>
      <c r="P422" s="137"/>
      <c r="Q422" s="137"/>
      <c r="R422" s="137"/>
      <c r="S422" s="137"/>
      <c r="T422" s="137"/>
      <c r="U422" s="137"/>
      <c r="V422" s="137"/>
      <c r="W422" s="489"/>
    </row>
    <row r="423" spans="2:23" ht="15" x14ac:dyDescent="0.25">
      <c r="B423" s="489"/>
      <c r="C423" s="137"/>
      <c r="D423" s="137"/>
      <c r="E423" s="137"/>
      <c r="F423" s="137"/>
      <c r="G423" s="137"/>
      <c r="H423" s="137"/>
      <c r="I423" s="137"/>
      <c r="J423" s="137"/>
      <c r="K423" s="137"/>
      <c r="L423" s="137"/>
      <c r="M423" s="137"/>
      <c r="N423" s="137"/>
      <c r="O423" s="137"/>
      <c r="P423" s="137"/>
      <c r="Q423" s="137"/>
      <c r="R423" s="137"/>
      <c r="S423" s="137"/>
      <c r="T423" s="137"/>
      <c r="U423" s="137"/>
      <c r="V423" s="137"/>
      <c r="W423" s="489"/>
    </row>
    <row r="424" spans="2:23" ht="15" x14ac:dyDescent="0.25">
      <c r="B424" s="489"/>
      <c r="C424" s="137"/>
      <c r="D424" s="137"/>
      <c r="E424" s="137"/>
      <c r="F424" s="137"/>
      <c r="G424" s="137"/>
      <c r="H424" s="137"/>
      <c r="I424" s="137"/>
      <c r="J424" s="137"/>
      <c r="K424" s="137"/>
      <c r="L424" s="137"/>
      <c r="M424" s="137"/>
      <c r="N424" s="137"/>
      <c r="O424" s="137"/>
      <c r="P424" s="137"/>
      <c r="Q424" s="137"/>
      <c r="R424" s="137"/>
      <c r="S424" s="137"/>
      <c r="T424" s="137"/>
      <c r="U424" s="137"/>
      <c r="V424" s="137"/>
      <c r="W424" s="489"/>
    </row>
    <row r="425" spans="2:23" ht="15" x14ac:dyDescent="0.25">
      <c r="B425" s="489"/>
      <c r="C425" s="137"/>
      <c r="D425" s="137"/>
      <c r="E425" s="137"/>
      <c r="F425" s="137"/>
      <c r="G425" s="137"/>
      <c r="H425" s="137"/>
      <c r="I425" s="137"/>
      <c r="J425" s="137"/>
      <c r="K425" s="137"/>
      <c r="L425" s="137"/>
      <c r="M425" s="137"/>
      <c r="N425" s="137"/>
      <c r="O425" s="137"/>
      <c r="P425" s="137"/>
      <c r="Q425" s="137"/>
      <c r="R425" s="137"/>
      <c r="S425" s="137"/>
      <c r="T425" s="137"/>
      <c r="U425" s="137"/>
      <c r="V425" s="137"/>
      <c r="W425" s="489"/>
    </row>
    <row r="426" spans="2:23" ht="15" x14ac:dyDescent="0.25">
      <c r="B426" s="489"/>
      <c r="C426" s="137"/>
      <c r="D426" s="137"/>
      <c r="E426" s="137"/>
      <c r="F426" s="137"/>
      <c r="G426" s="137"/>
      <c r="H426" s="137"/>
      <c r="I426" s="137"/>
      <c r="J426" s="137"/>
      <c r="K426" s="137"/>
      <c r="L426" s="137"/>
      <c r="M426" s="137"/>
      <c r="N426" s="137"/>
      <c r="O426" s="137"/>
      <c r="P426" s="137"/>
      <c r="Q426" s="137"/>
      <c r="R426" s="137"/>
      <c r="S426" s="137"/>
      <c r="T426" s="137"/>
      <c r="U426" s="137"/>
      <c r="V426" s="137"/>
      <c r="W426" s="489"/>
    </row>
    <row r="427" spans="2:23" ht="15" x14ac:dyDescent="0.25">
      <c r="B427" s="489"/>
      <c r="C427" s="137"/>
      <c r="D427" s="137"/>
      <c r="E427" s="137"/>
      <c r="F427" s="137"/>
      <c r="G427" s="137"/>
      <c r="H427" s="137"/>
      <c r="I427" s="137"/>
      <c r="J427" s="137"/>
      <c r="K427" s="137"/>
      <c r="L427" s="137"/>
      <c r="M427" s="137"/>
      <c r="N427" s="137"/>
      <c r="O427" s="137"/>
      <c r="P427" s="137"/>
      <c r="Q427" s="137"/>
      <c r="R427" s="137"/>
      <c r="S427" s="137"/>
      <c r="T427" s="137"/>
      <c r="U427" s="137"/>
      <c r="V427" s="137"/>
      <c r="W427" s="489"/>
    </row>
    <row r="428" spans="2:23" ht="15" x14ac:dyDescent="0.25">
      <c r="B428" s="489"/>
      <c r="C428" s="137"/>
      <c r="D428" s="137"/>
      <c r="E428" s="137"/>
      <c r="F428" s="137"/>
      <c r="G428" s="137"/>
      <c r="H428" s="137"/>
      <c r="I428" s="137"/>
      <c r="J428" s="137"/>
      <c r="K428" s="137"/>
      <c r="L428" s="137"/>
      <c r="M428" s="137"/>
      <c r="N428" s="137"/>
      <c r="O428" s="137"/>
      <c r="P428" s="137"/>
      <c r="Q428" s="137"/>
      <c r="R428" s="137"/>
      <c r="S428" s="137"/>
      <c r="T428" s="137"/>
      <c r="U428" s="137"/>
      <c r="V428" s="137"/>
      <c r="W428" s="489"/>
    </row>
    <row r="429" spans="2:23" x14ac:dyDescent="0.2">
      <c r="B429" s="489"/>
      <c r="C429" s="67"/>
      <c r="D429" s="67"/>
      <c r="E429" s="67"/>
      <c r="F429" s="67"/>
      <c r="G429" s="67"/>
      <c r="H429" s="67"/>
      <c r="I429" s="67"/>
      <c r="J429" s="67"/>
      <c r="K429" s="67"/>
      <c r="L429" s="67"/>
      <c r="M429" s="67"/>
      <c r="N429" s="67"/>
      <c r="O429" s="67"/>
      <c r="Q429" s="67"/>
      <c r="R429" s="67"/>
      <c r="S429" s="67"/>
      <c r="T429" s="67"/>
      <c r="U429" s="67"/>
      <c r="V429" s="67"/>
      <c r="W429" s="489"/>
    </row>
    <row r="430" spans="2:23" x14ac:dyDescent="0.2">
      <c r="B430" s="489"/>
      <c r="C430" s="67"/>
      <c r="D430" s="67"/>
      <c r="E430" s="67"/>
      <c r="F430" s="67"/>
      <c r="G430" s="67"/>
      <c r="H430" s="67"/>
      <c r="I430" s="67"/>
      <c r="J430" s="67"/>
      <c r="K430" s="67"/>
      <c r="L430" s="67"/>
      <c r="M430" s="67"/>
      <c r="N430" s="67"/>
      <c r="O430" s="67"/>
      <c r="Q430" s="67"/>
      <c r="R430" s="67"/>
      <c r="S430" s="67"/>
      <c r="T430" s="67"/>
      <c r="U430" s="67"/>
      <c r="V430" s="67"/>
      <c r="W430" s="489"/>
    </row>
    <row r="431" spans="2:23" ht="15.75" x14ac:dyDescent="0.25">
      <c r="B431" s="489"/>
      <c r="C431" s="1149" t="s">
        <v>533</v>
      </c>
      <c r="D431" s="1185"/>
      <c r="E431" s="1185"/>
      <c r="F431" s="1185"/>
      <c r="G431" s="1185"/>
      <c r="H431" s="1185"/>
      <c r="I431" s="1185"/>
      <c r="J431" s="1185"/>
      <c r="K431" s="1185"/>
      <c r="L431" s="1185"/>
      <c r="M431" s="1185"/>
      <c r="N431" s="1185"/>
      <c r="O431" s="1185"/>
      <c r="P431" s="1185"/>
      <c r="Q431" s="1185"/>
      <c r="R431" s="1185"/>
      <c r="S431" s="1185"/>
      <c r="T431" s="1185"/>
      <c r="U431" s="1185"/>
      <c r="V431" s="67"/>
      <c r="W431" s="489"/>
    </row>
    <row r="432" spans="2:23" ht="54.75" customHeight="1" x14ac:dyDescent="0.2">
      <c r="B432" s="489"/>
      <c r="C432" s="914" t="s">
        <v>813</v>
      </c>
      <c r="D432" s="914"/>
      <c r="E432" s="914"/>
      <c r="F432" s="914"/>
      <c r="G432" s="914"/>
      <c r="H432" s="914"/>
      <c r="I432" s="914"/>
      <c r="J432" s="914"/>
      <c r="K432" s="914"/>
      <c r="L432" s="914"/>
      <c r="M432" s="914"/>
      <c r="N432" s="914"/>
      <c r="O432" s="914"/>
      <c r="P432" s="914"/>
      <c r="Q432" s="914"/>
      <c r="R432" s="914"/>
      <c r="S432" s="914"/>
      <c r="T432" s="914"/>
      <c r="U432" s="914"/>
      <c r="V432" s="67"/>
      <c r="W432" s="489"/>
    </row>
    <row r="433" spans="2:23" ht="15" x14ac:dyDescent="0.25">
      <c r="B433" s="489"/>
      <c r="C433" s="147"/>
      <c r="D433" s="137"/>
      <c r="E433" s="137"/>
      <c r="F433" s="137"/>
      <c r="G433" s="137"/>
      <c r="H433" s="137"/>
      <c r="I433" s="137"/>
      <c r="J433" s="137"/>
      <c r="K433" s="137"/>
      <c r="L433" s="137"/>
      <c r="M433" s="137"/>
      <c r="N433" s="137"/>
      <c r="O433" s="137"/>
      <c r="P433" s="137"/>
      <c r="Q433" s="137"/>
      <c r="R433" s="137"/>
      <c r="S433" s="137"/>
      <c r="T433" s="137"/>
      <c r="U433" s="137"/>
      <c r="V433" s="67"/>
      <c r="W433" s="489"/>
    </row>
    <row r="434" spans="2:23" ht="35.25" customHeight="1" x14ac:dyDescent="0.2">
      <c r="B434" s="489"/>
      <c r="C434" s="914"/>
      <c r="D434" s="914"/>
      <c r="E434" s="914"/>
      <c r="F434" s="914"/>
      <c r="G434" s="914"/>
      <c r="H434" s="914"/>
      <c r="I434" s="914"/>
      <c r="J434" s="914"/>
      <c r="K434" s="914"/>
      <c r="L434" s="914"/>
      <c r="M434" s="914"/>
      <c r="N434" s="914"/>
      <c r="O434" s="914"/>
      <c r="P434" s="914"/>
      <c r="Q434" s="914"/>
      <c r="R434" s="914"/>
      <c r="S434" s="914"/>
      <c r="T434" s="914"/>
      <c r="U434" s="914"/>
      <c r="V434" s="67"/>
      <c r="W434" s="489"/>
    </row>
    <row r="435" spans="2:23" ht="15" x14ac:dyDescent="0.25">
      <c r="B435" s="489"/>
      <c r="C435" s="147"/>
      <c r="D435" s="137"/>
      <c r="E435" s="137"/>
      <c r="F435" s="137"/>
      <c r="G435" s="137"/>
      <c r="H435" s="137"/>
      <c r="I435" s="137"/>
      <c r="J435" s="137"/>
      <c r="K435" s="137"/>
      <c r="L435" s="137"/>
      <c r="M435" s="137"/>
      <c r="N435" s="137"/>
      <c r="O435" s="137"/>
      <c r="P435" s="137"/>
      <c r="Q435" s="137"/>
      <c r="R435" s="137"/>
      <c r="S435" s="137"/>
      <c r="T435" s="137"/>
      <c r="U435" s="137"/>
      <c r="V435" s="67"/>
      <c r="W435" s="489"/>
    </row>
    <row r="436" spans="2:23" ht="15" x14ac:dyDescent="0.25">
      <c r="B436" s="489"/>
      <c r="C436" s="137"/>
      <c r="D436" s="137"/>
      <c r="E436" s="137"/>
      <c r="F436" s="137"/>
      <c r="G436" s="137"/>
      <c r="H436" s="137"/>
      <c r="I436" s="137"/>
      <c r="J436" s="137"/>
      <c r="K436" s="137"/>
      <c r="L436" s="137"/>
      <c r="M436" s="137"/>
      <c r="N436" s="137"/>
      <c r="O436" s="137"/>
      <c r="P436" s="137"/>
      <c r="Q436" s="137"/>
      <c r="R436" s="137"/>
      <c r="S436" s="137"/>
      <c r="T436" s="137"/>
      <c r="U436" s="137"/>
      <c r="V436" s="67"/>
      <c r="W436" s="489"/>
    </row>
    <row r="437" spans="2:23" s="67" customFormat="1" ht="15" x14ac:dyDescent="0.25">
      <c r="B437" s="489"/>
      <c r="C437" s="449"/>
      <c r="D437" s="449"/>
      <c r="E437" s="449"/>
      <c r="F437" s="449"/>
      <c r="G437" s="449"/>
      <c r="H437" s="449"/>
      <c r="I437" s="449"/>
      <c r="J437" s="449"/>
      <c r="K437" s="449"/>
      <c r="L437" s="449"/>
      <c r="M437" s="449"/>
      <c r="N437" s="449"/>
      <c r="O437" s="449"/>
      <c r="P437" s="449"/>
      <c r="Q437" s="449"/>
      <c r="R437" s="449"/>
      <c r="S437" s="449"/>
      <c r="T437" s="449"/>
      <c r="U437" s="449"/>
      <c r="W437" s="489"/>
    </row>
    <row r="438" spans="2:23" ht="15" x14ac:dyDescent="0.25">
      <c r="B438" s="489"/>
      <c r="C438" s="137"/>
      <c r="D438" s="137"/>
      <c r="E438" s="137"/>
      <c r="F438" s="137"/>
      <c r="G438" s="137"/>
      <c r="H438" s="137"/>
      <c r="I438" s="137"/>
      <c r="J438" s="137"/>
      <c r="K438" s="137"/>
      <c r="L438" s="137"/>
      <c r="M438" s="137"/>
      <c r="N438" s="137"/>
      <c r="O438" s="137"/>
      <c r="P438" s="137"/>
      <c r="Q438" s="137"/>
      <c r="R438" s="137"/>
      <c r="S438" s="137"/>
      <c r="T438" s="137"/>
      <c r="U438" s="137"/>
      <c r="V438" s="67"/>
      <c r="W438" s="489"/>
    </row>
    <row r="439" spans="2:23" s="67" customFormat="1" ht="15" x14ac:dyDescent="0.25">
      <c r="B439" s="489"/>
      <c r="C439" s="449"/>
      <c r="D439" s="449"/>
      <c r="E439" s="449"/>
      <c r="F439" s="449"/>
      <c r="G439" s="449"/>
      <c r="H439" s="449"/>
      <c r="I439" s="449"/>
      <c r="J439" s="449"/>
      <c r="K439" s="449"/>
      <c r="L439" s="449"/>
      <c r="M439" s="449"/>
      <c r="N439" s="449"/>
      <c r="O439" s="449"/>
      <c r="P439" s="449"/>
      <c r="Q439" s="449"/>
      <c r="R439" s="449"/>
      <c r="S439" s="449"/>
      <c r="T439" s="449"/>
      <c r="U439" s="449"/>
      <c r="W439" s="489"/>
    </row>
    <row r="440" spans="2:23" ht="18" customHeight="1" x14ac:dyDescent="0.2">
      <c r="B440" s="489"/>
      <c r="C440" s="974" t="s">
        <v>536</v>
      </c>
      <c r="D440" s="974"/>
      <c r="E440" s="974"/>
      <c r="F440" s="974"/>
      <c r="G440" s="974"/>
      <c r="H440" s="974"/>
      <c r="I440" s="974"/>
      <c r="J440" s="974"/>
      <c r="K440" s="974"/>
      <c r="L440" s="974"/>
      <c r="M440" s="974"/>
      <c r="N440" s="974"/>
      <c r="O440" s="974"/>
      <c r="P440" s="974"/>
      <c r="Q440" s="974"/>
      <c r="R440" s="974"/>
      <c r="S440" s="974"/>
      <c r="T440" s="974"/>
      <c r="U440" s="974"/>
      <c r="V440" s="67"/>
      <c r="W440" s="489"/>
    </row>
    <row r="441" spans="2:23" ht="15" x14ac:dyDescent="0.25">
      <c r="B441" s="489"/>
      <c r="C441" s="137"/>
      <c r="D441" s="137"/>
      <c r="E441" s="137"/>
      <c r="F441" s="131" t="s">
        <v>534</v>
      </c>
      <c r="G441" s="137"/>
      <c r="H441" s="137"/>
      <c r="I441" s="137"/>
      <c r="J441" s="137"/>
      <c r="K441" s="137"/>
      <c r="L441" s="137"/>
      <c r="M441" s="137"/>
      <c r="N441" s="137"/>
      <c r="O441" s="137"/>
      <c r="P441" s="137"/>
      <c r="Q441" s="137"/>
      <c r="R441" s="137"/>
      <c r="S441" s="137"/>
      <c r="T441" s="137"/>
      <c r="U441" s="137"/>
      <c r="V441" s="67"/>
      <c r="W441" s="489"/>
    </row>
    <row r="442" spans="2:23" ht="15" x14ac:dyDescent="0.25">
      <c r="B442" s="489"/>
      <c r="C442" s="137"/>
      <c r="D442" s="137"/>
      <c r="E442" s="137"/>
      <c r="F442" s="131" t="s">
        <v>535</v>
      </c>
      <c r="G442" s="137"/>
      <c r="H442" s="137"/>
      <c r="I442" s="137"/>
      <c r="J442" s="137"/>
      <c r="K442" s="137"/>
      <c r="L442" s="137"/>
      <c r="M442" s="137"/>
      <c r="N442" s="137"/>
      <c r="O442" s="137"/>
      <c r="P442" s="137"/>
      <c r="Q442" s="137"/>
      <c r="R442" s="137"/>
      <c r="S442" s="137"/>
      <c r="T442" s="137"/>
      <c r="U442" s="137"/>
      <c r="V442" s="67"/>
      <c r="W442" s="489"/>
    </row>
    <row r="443" spans="2:23" ht="15" x14ac:dyDescent="0.25">
      <c r="B443" s="489"/>
      <c r="C443" s="137"/>
      <c r="D443" s="137"/>
      <c r="E443" s="137"/>
      <c r="F443" s="131" t="s">
        <v>959</v>
      </c>
      <c r="G443" s="137"/>
      <c r="H443" s="137"/>
      <c r="I443" s="137"/>
      <c r="J443" s="137"/>
      <c r="K443" s="137"/>
      <c r="L443" s="137"/>
      <c r="M443" s="137"/>
      <c r="N443" s="137"/>
      <c r="O443" s="137"/>
      <c r="P443" s="137"/>
      <c r="Q443" s="137"/>
      <c r="R443" s="137"/>
      <c r="S443" s="137"/>
      <c r="T443" s="137"/>
      <c r="U443" s="137"/>
      <c r="V443" s="67"/>
      <c r="W443" s="489"/>
    </row>
    <row r="444" spans="2:23" ht="15" x14ac:dyDescent="0.25">
      <c r="B444" s="489"/>
      <c r="C444" s="137"/>
      <c r="D444" s="137"/>
      <c r="E444" s="137"/>
      <c r="F444" s="131" t="s">
        <v>956</v>
      </c>
      <c r="G444" s="137"/>
      <c r="H444" s="137"/>
      <c r="I444" s="137"/>
      <c r="J444" s="137"/>
      <c r="K444" s="137"/>
      <c r="L444" s="137"/>
      <c r="M444" s="137"/>
      <c r="N444" s="137"/>
      <c r="O444" s="137"/>
      <c r="P444" s="137"/>
      <c r="Q444" s="137"/>
      <c r="R444" s="137"/>
      <c r="S444" s="137"/>
      <c r="T444" s="137"/>
      <c r="U444" s="137"/>
      <c r="V444" s="67"/>
      <c r="W444" s="489"/>
    </row>
    <row r="445" spans="2:23" ht="15" x14ac:dyDescent="0.25">
      <c r="B445" s="489"/>
      <c r="C445" s="137"/>
      <c r="D445" s="137"/>
      <c r="E445" s="137"/>
      <c r="F445" s="137"/>
      <c r="G445" s="137"/>
      <c r="H445" s="137"/>
      <c r="I445" s="137"/>
      <c r="J445" s="137"/>
      <c r="K445" s="137"/>
      <c r="L445" s="137"/>
      <c r="M445" s="137"/>
      <c r="N445" s="137"/>
      <c r="O445" s="137"/>
      <c r="P445" s="137"/>
      <c r="Q445" s="137"/>
      <c r="R445" s="137"/>
      <c r="S445" s="137"/>
      <c r="T445" s="137"/>
      <c r="U445" s="137"/>
      <c r="V445" s="67"/>
      <c r="W445" s="489"/>
    </row>
    <row r="446" spans="2:23" ht="16.5" customHeight="1" x14ac:dyDescent="0.25">
      <c r="B446" s="489"/>
      <c r="C446" s="137"/>
      <c r="D446" s="137"/>
      <c r="E446" s="137"/>
      <c r="F446" s="137"/>
      <c r="G446" s="137"/>
      <c r="H446" s="137"/>
      <c r="I446" s="137"/>
      <c r="J446" s="137"/>
      <c r="K446" s="137"/>
      <c r="L446" s="137"/>
      <c r="M446" s="137"/>
      <c r="N446" s="137"/>
      <c r="O446" s="137"/>
      <c r="P446" s="137"/>
      <c r="Q446" s="137"/>
      <c r="R446" s="137"/>
      <c r="S446" s="137"/>
      <c r="T446" s="137"/>
      <c r="U446" s="137"/>
      <c r="V446" s="67"/>
      <c r="W446" s="489"/>
    </row>
    <row r="447" spans="2:23" ht="15" x14ac:dyDescent="0.25">
      <c r="B447" s="489"/>
      <c r="C447" s="137"/>
      <c r="D447" s="137"/>
      <c r="E447" s="137"/>
      <c r="F447" s="137"/>
      <c r="G447" s="137"/>
      <c r="H447" s="137"/>
      <c r="I447" s="137"/>
      <c r="J447" s="137"/>
      <c r="K447" s="137"/>
      <c r="L447" s="137"/>
      <c r="M447" s="137"/>
      <c r="N447" s="137"/>
      <c r="O447" s="137"/>
      <c r="P447" s="137"/>
      <c r="Q447" s="137"/>
      <c r="R447" s="137"/>
      <c r="S447" s="137"/>
      <c r="T447" s="137"/>
      <c r="U447" s="137"/>
      <c r="V447" s="67"/>
      <c r="W447" s="489"/>
    </row>
    <row r="448" spans="2:23" ht="15" x14ac:dyDescent="0.25">
      <c r="B448" s="489"/>
      <c r="C448" s="137"/>
      <c r="D448" s="137"/>
      <c r="E448" s="137"/>
      <c r="F448" s="137"/>
      <c r="G448" s="137"/>
      <c r="H448" s="137"/>
      <c r="I448" s="137"/>
      <c r="J448" s="137"/>
      <c r="K448" s="137"/>
      <c r="L448" s="137"/>
      <c r="M448" s="137"/>
      <c r="N448" s="137"/>
      <c r="O448" s="137"/>
      <c r="P448" s="137"/>
      <c r="Q448" s="137"/>
      <c r="R448" s="137"/>
      <c r="S448" s="137"/>
      <c r="T448" s="137"/>
      <c r="U448" s="137"/>
      <c r="V448" s="67"/>
      <c r="W448" s="489"/>
    </row>
    <row r="449" spans="2:23" ht="15" x14ac:dyDescent="0.25">
      <c r="B449" s="489"/>
      <c r="C449" s="137"/>
      <c r="D449" s="137"/>
      <c r="E449" s="137"/>
      <c r="F449" s="137"/>
      <c r="G449" s="137"/>
      <c r="H449" s="137"/>
      <c r="I449" s="137"/>
      <c r="J449" s="137"/>
      <c r="K449" s="137"/>
      <c r="L449" s="137"/>
      <c r="M449" s="137"/>
      <c r="N449" s="137"/>
      <c r="O449" s="137"/>
      <c r="P449" s="137"/>
      <c r="Q449" s="137"/>
      <c r="R449" s="137"/>
      <c r="S449" s="137"/>
      <c r="T449" s="137"/>
      <c r="U449" s="137"/>
      <c r="V449" s="67"/>
      <c r="W449" s="489"/>
    </row>
    <row r="450" spans="2:23" ht="15" x14ac:dyDescent="0.25">
      <c r="B450" s="489"/>
      <c r="C450" s="137"/>
      <c r="D450" s="137"/>
      <c r="E450" s="137"/>
      <c r="F450" s="137"/>
      <c r="G450" s="137"/>
      <c r="H450" s="137"/>
      <c r="I450" s="137"/>
      <c r="J450" s="137"/>
      <c r="K450" s="137"/>
      <c r="L450" s="137"/>
      <c r="M450" s="137"/>
      <c r="N450" s="137"/>
      <c r="O450" s="137"/>
      <c r="P450" s="137"/>
      <c r="Q450" s="137"/>
      <c r="R450" s="137"/>
      <c r="S450" s="137"/>
      <c r="T450" s="137"/>
      <c r="U450" s="137"/>
      <c r="V450" s="67"/>
      <c r="W450" s="489"/>
    </row>
    <row r="451" spans="2:23" ht="15" x14ac:dyDescent="0.25">
      <c r="B451" s="489"/>
      <c r="C451" s="137"/>
      <c r="D451" s="137"/>
      <c r="E451" s="137"/>
      <c r="F451" s="137"/>
      <c r="G451" s="137"/>
      <c r="H451" s="137"/>
      <c r="I451" s="137"/>
      <c r="J451" s="137"/>
      <c r="K451" s="137"/>
      <c r="L451" s="137"/>
      <c r="M451" s="137"/>
      <c r="N451" s="137"/>
      <c r="O451" s="137"/>
      <c r="P451" s="137"/>
      <c r="Q451" s="137"/>
      <c r="R451" s="137"/>
      <c r="S451" s="137"/>
      <c r="T451" s="137"/>
      <c r="U451" s="137"/>
      <c r="V451" s="67"/>
      <c r="W451" s="489"/>
    </row>
    <row r="452" spans="2:23" ht="15" x14ac:dyDescent="0.25">
      <c r="B452" s="489"/>
      <c r="C452" s="137"/>
      <c r="D452" s="137"/>
      <c r="E452" s="137"/>
      <c r="F452" s="137"/>
      <c r="G452" s="137"/>
      <c r="H452" s="137"/>
      <c r="I452" s="137"/>
      <c r="J452" s="137"/>
      <c r="K452" s="137"/>
      <c r="L452" s="137"/>
      <c r="M452" s="137"/>
      <c r="N452" s="137"/>
      <c r="O452" s="137"/>
      <c r="P452" s="137"/>
      <c r="Q452" s="137"/>
      <c r="R452" s="137"/>
      <c r="S452" s="137"/>
      <c r="T452" s="137"/>
      <c r="U452" s="137"/>
      <c r="V452" s="67"/>
      <c r="W452" s="489"/>
    </row>
    <row r="453" spans="2:23" ht="15" x14ac:dyDescent="0.25">
      <c r="B453" s="489"/>
      <c r="C453" s="137"/>
      <c r="D453" s="137"/>
      <c r="E453" s="137"/>
      <c r="F453" s="137"/>
      <c r="G453" s="137"/>
      <c r="H453" s="137"/>
      <c r="I453" s="137"/>
      <c r="J453" s="137"/>
      <c r="K453" s="137"/>
      <c r="L453" s="137"/>
      <c r="M453" s="137"/>
      <c r="N453" s="137"/>
      <c r="O453" s="137"/>
      <c r="P453" s="137"/>
      <c r="Q453" s="137"/>
      <c r="R453" s="137"/>
      <c r="S453" s="137"/>
      <c r="T453" s="137"/>
      <c r="U453" s="137"/>
      <c r="V453" s="67"/>
      <c r="W453" s="489"/>
    </row>
    <row r="454" spans="2:23" ht="15" x14ac:dyDescent="0.25">
      <c r="B454" s="489"/>
      <c r="C454" s="137"/>
      <c r="D454" s="137"/>
      <c r="E454" s="137"/>
      <c r="F454" s="137"/>
      <c r="G454" s="137"/>
      <c r="H454" s="137"/>
      <c r="I454" s="137"/>
      <c r="J454" s="137"/>
      <c r="K454" s="137"/>
      <c r="L454" s="137"/>
      <c r="M454" s="137"/>
      <c r="N454" s="137"/>
      <c r="O454" s="137"/>
      <c r="P454" s="137"/>
      <c r="Q454" s="137"/>
      <c r="R454" s="137"/>
      <c r="S454" s="137"/>
      <c r="T454" s="137"/>
      <c r="U454" s="137"/>
      <c r="V454" s="67"/>
      <c r="W454" s="489"/>
    </row>
    <row r="455" spans="2:23" ht="15" x14ac:dyDescent="0.25">
      <c r="B455" s="489"/>
      <c r="C455" s="137"/>
      <c r="D455" s="137"/>
      <c r="E455" s="137"/>
      <c r="F455" s="137"/>
      <c r="G455" s="137"/>
      <c r="H455" s="137"/>
      <c r="I455" s="137"/>
      <c r="J455" s="137"/>
      <c r="K455" s="137"/>
      <c r="L455" s="137"/>
      <c r="M455" s="137"/>
      <c r="N455" s="137"/>
      <c r="O455" s="137"/>
      <c r="P455" s="137"/>
      <c r="Q455" s="137"/>
      <c r="R455" s="137"/>
      <c r="S455" s="137"/>
      <c r="T455" s="137"/>
      <c r="U455" s="137"/>
      <c r="V455" s="67"/>
      <c r="W455" s="489"/>
    </row>
    <row r="456" spans="2:23" ht="15" x14ac:dyDescent="0.25">
      <c r="B456" s="489"/>
      <c r="C456" s="137"/>
      <c r="D456" s="137"/>
      <c r="E456" s="137"/>
      <c r="F456" s="137"/>
      <c r="G456" s="137"/>
      <c r="H456" s="137"/>
      <c r="I456" s="137"/>
      <c r="J456" s="137"/>
      <c r="K456" s="137"/>
      <c r="L456" s="137"/>
      <c r="M456" s="137"/>
      <c r="N456" s="137"/>
      <c r="O456" s="137"/>
      <c r="P456" s="137"/>
      <c r="Q456" s="137"/>
      <c r="R456" s="137"/>
      <c r="S456" s="137"/>
      <c r="T456" s="137"/>
      <c r="U456" s="137"/>
      <c r="V456" s="67"/>
      <c r="W456" s="489"/>
    </row>
    <row r="457" spans="2:23" ht="15" x14ac:dyDescent="0.25">
      <c r="B457" s="489"/>
      <c r="C457" s="137"/>
      <c r="D457" s="137"/>
      <c r="E457" s="137"/>
      <c r="F457" s="137"/>
      <c r="G457" s="137"/>
      <c r="H457" s="137"/>
      <c r="I457" s="137"/>
      <c r="J457" s="137"/>
      <c r="K457" s="137"/>
      <c r="L457" s="137"/>
      <c r="M457" s="137"/>
      <c r="N457" s="137"/>
      <c r="O457" s="137"/>
      <c r="P457" s="137"/>
      <c r="Q457" s="137"/>
      <c r="R457" s="137"/>
      <c r="S457" s="137"/>
      <c r="T457" s="137"/>
      <c r="U457" s="137"/>
      <c r="V457" s="67"/>
      <c r="W457" s="489"/>
    </row>
    <row r="458" spans="2:23" ht="15" x14ac:dyDescent="0.25">
      <c r="B458" s="489"/>
      <c r="C458" s="137"/>
      <c r="D458" s="137"/>
      <c r="E458" s="137"/>
      <c r="F458" s="137"/>
      <c r="G458" s="137"/>
      <c r="H458" s="137"/>
      <c r="I458" s="137"/>
      <c r="J458" s="137"/>
      <c r="K458" s="137"/>
      <c r="L458" s="137"/>
      <c r="M458" s="137"/>
      <c r="N458" s="137"/>
      <c r="O458" s="137"/>
      <c r="P458" s="137"/>
      <c r="Q458" s="137"/>
      <c r="R458" s="137"/>
      <c r="S458" s="137"/>
      <c r="T458" s="137"/>
      <c r="U458" s="137"/>
      <c r="V458" s="67"/>
      <c r="W458" s="489"/>
    </row>
    <row r="459" spans="2:23" ht="15" x14ac:dyDescent="0.25">
      <c r="B459" s="489"/>
      <c r="C459" s="137"/>
      <c r="D459" s="137"/>
      <c r="E459" s="137"/>
      <c r="F459" s="137"/>
      <c r="G459" s="137"/>
      <c r="H459" s="137"/>
      <c r="I459" s="137"/>
      <c r="J459" s="137"/>
      <c r="K459" s="137"/>
      <c r="L459" s="137"/>
      <c r="M459" s="137"/>
      <c r="N459" s="137"/>
      <c r="O459" s="137"/>
      <c r="P459" s="137"/>
      <c r="Q459" s="137"/>
      <c r="R459" s="137"/>
      <c r="S459" s="137"/>
      <c r="T459" s="137"/>
      <c r="U459" s="137"/>
      <c r="V459" s="67"/>
      <c r="W459" s="489"/>
    </row>
    <row r="460" spans="2:23" ht="15" x14ac:dyDescent="0.25">
      <c r="B460" s="489"/>
      <c r="C460" s="137"/>
      <c r="D460" s="137"/>
      <c r="E460" s="137"/>
      <c r="F460" s="137"/>
      <c r="G460" s="137"/>
      <c r="H460" s="137"/>
      <c r="I460" s="137"/>
      <c r="J460" s="137"/>
      <c r="K460" s="137"/>
      <c r="L460" s="137"/>
      <c r="M460" s="137"/>
      <c r="N460" s="137"/>
      <c r="O460" s="137"/>
      <c r="P460" s="137"/>
      <c r="Q460" s="137"/>
      <c r="R460" s="137"/>
      <c r="S460" s="137"/>
      <c r="T460" s="137"/>
      <c r="U460" s="137"/>
      <c r="V460" s="67"/>
      <c r="W460" s="489"/>
    </row>
    <row r="461" spans="2:23" ht="15" x14ac:dyDescent="0.25">
      <c r="B461" s="489"/>
      <c r="C461" s="137"/>
      <c r="D461" s="137"/>
      <c r="E461" s="137"/>
      <c r="F461" s="137"/>
      <c r="G461" s="137"/>
      <c r="H461" s="137"/>
      <c r="I461" s="137"/>
      <c r="J461" s="137"/>
      <c r="K461" s="137"/>
      <c r="L461" s="137"/>
      <c r="M461" s="137"/>
      <c r="N461" s="137"/>
      <c r="O461" s="137"/>
      <c r="P461" s="137"/>
      <c r="Q461" s="137"/>
      <c r="R461" s="137"/>
      <c r="S461" s="137"/>
      <c r="T461" s="137"/>
      <c r="U461" s="137"/>
      <c r="V461" s="67"/>
      <c r="W461" s="489"/>
    </row>
    <row r="462" spans="2:23" ht="15" x14ac:dyDescent="0.25">
      <c r="B462" s="489"/>
      <c r="C462" s="137"/>
      <c r="D462" s="137"/>
      <c r="E462" s="137"/>
      <c r="F462" s="137"/>
      <c r="G462" s="137"/>
      <c r="H462" s="137"/>
      <c r="I462" s="137"/>
      <c r="J462" s="137"/>
      <c r="K462" s="137"/>
      <c r="L462" s="137"/>
      <c r="M462" s="137"/>
      <c r="N462" s="137"/>
      <c r="O462" s="137"/>
      <c r="P462" s="137"/>
      <c r="Q462" s="137"/>
      <c r="R462" s="137"/>
      <c r="S462" s="137"/>
      <c r="T462" s="137"/>
      <c r="U462" s="137"/>
      <c r="V462" s="67"/>
      <c r="W462" s="489"/>
    </row>
    <row r="463" spans="2:23" ht="15" x14ac:dyDescent="0.25">
      <c r="B463" s="489"/>
      <c r="C463" s="137"/>
      <c r="D463" s="137"/>
      <c r="E463" s="137"/>
      <c r="F463" s="137"/>
      <c r="G463" s="137"/>
      <c r="H463" s="137"/>
      <c r="I463" s="137"/>
      <c r="J463" s="137"/>
      <c r="K463" s="137"/>
      <c r="L463" s="137"/>
      <c r="M463" s="137"/>
      <c r="N463" s="137"/>
      <c r="O463" s="137"/>
      <c r="P463" s="137"/>
      <c r="Q463" s="137"/>
      <c r="R463" s="137"/>
      <c r="S463" s="137"/>
      <c r="T463" s="137"/>
      <c r="U463" s="137"/>
      <c r="V463" s="67"/>
      <c r="W463" s="489"/>
    </row>
    <row r="464" spans="2:23" ht="15" x14ac:dyDescent="0.25">
      <c r="B464" s="489"/>
      <c r="C464" s="137"/>
      <c r="D464" s="137"/>
      <c r="E464" s="137"/>
      <c r="F464" s="137"/>
      <c r="G464" s="137"/>
      <c r="H464" s="137"/>
      <c r="I464" s="137"/>
      <c r="J464" s="137"/>
      <c r="K464" s="137"/>
      <c r="L464" s="137"/>
      <c r="M464" s="137"/>
      <c r="N464" s="137"/>
      <c r="O464" s="137"/>
      <c r="P464" s="137"/>
      <c r="Q464" s="137"/>
      <c r="R464" s="137"/>
      <c r="S464" s="137"/>
      <c r="T464" s="137"/>
      <c r="U464" s="137"/>
      <c r="V464" s="67"/>
      <c r="W464" s="489"/>
    </row>
    <row r="465" spans="2:23" ht="15" x14ac:dyDescent="0.25">
      <c r="B465" s="489"/>
      <c r="C465" s="137"/>
      <c r="D465" s="137"/>
      <c r="E465" s="137"/>
      <c r="F465" s="137"/>
      <c r="G465" s="137"/>
      <c r="H465" s="137"/>
      <c r="I465" s="137"/>
      <c r="J465" s="137"/>
      <c r="K465" s="137"/>
      <c r="L465" s="137"/>
      <c r="M465" s="137"/>
      <c r="N465" s="137"/>
      <c r="O465" s="137"/>
      <c r="P465" s="137"/>
      <c r="Q465" s="137"/>
      <c r="R465" s="137"/>
      <c r="S465" s="137"/>
      <c r="T465" s="137"/>
      <c r="U465" s="137"/>
      <c r="V465" s="67"/>
      <c r="W465" s="489"/>
    </row>
    <row r="466" spans="2:23" ht="15" x14ac:dyDescent="0.25">
      <c r="B466" s="489"/>
      <c r="C466" s="137"/>
      <c r="D466" s="137"/>
      <c r="E466" s="137"/>
      <c r="F466" s="137"/>
      <c r="G466" s="137"/>
      <c r="H466" s="137"/>
      <c r="I466" s="137"/>
      <c r="J466" s="137"/>
      <c r="K466" s="137"/>
      <c r="L466" s="137"/>
      <c r="M466" s="137"/>
      <c r="N466" s="137"/>
      <c r="O466" s="137"/>
      <c r="P466" s="137"/>
      <c r="Q466" s="137"/>
      <c r="R466" s="137"/>
      <c r="S466" s="137"/>
      <c r="T466" s="137"/>
      <c r="U466" s="137"/>
      <c r="V466" s="67"/>
      <c r="W466" s="489"/>
    </row>
    <row r="467" spans="2:23" ht="15" x14ac:dyDescent="0.25">
      <c r="B467" s="489"/>
      <c r="C467" s="137"/>
      <c r="D467" s="137"/>
      <c r="E467" s="137"/>
      <c r="F467" s="137"/>
      <c r="G467" s="137"/>
      <c r="H467" s="137"/>
      <c r="I467" s="137"/>
      <c r="J467" s="137"/>
      <c r="K467" s="137"/>
      <c r="L467" s="137"/>
      <c r="M467" s="137"/>
      <c r="N467" s="137"/>
      <c r="O467" s="137"/>
      <c r="P467" s="137"/>
      <c r="Q467" s="137"/>
      <c r="R467" s="137"/>
      <c r="S467" s="137"/>
      <c r="T467" s="137"/>
      <c r="U467" s="137"/>
      <c r="V467" s="67"/>
      <c r="W467" s="489"/>
    </row>
    <row r="468" spans="2:23" ht="15" x14ac:dyDescent="0.25">
      <c r="B468" s="489"/>
      <c r="C468" s="137"/>
      <c r="D468" s="137"/>
      <c r="E468" s="137"/>
      <c r="F468" s="137"/>
      <c r="G468" s="137"/>
      <c r="H468" s="137"/>
      <c r="I468" s="137"/>
      <c r="J468" s="137"/>
      <c r="K468" s="137"/>
      <c r="L468" s="137"/>
      <c r="M468" s="137"/>
      <c r="N468" s="137"/>
      <c r="O468" s="137"/>
      <c r="P468" s="137"/>
      <c r="Q468" s="137"/>
      <c r="R468" s="137"/>
      <c r="S468" s="137"/>
      <c r="T468" s="137"/>
      <c r="U468" s="137"/>
      <c r="V468" s="67"/>
      <c r="W468" s="489"/>
    </row>
    <row r="469" spans="2:23" x14ac:dyDescent="0.2">
      <c r="B469" s="489"/>
      <c r="C469" s="67"/>
      <c r="D469" s="67"/>
      <c r="E469" s="67"/>
      <c r="F469" s="67"/>
      <c r="G469" s="67"/>
      <c r="H469" s="67"/>
      <c r="I469" s="67"/>
      <c r="J469" s="67"/>
      <c r="K469" s="67"/>
      <c r="L469" s="67"/>
      <c r="M469" s="67"/>
      <c r="N469" s="67"/>
      <c r="O469" s="67"/>
      <c r="Q469" s="67"/>
      <c r="R469" s="67"/>
      <c r="S469" s="67"/>
      <c r="T469" s="67"/>
      <c r="U469" s="67"/>
      <c r="V469" s="67"/>
      <c r="W469" s="489"/>
    </row>
    <row r="470" spans="2:23" x14ac:dyDescent="0.2">
      <c r="B470" s="489"/>
      <c r="C470" s="67"/>
      <c r="D470" s="67"/>
      <c r="E470" s="67"/>
      <c r="F470" s="67"/>
      <c r="G470" s="67"/>
      <c r="H470" s="67"/>
      <c r="I470" s="67"/>
      <c r="J470" s="67"/>
      <c r="K470" s="67"/>
      <c r="L470" s="67"/>
      <c r="M470" s="67"/>
      <c r="N470" s="67"/>
      <c r="O470" s="67"/>
      <c r="Q470" s="67"/>
      <c r="R470" s="67"/>
      <c r="S470" s="67"/>
      <c r="T470" s="67"/>
      <c r="U470" s="67"/>
      <c r="V470" s="67"/>
      <c r="W470" s="489"/>
    </row>
    <row r="471" spans="2:23" x14ac:dyDescent="0.2">
      <c r="B471" s="489"/>
      <c r="C471" s="67"/>
      <c r="D471" s="67"/>
      <c r="E471" s="67"/>
      <c r="F471" s="67"/>
      <c r="G471" s="67"/>
      <c r="H471" s="67"/>
      <c r="I471" s="67"/>
      <c r="J471" s="67"/>
      <c r="K471" s="67"/>
      <c r="L471" s="67"/>
      <c r="M471" s="67"/>
      <c r="N471" s="67"/>
      <c r="O471" s="67"/>
      <c r="Q471" s="67"/>
      <c r="R471" s="67"/>
      <c r="S471" s="67"/>
      <c r="T471" s="67"/>
      <c r="U471" s="67"/>
      <c r="V471" s="67"/>
      <c r="W471" s="489"/>
    </row>
    <row r="472" spans="2:23" x14ac:dyDescent="0.2">
      <c r="B472" s="489"/>
      <c r="C472" s="67"/>
      <c r="D472" s="67"/>
      <c r="E472" s="67"/>
      <c r="F472" s="67"/>
      <c r="G472" s="67"/>
      <c r="H472" s="67"/>
      <c r="I472" s="67"/>
      <c r="J472" s="67"/>
      <c r="K472" s="67"/>
      <c r="L472" s="67"/>
      <c r="M472" s="67"/>
      <c r="N472" s="67"/>
      <c r="O472" s="67"/>
      <c r="Q472" s="67"/>
      <c r="R472" s="67"/>
      <c r="S472" s="67"/>
      <c r="T472" s="67"/>
      <c r="U472" s="67"/>
      <c r="V472" s="67"/>
      <c r="W472" s="489"/>
    </row>
    <row r="473" spans="2:23" x14ac:dyDescent="0.2">
      <c r="B473" s="489"/>
      <c r="C473" s="67"/>
      <c r="D473" s="67"/>
      <c r="E473" s="67"/>
      <c r="F473" s="67"/>
      <c r="G473" s="67"/>
      <c r="H473" s="67"/>
      <c r="I473" s="67"/>
      <c r="J473" s="67"/>
      <c r="K473" s="67"/>
      <c r="L473" s="67"/>
      <c r="M473" s="67"/>
      <c r="N473" s="67"/>
      <c r="O473" s="67"/>
      <c r="Q473" s="67"/>
      <c r="R473" s="67"/>
      <c r="S473" s="67"/>
      <c r="T473" s="67"/>
      <c r="U473" s="67"/>
      <c r="V473" s="67"/>
      <c r="W473" s="489"/>
    </row>
    <row r="474" spans="2:23" x14ac:dyDescent="0.2">
      <c r="B474" s="489"/>
      <c r="C474" s="67"/>
      <c r="D474" s="67"/>
      <c r="E474" s="67"/>
      <c r="F474" s="67"/>
      <c r="G474" s="67"/>
      <c r="H474" s="67"/>
      <c r="I474" s="67"/>
      <c r="J474" s="67"/>
      <c r="K474" s="67"/>
      <c r="L474" s="67"/>
      <c r="M474" s="67"/>
      <c r="N474" s="67"/>
      <c r="O474" s="67"/>
      <c r="Q474" s="67"/>
      <c r="R474" s="67"/>
      <c r="S474" s="67"/>
      <c r="T474" s="67"/>
      <c r="U474" s="67"/>
      <c r="V474" s="67"/>
      <c r="W474" s="489"/>
    </row>
    <row r="475" spans="2:23" x14ac:dyDescent="0.2">
      <c r="B475" s="489"/>
      <c r="C475" s="67"/>
      <c r="D475" s="67"/>
      <c r="E475" s="67"/>
      <c r="F475" s="67"/>
      <c r="G475" s="67"/>
      <c r="H475" s="67"/>
      <c r="I475" s="67"/>
      <c r="J475" s="67"/>
      <c r="K475" s="67"/>
      <c r="L475" s="67"/>
      <c r="M475" s="67"/>
      <c r="N475" s="67"/>
      <c r="O475" s="67"/>
      <c r="Q475" s="67"/>
      <c r="R475" s="67"/>
      <c r="S475" s="67"/>
      <c r="T475" s="67"/>
      <c r="U475" s="67"/>
      <c r="V475" s="67"/>
      <c r="W475" s="489"/>
    </row>
    <row r="476" spans="2:23" x14ac:dyDescent="0.2">
      <c r="B476" s="489"/>
      <c r="C476" s="67"/>
      <c r="D476" s="67"/>
      <c r="E476" s="67"/>
      <c r="F476" s="67"/>
      <c r="G476" s="67"/>
      <c r="H476" s="67"/>
      <c r="I476" s="67"/>
      <c r="J476" s="67"/>
      <c r="K476" s="67"/>
      <c r="L476" s="67"/>
      <c r="M476" s="67"/>
      <c r="N476" s="67"/>
      <c r="O476" s="67"/>
      <c r="Q476" s="67"/>
      <c r="R476" s="67"/>
      <c r="S476" s="67"/>
      <c r="T476" s="67"/>
      <c r="U476" s="67"/>
      <c r="V476" s="67"/>
      <c r="W476" s="489"/>
    </row>
    <row r="477" spans="2:23" x14ac:dyDescent="0.2">
      <c r="B477" s="489"/>
      <c r="C477" s="67"/>
      <c r="D477" s="67"/>
      <c r="E477" s="67"/>
      <c r="F477" s="67"/>
      <c r="G477" s="67"/>
      <c r="H477" s="67"/>
      <c r="I477" s="67"/>
      <c r="J477" s="67"/>
      <c r="K477" s="67"/>
      <c r="L477" s="67"/>
      <c r="M477" s="67"/>
      <c r="N477" s="67"/>
      <c r="O477" s="67"/>
      <c r="Q477" s="67"/>
      <c r="R477" s="67"/>
      <c r="S477" s="67"/>
      <c r="T477" s="67"/>
      <c r="U477" s="67"/>
      <c r="V477" s="67"/>
      <c r="W477" s="489"/>
    </row>
    <row r="478" spans="2:23" x14ac:dyDescent="0.2">
      <c r="B478" s="489"/>
      <c r="C478" s="67"/>
      <c r="D478" s="67"/>
      <c r="E478" s="67"/>
      <c r="F478" s="67"/>
      <c r="G478" s="67"/>
      <c r="H478" s="67"/>
      <c r="I478" s="67"/>
      <c r="J478" s="67"/>
      <c r="K478" s="67"/>
      <c r="L478" s="67"/>
      <c r="M478" s="67"/>
      <c r="N478" s="67"/>
      <c r="O478" s="67"/>
      <c r="Q478" s="67"/>
      <c r="R478" s="67"/>
      <c r="S478" s="67"/>
      <c r="T478" s="67"/>
      <c r="U478" s="67"/>
      <c r="V478" s="67"/>
      <c r="W478" s="489"/>
    </row>
    <row r="479" spans="2:23" x14ac:dyDescent="0.2">
      <c r="B479" s="489"/>
      <c r="C479" s="67"/>
      <c r="D479" s="67"/>
      <c r="E479" s="67"/>
      <c r="F479" s="67"/>
      <c r="G479" s="67"/>
      <c r="H479" s="67"/>
      <c r="I479" s="67"/>
      <c r="J479" s="67"/>
      <c r="K479" s="67"/>
      <c r="L479" s="67"/>
      <c r="M479" s="67"/>
      <c r="N479" s="67"/>
      <c r="O479" s="67"/>
      <c r="Q479" s="67"/>
      <c r="R479" s="67"/>
      <c r="S479" s="67"/>
      <c r="T479" s="67"/>
      <c r="U479" s="67"/>
      <c r="V479" s="67"/>
      <c r="W479" s="489"/>
    </row>
    <row r="480" spans="2:23" x14ac:dyDescent="0.2">
      <c r="B480" s="489"/>
      <c r="C480" s="67"/>
      <c r="D480" s="67"/>
      <c r="E480" s="67"/>
      <c r="F480" s="67"/>
      <c r="G480" s="67"/>
      <c r="H480" s="67"/>
      <c r="I480" s="67"/>
      <c r="J480" s="67"/>
      <c r="K480" s="67"/>
      <c r="L480" s="67"/>
      <c r="M480" s="67"/>
      <c r="N480" s="67"/>
      <c r="O480" s="67"/>
      <c r="Q480" s="67"/>
      <c r="R480" s="67"/>
      <c r="S480" s="67"/>
      <c r="T480" s="67"/>
      <c r="U480" s="67"/>
      <c r="V480" s="67"/>
      <c r="W480" s="489"/>
    </row>
    <row r="481" spans="2:23" x14ac:dyDescent="0.2">
      <c r="B481" s="489"/>
      <c r="C481" s="67"/>
      <c r="D481" s="67"/>
      <c r="E481" s="67"/>
      <c r="F481" s="67"/>
      <c r="G481" s="67"/>
      <c r="H481" s="67"/>
      <c r="I481" s="67"/>
      <c r="J481" s="67"/>
      <c r="K481" s="67"/>
      <c r="L481" s="67"/>
      <c r="M481" s="67"/>
      <c r="N481" s="67"/>
      <c r="O481" s="67"/>
      <c r="Q481" s="67"/>
      <c r="R481" s="67"/>
      <c r="S481" s="67"/>
      <c r="T481" s="67"/>
      <c r="U481" s="67"/>
      <c r="V481" s="67"/>
      <c r="W481" s="489"/>
    </row>
    <row r="482" spans="2:23" x14ac:dyDescent="0.2">
      <c r="B482" s="489"/>
      <c r="C482" s="67"/>
      <c r="D482" s="67"/>
      <c r="E482" s="67"/>
      <c r="F482" s="67"/>
      <c r="G482" s="67"/>
      <c r="H482" s="67"/>
      <c r="I482" s="67"/>
      <c r="J482" s="67"/>
      <c r="K482" s="67"/>
      <c r="L482" s="67"/>
      <c r="M482" s="67"/>
      <c r="N482" s="67"/>
      <c r="O482" s="67"/>
      <c r="Q482" s="67"/>
      <c r="R482" s="67"/>
      <c r="S482" s="67"/>
      <c r="T482" s="67"/>
      <c r="U482" s="67"/>
      <c r="V482" s="67"/>
      <c r="W482" s="489"/>
    </row>
    <row r="483" spans="2:23" x14ac:dyDescent="0.2">
      <c r="B483" s="489"/>
      <c r="C483" s="67"/>
      <c r="D483" s="67"/>
      <c r="E483" s="67"/>
      <c r="F483" s="67"/>
      <c r="G483" s="67"/>
      <c r="H483" s="67"/>
      <c r="I483" s="67"/>
      <c r="J483" s="67"/>
      <c r="K483" s="67"/>
      <c r="L483" s="67"/>
      <c r="M483" s="67"/>
      <c r="N483" s="67"/>
      <c r="O483" s="67"/>
      <c r="Q483" s="67"/>
      <c r="R483" s="67"/>
      <c r="S483" s="67"/>
      <c r="T483" s="67"/>
      <c r="U483" s="67"/>
      <c r="V483" s="67"/>
      <c r="W483" s="489"/>
    </row>
    <row r="484" spans="2:23" x14ac:dyDescent="0.2">
      <c r="B484" s="489"/>
      <c r="C484" s="67"/>
      <c r="D484" s="67"/>
      <c r="E484" s="67"/>
      <c r="F484" s="67"/>
      <c r="G484" s="67"/>
      <c r="H484" s="67"/>
      <c r="I484" s="67"/>
      <c r="J484" s="67"/>
      <c r="K484" s="67"/>
      <c r="L484" s="67"/>
      <c r="M484" s="67"/>
      <c r="N484" s="67"/>
      <c r="O484" s="67"/>
      <c r="Q484" s="67"/>
      <c r="R484" s="67"/>
      <c r="S484" s="67"/>
      <c r="T484" s="67"/>
      <c r="U484" s="67"/>
      <c r="V484" s="67"/>
      <c r="W484" s="489"/>
    </row>
    <row r="485" spans="2:23" x14ac:dyDescent="0.2">
      <c r="B485" s="489"/>
      <c r="C485" s="67"/>
      <c r="D485" s="67"/>
      <c r="E485" s="67"/>
      <c r="F485" s="67"/>
      <c r="G485" s="67"/>
      <c r="H485" s="67"/>
      <c r="I485" s="67"/>
      <c r="J485" s="67"/>
      <c r="K485" s="67"/>
      <c r="L485" s="67"/>
      <c r="M485" s="67"/>
      <c r="N485" s="67"/>
      <c r="O485" s="67"/>
      <c r="Q485" s="67"/>
      <c r="R485" s="67"/>
      <c r="S485" s="67"/>
      <c r="T485" s="67"/>
      <c r="U485" s="67"/>
      <c r="V485" s="67"/>
      <c r="W485" s="489"/>
    </row>
    <row r="486" spans="2:23" s="67" customFormat="1" x14ac:dyDescent="0.2">
      <c r="B486" s="489"/>
      <c r="W486" s="489"/>
    </row>
    <row r="487" spans="2:23" s="67" customFormat="1" x14ac:dyDescent="0.2">
      <c r="B487" s="489"/>
      <c r="W487" s="489"/>
    </row>
    <row r="488" spans="2:23" s="67" customFormat="1" x14ac:dyDescent="0.2">
      <c r="B488" s="489"/>
      <c r="W488" s="489"/>
    </row>
    <row r="489" spans="2:23" s="67" customFormat="1" x14ac:dyDescent="0.2">
      <c r="B489" s="489"/>
      <c r="W489" s="489"/>
    </row>
    <row r="490" spans="2:23" s="67" customFormat="1" x14ac:dyDescent="0.2">
      <c r="B490" s="489"/>
      <c r="W490" s="489"/>
    </row>
    <row r="491" spans="2:23" s="67" customFormat="1" ht="15" x14ac:dyDescent="0.2">
      <c r="B491" s="489"/>
      <c r="C491" s="974" t="s">
        <v>955</v>
      </c>
      <c r="D491" s="974"/>
      <c r="E491" s="974"/>
      <c r="F491" s="974"/>
      <c r="G491" s="974"/>
      <c r="H491" s="974"/>
      <c r="I491" s="974"/>
      <c r="J491" s="974"/>
      <c r="K491" s="974"/>
      <c r="L491" s="974"/>
      <c r="M491" s="974"/>
      <c r="N491" s="974"/>
      <c r="O491" s="974"/>
      <c r="P491" s="974"/>
      <c r="Q491" s="974"/>
      <c r="R491" s="974"/>
      <c r="S491" s="974"/>
      <c r="T491" s="974"/>
      <c r="U491" s="974"/>
      <c r="W491" s="489"/>
    </row>
    <row r="492" spans="2:23" s="67" customFormat="1" ht="15" x14ac:dyDescent="0.25">
      <c r="B492" s="489"/>
      <c r="C492" s="449"/>
      <c r="D492" s="449"/>
      <c r="E492" s="449"/>
      <c r="F492" s="131" t="s">
        <v>987</v>
      </c>
      <c r="G492" s="449"/>
      <c r="H492" s="449"/>
      <c r="I492" s="449"/>
      <c r="J492" s="449"/>
      <c r="K492" s="449"/>
      <c r="L492" s="449"/>
      <c r="M492" s="449"/>
      <c r="N492" s="449"/>
      <c r="O492" s="449"/>
      <c r="P492" s="449"/>
      <c r="Q492" s="449"/>
      <c r="R492" s="449"/>
      <c r="S492" s="449"/>
      <c r="T492" s="449"/>
      <c r="U492" s="449"/>
      <c r="W492" s="489"/>
    </row>
    <row r="493" spans="2:23" s="67" customFormat="1" ht="15" x14ac:dyDescent="0.25">
      <c r="B493" s="489"/>
      <c r="C493" s="449"/>
      <c r="D493" s="449"/>
      <c r="E493" s="449"/>
      <c r="F493" s="131" t="s">
        <v>960</v>
      </c>
      <c r="G493" s="449"/>
      <c r="H493" s="449"/>
      <c r="I493" s="449"/>
      <c r="J493" s="449"/>
      <c r="K493" s="449"/>
      <c r="L493" s="449"/>
      <c r="M493" s="449"/>
      <c r="N493" s="449"/>
      <c r="O493" s="449"/>
      <c r="P493" s="449"/>
      <c r="Q493" s="449"/>
      <c r="R493" s="449"/>
      <c r="S493" s="449"/>
      <c r="T493" s="449"/>
      <c r="U493" s="449"/>
      <c r="W493" s="489"/>
    </row>
    <row r="494" spans="2:23" s="67" customFormat="1" ht="15" x14ac:dyDescent="0.25">
      <c r="B494" s="489"/>
      <c r="C494" s="449"/>
      <c r="D494" s="449"/>
      <c r="E494" s="449"/>
      <c r="F494" s="131" t="s">
        <v>958</v>
      </c>
      <c r="G494" s="449"/>
      <c r="H494" s="449"/>
      <c r="I494" s="449"/>
      <c r="J494" s="449"/>
      <c r="K494" s="449"/>
      <c r="L494" s="449"/>
      <c r="M494" s="449"/>
      <c r="N494" s="449"/>
      <c r="O494" s="449"/>
      <c r="P494" s="449"/>
      <c r="Q494" s="449"/>
      <c r="R494" s="449"/>
      <c r="S494" s="449"/>
      <c r="T494" s="449"/>
      <c r="U494" s="449"/>
      <c r="W494" s="489"/>
    </row>
    <row r="495" spans="2:23" s="67" customFormat="1" ht="15" x14ac:dyDescent="0.25">
      <c r="B495" s="489"/>
      <c r="C495" s="449"/>
      <c r="D495" s="449"/>
      <c r="E495" s="449"/>
      <c r="F495" s="131" t="s">
        <v>957</v>
      </c>
      <c r="G495" s="449"/>
      <c r="H495" s="449"/>
      <c r="I495" s="449"/>
      <c r="J495" s="449"/>
      <c r="K495" s="449"/>
      <c r="L495" s="449"/>
      <c r="M495" s="449"/>
      <c r="N495" s="449"/>
      <c r="O495" s="449"/>
      <c r="P495" s="449"/>
      <c r="Q495" s="449"/>
      <c r="R495" s="449"/>
      <c r="S495" s="449"/>
      <c r="T495" s="449"/>
      <c r="U495" s="449"/>
      <c r="W495" s="489"/>
    </row>
    <row r="496" spans="2:23" s="67" customFormat="1" x14ac:dyDescent="0.2">
      <c r="B496" s="489"/>
      <c r="W496" s="489"/>
    </row>
    <row r="497" spans="2:25" s="67" customFormat="1" x14ac:dyDescent="0.2">
      <c r="B497" s="489"/>
      <c r="W497" s="489"/>
    </row>
    <row r="498" spans="2:25" s="67" customFormat="1" x14ac:dyDescent="0.2">
      <c r="B498" s="489"/>
      <c r="W498" s="489"/>
    </row>
    <row r="499" spans="2:25" s="67" customFormat="1" x14ac:dyDescent="0.2">
      <c r="B499" s="489"/>
      <c r="W499" s="489"/>
    </row>
    <row r="500" spans="2:25" s="67" customFormat="1" x14ac:dyDescent="0.2">
      <c r="B500" s="489"/>
      <c r="W500" s="489"/>
    </row>
    <row r="501" spans="2:25" s="67" customFormat="1" x14ac:dyDescent="0.2">
      <c r="B501" s="489"/>
      <c r="W501" s="489"/>
    </row>
    <row r="502" spans="2:25" s="67" customFormat="1" x14ac:dyDescent="0.2">
      <c r="B502" s="489"/>
      <c r="W502" s="489"/>
    </row>
    <row r="503" spans="2:25" s="67" customFormat="1" x14ac:dyDescent="0.2">
      <c r="B503" s="489"/>
      <c r="W503" s="489"/>
    </row>
    <row r="504" spans="2:25" s="67" customFormat="1" x14ac:dyDescent="0.2">
      <c r="B504" s="489"/>
      <c r="W504" s="489"/>
    </row>
    <row r="505" spans="2:25" s="67" customFormat="1" x14ac:dyDescent="0.2">
      <c r="B505" s="489"/>
      <c r="W505" s="489"/>
    </row>
    <row r="506" spans="2:25" s="67" customFormat="1" x14ac:dyDescent="0.2">
      <c r="B506" s="489"/>
      <c r="W506" s="489"/>
    </row>
    <row r="507" spans="2:25" s="67" customFormat="1" x14ac:dyDescent="0.2">
      <c r="B507" s="489"/>
      <c r="W507" s="489"/>
    </row>
    <row r="508" spans="2:25" s="67" customFormat="1" x14ac:dyDescent="0.2">
      <c r="B508" s="489"/>
      <c r="W508" s="489"/>
      <c r="Y508"/>
    </row>
    <row r="509" spans="2:25" s="67" customFormat="1" x14ac:dyDescent="0.2">
      <c r="B509" s="489"/>
      <c r="W509" s="489"/>
    </row>
    <row r="510" spans="2:25" s="67" customFormat="1" x14ac:dyDescent="0.2">
      <c r="B510" s="489"/>
      <c r="W510" s="489"/>
    </row>
    <row r="511" spans="2:25" s="67" customFormat="1" x14ac:dyDescent="0.2">
      <c r="B511" s="489"/>
      <c r="W511" s="489"/>
    </row>
    <row r="512" spans="2:25" s="67" customFormat="1" x14ac:dyDescent="0.2">
      <c r="B512" s="489"/>
      <c r="W512" s="489"/>
    </row>
    <row r="513" spans="2:23" s="67" customFormat="1" x14ac:dyDescent="0.2">
      <c r="B513" s="489"/>
      <c r="W513" s="489"/>
    </row>
    <row r="514" spans="2:23" s="67" customFormat="1" x14ac:dyDescent="0.2">
      <c r="B514" s="489"/>
      <c r="W514" s="489"/>
    </row>
    <row r="515" spans="2:23" s="67" customFormat="1" x14ac:dyDescent="0.2">
      <c r="B515" s="489"/>
      <c r="W515" s="489"/>
    </row>
    <row r="516" spans="2:23" s="67" customFormat="1" x14ac:dyDescent="0.2">
      <c r="B516" s="489"/>
      <c r="W516" s="489"/>
    </row>
    <row r="517" spans="2:23" s="67" customFormat="1" x14ac:dyDescent="0.2">
      <c r="B517" s="489"/>
      <c r="W517" s="489"/>
    </row>
    <row r="518" spans="2:23" s="67" customFormat="1" x14ac:dyDescent="0.2">
      <c r="B518" s="489"/>
      <c r="W518" s="489"/>
    </row>
    <row r="519" spans="2:23" s="67" customFormat="1" x14ac:dyDescent="0.2">
      <c r="B519" s="489"/>
      <c r="W519" s="489"/>
    </row>
    <row r="520" spans="2:23" s="67" customFormat="1" x14ac:dyDescent="0.2">
      <c r="B520" s="489"/>
      <c r="W520" s="489"/>
    </row>
    <row r="521" spans="2:23" s="67" customFormat="1" x14ac:dyDescent="0.2">
      <c r="B521" s="489"/>
      <c r="W521" s="489"/>
    </row>
    <row r="522" spans="2:23" s="67" customFormat="1" x14ac:dyDescent="0.2">
      <c r="B522" s="489"/>
      <c r="W522" s="489"/>
    </row>
    <row r="523" spans="2:23" s="67" customFormat="1" x14ac:dyDescent="0.2">
      <c r="B523" s="489"/>
      <c r="W523" s="489"/>
    </row>
    <row r="524" spans="2:23" s="67" customFormat="1" x14ac:dyDescent="0.2">
      <c r="B524" s="489"/>
      <c r="W524" s="489"/>
    </row>
    <row r="525" spans="2:23" s="67" customFormat="1" x14ac:dyDescent="0.2">
      <c r="B525" s="489"/>
      <c r="W525" s="489"/>
    </row>
    <row r="526" spans="2:23" s="67" customFormat="1" x14ac:dyDescent="0.2">
      <c r="B526" s="489"/>
      <c r="W526" s="489"/>
    </row>
    <row r="527" spans="2:23" s="67" customFormat="1" x14ac:dyDescent="0.2">
      <c r="B527" s="489"/>
      <c r="W527" s="489"/>
    </row>
    <row r="528" spans="2:23" s="67" customFormat="1" x14ac:dyDescent="0.2">
      <c r="B528" s="489"/>
      <c r="W528" s="489"/>
    </row>
    <row r="529" spans="2:23" s="67" customFormat="1" x14ac:dyDescent="0.2">
      <c r="B529" s="489"/>
      <c r="W529" s="489"/>
    </row>
    <row r="530" spans="2:23" s="67" customFormat="1" x14ac:dyDescent="0.2">
      <c r="B530" s="489"/>
      <c r="W530" s="489"/>
    </row>
    <row r="531" spans="2:23" s="67" customFormat="1" x14ac:dyDescent="0.2">
      <c r="B531" s="489"/>
      <c r="W531" s="489"/>
    </row>
    <row r="532" spans="2:23" s="67" customFormat="1" x14ac:dyDescent="0.2">
      <c r="B532" s="489"/>
      <c r="W532" s="489"/>
    </row>
    <row r="533" spans="2:23" s="67" customFormat="1" x14ac:dyDescent="0.2">
      <c r="B533" s="489"/>
      <c r="W533" s="489"/>
    </row>
    <row r="534" spans="2:23" s="67" customFormat="1" x14ac:dyDescent="0.2">
      <c r="B534" s="489"/>
      <c r="W534" s="489"/>
    </row>
    <row r="535" spans="2:23" s="67" customFormat="1" x14ac:dyDescent="0.2">
      <c r="B535" s="489"/>
      <c r="W535" s="489"/>
    </row>
    <row r="536" spans="2:23" s="67" customFormat="1" x14ac:dyDescent="0.2">
      <c r="B536" s="489"/>
      <c r="W536" s="489"/>
    </row>
    <row r="537" spans="2:23" s="67" customFormat="1" x14ac:dyDescent="0.2">
      <c r="B537" s="489"/>
      <c r="W537" s="489"/>
    </row>
    <row r="538" spans="2:23" s="67" customFormat="1" x14ac:dyDescent="0.2">
      <c r="B538" s="489"/>
      <c r="W538" s="489"/>
    </row>
    <row r="539" spans="2:23" s="67" customFormat="1" x14ac:dyDescent="0.2">
      <c r="B539" s="489"/>
      <c r="W539" s="489"/>
    </row>
    <row r="540" spans="2:23" s="67" customFormat="1" x14ac:dyDescent="0.2">
      <c r="B540" s="489"/>
      <c r="W540" s="489"/>
    </row>
    <row r="541" spans="2:23" s="67" customFormat="1" x14ac:dyDescent="0.2">
      <c r="B541" s="489"/>
      <c r="W541" s="489"/>
    </row>
    <row r="542" spans="2:23" s="67" customFormat="1" x14ac:dyDescent="0.2">
      <c r="B542" s="489"/>
      <c r="W542" s="489"/>
    </row>
    <row r="543" spans="2:23" s="67" customFormat="1" ht="28.5" customHeight="1" x14ac:dyDescent="0.2">
      <c r="B543" s="489"/>
      <c r="C543" s="978" t="s">
        <v>1132</v>
      </c>
      <c r="D543" s="914"/>
      <c r="E543" s="914"/>
      <c r="F543" s="914"/>
      <c r="G543" s="914"/>
      <c r="H543" s="914"/>
      <c r="I543" s="914"/>
      <c r="J543" s="914"/>
      <c r="K543" s="914"/>
      <c r="L543" s="914"/>
      <c r="M543" s="914"/>
      <c r="N543" s="914"/>
      <c r="O543" s="914"/>
      <c r="P543" s="914"/>
      <c r="Q543" s="914"/>
      <c r="R543" s="914"/>
      <c r="S543" s="914"/>
      <c r="T543" s="914"/>
      <c r="U543" s="914"/>
      <c r="W543" s="489"/>
    </row>
    <row r="544" spans="2:23" x14ac:dyDescent="0.2">
      <c r="B544" s="489"/>
      <c r="C544" s="67"/>
      <c r="D544" s="67"/>
      <c r="E544" s="67"/>
      <c r="F544" s="67"/>
      <c r="G544" s="67"/>
      <c r="H544" s="67"/>
      <c r="I544" s="67"/>
      <c r="J544" s="67"/>
      <c r="K544" s="67"/>
      <c r="L544" s="67"/>
      <c r="M544" s="67"/>
      <c r="N544" s="67"/>
      <c r="O544" s="67"/>
      <c r="Q544" s="67"/>
      <c r="R544" s="67"/>
      <c r="S544" s="67"/>
      <c r="T544" s="67"/>
      <c r="U544" s="67"/>
      <c r="V544" s="67"/>
      <c r="W544" s="489"/>
    </row>
    <row r="545" spans="2:23" x14ac:dyDescent="0.2">
      <c r="B545" s="489"/>
      <c r="C545" s="489"/>
      <c r="D545" s="489"/>
      <c r="E545" s="489"/>
      <c r="F545" s="489"/>
      <c r="G545" s="489"/>
      <c r="H545" s="489"/>
      <c r="I545" s="489"/>
      <c r="J545" s="489"/>
      <c r="K545" s="489"/>
      <c r="L545" s="489"/>
      <c r="M545" s="489"/>
      <c r="N545" s="489"/>
      <c r="O545" s="489"/>
      <c r="P545" s="489"/>
      <c r="Q545" s="489"/>
      <c r="R545" s="489"/>
      <c r="S545" s="489"/>
      <c r="T545" s="489"/>
      <c r="U545" s="489"/>
      <c r="V545" s="489"/>
      <c r="W545" s="489"/>
    </row>
    <row r="546" spans="2:23" ht="15" x14ac:dyDescent="0.25">
      <c r="B546" s="487"/>
      <c r="C546" s="487"/>
      <c r="D546" s="487"/>
      <c r="E546" s="487"/>
      <c r="F546" s="487"/>
      <c r="G546" s="487"/>
      <c r="H546" s="487"/>
      <c r="I546" s="487"/>
      <c r="J546" s="487"/>
      <c r="K546" s="487"/>
      <c r="L546" s="487"/>
      <c r="M546" s="487"/>
      <c r="N546" s="487"/>
      <c r="O546" s="487"/>
      <c r="P546" s="487"/>
      <c r="Q546" s="487"/>
      <c r="R546" s="487"/>
      <c r="S546" s="487"/>
      <c r="T546" s="487"/>
      <c r="U546" s="487"/>
      <c r="V546" s="487"/>
      <c r="W546" s="487"/>
    </row>
    <row r="547" spans="2:23" ht="15" x14ac:dyDescent="0.25">
      <c r="B547" s="487"/>
      <c r="C547" s="487"/>
      <c r="D547" s="487"/>
      <c r="E547" s="487"/>
      <c r="F547" s="487"/>
      <c r="G547" s="487"/>
      <c r="H547" s="487"/>
      <c r="I547" s="487"/>
      <c r="J547" s="487"/>
      <c r="K547" s="487"/>
      <c r="L547" s="487"/>
      <c r="M547" s="487"/>
      <c r="N547" s="487"/>
      <c r="O547" s="487"/>
      <c r="P547" s="487"/>
      <c r="Q547" s="487"/>
      <c r="R547" s="487"/>
      <c r="S547" s="487"/>
      <c r="T547" s="487"/>
      <c r="U547" s="487"/>
      <c r="V547" s="487"/>
      <c r="W547" s="487"/>
    </row>
    <row r="548" spans="2:23" ht="15" x14ac:dyDescent="0.25">
      <c r="B548" s="487"/>
      <c r="C548" s="137"/>
      <c r="D548" s="137"/>
      <c r="E548" s="137"/>
      <c r="F548" s="137"/>
      <c r="G548" s="137"/>
      <c r="H548" s="137"/>
      <c r="I548" s="137"/>
      <c r="J548" s="137"/>
      <c r="K548" s="137"/>
      <c r="L548" s="137"/>
      <c r="M548" s="137"/>
      <c r="N548" s="137"/>
      <c r="O548" s="137"/>
      <c r="P548" s="137"/>
      <c r="Q548" s="137"/>
      <c r="R548" s="137"/>
      <c r="S548" s="137"/>
      <c r="T548" s="137"/>
      <c r="U548" s="137"/>
      <c r="V548" s="137"/>
      <c r="W548" s="487"/>
    </row>
    <row r="549" spans="2:23" ht="15" x14ac:dyDescent="0.25">
      <c r="B549" s="487"/>
      <c r="C549" s="137"/>
      <c r="D549" s="137"/>
      <c r="E549" s="137"/>
      <c r="F549" s="137"/>
      <c r="G549" s="137"/>
      <c r="H549" s="137"/>
      <c r="I549" s="137"/>
      <c r="J549" s="137"/>
      <c r="K549" s="137"/>
      <c r="L549" s="137"/>
      <c r="M549" s="137"/>
      <c r="N549" s="137"/>
      <c r="O549" s="137"/>
      <c r="P549" s="137"/>
      <c r="Q549" s="137"/>
      <c r="R549" s="137"/>
      <c r="S549" s="137"/>
      <c r="T549" s="137"/>
      <c r="U549" s="137"/>
      <c r="V549" s="137"/>
      <c r="W549" s="487"/>
    </row>
    <row r="550" spans="2:23" ht="15" x14ac:dyDescent="0.25">
      <c r="B550" s="487"/>
      <c r="C550" s="137"/>
      <c r="D550" s="137"/>
      <c r="E550" s="137"/>
      <c r="F550" s="137"/>
      <c r="G550" s="137"/>
      <c r="H550" s="137"/>
      <c r="I550" s="137"/>
      <c r="J550" s="137"/>
      <c r="K550" s="137"/>
      <c r="L550" s="137"/>
      <c r="M550" s="137"/>
      <c r="N550" s="137"/>
      <c r="O550" s="137"/>
      <c r="P550" s="137"/>
      <c r="Q550" s="137"/>
      <c r="R550" s="137"/>
      <c r="S550" s="137"/>
      <c r="T550" s="137"/>
      <c r="U550" s="137"/>
      <c r="V550" s="137"/>
      <c r="W550" s="487"/>
    </row>
    <row r="551" spans="2:23" ht="15" x14ac:dyDescent="0.25">
      <c r="B551" s="487"/>
      <c r="C551" s="137"/>
      <c r="D551" s="137"/>
      <c r="E551" s="137"/>
      <c r="F551" s="137"/>
      <c r="G551" s="137"/>
      <c r="H551" s="137"/>
      <c r="I551" s="137"/>
      <c r="J551" s="137"/>
      <c r="K551" s="137"/>
      <c r="L551" s="137"/>
      <c r="M551" s="137"/>
      <c r="N551" s="137"/>
      <c r="O551" s="137"/>
      <c r="P551" s="137"/>
      <c r="Q551" s="137"/>
      <c r="R551" s="137"/>
      <c r="S551" s="137"/>
      <c r="T551" s="137"/>
      <c r="U551" s="137"/>
      <c r="V551" s="137"/>
      <c r="W551" s="487"/>
    </row>
    <row r="552" spans="2:23" ht="15" x14ac:dyDescent="0.25">
      <c r="B552" s="487"/>
      <c r="C552" s="137"/>
      <c r="D552" s="137"/>
      <c r="E552" s="137"/>
      <c r="F552" s="137"/>
      <c r="G552" s="137"/>
      <c r="H552" s="137"/>
      <c r="I552" s="137"/>
      <c r="J552" s="137"/>
      <c r="K552" s="137"/>
      <c r="L552" s="137"/>
      <c r="M552" s="137"/>
      <c r="N552" s="137"/>
      <c r="O552" s="137"/>
      <c r="P552" s="137"/>
      <c r="Q552" s="137"/>
      <c r="R552" s="137"/>
      <c r="S552" s="137"/>
      <c r="T552" s="137"/>
      <c r="U552" s="137"/>
      <c r="V552" s="137"/>
      <c r="W552" s="487"/>
    </row>
    <row r="553" spans="2:23" ht="15" x14ac:dyDescent="0.25">
      <c r="B553" s="487"/>
      <c r="C553" s="137"/>
      <c r="D553" s="137"/>
      <c r="E553" s="137"/>
      <c r="F553" s="137"/>
      <c r="G553" s="137"/>
      <c r="H553" s="137"/>
      <c r="I553" s="137"/>
      <c r="J553" s="137"/>
      <c r="K553" s="137"/>
      <c r="L553" s="137"/>
      <c r="M553" s="137"/>
      <c r="N553" s="137"/>
      <c r="O553" s="137"/>
      <c r="P553" s="137"/>
      <c r="Q553" s="137"/>
      <c r="R553" s="137"/>
      <c r="S553" s="137"/>
      <c r="T553" s="137"/>
      <c r="U553" s="137"/>
      <c r="V553" s="137"/>
      <c r="W553" s="487"/>
    </row>
    <row r="554" spans="2:23" ht="15" x14ac:dyDescent="0.25">
      <c r="B554" s="487"/>
      <c r="C554" s="137"/>
      <c r="D554" s="137"/>
      <c r="E554" s="137"/>
      <c r="F554" s="137"/>
      <c r="G554" s="137"/>
      <c r="H554" s="137"/>
      <c r="I554" s="137"/>
      <c r="J554" s="137"/>
      <c r="K554" s="137"/>
      <c r="L554" s="137"/>
      <c r="M554" s="137"/>
      <c r="N554" s="137"/>
      <c r="O554" s="137"/>
      <c r="P554" s="137"/>
      <c r="Q554" s="137"/>
      <c r="R554" s="137"/>
      <c r="S554" s="137"/>
      <c r="T554" s="137"/>
      <c r="U554" s="137"/>
      <c r="V554" s="137"/>
      <c r="W554" s="487"/>
    </row>
    <row r="555" spans="2:23" ht="15" x14ac:dyDescent="0.25">
      <c r="B555" s="487"/>
      <c r="C555" s="137"/>
      <c r="D555" s="137"/>
      <c r="E555" s="137"/>
      <c r="F555" s="137"/>
      <c r="G555" s="137"/>
      <c r="H555" s="137"/>
      <c r="I555" s="137"/>
      <c r="J555" s="137"/>
      <c r="K555" s="137"/>
      <c r="L555" s="137"/>
      <c r="M555" s="137"/>
      <c r="N555" s="137"/>
      <c r="O555" s="137"/>
      <c r="P555" s="137"/>
      <c r="Q555" s="137"/>
      <c r="R555" s="137"/>
      <c r="S555" s="137"/>
      <c r="T555" s="137"/>
      <c r="U555" s="137"/>
      <c r="V555" s="137"/>
      <c r="W555" s="487"/>
    </row>
    <row r="556" spans="2:23" ht="15" x14ac:dyDescent="0.25">
      <c r="B556" s="487"/>
      <c r="C556" s="137"/>
      <c r="D556" s="137"/>
      <c r="E556" s="137"/>
      <c r="F556" s="137"/>
      <c r="G556" s="137"/>
      <c r="H556" s="137"/>
      <c r="I556" s="137"/>
      <c r="J556" s="137"/>
      <c r="K556" s="137"/>
      <c r="L556" s="137"/>
      <c r="M556" s="137"/>
      <c r="N556" s="137"/>
      <c r="O556" s="137"/>
      <c r="P556" s="137"/>
      <c r="Q556" s="137"/>
      <c r="R556" s="137"/>
      <c r="S556" s="137"/>
      <c r="T556" s="137"/>
      <c r="U556" s="137"/>
      <c r="V556" s="137"/>
      <c r="W556" s="487"/>
    </row>
    <row r="557" spans="2:23" ht="15" x14ac:dyDescent="0.25">
      <c r="B557" s="487"/>
      <c r="C557" s="137"/>
      <c r="D557" s="137"/>
      <c r="E557" s="137"/>
      <c r="F557" s="137"/>
      <c r="G557" s="137"/>
      <c r="H557" s="137"/>
      <c r="I557" s="137"/>
      <c r="J557" s="137"/>
      <c r="K557" s="137"/>
      <c r="L557" s="137"/>
      <c r="M557" s="137"/>
      <c r="N557" s="137"/>
      <c r="O557" s="137"/>
      <c r="P557" s="137"/>
      <c r="Q557" s="137"/>
      <c r="R557" s="137"/>
      <c r="S557" s="137"/>
      <c r="T557" s="137"/>
      <c r="U557" s="137"/>
      <c r="V557" s="137"/>
      <c r="W557" s="487"/>
    </row>
    <row r="558" spans="2:23" ht="15" x14ac:dyDescent="0.25">
      <c r="B558" s="487"/>
      <c r="C558" s="137"/>
      <c r="D558" s="137"/>
      <c r="E558" s="137"/>
      <c r="F558" s="137"/>
      <c r="G558" s="137"/>
      <c r="H558" s="137"/>
      <c r="I558" s="137"/>
      <c r="J558" s="137"/>
      <c r="K558" s="137"/>
      <c r="L558" s="137"/>
      <c r="M558" s="137"/>
      <c r="N558" s="137"/>
      <c r="O558" s="137"/>
      <c r="P558" s="137"/>
      <c r="Q558" s="137"/>
      <c r="R558" s="137"/>
      <c r="S558" s="137"/>
      <c r="T558" s="137"/>
      <c r="U558" s="137"/>
      <c r="V558" s="137"/>
      <c r="W558" s="487"/>
    </row>
    <row r="559" spans="2:23" ht="15" x14ac:dyDescent="0.25">
      <c r="B559" s="487"/>
      <c r="C559" s="137"/>
      <c r="D559" s="137"/>
      <c r="E559" s="137"/>
      <c r="F559" s="137"/>
      <c r="G559" s="137"/>
      <c r="H559" s="137"/>
      <c r="I559" s="137"/>
      <c r="J559" s="137"/>
      <c r="K559" s="137"/>
      <c r="L559" s="137"/>
      <c r="M559" s="137"/>
      <c r="N559" s="137"/>
      <c r="O559" s="137"/>
      <c r="P559" s="137"/>
      <c r="Q559" s="137"/>
      <c r="R559" s="137"/>
      <c r="S559" s="137"/>
      <c r="T559" s="137"/>
      <c r="U559" s="137"/>
      <c r="V559" s="137"/>
      <c r="W559" s="487"/>
    </row>
    <row r="560" spans="2:23" ht="15" x14ac:dyDescent="0.25">
      <c r="B560" s="487"/>
      <c r="C560" s="137"/>
      <c r="D560" s="137"/>
      <c r="E560" s="137"/>
      <c r="F560" s="137"/>
      <c r="G560" s="137"/>
      <c r="H560" s="137"/>
      <c r="I560" s="137"/>
      <c r="J560" s="137"/>
      <c r="K560" s="137"/>
      <c r="L560" s="137"/>
      <c r="M560" s="137"/>
      <c r="N560" s="137"/>
      <c r="O560" s="137"/>
      <c r="P560" s="137"/>
      <c r="Q560" s="137"/>
      <c r="R560" s="137"/>
      <c r="S560" s="137"/>
      <c r="T560" s="137"/>
      <c r="U560" s="137"/>
      <c r="V560" s="137"/>
      <c r="W560" s="487"/>
    </row>
    <row r="561" spans="2:23" ht="15" x14ac:dyDescent="0.25">
      <c r="B561" s="487"/>
      <c r="C561" s="137"/>
      <c r="D561" s="137"/>
      <c r="E561" s="137"/>
      <c r="F561" s="137"/>
      <c r="G561" s="137"/>
      <c r="H561" s="137"/>
      <c r="I561" s="137"/>
      <c r="J561" s="137"/>
      <c r="K561" s="137"/>
      <c r="L561" s="137"/>
      <c r="M561" s="137"/>
      <c r="N561" s="137"/>
      <c r="O561" s="137"/>
      <c r="P561" s="137"/>
      <c r="Q561" s="137"/>
      <c r="R561" s="137"/>
      <c r="S561" s="137"/>
      <c r="T561" s="137"/>
      <c r="U561" s="137"/>
      <c r="V561" s="137"/>
      <c r="W561" s="487"/>
    </row>
    <row r="562" spans="2:23" s="67" customFormat="1" ht="15" x14ac:dyDescent="0.25">
      <c r="B562" s="487"/>
      <c r="C562" s="449"/>
      <c r="D562" s="449"/>
      <c r="E562" s="449"/>
      <c r="F562" s="449"/>
      <c r="G562" s="449"/>
      <c r="H562" s="449"/>
      <c r="I562" s="449"/>
      <c r="J562" s="449"/>
      <c r="K562" s="449"/>
      <c r="L562" s="449"/>
      <c r="M562" s="449"/>
      <c r="N562" s="449"/>
      <c r="O562" s="449"/>
      <c r="P562" s="449"/>
      <c r="Q562" s="449"/>
      <c r="R562" s="449"/>
      <c r="S562" s="449"/>
      <c r="T562" s="449"/>
      <c r="U562" s="449"/>
      <c r="V562" s="449"/>
      <c r="W562" s="487"/>
    </row>
    <row r="563" spans="2:23" s="67" customFormat="1" ht="15" x14ac:dyDescent="0.25">
      <c r="B563" s="487"/>
      <c r="C563" s="524"/>
      <c r="D563" s="524"/>
      <c r="E563" s="524"/>
      <c r="F563" s="524"/>
      <c r="G563" s="524"/>
      <c r="H563" s="524"/>
      <c r="I563" s="524"/>
      <c r="J563" s="524"/>
      <c r="K563" s="524"/>
      <c r="L563" s="524"/>
      <c r="M563" s="524"/>
      <c r="N563" s="524"/>
      <c r="O563" s="524"/>
      <c r="P563" s="524"/>
      <c r="Q563" s="524"/>
      <c r="R563" s="524"/>
      <c r="S563" s="524"/>
      <c r="T563" s="524"/>
      <c r="U563" s="524"/>
      <c r="V563" s="524"/>
      <c r="W563" s="487"/>
    </row>
    <row r="564" spans="2:23" s="67" customFormat="1" ht="15" x14ac:dyDescent="0.25">
      <c r="B564" s="487"/>
      <c r="C564" s="449"/>
      <c r="D564" s="449"/>
      <c r="E564" s="449"/>
      <c r="F564" s="449"/>
      <c r="G564" s="449"/>
      <c r="H564" s="449"/>
      <c r="I564" s="449"/>
      <c r="J564" s="449"/>
      <c r="K564" s="449"/>
      <c r="L564" s="449"/>
      <c r="M564" s="449"/>
      <c r="N564" s="449"/>
      <c r="O564" s="449"/>
      <c r="P564" s="449"/>
      <c r="Q564" s="449"/>
      <c r="R564" s="449"/>
      <c r="S564" s="449"/>
      <c r="T564" s="449"/>
      <c r="U564" s="449"/>
      <c r="V564" s="449"/>
      <c r="W564" s="487"/>
    </row>
    <row r="565" spans="2:23" ht="15" x14ac:dyDescent="0.25">
      <c r="B565" s="487"/>
      <c r="C565" s="137"/>
      <c r="D565" s="137"/>
      <c r="E565" s="137"/>
      <c r="F565" s="137"/>
      <c r="G565" s="137"/>
      <c r="H565" s="137"/>
      <c r="I565" s="137"/>
      <c r="J565" s="137"/>
      <c r="K565" s="137"/>
      <c r="L565" s="137"/>
      <c r="M565" s="137"/>
      <c r="N565" s="137"/>
      <c r="O565" s="137"/>
      <c r="P565" s="137"/>
      <c r="Q565" s="137"/>
      <c r="R565" s="137"/>
      <c r="S565" s="137"/>
      <c r="T565" s="137"/>
      <c r="U565" s="137"/>
      <c r="V565" s="137"/>
      <c r="W565" s="487"/>
    </row>
    <row r="566" spans="2:23" ht="18" customHeight="1" x14ac:dyDescent="0.25">
      <c r="B566" s="487"/>
      <c r="C566" s="127" t="s">
        <v>811</v>
      </c>
      <c r="D566" s="137"/>
      <c r="E566" s="137"/>
      <c r="F566" s="137"/>
      <c r="G566" s="137"/>
      <c r="H566" s="137"/>
      <c r="I566" s="137"/>
      <c r="J566" s="137"/>
      <c r="K566" s="137"/>
      <c r="L566" s="137"/>
      <c r="M566" s="137"/>
      <c r="N566" s="137"/>
      <c r="O566" s="137"/>
      <c r="P566" s="137"/>
      <c r="Q566" s="137"/>
      <c r="R566" s="137"/>
      <c r="S566" s="137"/>
      <c r="T566" s="137"/>
      <c r="U566" s="137"/>
      <c r="V566" s="137"/>
      <c r="W566" s="487"/>
    </row>
    <row r="567" spans="2:23" ht="47.25" customHeight="1" x14ac:dyDescent="0.25">
      <c r="B567" s="487"/>
      <c r="C567" s="978" t="s">
        <v>1124</v>
      </c>
      <c r="D567" s="978"/>
      <c r="E567" s="978"/>
      <c r="F567" s="978"/>
      <c r="G567" s="978"/>
      <c r="H567" s="978"/>
      <c r="I567" s="978"/>
      <c r="J567" s="978"/>
      <c r="K567" s="978"/>
      <c r="L567" s="978"/>
      <c r="M567" s="978"/>
      <c r="N567" s="978"/>
      <c r="O567" s="978"/>
      <c r="P567" s="978"/>
      <c r="Q567" s="978"/>
      <c r="R567" s="978"/>
      <c r="S567" s="978"/>
      <c r="T567" s="978"/>
      <c r="U567" s="978"/>
      <c r="V567" s="137"/>
      <c r="W567" s="487"/>
    </row>
    <row r="568" spans="2:23" ht="15" x14ac:dyDescent="0.25">
      <c r="B568" s="487"/>
      <c r="C568" s="137"/>
      <c r="D568" s="137"/>
      <c r="E568" s="137"/>
      <c r="F568" s="137"/>
      <c r="G568" s="137"/>
      <c r="H568" s="137"/>
      <c r="I568" s="137"/>
      <c r="J568" s="137"/>
      <c r="K568" s="137"/>
      <c r="L568" s="137"/>
      <c r="M568" s="137"/>
      <c r="N568" s="137"/>
      <c r="O568" s="137"/>
      <c r="P568" s="137"/>
      <c r="Q568" s="137"/>
      <c r="R568" s="137"/>
      <c r="S568" s="137"/>
      <c r="T568" s="137"/>
      <c r="U568" s="137"/>
      <c r="V568" s="137"/>
      <c r="W568" s="487"/>
    </row>
    <row r="569" spans="2:23" ht="15" x14ac:dyDescent="0.25">
      <c r="B569" s="487"/>
      <c r="C569" s="137"/>
      <c r="E569" s="1081" t="s">
        <v>578</v>
      </c>
      <c r="F569" s="1081"/>
      <c r="G569" s="1081"/>
      <c r="H569" s="1081"/>
      <c r="I569" s="1081"/>
      <c r="J569" s="1081"/>
      <c r="K569" s="1081"/>
      <c r="L569" s="66"/>
      <c r="M569" s="1082" t="s">
        <v>579</v>
      </c>
      <c r="N569" s="1082"/>
      <c r="O569" s="1082"/>
      <c r="P569" s="1082"/>
      <c r="Q569" s="1082"/>
      <c r="R569" s="1082"/>
      <c r="S569" s="1082"/>
      <c r="T569" s="137"/>
      <c r="U569" s="137"/>
      <c r="V569" s="137"/>
      <c r="W569" s="487"/>
    </row>
    <row r="570" spans="2:23" ht="15" x14ac:dyDescent="0.25">
      <c r="B570" s="487"/>
      <c r="C570" s="137"/>
      <c r="D570" s="137"/>
      <c r="E570" s="791" t="s">
        <v>760</v>
      </c>
      <c r="F570" s="797"/>
      <c r="G570" s="797"/>
      <c r="H570" s="797"/>
      <c r="I570" s="797"/>
      <c r="J570" s="797"/>
      <c r="K570" s="975"/>
      <c r="L570" s="66"/>
      <c r="M570" s="791" t="s">
        <v>762</v>
      </c>
      <c r="N570" s="797"/>
      <c r="O570" s="797"/>
      <c r="P570" s="797"/>
      <c r="Q570" s="797"/>
      <c r="R570" s="797"/>
      <c r="S570" s="975"/>
      <c r="T570" s="137"/>
      <c r="U570" s="137"/>
      <c r="V570" s="137"/>
      <c r="W570" s="487"/>
    </row>
    <row r="571" spans="2:23" ht="15" x14ac:dyDescent="0.25">
      <c r="B571" s="487"/>
      <c r="C571" s="137"/>
      <c r="D571" s="137"/>
      <c r="E571" s="792"/>
      <c r="F571" s="798"/>
      <c r="G571" s="798"/>
      <c r="H571" s="798"/>
      <c r="I571" s="798"/>
      <c r="J571" s="798"/>
      <c r="K571" s="976"/>
      <c r="L571" s="66"/>
      <c r="M571" s="792"/>
      <c r="N571" s="798"/>
      <c r="O571" s="798"/>
      <c r="P571" s="798"/>
      <c r="Q571" s="798"/>
      <c r="R571" s="798"/>
      <c r="S571" s="976"/>
      <c r="T571" s="137"/>
      <c r="U571" s="137"/>
      <c r="V571" s="137"/>
      <c r="W571" s="487"/>
    </row>
    <row r="572" spans="2:23" ht="15" x14ac:dyDescent="0.25">
      <c r="B572" s="487"/>
      <c r="C572" s="137"/>
      <c r="D572" s="137"/>
      <c r="E572" s="793"/>
      <c r="F572" s="799"/>
      <c r="G572" s="799"/>
      <c r="H572" s="799"/>
      <c r="I572" s="799"/>
      <c r="J572" s="799"/>
      <c r="K572" s="977"/>
      <c r="L572" s="66"/>
      <c r="M572" s="793"/>
      <c r="N572" s="799"/>
      <c r="O572" s="799"/>
      <c r="P572" s="799"/>
      <c r="Q572" s="799"/>
      <c r="R572" s="799"/>
      <c r="S572" s="977"/>
      <c r="T572" s="137"/>
      <c r="U572" s="137"/>
      <c r="V572" s="137"/>
      <c r="W572" s="487"/>
    </row>
    <row r="573" spans="2:23" ht="15" x14ac:dyDescent="0.25">
      <c r="B573" s="487"/>
      <c r="C573" s="137"/>
      <c r="D573" s="137"/>
      <c r="E573" s="1127" t="s">
        <v>988</v>
      </c>
      <c r="F573" s="1127"/>
      <c r="G573" s="1127"/>
      <c r="H573" s="1127"/>
      <c r="I573" s="1127"/>
      <c r="J573" s="1127"/>
      <c r="K573" s="1127"/>
      <c r="L573" s="66"/>
      <c r="M573" s="1126" t="s">
        <v>580</v>
      </c>
      <c r="N573" s="1126"/>
      <c r="O573" s="1126"/>
      <c r="P573" s="1126"/>
      <c r="Q573" s="1126"/>
      <c r="R573" s="1126"/>
      <c r="S573" s="1126"/>
      <c r="T573" s="137"/>
      <c r="U573" s="137"/>
      <c r="V573" s="137"/>
      <c r="W573" s="487"/>
    </row>
    <row r="574" spans="2:23" ht="15" x14ac:dyDescent="0.25">
      <c r="B574" s="487"/>
      <c r="C574" s="137"/>
      <c r="D574" s="137"/>
      <c r="E574" s="1128" t="s">
        <v>761</v>
      </c>
      <c r="F574" s="1129"/>
      <c r="G574" s="1129"/>
      <c r="H574" s="1129"/>
      <c r="I574" s="1129"/>
      <c r="J574" s="1129"/>
      <c r="K574" s="1130"/>
      <c r="L574" s="66"/>
      <c r="M574" s="791" t="s">
        <v>763</v>
      </c>
      <c r="N574" s="797"/>
      <c r="O574" s="797"/>
      <c r="P574" s="797"/>
      <c r="Q574" s="797"/>
      <c r="R574" s="797"/>
      <c r="S574" s="975"/>
      <c r="T574" s="137"/>
      <c r="U574" s="137"/>
      <c r="V574" s="137"/>
      <c r="W574" s="487"/>
    </row>
    <row r="575" spans="2:23" ht="15" x14ac:dyDescent="0.25">
      <c r="B575" s="487"/>
      <c r="C575" s="137"/>
      <c r="D575" s="137"/>
      <c r="E575" s="1131"/>
      <c r="F575" s="1132"/>
      <c r="G575" s="1132"/>
      <c r="H575" s="1132"/>
      <c r="I575" s="1132"/>
      <c r="J575" s="1132"/>
      <c r="K575" s="1133"/>
      <c r="L575" s="66"/>
      <c r="M575" s="792"/>
      <c r="N575" s="798"/>
      <c r="O575" s="798"/>
      <c r="P575" s="798"/>
      <c r="Q575" s="798"/>
      <c r="R575" s="798"/>
      <c r="S575" s="976"/>
      <c r="T575" s="137"/>
      <c r="U575" s="137"/>
      <c r="V575" s="137"/>
      <c r="W575" s="487"/>
    </row>
    <row r="576" spans="2:23" ht="15" x14ac:dyDescent="0.25">
      <c r="B576" s="487"/>
      <c r="C576" s="137"/>
      <c r="D576" s="137"/>
      <c r="E576" s="1134"/>
      <c r="F576" s="1135"/>
      <c r="G576" s="1135"/>
      <c r="H576" s="1135"/>
      <c r="I576" s="1135"/>
      <c r="J576" s="1135"/>
      <c r="K576" s="1136"/>
      <c r="L576" s="66"/>
      <c r="M576" s="793"/>
      <c r="N576" s="799"/>
      <c r="O576" s="799"/>
      <c r="P576" s="799"/>
      <c r="Q576" s="799"/>
      <c r="R576" s="799"/>
      <c r="S576" s="977"/>
      <c r="T576" s="137"/>
      <c r="U576" s="137"/>
      <c r="V576" s="137"/>
      <c r="W576" s="487"/>
    </row>
    <row r="577" spans="2:23" ht="15" x14ac:dyDescent="0.25">
      <c r="B577" s="487"/>
      <c r="C577" s="137"/>
      <c r="D577" s="137"/>
      <c r="E577" s="137"/>
      <c r="F577" s="137"/>
      <c r="G577" s="137"/>
      <c r="H577" s="137"/>
      <c r="I577" s="137"/>
      <c r="J577" s="137"/>
      <c r="K577" s="137"/>
      <c r="L577" s="66"/>
      <c r="M577" s="137"/>
      <c r="N577" s="137"/>
      <c r="O577" s="137"/>
      <c r="P577" s="137"/>
      <c r="Q577" s="137"/>
      <c r="R577" s="137"/>
      <c r="S577" s="137"/>
      <c r="T577" s="137"/>
      <c r="U577" s="137"/>
      <c r="V577" s="137"/>
      <c r="W577" s="487"/>
    </row>
    <row r="578" spans="2:23" ht="15" x14ac:dyDescent="0.25">
      <c r="B578" s="487"/>
      <c r="C578" s="71"/>
      <c r="D578" s="71"/>
      <c r="E578" s="71"/>
      <c r="F578" s="71"/>
      <c r="G578" s="71"/>
      <c r="H578" s="71"/>
      <c r="I578" s="71"/>
      <c r="J578" s="71"/>
      <c r="K578" s="71"/>
      <c r="L578" s="71"/>
      <c r="M578" s="137"/>
      <c r="N578" s="137"/>
      <c r="O578" s="137"/>
      <c r="P578" s="137"/>
      <c r="Q578" s="137"/>
      <c r="R578" s="137"/>
      <c r="S578" s="137"/>
      <c r="T578" s="137"/>
      <c r="U578" s="137"/>
      <c r="V578" s="137"/>
      <c r="W578" s="487"/>
    </row>
    <row r="579" spans="2:23" ht="15" x14ac:dyDescent="0.25">
      <c r="B579" s="487"/>
      <c r="C579" s="71"/>
      <c r="D579" s="71"/>
      <c r="E579" s="71"/>
      <c r="F579" s="74"/>
      <c r="G579" s="71" t="str">
        <f>I720</f>
        <v>Angmering</v>
      </c>
      <c r="H579" s="71" t="str">
        <f>L720</f>
        <v>Bewbush</v>
      </c>
      <c r="I579" s="71" t="s">
        <v>291</v>
      </c>
      <c r="J579" s="71"/>
      <c r="K579" s="71"/>
      <c r="L579" s="71"/>
      <c r="M579" s="208"/>
      <c r="N579" s="208"/>
      <c r="O579" s="208"/>
      <c r="P579" s="208"/>
      <c r="Q579" s="137"/>
      <c r="R579" s="137"/>
      <c r="S579" s="137"/>
      <c r="T579" s="137"/>
      <c r="U579" s="137"/>
      <c r="V579" s="137"/>
      <c r="W579" s="487"/>
    </row>
    <row r="580" spans="2:23" ht="33.75" x14ac:dyDescent="0.25">
      <c r="B580" s="487"/>
      <c r="C580" s="71"/>
      <c r="D580" s="71"/>
      <c r="E580" s="240" t="s">
        <v>764</v>
      </c>
      <c r="F580" s="241" t="s">
        <v>671</v>
      </c>
      <c r="G580" s="242">
        <f>HLOOKUP(F580,smoking, selection+1, FALSE)</f>
        <v>3.8703703703703699E-2</v>
      </c>
      <c r="H580" s="75">
        <f>HLOOKUP(F580,smoking, selection2+1, FALSE)</f>
        <v>0.1624135124135124</v>
      </c>
      <c r="I580" s="71"/>
      <c r="J580" s="71"/>
      <c r="K580" s="71"/>
      <c r="L580" s="71"/>
      <c r="M580" s="137"/>
      <c r="N580" s="137"/>
      <c r="O580" s="137"/>
      <c r="P580" s="137"/>
      <c r="Q580" s="137"/>
      <c r="R580" s="137"/>
      <c r="S580" s="137"/>
      <c r="T580" s="137"/>
      <c r="U580" s="137"/>
      <c r="V580" s="137"/>
      <c r="W580" s="487"/>
    </row>
    <row r="581" spans="2:23" ht="15" x14ac:dyDescent="0.25">
      <c r="B581" s="487"/>
      <c r="C581" s="71"/>
      <c r="D581" s="71"/>
      <c r="E581" s="240" t="s">
        <v>672</v>
      </c>
      <c r="F581" s="243"/>
      <c r="G581" s="242">
        <f>HLOOKUP(E581,smoking, selection+1, FALSE)</f>
        <v>1.9930699774880899E-2</v>
      </c>
      <c r="H581" s="75">
        <f>HLOOKUP(E581,smoking, selection2+1, FALSE)</f>
        <v>0.11561771988481866</v>
      </c>
      <c r="I581" s="71"/>
      <c r="J581" s="210">
        <f>G580-G581</f>
        <v>1.87730039288228E-2</v>
      </c>
      <c r="K581" s="210">
        <f>H580-H581</f>
        <v>4.6795792528693744E-2</v>
      </c>
      <c r="L581" s="71"/>
      <c r="M581" s="208"/>
      <c r="N581" s="208"/>
      <c r="O581" s="137"/>
      <c r="P581" s="137"/>
      <c r="Q581" s="137"/>
      <c r="R581" s="137"/>
      <c r="S581" s="137"/>
      <c r="T581" s="137"/>
      <c r="U581" s="137"/>
      <c r="V581" s="137"/>
      <c r="W581" s="487"/>
    </row>
    <row r="582" spans="2:23" ht="15" x14ac:dyDescent="0.25">
      <c r="B582" s="487"/>
      <c r="C582" s="71"/>
      <c r="D582" s="71"/>
      <c r="E582" s="240" t="s">
        <v>673</v>
      </c>
      <c r="F582" s="243"/>
      <c r="G582" s="242">
        <f>HLOOKUP(E582,smoking, selection+1, FALSE)</f>
        <v>9.0972566500489863E-2</v>
      </c>
      <c r="H582" s="75">
        <f>HLOOKUP(E582,smoking, selection2+1, FALSE)</f>
        <v>0.25849709964566014</v>
      </c>
      <c r="I582" s="71"/>
      <c r="J582" s="210">
        <f>G582-G580</f>
        <v>5.2268862796786164E-2</v>
      </c>
      <c r="K582" s="210">
        <f>H582-H580</f>
        <v>9.6083587232147744E-2</v>
      </c>
      <c r="L582" s="71"/>
      <c r="M582" s="208"/>
      <c r="N582" s="208"/>
      <c r="O582" s="137"/>
      <c r="P582" s="137"/>
      <c r="Q582" s="137"/>
      <c r="R582" s="137"/>
      <c r="S582" s="137"/>
      <c r="T582" s="137"/>
      <c r="U582" s="137"/>
      <c r="V582" s="137"/>
      <c r="W582" s="487"/>
    </row>
    <row r="583" spans="2:23" ht="33.75" x14ac:dyDescent="0.25">
      <c r="B583" s="487"/>
      <c r="C583" s="71"/>
      <c r="D583" s="71"/>
      <c r="E583" s="240" t="s">
        <v>765</v>
      </c>
      <c r="F583" s="241" t="s">
        <v>767</v>
      </c>
      <c r="G583" s="242">
        <f>HLOOKUP(F583,smoking, selection+1, FALSE)</f>
        <v>4.8703703703703707E-2</v>
      </c>
      <c r="H583" s="75">
        <f>HLOOKUP(F583,smoking, selection2+1, FALSE)</f>
        <v>0.12079772079772079</v>
      </c>
      <c r="I583" s="71"/>
      <c r="J583" s="71"/>
      <c r="K583" s="71"/>
      <c r="L583" s="71"/>
      <c r="M583" s="208"/>
      <c r="N583" s="208"/>
      <c r="O583" s="137"/>
      <c r="P583" s="137"/>
      <c r="Q583" s="137"/>
      <c r="R583" s="137"/>
      <c r="S583" s="137"/>
      <c r="T583" s="137"/>
      <c r="U583" s="137"/>
      <c r="V583" s="137"/>
      <c r="W583" s="487"/>
    </row>
    <row r="584" spans="2:23" ht="15" x14ac:dyDescent="0.25">
      <c r="B584" s="487"/>
      <c r="C584" s="71"/>
      <c r="D584" s="71"/>
      <c r="E584" s="240" t="s">
        <v>675</v>
      </c>
      <c r="F584" s="241"/>
      <c r="G584" s="242">
        <f>HLOOKUP(E584,smoking, selection+1, FALSE)</f>
        <v>1.9930699774880899E-2</v>
      </c>
      <c r="H584" s="75">
        <f>HLOOKUP(E584,smoking, selection2+1, FALSE)</f>
        <v>7.8811990941745763E-2</v>
      </c>
      <c r="I584" s="71"/>
      <c r="J584" s="210">
        <f>G583-G584</f>
        <v>2.8773003928822809E-2</v>
      </c>
      <c r="K584" s="210">
        <f>H583-H584</f>
        <v>4.1985729855975026E-2</v>
      </c>
      <c r="L584" s="71"/>
      <c r="M584" s="208"/>
      <c r="N584" s="208"/>
      <c r="O584" s="137"/>
      <c r="P584" s="137"/>
      <c r="Q584" s="137"/>
      <c r="R584" s="137"/>
      <c r="S584" s="137"/>
      <c r="T584" s="137"/>
      <c r="U584" s="137"/>
      <c r="V584" s="137"/>
      <c r="W584" s="487"/>
    </row>
    <row r="585" spans="2:23" ht="15" x14ac:dyDescent="0.25">
      <c r="B585" s="487"/>
      <c r="C585" s="71"/>
      <c r="D585" s="71"/>
      <c r="E585" s="240" t="s">
        <v>676</v>
      </c>
      <c r="F585" s="243"/>
      <c r="G585" s="242">
        <f>HLOOKUP(E585,smoking, selection+1, FALSE)</f>
        <v>9.0972566500489863E-2</v>
      </c>
      <c r="H585" s="75">
        <f>HLOOKUP(E585,smoking, selection2+1, FALSE)</f>
        <v>0.20589065995023004</v>
      </c>
      <c r="I585" s="71"/>
      <c r="J585" s="210">
        <f>G585-G583</f>
        <v>4.2268862796786155E-2</v>
      </c>
      <c r="K585" s="210">
        <f>H585-H583</f>
        <v>8.5092939152509248E-2</v>
      </c>
      <c r="L585" s="71"/>
      <c r="M585" s="208"/>
      <c r="N585" s="208"/>
      <c r="O585" s="137"/>
      <c r="P585" s="137"/>
      <c r="Q585" s="137"/>
      <c r="R585" s="137"/>
      <c r="S585" s="137"/>
      <c r="T585" s="137"/>
      <c r="U585" s="137"/>
      <c r="V585" s="137"/>
      <c r="W585" s="487"/>
    </row>
    <row r="586" spans="2:23" ht="22.5" x14ac:dyDescent="0.25">
      <c r="B586" s="487"/>
      <c r="C586" s="71"/>
      <c r="D586" s="71"/>
      <c r="E586" s="240" t="s">
        <v>766</v>
      </c>
      <c r="F586" s="241" t="s">
        <v>678</v>
      </c>
      <c r="G586" s="242">
        <f>HLOOKUP(F586,smoking, selection+1, FALSE)</f>
        <v>4.2407407407407408E-2</v>
      </c>
      <c r="H586" s="75">
        <f>HLOOKUP(F586,smoking, selection2+1, FALSE)</f>
        <v>0.19945054945054946</v>
      </c>
      <c r="I586" s="71"/>
      <c r="J586" s="71"/>
      <c r="K586" s="71"/>
      <c r="L586" s="71"/>
      <c r="M586" s="208"/>
      <c r="N586" s="208"/>
      <c r="O586" s="137"/>
      <c r="P586" s="137"/>
      <c r="Q586" s="137"/>
      <c r="R586" s="137"/>
      <c r="S586" s="137"/>
      <c r="T586" s="137"/>
      <c r="U586" s="137"/>
      <c r="V586" s="137"/>
      <c r="W586" s="487"/>
    </row>
    <row r="587" spans="2:23" ht="15" x14ac:dyDescent="0.25">
      <c r="B587" s="487"/>
      <c r="C587" s="71"/>
      <c r="D587" s="71"/>
      <c r="E587" s="240" t="s">
        <v>679</v>
      </c>
      <c r="F587" s="241"/>
      <c r="G587" s="242">
        <f>HLOOKUP(E587,smoking, selection+1, FALSE)</f>
        <v>2.4605238882088657E-2</v>
      </c>
      <c r="H587" s="75">
        <f>HLOOKUP(E587,smoking, selection2+1, FALSE)</f>
        <v>0.14772120660505175</v>
      </c>
      <c r="I587" s="71"/>
      <c r="J587" s="210">
        <f>G586-G587</f>
        <v>1.780216852531875E-2</v>
      </c>
      <c r="K587" s="210">
        <f>H586-H587</f>
        <v>5.1729342845497711E-2</v>
      </c>
      <c r="L587" s="71"/>
      <c r="M587" s="137"/>
      <c r="N587" s="137"/>
      <c r="O587" s="137"/>
      <c r="P587" s="137"/>
      <c r="Q587" s="137"/>
      <c r="R587" s="137"/>
      <c r="S587" s="137"/>
      <c r="T587" s="137"/>
      <c r="U587" s="137"/>
      <c r="V587" s="137"/>
      <c r="W587" s="487"/>
    </row>
    <row r="588" spans="2:23" ht="15" x14ac:dyDescent="0.25">
      <c r="B588" s="487"/>
      <c r="C588" s="71"/>
      <c r="D588" s="71"/>
      <c r="E588" s="240" t="s">
        <v>680</v>
      </c>
      <c r="F588" s="241"/>
      <c r="G588" s="242">
        <f>HLOOKUP(E588,smoking, selection+1, FALSE)</f>
        <v>0.1002995507590243</v>
      </c>
      <c r="H588" s="75">
        <f>HLOOKUP(E588,smoking, selection2+1, FALSE)</f>
        <v>0.30194390108014951</v>
      </c>
      <c r="I588" s="71"/>
      <c r="J588" s="211">
        <f>G588-G586</f>
        <v>5.7892143351616895E-2</v>
      </c>
      <c r="K588" s="211">
        <f>H588-H586</f>
        <v>0.10249335162960005</v>
      </c>
      <c r="L588" s="71"/>
      <c r="M588" s="137"/>
      <c r="N588" s="137"/>
      <c r="O588" s="137"/>
      <c r="P588" s="137"/>
      <c r="Q588" s="137"/>
      <c r="R588" s="137"/>
      <c r="S588" s="137"/>
      <c r="T588" s="137"/>
      <c r="U588" s="137"/>
      <c r="V588" s="137"/>
      <c r="W588" s="487"/>
    </row>
    <row r="589" spans="2:23" s="239" customFormat="1" ht="15" x14ac:dyDescent="0.25">
      <c r="B589" s="496"/>
      <c r="C589" s="222"/>
      <c r="D589" s="222"/>
      <c r="E589" s="244" t="s">
        <v>682</v>
      </c>
      <c r="F589" s="245"/>
      <c r="G589" s="242">
        <f>HLOOKUP(E589,smoking, selection+1, FALSE)</f>
        <v>0.13699841824841824</v>
      </c>
      <c r="H589" s="75">
        <f>HLOOKUP(E589,smoking, selection2+1, FALSE)</f>
        <v>0.35560982227648902</v>
      </c>
      <c r="I589" s="222"/>
      <c r="J589" s="211"/>
      <c r="K589" s="222"/>
      <c r="L589" s="222"/>
      <c r="M589" s="220"/>
      <c r="N589" s="220"/>
      <c r="O589" s="220"/>
      <c r="P589" s="220"/>
      <c r="Q589" s="220"/>
      <c r="R589" s="220"/>
      <c r="S589" s="220"/>
      <c r="T589" s="220"/>
      <c r="U589" s="220"/>
      <c r="V589" s="220"/>
      <c r="W589" s="496"/>
    </row>
    <row r="590" spans="2:23" s="239" customFormat="1" ht="15" x14ac:dyDescent="0.25">
      <c r="B590" s="496"/>
      <c r="C590" s="222"/>
      <c r="D590" s="222"/>
      <c r="E590" s="452" t="s">
        <v>683</v>
      </c>
      <c r="F590" s="245"/>
      <c r="G590" s="242">
        <f>HLOOKUP(E590,smoking, selection+1, FALSE)</f>
        <v>9.0616305858033777E-2</v>
      </c>
      <c r="H590" s="75">
        <f>HLOOKUP(E590,smoking, selection2+1, FALSE)</f>
        <v>0.27361966173474211</v>
      </c>
      <c r="I590" s="222"/>
      <c r="J590" s="211">
        <f>G589-G590</f>
        <v>4.6382112390384464E-2</v>
      </c>
      <c r="K590" s="246">
        <f>H589-H590</f>
        <v>8.1990160541746904E-2</v>
      </c>
      <c r="L590" s="222"/>
      <c r="M590" s="220"/>
      <c r="N590" s="220"/>
      <c r="O590" s="220"/>
      <c r="P590" s="220"/>
      <c r="Q590" s="220"/>
      <c r="R590" s="220"/>
      <c r="S590" s="220"/>
      <c r="T590" s="220"/>
      <c r="U590" s="220"/>
      <c r="V590" s="220"/>
      <c r="W590" s="496"/>
    </row>
    <row r="591" spans="2:23" s="239" customFormat="1" ht="15" x14ac:dyDescent="0.25">
      <c r="B591" s="496"/>
      <c r="C591" s="222"/>
      <c r="D591" s="222"/>
      <c r="E591" s="452" t="s">
        <v>684</v>
      </c>
      <c r="F591" s="222"/>
      <c r="G591" s="242">
        <f>HLOOKUP(E591,smoking, selection+1, FALSE)</f>
        <v>0.2064663742592043</v>
      </c>
      <c r="H591" s="75">
        <f>HLOOKUP(E591,smoking, selection2+1, FALSE)</f>
        <v>0.45325977192245154</v>
      </c>
      <c r="I591" s="222"/>
      <c r="J591" s="211">
        <f>G591-G589</f>
        <v>6.9467956010786064E-2</v>
      </c>
      <c r="K591" s="246">
        <f>H591-H589</f>
        <v>9.7649949645962519E-2</v>
      </c>
      <c r="L591" s="222"/>
      <c r="M591" s="220"/>
      <c r="N591" s="220"/>
      <c r="O591" s="220"/>
      <c r="P591" s="220"/>
      <c r="Q591" s="220"/>
      <c r="R591" s="220"/>
      <c r="S591" s="220"/>
      <c r="T591" s="220"/>
      <c r="U591" s="220"/>
      <c r="V591" s="220"/>
      <c r="W591" s="496"/>
    </row>
    <row r="592" spans="2:23" ht="15" x14ac:dyDescent="0.25">
      <c r="B592" s="487"/>
      <c r="C592" s="137"/>
      <c r="D592" s="137"/>
      <c r="E592" s="71"/>
      <c r="F592" s="71"/>
      <c r="G592" s="71"/>
      <c r="H592" s="71"/>
      <c r="I592" s="71"/>
      <c r="J592" s="71"/>
      <c r="K592" s="71"/>
      <c r="L592" s="137"/>
      <c r="M592" s="137"/>
      <c r="N592" s="137"/>
      <c r="O592" s="137"/>
      <c r="P592" s="137"/>
      <c r="Q592" s="137"/>
      <c r="R592" s="137"/>
      <c r="S592" s="137"/>
      <c r="T592" s="137"/>
      <c r="U592" s="137"/>
      <c r="V592" s="137"/>
      <c r="W592" s="487"/>
    </row>
    <row r="593" spans="2:23" ht="15" x14ac:dyDescent="0.25">
      <c r="B593" s="487"/>
      <c r="C593" s="137"/>
      <c r="D593" s="137"/>
      <c r="E593" s="137"/>
      <c r="F593" s="137"/>
      <c r="G593" s="137"/>
      <c r="H593" s="137"/>
      <c r="I593" s="137"/>
      <c r="J593" s="137"/>
      <c r="K593" s="137"/>
      <c r="L593" s="137"/>
      <c r="M593" s="137"/>
      <c r="N593" s="137"/>
      <c r="O593" s="137"/>
      <c r="P593" s="137"/>
      <c r="Q593" s="137"/>
      <c r="R593" s="137"/>
      <c r="S593" s="137"/>
      <c r="T593" s="137"/>
      <c r="U593" s="137"/>
      <c r="V593" s="137"/>
      <c r="W593" s="487"/>
    </row>
    <row r="594" spans="2:23" ht="15" x14ac:dyDescent="0.25">
      <c r="B594" s="487"/>
      <c r="C594" s="137"/>
      <c r="D594" s="137"/>
      <c r="E594" s="137"/>
      <c r="F594" s="137"/>
      <c r="G594" s="137"/>
      <c r="H594" s="137"/>
      <c r="I594" s="137"/>
      <c r="J594" s="137"/>
      <c r="K594" s="137"/>
      <c r="L594" s="137"/>
      <c r="M594" s="137"/>
      <c r="N594" s="137"/>
      <c r="O594" s="137"/>
      <c r="P594" s="137"/>
      <c r="Q594" s="137"/>
      <c r="R594" s="137"/>
      <c r="S594" s="137"/>
      <c r="T594" s="137"/>
      <c r="U594" s="137"/>
      <c r="V594" s="137"/>
      <c r="W594" s="487"/>
    </row>
    <row r="595" spans="2:23" s="67" customFormat="1" ht="18" customHeight="1" x14ac:dyDescent="0.25">
      <c r="B595" s="487"/>
      <c r="C595" s="1125" t="s">
        <v>961</v>
      </c>
      <c r="D595" s="1125"/>
      <c r="E595" s="1125"/>
      <c r="F595" s="1125"/>
      <c r="G595" s="1125"/>
      <c r="H595" s="1125"/>
      <c r="I595" s="1125"/>
      <c r="J595" s="1125"/>
      <c r="K595" s="1125"/>
      <c r="L595" s="1125"/>
      <c r="M595" s="1125"/>
      <c r="N595" s="1125"/>
      <c r="O595" s="1125"/>
      <c r="P595" s="1125"/>
      <c r="Q595" s="1125"/>
      <c r="R595" s="1125"/>
      <c r="S595" s="1125"/>
      <c r="T595" s="1125"/>
      <c r="U595" s="1125"/>
      <c r="V595" s="1125"/>
      <c r="W595" s="487"/>
    </row>
    <row r="596" spans="2:23" s="67" customFormat="1" ht="54" customHeight="1" x14ac:dyDescent="0.25">
      <c r="B596" s="487"/>
      <c r="C596" s="914" t="s">
        <v>1125</v>
      </c>
      <c r="D596" s="914"/>
      <c r="E596" s="914"/>
      <c r="F596" s="914"/>
      <c r="G596" s="914"/>
      <c r="H596" s="914"/>
      <c r="I596" s="914"/>
      <c r="J596" s="914"/>
      <c r="K596" s="914"/>
      <c r="L596" s="914"/>
      <c r="M596" s="914"/>
      <c r="N596" s="914"/>
      <c r="O596" s="914"/>
      <c r="P596" s="914"/>
      <c r="Q596" s="914"/>
      <c r="R596" s="914"/>
      <c r="S596" s="914"/>
      <c r="T596" s="914"/>
      <c r="U596" s="914"/>
      <c r="V596" s="914"/>
      <c r="W596" s="487"/>
    </row>
    <row r="597" spans="2:23" s="67" customFormat="1" ht="39.75" customHeight="1" x14ac:dyDescent="0.25">
      <c r="B597" s="487"/>
      <c r="C597" s="914" t="s">
        <v>989</v>
      </c>
      <c r="D597" s="914"/>
      <c r="E597" s="914"/>
      <c r="F597" s="914"/>
      <c r="G597" s="914"/>
      <c r="H597" s="914"/>
      <c r="I597" s="914"/>
      <c r="J597" s="914"/>
      <c r="K597" s="914"/>
      <c r="L597" s="914"/>
      <c r="M597" s="914"/>
      <c r="N597" s="914"/>
      <c r="O597" s="914"/>
      <c r="P597" s="914"/>
      <c r="Q597" s="914"/>
      <c r="R597" s="914"/>
      <c r="S597" s="914"/>
      <c r="T597" s="914"/>
      <c r="U597" s="914"/>
      <c r="V597" s="914"/>
      <c r="W597" s="487"/>
    </row>
    <row r="598" spans="2:23" s="67" customFormat="1" ht="15" customHeight="1" x14ac:dyDescent="0.25">
      <c r="B598" s="487"/>
      <c r="W598" s="487"/>
    </row>
    <row r="599" spans="2:23" s="67" customFormat="1" ht="15" x14ac:dyDescent="0.25">
      <c r="B599" s="487"/>
      <c r="E599" s="1081" t="s">
        <v>578</v>
      </c>
      <c r="F599" s="1081"/>
      <c r="G599" s="1081"/>
      <c r="H599" s="1081"/>
      <c r="I599" s="1081"/>
      <c r="J599" s="1081"/>
      <c r="K599" s="1081"/>
      <c r="L599" s="66"/>
      <c r="M599" s="1082" t="s">
        <v>579</v>
      </c>
      <c r="N599" s="1082"/>
      <c r="O599" s="1082"/>
      <c r="P599" s="1082"/>
      <c r="Q599" s="1082"/>
      <c r="R599" s="1082"/>
      <c r="S599" s="1082"/>
      <c r="W599" s="487"/>
    </row>
    <row r="600" spans="2:23" s="67" customFormat="1" ht="15" customHeight="1" x14ac:dyDescent="0.25">
      <c r="B600" s="487"/>
      <c r="C600" s="220"/>
      <c r="D600" s="220"/>
      <c r="E600" s="791" t="s">
        <v>962</v>
      </c>
      <c r="F600" s="797"/>
      <c r="G600" s="797"/>
      <c r="H600" s="797"/>
      <c r="I600" s="797"/>
      <c r="J600" s="797"/>
      <c r="K600" s="975"/>
      <c r="L600" s="66"/>
      <c r="M600" s="791" t="s">
        <v>963</v>
      </c>
      <c r="N600" s="797"/>
      <c r="O600" s="797"/>
      <c r="P600" s="797"/>
      <c r="Q600" s="797"/>
      <c r="R600" s="797"/>
      <c r="S600" s="975"/>
      <c r="T600" s="220"/>
      <c r="U600" s="220"/>
      <c r="V600" s="220"/>
      <c r="W600" s="487"/>
    </row>
    <row r="601" spans="2:23" s="67" customFormat="1" ht="15" x14ac:dyDescent="0.25">
      <c r="B601" s="487"/>
      <c r="C601" s="449"/>
      <c r="D601" s="449"/>
      <c r="E601" s="792"/>
      <c r="F601" s="798"/>
      <c r="G601" s="798"/>
      <c r="H601" s="798"/>
      <c r="I601" s="798"/>
      <c r="J601" s="798"/>
      <c r="K601" s="976"/>
      <c r="L601" s="66"/>
      <c r="M601" s="792"/>
      <c r="N601" s="798"/>
      <c r="O601" s="798"/>
      <c r="P601" s="798"/>
      <c r="Q601" s="798"/>
      <c r="R601" s="798"/>
      <c r="S601" s="976"/>
      <c r="T601" s="449"/>
      <c r="U601" s="449"/>
      <c r="V601" s="449"/>
      <c r="W601" s="487"/>
    </row>
    <row r="602" spans="2:23" s="67" customFormat="1" ht="15" x14ac:dyDescent="0.25">
      <c r="B602" s="487"/>
      <c r="C602" s="449"/>
      <c r="D602" s="449"/>
      <c r="E602" s="793"/>
      <c r="F602" s="799"/>
      <c r="G602" s="799"/>
      <c r="H602" s="799"/>
      <c r="I602" s="799"/>
      <c r="J602" s="799"/>
      <c r="K602" s="977"/>
      <c r="L602" s="66"/>
      <c r="M602" s="793"/>
      <c r="N602" s="799"/>
      <c r="O602" s="799"/>
      <c r="P602" s="799"/>
      <c r="Q602" s="799"/>
      <c r="R602" s="799"/>
      <c r="S602" s="977"/>
      <c r="T602" s="449"/>
      <c r="U602" s="449"/>
      <c r="V602" s="449"/>
      <c r="W602" s="487"/>
    </row>
    <row r="603" spans="2:23" s="67" customFormat="1" ht="15" x14ac:dyDescent="0.25">
      <c r="B603" s="487"/>
      <c r="C603" s="449"/>
      <c r="D603" s="449"/>
      <c r="E603" s="1127" t="s">
        <v>988</v>
      </c>
      <c r="F603" s="1127"/>
      <c r="G603" s="1127"/>
      <c r="H603" s="1127"/>
      <c r="I603" s="1127"/>
      <c r="J603" s="1127"/>
      <c r="K603" s="1127"/>
      <c r="L603" s="66"/>
      <c r="M603" s="1126" t="s">
        <v>580</v>
      </c>
      <c r="N603" s="1126"/>
      <c r="O603" s="1126"/>
      <c r="P603" s="1126"/>
      <c r="Q603" s="1126"/>
      <c r="R603" s="1126"/>
      <c r="S603" s="1126"/>
      <c r="T603" s="449"/>
      <c r="U603" s="449"/>
      <c r="V603" s="449"/>
      <c r="W603" s="487"/>
    </row>
    <row r="604" spans="2:23" s="67" customFormat="1" ht="15" customHeight="1" x14ac:dyDescent="0.25">
      <c r="B604" s="487"/>
      <c r="C604" s="449"/>
      <c r="D604" s="449"/>
      <c r="E604" s="782" t="s">
        <v>990</v>
      </c>
      <c r="F604" s="1120"/>
      <c r="G604" s="1120"/>
      <c r="H604" s="1120"/>
      <c r="I604" s="1120"/>
      <c r="J604" s="1120"/>
      <c r="K604" s="783"/>
      <c r="L604" s="66"/>
      <c r="M604" s="791" t="s">
        <v>964</v>
      </c>
      <c r="N604" s="797"/>
      <c r="O604" s="797"/>
      <c r="P604" s="797"/>
      <c r="Q604" s="797"/>
      <c r="R604" s="797"/>
      <c r="S604" s="975"/>
      <c r="T604" s="449"/>
      <c r="U604" s="449"/>
      <c r="V604" s="449"/>
      <c r="W604" s="487"/>
    </row>
    <row r="605" spans="2:23" s="67" customFormat="1" ht="15" x14ac:dyDescent="0.25">
      <c r="B605" s="487"/>
      <c r="C605" s="449"/>
      <c r="D605" s="449"/>
      <c r="E605" s="1121"/>
      <c r="F605" s="1122"/>
      <c r="G605" s="1122"/>
      <c r="H605" s="1122"/>
      <c r="I605" s="1122"/>
      <c r="J605" s="1122"/>
      <c r="K605" s="1123"/>
      <c r="L605" s="66"/>
      <c r="M605" s="792"/>
      <c r="N605" s="798"/>
      <c r="O605" s="798"/>
      <c r="P605" s="798"/>
      <c r="Q605" s="798"/>
      <c r="R605" s="798"/>
      <c r="S605" s="976"/>
      <c r="T605" s="449"/>
      <c r="U605" s="449"/>
      <c r="V605" s="449"/>
      <c r="W605" s="487"/>
    </row>
    <row r="606" spans="2:23" s="67" customFormat="1" ht="15" x14ac:dyDescent="0.25">
      <c r="B606" s="487"/>
      <c r="C606" s="449"/>
      <c r="D606" s="449"/>
      <c r="E606" s="784"/>
      <c r="F606" s="1124"/>
      <c r="G606" s="1124"/>
      <c r="H606" s="1124"/>
      <c r="I606" s="1124"/>
      <c r="J606" s="1124"/>
      <c r="K606" s="785"/>
      <c r="L606" s="66"/>
      <c r="M606" s="793"/>
      <c r="N606" s="799"/>
      <c r="O606" s="799"/>
      <c r="P606" s="799"/>
      <c r="Q606" s="799"/>
      <c r="R606" s="799"/>
      <c r="S606" s="977"/>
      <c r="T606" s="449"/>
      <c r="U606" s="449"/>
      <c r="V606" s="449"/>
      <c r="W606" s="487"/>
    </row>
    <row r="607" spans="2:23" s="67" customFormat="1" ht="15" x14ac:dyDescent="0.25">
      <c r="B607" s="487"/>
      <c r="C607" s="449"/>
      <c r="D607" s="449"/>
      <c r="E607" s="449"/>
      <c r="F607" s="449"/>
      <c r="G607" s="449"/>
      <c r="H607" s="449"/>
      <c r="I607" s="449"/>
      <c r="J607" s="449"/>
      <c r="K607" s="449"/>
      <c r="L607" s="449"/>
      <c r="M607" s="449"/>
      <c r="N607" s="449"/>
      <c r="O607" s="449"/>
      <c r="P607" s="449"/>
      <c r="Q607" s="449"/>
      <c r="R607" s="449"/>
      <c r="S607" s="449"/>
      <c r="T607" s="449"/>
      <c r="U607" s="449"/>
      <c r="V607" s="449"/>
      <c r="W607" s="487"/>
    </row>
    <row r="608" spans="2:23" s="67" customFormat="1" ht="15" x14ac:dyDescent="0.25">
      <c r="B608" s="487"/>
      <c r="C608" s="449"/>
      <c r="D608" s="984"/>
      <c r="E608" s="985"/>
      <c r="F608" s="985"/>
      <c r="G608" s="986"/>
      <c r="H608" s="1042" t="s">
        <v>981</v>
      </c>
      <c r="I608" s="1042"/>
      <c r="J608" s="1042"/>
      <c r="K608" s="1043" t="s">
        <v>982</v>
      </c>
      <c r="L608" s="1043"/>
      <c r="M608" s="1043"/>
      <c r="N608" s="1137" t="s">
        <v>991</v>
      </c>
      <c r="O608" s="1137"/>
      <c r="P608" s="1137"/>
      <c r="Q608" s="1138" t="s">
        <v>983</v>
      </c>
      <c r="R608" s="1138"/>
      <c r="S608" s="1138"/>
      <c r="T608" s="449"/>
      <c r="U608" s="449"/>
      <c r="V608" s="449"/>
      <c r="W608" s="487"/>
    </row>
    <row r="609" spans="2:23" s="67" customFormat="1" ht="15" x14ac:dyDescent="0.25">
      <c r="B609" s="487"/>
      <c r="C609" s="449"/>
      <c r="D609" s="987"/>
      <c r="E609" s="988"/>
      <c r="F609" s="988"/>
      <c r="G609" s="989"/>
      <c r="H609" s="446" t="s">
        <v>723</v>
      </c>
      <c r="I609" s="446" t="s">
        <v>526</v>
      </c>
      <c r="J609" s="446" t="s">
        <v>527</v>
      </c>
      <c r="K609" s="447" t="s">
        <v>723</v>
      </c>
      <c r="L609" s="447" t="s">
        <v>526</v>
      </c>
      <c r="M609" s="447" t="s">
        <v>527</v>
      </c>
      <c r="N609" s="454" t="s">
        <v>723</v>
      </c>
      <c r="O609" s="454" t="s">
        <v>526</v>
      </c>
      <c r="P609" s="454" t="s">
        <v>527</v>
      </c>
      <c r="Q609" s="448" t="s">
        <v>723</v>
      </c>
      <c r="R609" s="448" t="s">
        <v>526</v>
      </c>
      <c r="S609" s="448" t="s">
        <v>527</v>
      </c>
      <c r="T609" s="449"/>
      <c r="U609" s="449"/>
      <c r="V609" s="449"/>
      <c r="W609" s="487"/>
    </row>
    <row r="610" spans="2:23" s="67" customFormat="1" ht="15" x14ac:dyDescent="0.25">
      <c r="B610" s="487"/>
      <c r="C610" s="449"/>
      <c r="D610" s="980" t="str">
        <f>INDEX(Locations,selection)</f>
        <v>Angmering</v>
      </c>
      <c r="E610" s="980"/>
      <c r="F610" s="980"/>
      <c r="G610" s="980"/>
      <c r="H610" s="991">
        <f t="shared" ref="H610:S610" si="10">HLOOKUP(H616,Smoking2014, selection+1,FALSE)</f>
        <v>8.8888888888888892E-2</v>
      </c>
      <c r="I610" s="979">
        <f t="shared" si="10"/>
        <v>4.5730492536794481E-2</v>
      </c>
      <c r="J610" s="979">
        <f t="shared" si="10"/>
        <v>0.16570546626054083</v>
      </c>
      <c r="K610" s="991">
        <f t="shared" si="10"/>
        <v>8.8888888888888892E-2</v>
      </c>
      <c r="L610" s="979">
        <f t="shared" si="10"/>
        <v>4.5730492536794481E-2</v>
      </c>
      <c r="M610" s="979">
        <f t="shared" si="10"/>
        <v>0.16570546626054083</v>
      </c>
      <c r="N610" s="991">
        <f t="shared" si="10"/>
        <v>0.1</v>
      </c>
      <c r="O610" s="979">
        <f t="shared" si="10"/>
        <v>5.3506751697124912E-2</v>
      </c>
      <c r="P610" s="979">
        <f t="shared" si="10"/>
        <v>0.17924174875433646</v>
      </c>
      <c r="Q610" s="991">
        <f t="shared" si="10"/>
        <v>0.15555555555555556</v>
      </c>
      <c r="R610" s="979">
        <f t="shared" si="10"/>
        <v>9.4982755949108141E-2</v>
      </c>
      <c r="S610" s="979">
        <f t="shared" si="10"/>
        <v>0.2443284527729836</v>
      </c>
      <c r="T610" s="449"/>
      <c r="U610" s="449"/>
      <c r="V610" s="449"/>
      <c r="W610" s="487"/>
    </row>
    <row r="611" spans="2:23" s="67" customFormat="1" ht="15" x14ac:dyDescent="0.25">
      <c r="B611" s="487"/>
      <c r="C611" s="449"/>
      <c r="D611" s="980"/>
      <c r="E611" s="980"/>
      <c r="F611" s="980"/>
      <c r="G611" s="980"/>
      <c r="H611" s="991"/>
      <c r="I611" s="979"/>
      <c r="J611" s="979"/>
      <c r="K611" s="991"/>
      <c r="L611" s="979"/>
      <c r="M611" s="979"/>
      <c r="N611" s="991"/>
      <c r="O611" s="979"/>
      <c r="P611" s="979"/>
      <c r="Q611" s="991"/>
      <c r="R611" s="979"/>
      <c r="S611" s="979"/>
      <c r="T611" s="449"/>
      <c r="U611" s="449"/>
      <c r="V611" s="449"/>
      <c r="W611" s="487"/>
    </row>
    <row r="612" spans="2:23" s="67" customFormat="1" ht="15" x14ac:dyDescent="0.25">
      <c r="B612" s="487"/>
      <c r="C612" s="449"/>
      <c r="D612" s="981" t="str">
        <f>INDEX(Locations, selection2)</f>
        <v>Bewbush</v>
      </c>
      <c r="E612" s="981"/>
      <c r="F612" s="981"/>
      <c r="G612" s="981"/>
      <c r="H612" s="991">
        <f t="shared" ref="H612:S612" si="11">HLOOKUP(H616,Smoking2014, selection2+1,FALSE)</f>
        <v>0.19090909090909092</v>
      </c>
      <c r="I612" s="979">
        <f t="shared" si="11"/>
        <v>0.12839407729736771</v>
      </c>
      <c r="J612" s="979">
        <f t="shared" si="11"/>
        <v>0.27428399179604285</v>
      </c>
      <c r="K612" s="991">
        <f t="shared" si="11"/>
        <v>0.12727272727272726</v>
      </c>
      <c r="L612" s="979">
        <f t="shared" si="11"/>
        <v>7.7349813888469968E-2</v>
      </c>
      <c r="M612" s="979">
        <f t="shared" si="11"/>
        <v>0.20235021060652511</v>
      </c>
      <c r="N612" s="991">
        <f t="shared" si="11"/>
        <v>0.13636363636363635</v>
      </c>
      <c r="O612" s="979">
        <f t="shared" si="11"/>
        <v>8.4411564449900736E-2</v>
      </c>
      <c r="P612" s="979">
        <f t="shared" si="11"/>
        <v>0.21285675213058225</v>
      </c>
      <c r="Q612" s="991">
        <f t="shared" si="11"/>
        <v>0.25688073394495414</v>
      </c>
      <c r="R612" s="979">
        <f t="shared" si="11"/>
        <v>0.1841197969223172</v>
      </c>
      <c r="S612" s="979">
        <f t="shared" si="11"/>
        <v>0.34619467655309771</v>
      </c>
      <c r="T612" s="449"/>
      <c r="U612" s="449"/>
      <c r="V612" s="449"/>
      <c r="W612" s="487"/>
    </row>
    <row r="613" spans="2:23" s="67" customFormat="1" ht="15" x14ac:dyDescent="0.25">
      <c r="B613" s="487"/>
      <c r="C613" s="449"/>
      <c r="D613" s="981"/>
      <c r="E613" s="981"/>
      <c r="F613" s="981"/>
      <c r="G613" s="981"/>
      <c r="H613" s="991"/>
      <c r="I613" s="979"/>
      <c r="J613" s="979"/>
      <c r="K613" s="991"/>
      <c r="L613" s="979"/>
      <c r="M613" s="979"/>
      <c r="N613" s="991"/>
      <c r="O613" s="979"/>
      <c r="P613" s="979"/>
      <c r="Q613" s="991"/>
      <c r="R613" s="979"/>
      <c r="S613" s="979"/>
      <c r="T613" s="449"/>
      <c r="U613" s="449"/>
      <c r="V613" s="449"/>
      <c r="W613" s="487"/>
    </row>
    <row r="614" spans="2:23" s="67" customFormat="1" ht="15" x14ac:dyDescent="0.25">
      <c r="B614" s="487"/>
      <c r="C614" s="449"/>
      <c r="D614" s="990" t="s">
        <v>291</v>
      </c>
      <c r="E614" s="990"/>
      <c r="F614" s="990"/>
      <c r="G614" s="990"/>
      <c r="H614" s="991">
        <f>Data!NF76</f>
        <v>0.10983191342390053</v>
      </c>
      <c r="I614" s="979">
        <f>Data!NG76</f>
        <v>0.10087506725523812</v>
      </c>
      <c r="J614" s="979">
        <f>Data!NH76</f>
        <v>0.11947837049828836</v>
      </c>
      <c r="K614" s="991">
        <f>Data!NK76</f>
        <v>8.4273543633433104E-2</v>
      </c>
      <c r="L614" s="979">
        <f>Data!NL76</f>
        <v>7.6374485919414287E-2</v>
      </c>
      <c r="M614" s="979">
        <f>Data!NM76</f>
        <v>9.2907385938946346E-2</v>
      </c>
      <c r="N614" s="991">
        <f>Data!NP76</f>
        <v>9.8656785548865214E-2</v>
      </c>
      <c r="O614" s="979">
        <f>Data!NQ76</f>
        <v>9.0115944888874061E-2</v>
      </c>
      <c r="P614" s="979">
        <f>Data!NR76</f>
        <v>0.10791109219134049</v>
      </c>
      <c r="Q614" s="991">
        <f>Data!NU76</f>
        <v>0.19104829210836277</v>
      </c>
      <c r="R614" s="979">
        <f>Data!NV76</f>
        <v>0.1795035530603909</v>
      </c>
      <c r="S614" s="979">
        <f>Data!NW76</f>
        <v>0.20315168945175535</v>
      </c>
      <c r="T614" s="455"/>
      <c r="U614" s="455"/>
      <c r="V614" s="449"/>
      <c r="W614" s="487"/>
    </row>
    <row r="615" spans="2:23" s="67" customFormat="1" ht="15" x14ac:dyDescent="0.25">
      <c r="B615" s="487"/>
      <c r="C615" s="449"/>
      <c r="D615" s="990"/>
      <c r="E615" s="990"/>
      <c r="F615" s="990"/>
      <c r="G615" s="990"/>
      <c r="H615" s="991"/>
      <c r="I615" s="979"/>
      <c r="J615" s="979"/>
      <c r="K615" s="991"/>
      <c r="L615" s="979"/>
      <c r="M615" s="979"/>
      <c r="N615" s="991"/>
      <c r="O615" s="979"/>
      <c r="P615" s="979"/>
      <c r="Q615" s="991"/>
      <c r="R615" s="979"/>
      <c r="S615" s="979"/>
      <c r="T615" s="449"/>
      <c r="U615" s="449"/>
      <c r="V615" s="449"/>
      <c r="W615" s="487"/>
    </row>
    <row r="616" spans="2:23" s="67" customFormat="1" ht="15" x14ac:dyDescent="0.25">
      <c r="B616" s="487"/>
      <c r="C616" s="449"/>
      <c r="D616" s="449"/>
      <c r="H616" s="457" t="s">
        <v>967</v>
      </c>
      <c r="I616" s="457" t="s">
        <v>672</v>
      </c>
      <c r="J616" s="457" t="s">
        <v>673</v>
      </c>
      <c r="K616" s="457" t="s">
        <v>970</v>
      </c>
      <c r="L616" s="457" t="s">
        <v>675</v>
      </c>
      <c r="M616" s="457" t="s">
        <v>676</v>
      </c>
      <c r="N616" s="457" t="s">
        <v>973</v>
      </c>
      <c r="O616" s="457" t="s">
        <v>974</v>
      </c>
      <c r="P616" s="457" t="s">
        <v>975</v>
      </c>
      <c r="Q616" s="457" t="s">
        <v>978</v>
      </c>
      <c r="R616" s="457" t="s">
        <v>979</v>
      </c>
      <c r="S616" s="457" t="s">
        <v>980</v>
      </c>
      <c r="T616" s="449"/>
      <c r="U616" s="449"/>
      <c r="V616" s="449"/>
      <c r="W616" s="487"/>
    </row>
    <row r="617" spans="2:23" s="67" customFormat="1" ht="15" x14ac:dyDescent="0.25">
      <c r="B617" s="487"/>
      <c r="C617" s="449"/>
      <c r="D617" s="449"/>
      <c r="E617" s="449"/>
      <c r="F617" s="449"/>
      <c r="G617" s="455"/>
      <c r="T617" s="449"/>
      <c r="U617" s="449"/>
      <c r="V617" s="449"/>
      <c r="W617" s="487"/>
    </row>
    <row r="618" spans="2:23" s="67" customFormat="1" ht="15" x14ac:dyDescent="0.25">
      <c r="B618" s="487"/>
      <c r="C618" s="449"/>
      <c r="D618" s="449"/>
      <c r="E618" s="449"/>
      <c r="F618" s="449"/>
      <c r="G618" s="449"/>
      <c r="H618" s="449"/>
      <c r="I618" s="449"/>
      <c r="J618" s="449"/>
      <c r="K618" s="449"/>
      <c r="L618" s="449"/>
      <c r="M618" s="449"/>
      <c r="N618" s="449"/>
      <c r="O618" s="449"/>
      <c r="P618" s="449"/>
      <c r="Q618" s="449"/>
      <c r="R618" s="449"/>
      <c r="S618" s="449"/>
      <c r="T618" s="449"/>
      <c r="U618" s="449"/>
      <c r="V618" s="449"/>
      <c r="W618" s="487"/>
    </row>
    <row r="619" spans="2:23" s="67" customFormat="1" ht="15" x14ac:dyDescent="0.25">
      <c r="B619" s="487"/>
      <c r="C619" s="449"/>
      <c r="D619" s="449"/>
      <c r="E619" s="449"/>
      <c r="F619" s="449"/>
      <c r="G619" s="449"/>
      <c r="H619" s="449"/>
      <c r="I619" s="449"/>
      <c r="J619" s="449"/>
      <c r="K619" s="449"/>
      <c r="L619" s="449"/>
      <c r="M619" s="449"/>
      <c r="N619" s="449"/>
      <c r="O619" s="449"/>
      <c r="P619" s="449"/>
      <c r="Q619" s="449"/>
      <c r="R619" s="449"/>
      <c r="S619" s="449"/>
      <c r="T619" s="449"/>
      <c r="U619" s="449"/>
      <c r="V619" s="449"/>
      <c r="W619" s="487"/>
    </row>
    <row r="620" spans="2:23" s="67" customFormat="1" ht="15" x14ac:dyDescent="0.25">
      <c r="B620" s="487"/>
      <c r="C620" s="449"/>
      <c r="D620" s="71"/>
      <c r="E620" s="71"/>
      <c r="F620" s="71"/>
      <c r="G620" s="71"/>
      <c r="H620" s="71" t="str">
        <f>H608</f>
        <v>Q1 - booking</v>
      </c>
      <c r="I620" s="71" t="str">
        <f>K608</f>
        <v>Q2 - delivery</v>
      </c>
      <c r="J620" s="71" t="str">
        <f>N608</f>
        <v>Q3 - HV check</v>
      </c>
      <c r="K620" s="71" t="str">
        <f>Q608</f>
        <v>Q4 - in the home</v>
      </c>
      <c r="L620" s="71"/>
      <c r="M620" s="71" t="s">
        <v>526</v>
      </c>
      <c r="N620" s="71"/>
      <c r="O620" s="71"/>
      <c r="P620" s="71"/>
      <c r="Q620" s="71"/>
      <c r="R620" s="71" t="s">
        <v>527</v>
      </c>
      <c r="S620" s="71"/>
      <c r="T620" s="71"/>
      <c r="U620" s="71"/>
      <c r="V620" s="449"/>
      <c r="W620" s="487"/>
    </row>
    <row r="621" spans="2:23" s="67" customFormat="1" ht="15" x14ac:dyDescent="0.25">
      <c r="B621" s="487"/>
      <c r="C621" s="449"/>
      <c r="D621" s="71"/>
      <c r="E621" s="71"/>
      <c r="F621" s="71"/>
      <c r="G621" s="71" t="str">
        <f>D610</f>
        <v>Angmering</v>
      </c>
      <c r="H621" s="210">
        <f>H610</f>
        <v>8.8888888888888892E-2</v>
      </c>
      <c r="I621" s="210">
        <f>K610</f>
        <v>8.8888888888888892E-2</v>
      </c>
      <c r="J621" s="210">
        <f>N610</f>
        <v>0.1</v>
      </c>
      <c r="K621" s="210">
        <f>Q610</f>
        <v>0.15555555555555556</v>
      </c>
      <c r="L621" s="71"/>
      <c r="M621" s="210">
        <f>H621-H625</f>
        <v>4.3158396352094411E-2</v>
      </c>
      <c r="N621" s="210">
        <f t="shared" ref="N621:P621" si="12">I621-I625</f>
        <v>4.3158396352094411E-2</v>
      </c>
      <c r="O621" s="210">
        <f t="shared" si="12"/>
        <v>4.6493248302875094E-2</v>
      </c>
      <c r="P621" s="210">
        <f t="shared" si="12"/>
        <v>6.0572799606447417E-2</v>
      </c>
      <c r="Q621" s="71"/>
      <c r="R621" s="210">
        <f>N625-H621</f>
        <v>7.6816577371651942E-2</v>
      </c>
      <c r="S621" s="210">
        <f t="shared" ref="S621:U621" si="13">O625-I621</f>
        <v>7.6816577371651942E-2</v>
      </c>
      <c r="T621" s="210">
        <f t="shared" si="13"/>
        <v>7.9241748754336455E-2</v>
      </c>
      <c r="U621" s="210">
        <f t="shared" si="13"/>
        <v>8.8772897217428037E-2</v>
      </c>
      <c r="V621" s="449"/>
      <c r="W621" s="487"/>
    </row>
    <row r="622" spans="2:23" s="67" customFormat="1" ht="15" x14ac:dyDescent="0.25">
      <c r="B622" s="487"/>
      <c r="C622" s="449"/>
      <c r="D622" s="71"/>
      <c r="E622" s="71"/>
      <c r="F622" s="71"/>
      <c r="G622" s="71" t="str">
        <f>D612</f>
        <v>Bewbush</v>
      </c>
      <c r="H622" s="210">
        <f>H612</f>
        <v>0.19090909090909092</v>
      </c>
      <c r="I622" s="210">
        <f>K612</f>
        <v>0.12727272727272726</v>
      </c>
      <c r="J622" s="210">
        <f>N612</f>
        <v>0.13636363636363635</v>
      </c>
      <c r="K622" s="210">
        <f>Q612</f>
        <v>0.25688073394495414</v>
      </c>
      <c r="L622" s="71"/>
      <c r="M622" s="210">
        <f t="shared" ref="M622:M623" si="14">H622-H626</f>
        <v>6.2515013611723208E-2</v>
      </c>
      <c r="N622" s="210">
        <f t="shared" ref="N622:N623" si="15">I622-I626</f>
        <v>4.9922913384257292E-2</v>
      </c>
      <c r="O622" s="210">
        <f t="shared" ref="O622:O623" si="16">J622-J626</f>
        <v>5.1952071913735617E-2</v>
      </c>
      <c r="P622" s="210">
        <f t="shared" ref="P622:P623" si="17">K622-K626</f>
        <v>7.2760937022636946E-2</v>
      </c>
      <c r="Q622" s="71"/>
      <c r="R622" s="210">
        <f t="shared" ref="R622:R623" si="18">N626-H622</f>
        <v>8.337490088695193E-2</v>
      </c>
      <c r="S622" s="210">
        <f t="shared" ref="S622:S623" si="19">O626-I622</f>
        <v>7.5077483333797851E-2</v>
      </c>
      <c r="T622" s="210">
        <f t="shared" ref="T622:T623" si="20">P626-J622</f>
        <v>7.6493115766945896E-2</v>
      </c>
      <c r="U622" s="210">
        <f t="shared" ref="U622:U623" si="21">Q626-K622</f>
        <v>8.9313942608143571E-2</v>
      </c>
      <c r="V622" s="449"/>
      <c r="W622" s="487"/>
    </row>
    <row r="623" spans="2:23" s="67" customFormat="1" ht="15" x14ac:dyDescent="0.25">
      <c r="B623" s="487"/>
      <c r="C623" s="449"/>
      <c r="D623" s="71"/>
      <c r="E623" s="71"/>
      <c r="F623" s="71"/>
      <c r="G623" s="71" t="s">
        <v>291</v>
      </c>
      <c r="H623" s="210">
        <f>H614</f>
        <v>0.10983191342390053</v>
      </c>
      <c r="I623" s="210">
        <f>K614</f>
        <v>8.4273543633433104E-2</v>
      </c>
      <c r="J623" s="210">
        <f>N614</f>
        <v>9.8656785548865214E-2</v>
      </c>
      <c r="K623" s="210">
        <f>Q614</f>
        <v>0.19104829210836277</v>
      </c>
      <c r="L623" s="71"/>
      <c r="M623" s="210">
        <f t="shared" si="14"/>
        <v>8.9568461686624079E-3</v>
      </c>
      <c r="N623" s="210">
        <f t="shared" si="15"/>
        <v>7.8990577140188173E-3</v>
      </c>
      <c r="O623" s="210">
        <f t="shared" si="16"/>
        <v>8.5408406599911529E-3</v>
      </c>
      <c r="P623" s="210">
        <f t="shared" si="17"/>
        <v>1.1544739047971875E-2</v>
      </c>
      <c r="Q623" s="71"/>
      <c r="R623" s="210">
        <f t="shared" si="18"/>
        <v>9.6464570743878264E-3</v>
      </c>
      <c r="S623" s="210">
        <f t="shared" si="19"/>
        <v>8.6338423055132424E-3</v>
      </c>
      <c r="T623" s="210">
        <f t="shared" si="20"/>
        <v>9.2543066424752712E-3</v>
      </c>
      <c r="U623" s="210">
        <f t="shared" si="21"/>
        <v>1.210339734339258E-2</v>
      </c>
      <c r="V623" s="449"/>
      <c r="W623" s="487"/>
    </row>
    <row r="624" spans="2:23" s="67" customFormat="1" ht="15" x14ac:dyDescent="0.25">
      <c r="B624" s="487"/>
      <c r="C624" s="449"/>
      <c r="D624" s="71"/>
      <c r="E624" s="71"/>
      <c r="F624" s="71"/>
      <c r="G624" s="71"/>
      <c r="H624" s="210"/>
      <c r="I624" s="210"/>
      <c r="J624" s="210"/>
      <c r="K624" s="210"/>
      <c r="L624" s="71"/>
      <c r="M624" s="71"/>
      <c r="N624" s="71"/>
      <c r="O624" s="71"/>
      <c r="P624" s="71"/>
      <c r="Q624" s="71"/>
      <c r="R624" s="71"/>
      <c r="S624" s="71"/>
      <c r="T624" s="71"/>
      <c r="U624" s="71"/>
      <c r="V624" s="449"/>
      <c r="W624" s="487"/>
    </row>
    <row r="625" spans="2:23" s="67" customFormat="1" ht="15" x14ac:dyDescent="0.25">
      <c r="B625" s="487"/>
      <c r="C625" s="449"/>
      <c r="D625" s="71"/>
      <c r="E625" s="71"/>
      <c r="F625" s="71"/>
      <c r="G625" s="71"/>
      <c r="H625" s="211">
        <f>I610</f>
        <v>4.5730492536794481E-2</v>
      </c>
      <c r="I625" s="211">
        <f>L610</f>
        <v>4.5730492536794481E-2</v>
      </c>
      <c r="J625" s="211">
        <f>O610</f>
        <v>5.3506751697124912E-2</v>
      </c>
      <c r="K625" s="211">
        <f>R610</f>
        <v>9.4982755949108141E-2</v>
      </c>
      <c r="L625" s="71"/>
      <c r="M625" s="71"/>
      <c r="N625" s="210">
        <f>J610</f>
        <v>0.16570546626054083</v>
      </c>
      <c r="O625" s="210">
        <f>M610</f>
        <v>0.16570546626054083</v>
      </c>
      <c r="P625" s="210">
        <f>P610</f>
        <v>0.17924174875433646</v>
      </c>
      <c r="Q625" s="210">
        <f>S610</f>
        <v>0.2443284527729836</v>
      </c>
      <c r="R625" s="71"/>
      <c r="S625" s="71"/>
      <c r="T625" s="71"/>
      <c r="U625" s="71"/>
      <c r="V625" s="449"/>
      <c r="W625" s="487"/>
    </row>
    <row r="626" spans="2:23" s="67" customFormat="1" ht="15" x14ac:dyDescent="0.25">
      <c r="B626" s="487"/>
      <c r="C626" s="449"/>
      <c r="D626" s="71"/>
      <c r="E626" s="71"/>
      <c r="F626" s="71"/>
      <c r="G626" s="71"/>
      <c r="H626" s="211">
        <f>I612</f>
        <v>0.12839407729736771</v>
      </c>
      <c r="I626" s="211">
        <f>L612</f>
        <v>7.7349813888469968E-2</v>
      </c>
      <c r="J626" s="211">
        <f>O612</f>
        <v>8.4411564449900736E-2</v>
      </c>
      <c r="K626" s="211">
        <f>R612</f>
        <v>0.1841197969223172</v>
      </c>
      <c r="L626" s="71"/>
      <c r="M626" s="71"/>
      <c r="N626" s="210">
        <f>J612</f>
        <v>0.27428399179604285</v>
      </c>
      <c r="O626" s="210">
        <f>M612</f>
        <v>0.20235021060652511</v>
      </c>
      <c r="P626" s="210">
        <f>P612</f>
        <v>0.21285675213058225</v>
      </c>
      <c r="Q626" s="210">
        <f>S612</f>
        <v>0.34619467655309771</v>
      </c>
      <c r="R626" s="71"/>
      <c r="S626" s="71"/>
      <c r="T626" s="71"/>
      <c r="U626" s="71"/>
      <c r="V626" s="449"/>
      <c r="W626" s="487"/>
    </row>
    <row r="627" spans="2:23" s="67" customFormat="1" ht="15" x14ac:dyDescent="0.25">
      <c r="B627" s="487"/>
      <c r="C627" s="449"/>
      <c r="D627" s="71"/>
      <c r="E627" s="71"/>
      <c r="F627" s="71"/>
      <c r="G627" s="71"/>
      <c r="H627" s="211">
        <f>I614</f>
        <v>0.10087506725523812</v>
      </c>
      <c r="I627" s="211">
        <f>L614</f>
        <v>7.6374485919414287E-2</v>
      </c>
      <c r="J627" s="211">
        <f>O614</f>
        <v>9.0115944888874061E-2</v>
      </c>
      <c r="K627" s="211">
        <f>R614</f>
        <v>0.1795035530603909</v>
      </c>
      <c r="L627" s="71"/>
      <c r="M627" s="71"/>
      <c r="N627" s="210">
        <f>J614</f>
        <v>0.11947837049828836</v>
      </c>
      <c r="O627" s="210">
        <f>M614</f>
        <v>9.2907385938946346E-2</v>
      </c>
      <c r="P627" s="210">
        <f>P614</f>
        <v>0.10791109219134049</v>
      </c>
      <c r="Q627" s="210">
        <f>S614</f>
        <v>0.20315168945175535</v>
      </c>
      <c r="R627" s="71"/>
      <c r="S627" s="71"/>
      <c r="T627" s="71"/>
      <c r="U627" s="71"/>
      <c r="V627" s="449"/>
      <c r="W627" s="487"/>
    </row>
    <row r="628" spans="2:23" s="67" customFormat="1" ht="15" x14ac:dyDescent="0.25">
      <c r="B628" s="487"/>
      <c r="C628" s="449"/>
      <c r="D628" s="71"/>
      <c r="E628" s="71"/>
      <c r="F628" s="71"/>
      <c r="G628" s="71"/>
      <c r="H628" s="211"/>
      <c r="I628" s="211"/>
      <c r="J628" s="211"/>
      <c r="K628" s="211"/>
      <c r="L628" s="71"/>
      <c r="M628" s="71"/>
      <c r="N628" s="210"/>
      <c r="O628" s="210"/>
      <c r="P628" s="210"/>
      <c r="Q628" s="210"/>
      <c r="R628" s="71"/>
      <c r="S628" s="71"/>
      <c r="T628" s="71"/>
      <c r="U628" s="71"/>
      <c r="V628" s="449"/>
      <c r="W628" s="487"/>
    </row>
    <row r="629" spans="2:23" s="67" customFormat="1" ht="15" x14ac:dyDescent="0.25">
      <c r="B629" s="487"/>
      <c r="C629" s="449"/>
      <c r="D629" s="449"/>
      <c r="E629" s="449"/>
      <c r="F629" s="449"/>
      <c r="G629" s="449"/>
      <c r="L629" s="449"/>
      <c r="M629" s="449"/>
      <c r="R629" s="449"/>
      <c r="S629" s="449"/>
      <c r="T629" s="449"/>
      <c r="U629" s="449"/>
      <c r="V629" s="449"/>
      <c r="W629" s="487"/>
    </row>
    <row r="630" spans="2:23" s="67" customFormat="1" ht="15" x14ac:dyDescent="0.25">
      <c r="B630" s="487"/>
      <c r="C630" s="449"/>
      <c r="D630" s="449"/>
      <c r="E630" s="449"/>
      <c r="F630" s="449"/>
      <c r="G630" s="449"/>
      <c r="H630" s="458"/>
      <c r="I630" s="458"/>
      <c r="J630" s="458"/>
      <c r="K630" s="458"/>
      <c r="L630" s="449"/>
      <c r="M630" s="449"/>
      <c r="N630" s="449"/>
      <c r="O630" s="449"/>
      <c r="P630" s="449"/>
      <c r="Q630" s="449"/>
      <c r="R630" s="449"/>
      <c r="S630" s="449"/>
      <c r="T630" s="449"/>
      <c r="U630" s="449"/>
      <c r="V630" s="449"/>
      <c r="W630" s="487"/>
    </row>
    <row r="631" spans="2:23" s="67" customFormat="1" ht="15" x14ac:dyDescent="0.25">
      <c r="B631" s="487"/>
      <c r="C631" s="449"/>
      <c r="D631" s="449"/>
      <c r="E631" s="449"/>
      <c r="F631" s="449"/>
      <c r="G631" s="449"/>
      <c r="H631" s="449"/>
      <c r="I631" s="449"/>
      <c r="J631" s="449"/>
      <c r="K631" s="449"/>
      <c r="L631" s="449"/>
      <c r="M631" s="449"/>
      <c r="N631" s="449"/>
      <c r="O631" s="449"/>
      <c r="P631" s="449"/>
      <c r="Q631" s="449"/>
      <c r="R631" s="449"/>
      <c r="S631" s="449"/>
      <c r="T631" s="449"/>
      <c r="U631" s="449"/>
      <c r="V631" s="449"/>
      <c r="W631" s="487"/>
    </row>
    <row r="632" spans="2:23" s="67" customFormat="1" ht="15" x14ac:dyDescent="0.25">
      <c r="B632" s="487"/>
      <c r="C632" s="449"/>
      <c r="D632" s="449"/>
      <c r="E632" s="449"/>
      <c r="F632" s="449"/>
      <c r="G632" s="449"/>
      <c r="H632" s="449"/>
      <c r="I632" s="449"/>
      <c r="J632" s="449"/>
      <c r="K632" s="449"/>
      <c r="L632" s="449"/>
      <c r="M632" s="449"/>
      <c r="N632" s="449"/>
      <c r="O632" s="449"/>
      <c r="P632" s="449"/>
      <c r="Q632" s="449"/>
      <c r="R632" s="449"/>
      <c r="S632" s="449"/>
      <c r="T632" s="449"/>
      <c r="U632" s="449"/>
      <c r="V632" s="449"/>
      <c r="W632" s="487"/>
    </row>
    <row r="633" spans="2:23" s="67" customFormat="1" ht="15" x14ac:dyDescent="0.25">
      <c r="B633" s="487"/>
      <c r="C633" s="449"/>
      <c r="D633" s="449"/>
      <c r="E633" s="449"/>
      <c r="F633" s="449"/>
      <c r="G633" s="449"/>
      <c r="H633" s="449"/>
      <c r="I633" s="449"/>
      <c r="J633" s="449"/>
      <c r="K633" s="449"/>
      <c r="L633" s="449"/>
      <c r="M633" s="449"/>
      <c r="N633" s="449"/>
      <c r="O633" s="449"/>
      <c r="P633" s="449"/>
      <c r="Q633" s="449"/>
      <c r="R633" s="449"/>
      <c r="S633" s="449"/>
      <c r="T633" s="449"/>
      <c r="U633" s="449"/>
      <c r="V633" s="449"/>
      <c r="W633" s="487"/>
    </row>
    <row r="634" spans="2:23" s="67" customFormat="1" ht="15" x14ac:dyDescent="0.25">
      <c r="B634" s="487"/>
      <c r="C634" s="449"/>
      <c r="D634" s="449"/>
      <c r="E634" s="449"/>
      <c r="F634" s="449"/>
      <c r="G634" s="449"/>
      <c r="H634" s="449"/>
      <c r="I634" s="449"/>
      <c r="J634" s="449"/>
      <c r="K634" s="449"/>
      <c r="L634" s="449"/>
      <c r="M634" s="449"/>
      <c r="N634" s="449"/>
      <c r="O634" s="449"/>
      <c r="P634" s="449"/>
      <c r="Q634" s="449"/>
      <c r="R634" s="449"/>
      <c r="S634" s="449"/>
      <c r="T634" s="449"/>
      <c r="U634" s="449"/>
      <c r="V634" s="449"/>
      <c r="W634" s="487"/>
    </row>
    <row r="635" spans="2:23" s="67" customFormat="1" ht="36" customHeight="1" x14ac:dyDescent="0.25">
      <c r="B635" s="487"/>
      <c r="C635" s="1237" t="s">
        <v>1133</v>
      </c>
      <c r="D635" s="1237"/>
      <c r="E635" s="1237"/>
      <c r="F635" s="1237"/>
      <c r="G635" s="1237"/>
      <c r="H635" s="1237"/>
      <c r="I635" s="1237"/>
      <c r="J635" s="1237"/>
      <c r="K635" s="1237"/>
      <c r="L635" s="1237"/>
      <c r="M635" s="1237"/>
      <c r="N635" s="1237"/>
      <c r="O635" s="1237"/>
      <c r="P635" s="1237"/>
      <c r="Q635" s="1237"/>
      <c r="R635" s="1237"/>
      <c r="S635" s="1237"/>
      <c r="T635" s="1237"/>
      <c r="U635" s="1237"/>
      <c r="V635" s="728"/>
      <c r="W635" s="487"/>
    </row>
    <row r="636" spans="2:23" s="67" customFormat="1" ht="15" x14ac:dyDescent="0.25">
      <c r="B636" s="487"/>
      <c r="C636" s="657"/>
      <c r="D636" s="657"/>
      <c r="E636" s="657"/>
      <c r="F636" s="657"/>
      <c r="G636" s="657"/>
      <c r="H636" s="657"/>
      <c r="I636" s="657"/>
      <c r="J636" s="657"/>
      <c r="K636" s="657"/>
      <c r="L636" s="657"/>
      <c r="M636" s="657"/>
      <c r="N636" s="657"/>
      <c r="O636" s="657"/>
      <c r="P636" s="657"/>
      <c r="Q636" s="657"/>
      <c r="R636" s="657"/>
      <c r="S636" s="657"/>
      <c r="T636" s="657"/>
      <c r="U636" s="657"/>
      <c r="V636" s="657"/>
      <c r="W636" s="487"/>
    </row>
    <row r="637" spans="2:23" s="67" customFormat="1" ht="15" x14ac:dyDescent="0.25">
      <c r="B637" s="487"/>
      <c r="C637" s="657"/>
      <c r="D637" s="657"/>
      <c r="E637" s="657"/>
      <c r="F637" s="657"/>
      <c r="G637" s="657"/>
      <c r="H637" s="657"/>
      <c r="I637" s="657"/>
      <c r="J637" s="657"/>
      <c r="K637" s="657"/>
      <c r="L637" s="657"/>
      <c r="M637" s="657"/>
      <c r="N637" s="657"/>
      <c r="O637" s="657"/>
      <c r="P637" s="657"/>
      <c r="Q637" s="657"/>
      <c r="R637" s="657"/>
      <c r="S637" s="657"/>
      <c r="T637" s="657"/>
      <c r="U637" s="657"/>
      <c r="V637" s="657"/>
      <c r="W637" s="487"/>
    </row>
    <row r="638" spans="2:23" s="67" customFormat="1" ht="15" x14ac:dyDescent="0.25">
      <c r="B638" s="487"/>
      <c r="C638" s="657"/>
      <c r="D638" s="657"/>
      <c r="E638" s="657"/>
      <c r="F638" s="657"/>
      <c r="G638" s="657"/>
      <c r="H638" s="657"/>
      <c r="I638" s="657"/>
      <c r="J638" s="657"/>
      <c r="K638" s="657"/>
      <c r="L638" s="657"/>
      <c r="M638" s="657"/>
      <c r="N638" s="657"/>
      <c r="O638" s="657"/>
      <c r="P638" s="657"/>
      <c r="Q638" s="657"/>
      <c r="R638" s="657"/>
      <c r="S638" s="657"/>
      <c r="T638" s="657"/>
      <c r="U638" s="657"/>
      <c r="V638" s="657"/>
      <c r="W638" s="487"/>
    </row>
    <row r="639" spans="2:23" s="67" customFormat="1" ht="44.25" customHeight="1" x14ac:dyDescent="0.25">
      <c r="B639" s="487"/>
      <c r="C639" s="914" t="s">
        <v>1108</v>
      </c>
      <c r="D639" s="914"/>
      <c r="E639" s="914"/>
      <c r="F639" s="914"/>
      <c r="G639" s="914"/>
      <c r="H639" s="914"/>
      <c r="I639" s="914"/>
      <c r="J639" s="914"/>
      <c r="K639" s="914"/>
      <c r="L639" s="914"/>
      <c r="M639" s="914"/>
      <c r="N639" s="914"/>
      <c r="O639" s="914"/>
      <c r="P639" s="914"/>
      <c r="Q639" s="914"/>
      <c r="R639" s="914"/>
      <c r="S639" s="914"/>
      <c r="T639" s="914"/>
      <c r="U639" s="914"/>
      <c r="V639" s="657"/>
      <c r="W639" s="487"/>
    </row>
    <row r="640" spans="2:23" s="67" customFormat="1" ht="23.25" customHeight="1" x14ac:dyDescent="0.25">
      <c r="B640" s="487"/>
      <c r="C640" s="914" t="s">
        <v>1109</v>
      </c>
      <c r="D640" s="914"/>
      <c r="E640" s="914"/>
      <c r="F640" s="914"/>
      <c r="G640" s="914"/>
      <c r="H640" s="914"/>
      <c r="I640" s="914"/>
      <c r="J640" s="914"/>
      <c r="K640" s="914"/>
      <c r="L640" s="914"/>
      <c r="M640" s="914"/>
      <c r="N640" s="914"/>
      <c r="O640" s="914"/>
      <c r="P640" s="914"/>
      <c r="Q640" s="914"/>
      <c r="R640" s="914"/>
      <c r="S640" s="914"/>
      <c r="T640" s="914"/>
      <c r="U640" s="914"/>
      <c r="V640" s="657"/>
      <c r="W640" s="487"/>
    </row>
    <row r="641" spans="2:23" s="67" customFormat="1" ht="69" customHeight="1" x14ac:dyDescent="0.25">
      <c r="B641" s="487"/>
      <c r="C641" s="914" t="s">
        <v>1127</v>
      </c>
      <c r="D641" s="914"/>
      <c r="E641" s="914"/>
      <c r="F641" s="914"/>
      <c r="G641" s="914"/>
      <c r="H641" s="914"/>
      <c r="I641" s="914"/>
      <c r="J641" s="914"/>
      <c r="K641" s="914"/>
      <c r="L641" s="914"/>
      <c r="M641" s="914"/>
      <c r="N641" s="914"/>
      <c r="O641" s="914"/>
      <c r="P641" s="914"/>
      <c r="Q641" s="914"/>
      <c r="R641" s="914"/>
      <c r="S641" s="914"/>
      <c r="T641" s="914"/>
      <c r="U641" s="914"/>
      <c r="V641" s="657"/>
      <c r="W641" s="487"/>
    </row>
    <row r="642" spans="2:23" s="67" customFormat="1" ht="64.5" customHeight="1" x14ac:dyDescent="0.25">
      <c r="B642" s="487"/>
      <c r="C642" s="829" t="s">
        <v>1110</v>
      </c>
      <c r="D642" s="829"/>
      <c r="E642" s="829"/>
      <c r="F642" s="829"/>
      <c r="G642" s="829"/>
      <c r="H642" s="829"/>
      <c r="I642" s="829"/>
      <c r="J642" s="829"/>
      <c r="K642" s="829"/>
      <c r="L642" s="829"/>
      <c r="M642" s="829"/>
      <c r="N642" s="829"/>
      <c r="O642" s="829"/>
      <c r="P642" s="829"/>
      <c r="Q642" s="829"/>
      <c r="R642" s="829"/>
      <c r="S642" s="829"/>
      <c r="T642" s="829"/>
      <c r="U642" s="829"/>
      <c r="V642" s="657"/>
      <c r="W642" s="487"/>
    </row>
    <row r="643" spans="2:23" s="67" customFormat="1" ht="15" x14ac:dyDescent="0.25">
      <c r="B643" s="487"/>
      <c r="C643" s="653"/>
      <c r="D643" s="653"/>
      <c r="E643" s="653"/>
      <c r="F643" s="653"/>
      <c r="G643" s="653"/>
      <c r="H643" s="653"/>
      <c r="I643" s="653"/>
      <c r="J643" s="653"/>
      <c r="K643" s="653"/>
      <c r="L643" s="653"/>
      <c r="M643" s="653"/>
      <c r="N643" s="653"/>
      <c r="O643" s="653"/>
      <c r="P643" s="653"/>
      <c r="Q643" s="653"/>
      <c r="R643" s="653"/>
      <c r="S643" s="653"/>
      <c r="T643" s="653"/>
      <c r="U643" s="653"/>
      <c r="V643" s="657"/>
      <c r="W643" s="487"/>
    </row>
    <row r="644" spans="2:23" s="67" customFormat="1" ht="15.75" x14ac:dyDescent="0.25">
      <c r="B644" s="487"/>
      <c r="C644" s="657"/>
      <c r="D644" s="950" t="s">
        <v>440</v>
      </c>
      <c r="E644" s="951"/>
      <c r="F644" s="952" t="str">
        <f>INDEX(Locations, selection)</f>
        <v>Angmering</v>
      </c>
      <c r="G644" s="953"/>
      <c r="H644" s="954"/>
      <c r="J644" s="657"/>
      <c r="K644" s="657"/>
      <c r="L644" s="657"/>
      <c r="M644" s="657"/>
      <c r="N644" s="657"/>
      <c r="O644" s="657"/>
      <c r="P644" s="657"/>
      <c r="Q644" s="657"/>
      <c r="R644" s="657"/>
      <c r="S644" s="657"/>
      <c r="T644" s="657"/>
      <c r="U644" s="657"/>
      <c r="V644" s="657"/>
      <c r="W644" s="487"/>
    </row>
    <row r="645" spans="2:23" s="67" customFormat="1" ht="15.75" x14ac:dyDescent="0.25">
      <c r="B645" s="487"/>
      <c r="C645" s="657"/>
      <c r="D645" s="912" t="s">
        <v>817</v>
      </c>
      <c r="E645" s="912"/>
      <c r="F645" s="913" t="str">
        <f>IF(VLOOKUP(F644,Geographies,9,FALSE)="","",VLOOKUP(F644,Geographies,9,FALSE))</f>
        <v>Arun</v>
      </c>
      <c r="G645" s="913"/>
      <c r="H645" s="913"/>
      <c r="J645" s="657"/>
      <c r="K645" s="657"/>
      <c r="L645" s="657"/>
      <c r="M645" s="657"/>
      <c r="N645" s="657"/>
      <c r="O645" s="657"/>
      <c r="P645" s="657"/>
      <c r="Q645" s="657"/>
      <c r="R645" s="657"/>
      <c r="S645" s="657"/>
      <c r="T645" s="657"/>
      <c r="U645" s="657"/>
      <c r="V645" s="657"/>
      <c r="W645" s="487"/>
    </row>
    <row r="646" spans="2:23" s="67" customFormat="1" ht="15" x14ac:dyDescent="0.25">
      <c r="B646" s="487"/>
      <c r="C646" s="657"/>
      <c r="J646" s="657"/>
      <c r="K646" s="657"/>
      <c r="L646" s="657"/>
      <c r="M646" s="657"/>
      <c r="N646" s="657"/>
      <c r="O646" s="657"/>
      <c r="P646" s="657"/>
      <c r="Q646" s="657"/>
      <c r="R646" s="657"/>
      <c r="S646" s="657"/>
      <c r="T646" s="657"/>
      <c r="U646" s="657"/>
      <c r="V646" s="657"/>
      <c r="W646" s="487"/>
    </row>
    <row r="647" spans="2:23" s="67" customFormat="1" ht="15" x14ac:dyDescent="0.25">
      <c r="B647" s="487"/>
      <c r="C647" s="657"/>
      <c r="J647" s="657"/>
      <c r="K647" s="657"/>
      <c r="L647" s="657"/>
      <c r="M647" s="657"/>
      <c r="N647" s="657"/>
      <c r="O647" s="657"/>
      <c r="P647" s="657"/>
      <c r="Q647" s="657"/>
      <c r="R647" s="657"/>
      <c r="S647" s="657"/>
      <c r="T647" s="657"/>
      <c r="U647" s="657"/>
      <c r="V647" s="657"/>
      <c r="W647" s="487"/>
    </row>
    <row r="648" spans="2:23" s="67" customFormat="1" ht="15" x14ac:dyDescent="0.25">
      <c r="B648" s="487"/>
      <c r="C648" s="657"/>
      <c r="D648" s="964" t="s">
        <v>1104</v>
      </c>
      <c r="E648" s="965"/>
      <c r="F648" s="966"/>
      <c r="G648" s="955" t="s">
        <v>1105</v>
      </c>
      <c r="H648" s="956"/>
      <c r="I648" s="955" t="s">
        <v>1106</v>
      </c>
      <c r="J648" s="956"/>
      <c r="K648" s="955" t="s">
        <v>1107</v>
      </c>
      <c r="L648" s="956"/>
      <c r="M648" s="955" t="s">
        <v>600</v>
      </c>
      <c r="N648" s="956"/>
      <c r="O648" s="955" t="s">
        <v>601</v>
      </c>
      <c r="P648" s="956"/>
      <c r="Q648" s="955" t="s">
        <v>602</v>
      </c>
      <c r="R648" s="961"/>
      <c r="S648" s="961"/>
      <c r="T648" s="956"/>
      <c r="U648" s="657"/>
      <c r="V648" s="657"/>
      <c r="W648" s="487"/>
    </row>
    <row r="649" spans="2:23" s="67" customFormat="1" ht="15" x14ac:dyDescent="0.25">
      <c r="B649" s="487"/>
      <c r="C649" s="657"/>
      <c r="D649" s="967"/>
      <c r="E649" s="968"/>
      <c r="F649" s="969"/>
      <c r="G649" s="957"/>
      <c r="H649" s="958"/>
      <c r="I649" s="957"/>
      <c r="J649" s="958"/>
      <c r="K649" s="957"/>
      <c r="L649" s="958"/>
      <c r="M649" s="957"/>
      <c r="N649" s="958"/>
      <c r="O649" s="957"/>
      <c r="P649" s="958"/>
      <c r="Q649" s="957"/>
      <c r="R649" s="962"/>
      <c r="S649" s="962"/>
      <c r="T649" s="958"/>
      <c r="U649" s="657"/>
      <c r="V649" s="657"/>
      <c r="W649" s="487"/>
    </row>
    <row r="650" spans="2:23" s="67" customFormat="1" ht="15" x14ac:dyDescent="0.25">
      <c r="B650" s="487"/>
      <c r="C650" s="657"/>
      <c r="D650" s="970"/>
      <c r="E650" s="971"/>
      <c r="F650" s="972"/>
      <c r="G650" s="959"/>
      <c r="H650" s="960"/>
      <c r="I650" s="959"/>
      <c r="J650" s="960"/>
      <c r="K650" s="959"/>
      <c r="L650" s="960"/>
      <c r="M650" s="959"/>
      <c r="N650" s="960"/>
      <c r="O650" s="959"/>
      <c r="P650" s="960"/>
      <c r="Q650" s="959"/>
      <c r="R650" s="963"/>
      <c r="S650" s="963"/>
      <c r="T650" s="960"/>
      <c r="U650" s="657"/>
      <c r="V650" s="657"/>
      <c r="W650" s="487"/>
    </row>
    <row r="651" spans="2:23" s="67" customFormat="1" ht="15" x14ac:dyDescent="0.25">
      <c r="B651" s="487"/>
      <c r="C651" s="657"/>
      <c r="D651" s="927" t="s">
        <v>398</v>
      </c>
      <c r="E651" s="928"/>
      <c r="F651" s="929"/>
      <c r="G651" s="930">
        <v>81.78</v>
      </c>
      <c r="H651" s="930"/>
      <c r="I651" s="930">
        <v>689.41</v>
      </c>
      <c r="J651" s="930"/>
      <c r="K651" s="931">
        <v>0.1186</v>
      </c>
      <c r="L651" s="931"/>
      <c r="M651" s="931">
        <v>9.6600000000000005E-2</v>
      </c>
      <c r="N651" s="931"/>
      <c r="O651" s="931">
        <v>0.1449</v>
      </c>
      <c r="P651" s="931"/>
      <c r="Q651" s="918" t="str">
        <f>IF(M651&gt;$O$660,"Higher than England",IF(O651&lt;$M$660,"Lower than England","No difference"))</f>
        <v>No difference</v>
      </c>
      <c r="R651" s="919"/>
      <c r="S651" s="919"/>
      <c r="T651" s="920"/>
      <c r="U651" s="657"/>
      <c r="V651" s="657"/>
      <c r="W651" s="487"/>
    </row>
    <row r="652" spans="2:23" s="67" customFormat="1" ht="15" x14ac:dyDescent="0.25">
      <c r="B652" s="487"/>
      <c r="C652" s="657"/>
      <c r="D652" s="927" t="s">
        <v>82</v>
      </c>
      <c r="E652" s="928"/>
      <c r="F652" s="929"/>
      <c r="G652" s="930">
        <v>170.64</v>
      </c>
      <c r="H652" s="930"/>
      <c r="I652" s="930">
        <v>1438.48</v>
      </c>
      <c r="J652" s="930"/>
      <c r="K652" s="931">
        <v>0.1186</v>
      </c>
      <c r="L652" s="931"/>
      <c r="M652" s="931">
        <v>0.10290000000000001</v>
      </c>
      <c r="N652" s="931"/>
      <c r="O652" s="931">
        <v>0.13639999999999999</v>
      </c>
      <c r="P652" s="931"/>
      <c r="Q652" s="918" t="str">
        <f t="shared" ref="Q652:Q659" si="22">IF(M652&gt;$O$660,"Higher than England",IF(O652&lt;$M$660,"Lower than England","No difference"))</f>
        <v>No difference</v>
      </c>
      <c r="R652" s="919"/>
      <c r="S652" s="919"/>
      <c r="T652" s="920"/>
      <c r="U652" s="657"/>
      <c r="V652" s="657"/>
      <c r="W652" s="487"/>
    </row>
    <row r="653" spans="2:23" s="67" customFormat="1" ht="15" x14ac:dyDescent="0.25">
      <c r="B653" s="487"/>
      <c r="C653" s="657"/>
      <c r="D653" s="927" t="s">
        <v>44</v>
      </c>
      <c r="E653" s="928"/>
      <c r="F653" s="929"/>
      <c r="G653" s="930">
        <v>118.29</v>
      </c>
      <c r="H653" s="930"/>
      <c r="I653" s="930">
        <v>997.18</v>
      </c>
      <c r="J653" s="930"/>
      <c r="K653" s="931">
        <v>0.1186</v>
      </c>
      <c r="L653" s="931"/>
      <c r="M653" s="931">
        <v>0.1</v>
      </c>
      <c r="N653" s="931"/>
      <c r="O653" s="931">
        <v>0.14019999999999999</v>
      </c>
      <c r="P653" s="931"/>
      <c r="Q653" s="918" t="str">
        <f t="shared" si="22"/>
        <v>No difference</v>
      </c>
      <c r="R653" s="919"/>
      <c r="S653" s="919"/>
      <c r="T653" s="920"/>
      <c r="U653" s="657"/>
      <c r="V653" s="657"/>
      <c r="W653" s="487"/>
    </row>
    <row r="654" spans="2:23" s="67" customFormat="1" ht="15" x14ac:dyDescent="0.25">
      <c r="B654" s="487"/>
      <c r="C654" s="657"/>
      <c r="D654" s="927" t="s">
        <v>79</v>
      </c>
      <c r="E654" s="928"/>
      <c r="F654" s="929"/>
      <c r="G654" s="930">
        <v>113</v>
      </c>
      <c r="H654" s="930"/>
      <c r="I654" s="930">
        <v>1710</v>
      </c>
      <c r="J654" s="930"/>
      <c r="K654" s="931">
        <v>6.6100000000000006E-2</v>
      </c>
      <c r="L654" s="931"/>
      <c r="M654" s="931">
        <v>5.5300000000000002E-2</v>
      </c>
      <c r="N654" s="931"/>
      <c r="O654" s="931">
        <v>7.8899999999999998E-2</v>
      </c>
      <c r="P654" s="931"/>
      <c r="Q654" s="918" t="str">
        <f t="shared" si="22"/>
        <v>Lower than England</v>
      </c>
      <c r="R654" s="919"/>
      <c r="S654" s="919"/>
      <c r="T654" s="920"/>
      <c r="U654" s="657"/>
      <c r="V654" s="657"/>
      <c r="W654" s="487"/>
    </row>
    <row r="655" spans="2:23" s="67" customFormat="1" ht="15" x14ac:dyDescent="0.25">
      <c r="B655" s="487"/>
      <c r="C655" s="657"/>
      <c r="D655" s="927" t="s">
        <v>83</v>
      </c>
      <c r="E655" s="928"/>
      <c r="F655" s="929"/>
      <c r="G655" s="930">
        <v>81.17</v>
      </c>
      <c r="H655" s="930"/>
      <c r="I655" s="930">
        <v>1174.2</v>
      </c>
      <c r="J655" s="930"/>
      <c r="K655" s="931">
        <v>6.9099999999999995E-2</v>
      </c>
      <c r="L655" s="931"/>
      <c r="M655" s="931">
        <v>5.6000000000000001E-2</v>
      </c>
      <c r="N655" s="931"/>
      <c r="O655" s="931">
        <v>8.5099999999999995E-2</v>
      </c>
      <c r="P655" s="931"/>
      <c r="Q655" s="918" t="str">
        <f t="shared" si="22"/>
        <v>Lower than England</v>
      </c>
      <c r="R655" s="919"/>
      <c r="S655" s="919"/>
      <c r="T655" s="920"/>
      <c r="U655" s="657"/>
      <c r="V655" s="657"/>
      <c r="W655" s="487"/>
    </row>
    <row r="656" spans="2:23" s="67" customFormat="1" ht="15" x14ac:dyDescent="0.25">
      <c r="B656" s="487"/>
      <c r="C656" s="657"/>
      <c r="D656" s="927" t="s">
        <v>80</v>
      </c>
      <c r="E656" s="928"/>
      <c r="F656" s="929"/>
      <c r="G656" s="930">
        <v>64.56</v>
      </c>
      <c r="H656" s="930"/>
      <c r="I656" s="930">
        <v>1462.75</v>
      </c>
      <c r="J656" s="930"/>
      <c r="K656" s="931">
        <v>4.41E-2</v>
      </c>
      <c r="L656" s="931"/>
      <c r="M656" s="931">
        <v>3.4799999999999998E-2</v>
      </c>
      <c r="N656" s="931"/>
      <c r="O656" s="931">
        <v>5.5899999999999998E-2</v>
      </c>
      <c r="P656" s="931"/>
      <c r="Q656" s="918" t="str">
        <f t="shared" si="22"/>
        <v>Lower than England</v>
      </c>
      <c r="R656" s="919"/>
      <c r="S656" s="919"/>
      <c r="T656" s="920"/>
      <c r="U656" s="657"/>
      <c r="V656" s="657"/>
      <c r="W656" s="487"/>
    </row>
    <row r="657" spans="2:23" s="67" customFormat="1" ht="15" x14ac:dyDescent="0.25">
      <c r="B657" s="487"/>
      <c r="C657" s="657"/>
      <c r="D657" s="927" t="s">
        <v>81</v>
      </c>
      <c r="E657" s="928"/>
      <c r="F657" s="929"/>
      <c r="G657" s="930">
        <v>133.57</v>
      </c>
      <c r="H657" s="930"/>
      <c r="I657" s="930">
        <v>1125.97</v>
      </c>
      <c r="J657" s="930"/>
      <c r="K657" s="931">
        <v>0.1186</v>
      </c>
      <c r="L657" s="931"/>
      <c r="M657" s="931">
        <v>0.10100000000000001</v>
      </c>
      <c r="N657" s="931"/>
      <c r="O657" s="931">
        <v>0.13880000000000001</v>
      </c>
      <c r="P657" s="931"/>
      <c r="Q657" s="918" t="str">
        <f t="shared" si="22"/>
        <v>No difference</v>
      </c>
      <c r="R657" s="919"/>
      <c r="S657" s="919"/>
      <c r="T657" s="920"/>
      <c r="U657" s="657"/>
      <c r="V657" s="657"/>
      <c r="W657" s="487"/>
    </row>
    <row r="658" spans="2:23" s="67" customFormat="1" ht="15" x14ac:dyDescent="0.25">
      <c r="B658" s="487"/>
      <c r="C658" s="657"/>
      <c r="D658" s="160" t="s">
        <v>110</v>
      </c>
      <c r="E658" s="161"/>
      <c r="F658" s="162"/>
      <c r="G658" s="932">
        <v>763</v>
      </c>
      <c r="H658" s="932"/>
      <c r="I658" s="932">
        <v>8598</v>
      </c>
      <c r="J658" s="932"/>
      <c r="K658" s="933">
        <v>8.8700000000000001E-2</v>
      </c>
      <c r="L658" s="933"/>
      <c r="M658" s="933">
        <v>8.2900000000000001E-2</v>
      </c>
      <c r="N658" s="933"/>
      <c r="O658" s="933">
        <v>9.4899999999999998E-2</v>
      </c>
      <c r="P658" s="933"/>
      <c r="Q658" s="918" t="str">
        <f t="shared" si="22"/>
        <v>Lower than England</v>
      </c>
      <c r="R658" s="919"/>
      <c r="S658" s="919"/>
      <c r="T658" s="920"/>
      <c r="U658" s="657"/>
      <c r="V658" s="657"/>
      <c r="W658" s="487"/>
    </row>
    <row r="659" spans="2:23" s="67" customFormat="1" ht="15" x14ac:dyDescent="0.25">
      <c r="B659" s="487"/>
      <c r="C659" s="449"/>
      <c r="D659" s="654" t="s">
        <v>111</v>
      </c>
      <c r="E659" s="655"/>
      <c r="F659" s="656"/>
      <c r="G659" s="916">
        <v>9450.0400000000009</v>
      </c>
      <c r="H659" s="916"/>
      <c r="I659" s="916">
        <v>97451.98</v>
      </c>
      <c r="J659" s="916"/>
      <c r="K659" s="917">
        <v>9.7000000000000003E-2</v>
      </c>
      <c r="L659" s="917"/>
      <c r="M659" s="917">
        <v>9.5100000000000004E-2</v>
      </c>
      <c r="N659" s="917"/>
      <c r="O659" s="917">
        <v>9.8799999999999999E-2</v>
      </c>
      <c r="P659" s="917"/>
      <c r="Q659" s="918" t="str">
        <f t="shared" si="22"/>
        <v>Lower than England</v>
      </c>
      <c r="R659" s="919"/>
      <c r="S659" s="919"/>
      <c r="T659" s="920"/>
      <c r="U659" s="449"/>
      <c r="V659" s="449"/>
      <c r="W659" s="487"/>
    </row>
    <row r="660" spans="2:23" s="67" customFormat="1" ht="15" x14ac:dyDescent="0.25">
      <c r="B660" s="487"/>
      <c r="C660" s="449"/>
      <c r="D660" s="921" t="s">
        <v>112</v>
      </c>
      <c r="E660" s="922"/>
      <c r="F660" s="923"/>
      <c r="G660" s="916">
        <v>67195</v>
      </c>
      <c r="H660" s="916"/>
      <c r="I660" s="916">
        <v>631225</v>
      </c>
      <c r="J660" s="916"/>
      <c r="K660" s="917">
        <v>0.1065</v>
      </c>
      <c r="L660" s="917"/>
      <c r="M660" s="917">
        <v>0.1057</v>
      </c>
      <c r="N660" s="917"/>
      <c r="O660" s="917">
        <v>0.1072</v>
      </c>
      <c r="P660" s="917"/>
      <c r="Q660" s="924" t="s">
        <v>286</v>
      </c>
      <c r="R660" s="925"/>
      <c r="S660" s="925"/>
      <c r="T660" s="926"/>
      <c r="U660" s="449"/>
      <c r="V660" s="449"/>
      <c r="W660" s="487"/>
    </row>
    <row r="661" spans="2:23" s="67" customFormat="1" ht="15" x14ac:dyDescent="0.25">
      <c r="B661" s="487"/>
      <c r="C661" s="657"/>
      <c r="D661" s="455"/>
      <c r="E661" s="455"/>
      <c r="F661" s="455"/>
      <c r="G661" s="256"/>
      <c r="H661" s="256"/>
      <c r="I661" s="256"/>
      <c r="J661" s="256"/>
      <c r="K661" s="250"/>
      <c r="L661" s="250"/>
      <c r="M661" s="250"/>
      <c r="N661" s="250"/>
      <c r="O661" s="250"/>
      <c r="P661" s="250"/>
      <c r="Q661" s="658"/>
      <c r="R661" s="658"/>
      <c r="S661" s="658"/>
      <c r="T661" s="658"/>
      <c r="U661" s="657"/>
      <c r="V661" s="657"/>
      <c r="W661" s="487"/>
    </row>
    <row r="662" spans="2:23" s="67" customFormat="1" ht="44.25" customHeight="1" x14ac:dyDescent="0.25">
      <c r="B662" s="487"/>
      <c r="C662" s="915" t="s">
        <v>1111</v>
      </c>
      <c r="D662" s="915"/>
      <c r="E662" s="915"/>
      <c r="F662" s="915"/>
      <c r="G662" s="915"/>
      <c r="H662" s="915"/>
      <c r="I662" s="915"/>
      <c r="J662" s="915"/>
      <c r="K662" s="915"/>
      <c r="L662" s="915"/>
      <c r="M662" s="915"/>
      <c r="N662" s="915"/>
      <c r="O662" s="915"/>
      <c r="P662" s="915"/>
      <c r="Q662" s="915"/>
      <c r="R662" s="915"/>
      <c r="S662" s="915"/>
      <c r="T662" s="915"/>
      <c r="U662" s="915"/>
      <c r="V662" s="657"/>
      <c r="W662" s="487"/>
    </row>
    <row r="663" spans="2:23" s="67" customFormat="1" ht="15" x14ac:dyDescent="0.25">
      <c r="B663" s="487"/>
      <c r="C663" s="657"/>
      <c r="D663" s="455"/>
      <c r="E663" s="455"/>
      <c r="F663" s="455"/>
      <c r="G663" s="256"/>
      <c r="H663" s="256"/>
      <c r="I663" s="256"/>
      <c r="J663" s="256"/>
      <c r="K663" s="250"/>
      <c r="L663" s="250"/>
      <c r="M663" s="250"/>
      <c r="N663" s="250"/>
      <c r="O663" s="250"/>
      <c r="P663" s="250"/>
      <c r="Q663" s="658"/>
      <c r="R663" s="658"/>
      <c r="S663" s="658"/>
      <c r="T663" s="658"/>
      <c r="U663" s="657"/>
      <c r="V663" s="657"/>
      <c r="W663" s="487"/>
    </row>
    <row r="664" spans="2:23" s="67" customFormat="1" ht="15" x14ac:dyDescent="0.25">
      <c r="B664" s="487"/>
      <c r="C664" s="657"/>
      <c r="D664" s="455"/>
      <c r="E664" s="455"/>
      <c r="F664" s="455"/>
      <c r="G664" s="256"/>
      <c r="H664" s="256"/>
      <c r="I664" s="256"/>
      <c r="J664" s="256"/>
      <c r="K664" s="250"/>
      <c r="L664" s="250"/>
      <c r="M664" s="250"/>
      <c r="N664" s="250"/>
      <c r="O664" s="250"/>
      <c r="P664" s="250"/>
      <c r="Q664" s="658"/>
      <c r="R664" s="658"/>
      <c r="S664" s="658"/>
      <c r="T664" s="658"/>
      <c r="U664" s="657"/>
      <c r="V664" s="657"/>
      <c r="W664" s="487"/>
    </row>
    <row r="665" spans="2:23" s="67" customFormat="1" ht="15" x14ac:dyDescent="0.25">
      <c r="B665" s="487"/>
      <c r="C665" s="657"/>
      <c r="D665" s="455"/>
      <c r="E665" s="455"/>
      <c r="F665" s="455"/>
      <c r="G665" s="256"/>
      <c r="H665" s="256"/>
      <c r="I665" s="256"/>
      <c r="J665" s="256"/>
      <c r="K665" s="250"/>
      <c r="L665" s="250"/>
      <c r="M665" s="250"/>
      <c r="N665" s="250"/>
      <c r="O665" s="250"/>
      <c r="P665" s="250"/>
      <c r="Q665" s="658"/>
      <c r="R665" s="658"/>
      <c r="S665" s="658"/>
      <c r="T665" s="658"/>
      <c r="U665" s="657"/>
      <c r="V665" s="657"/>
      <c r="W665" s="487"/>
    </row>
    <row r="666" spans="2:23" s="67" customFormat="1" ht="15" x14ac:dyDescent="0.25">
      <c r="B666" s="487"/>
      <c r="C666" s="657"/>
      <c r="D666" s="455"/>
      <c r="E666" s="455"/>
      <c r="F666" s="455"/>
      <c r="G666" s="256"/>
      <c r="H666" s="256"/>
      <c r="I666" s="256"/>
      <c r="J666" s="256"/>
      <c r="K666" s="250"/>
      <c r="L666" s="250"/>
      <c r="M666" s="250"/>
      <c r="N666" s="250"/>
      <c r="O666" s="250"/>
      <c r="P666" s="250"/>
      <c r="Q666" s="658"/>
      <c r="R666" s="658"/>
      <c r="S666" s="658"/>
      <c r="T666" s="658"/>
      <c r="U666" s="657"/>
      <c r="V666" s="657"/>
      <c r="W666" s="487"/>
    </row>
    <row r="667" spans="2:23" s="67" customFormat="1" ht="15" x14ac:dyDescent="0.25">
      <c r="B667" s="487"/>
      <c r="C667" s="657"/>
      <c r="D667" s="455"/>
      <c r="E667" s="455"/>
      <c r="F667" s="455"/>
      <c r="G667" s="256"/>
      <c r="H667" s="256"/>
      <c r="I667" s="256"/>
      <c r="J667" s="256"/>
      <c r="K667" s="250"/>
      <c r="L667" s="250"/>
      <c r="M667" s="250"/>
      <c r="N667" s="250"/>
      <c r="O667" s="250"/>
      <c r="P667" s="250"/>
      <c r="Q667" s="658"/>
      <c r="R667" s="658"/>
      <c r="S667" s="658"/>
      <c r="T667" s="658"/>
      <c r="U667" s="657"/>
      <c r="V667" s="657"/>
      <c r="W667" s="487"/>
    </row>
    <row r="668" spans="2:23" s="67" customFormat="1" ht="15" x14ac:dyDescent="0.25">
      <c r="B668" s="487"/>
      <c r="C668" s="657"/>
      <c r="D668" s="455"/>
      <c r="E668" s="455"/>
      <c r="F668" s="455"/>
      <c r="G668" s="256"/>
      <c r="H668" s="256"/>
      <c r="I668" s="256"/>
      <c r="J668" s="256"/>
      <c r="K668" s="250"/>
      <c r="L668" s="250"/>
      <c r="M668" s="250"/>
      <c r="N668" s="250"/>
      <c r="O668" s="250"/>
      <c r="P668" s="250"/>
      <c r="Q668" s="658"/>
      <c r="R668" s="658"/>
      <c r="S668" s="658"/>
      <c r="T668" s="658"/>
      <c r="U668" s="657"/>
      <c r="V668" s="657"/>
      <c r="W668" s="487"/>
    </row>
    <row r="669" spans="2:23" s="67" customFormat="1" ht="15" x14ac:dyDescent="0.25">
      <c r="B669" s="487"/>
      <c r="C669" s="657"/>
      <c r="D669" s="455"/>
      <c r="E669" s="455"/>
      <c r="F669" s="455"/>
      <c r="G669" s="256"/>
      <c r="H669" s="256"/>
      <c r="I669" s="256"/>
      <c r="J669" s="256"/>
      <c r="K669" s="250"/>
      <c r="L669" s="250"/>
      <c r="M669" s="250"/>
      <c r="N669" s="250"/>
      <c r="O669" s="250"/>
      <c r="P669" s="250"/>
      <c r="Q669" s="658"/>
      <c r="R669" s="658"/>
      <c r="S669" s="658"/>
      <c r="T669" s="658"/>
      <c r="U669" s="657"/>
      <c r="V669" s="657"/>
      <c r="W669" s="487"/>
    </row>
    <row r="670" spans="2:23" s="67" customFormat="1" ht="15" x14ac:dyDescent="0.25">
      <c r="B670" s="487"/>
      <c r="C670" s="657"/>
      <c r="D670" s="455"/>
      <c r="E670" s="455"/>
      <c r="F670" s="455"/>
      <c r="G670" s="256"/>
      <c r="H670" s="256"/>
      <c r="I670" s="256"/>
      <c r="J670" s="256"/>
      <c r="K670" s="250"/>
      <c r="L670" s="250"/>
      <c r="M670" s="250"/>
      <c r="N670" s="250"/>
      <c r="O670" s="250"/>
      <c r="P670" s="250"/>
      <c r="Q670" s="658"/>
      <c r="R670" s="658"/>
      <c r="S670" s="658"/>
      <c r="T670" s="658"/>
      <c r="U670" s="657"/>
      <c r="V670" s="657"/>
      <c r="W670" s="487"/>
    </row>
    <row r="671" spans="2:23" s="67" customFormat="1" ht="15" x14ac:dyDescent="0.25">
      <c r="B671" s="487"/>
      <c r="C671" s="657"/>
      <c r="D671" s="455"/>
      <c r="E671" s="455"/>
      <c r="F671" s="455"/>
      <c r="G671" s="256"/>
      <c r="H671" s="256"/>
      <c r="I671" s="256"/>
      <c r="J671" s="256"/>
      <c r="K671" s="250"/>
      <c r="L671" s="250"/>
      <c r="M671" s="250"/>
      <c r="N671" s="250"/>
      <c r="O671" s="250"/>
      <c r="P671" s="250"/>
      <c r="Q671" s="658"/>
      <c r="R671" s="658"/>
      <c r="S671" s="658"/>
      <c r="T671" s="658"/>
      <c r="U671" s="657"/>
      <c r="V671" s="657"/>
      <c r="W671" s="487"/>
    </row>
    <row r="672" spans="2:23" s="67" customFormat="1" ht="15" x14ac:dyDescent="0.25">
      <c r="B672" s="487"/>
      <c r="C672" s="657"/>
      <c r="D672" s="455"/>
      <c r="E672" s="455"/>
      <c r="F672" s="455"/>
      <c r="G672" s="256"/>
      <c r="H672" s="256"/>
      <c r="I672" s="256"/>
      <c r="J672" s="256"/>
      <c r="K672" s="250"/>
      <c r="L672" s="250"/>
      <c r="M672" s="250"/>
      <c r="N672" s="250"/>
      <c r="O672" s="250"/>
      <c r="P672" s="250"/>
      <c r="Q672" s="658"/>
      <c r="R672" s="658"/>
      <c r="S672" s="658"/>
      <c r="T672" s="658"/>
      <c r="U672" s="657"/>
      <c r="V672" s="657"/>
      <c r="W672" s="487"/>
    </row>
    <row r="673" spans="2:23" s="67" customFormat="1" ht="15" x14ac:dyDescent="0.25">
      <c r="B673" s="487"/>
      <c r="C673" s="657"/>
      <c r="D673" s="455"/>
      <c r="E673" s="455"/>
      <c r="F673" s="455"/>
      <c r="G673" s="256"/>
      <c r="H673" s="256"/>
      <c r="I673" s="256"/>
      <c r="J673" s="256"/>
      <c r="K673" s="250"/>
      <c r="L673" s="250"/>
      <c r="M673" s="250"/>
      <c r="N673" s="250"/>
      <c r="O673" s="250"/>
      <c r="P673" s="250"/>
      <c r="Q673" s="658"/>
      <c r="R673" s="658"/>
      <c r="S673" s="658"/>
      <c r="T673" s="658"/>
      <c r="U673" s="657"/>
      <c r="V673" s="657"/>
      <c r="W673" s="487"/>
    </row>
    <row r="674" spans="2:23" s="67" customFormat="1" ht="15" x14ac:dyDescent="0.25">
      <c r="B674" s="487"/>
      <c r="C674" s="657"/>
      <c r="D674" s="455"/>
      <c r="E674" s="455"/>
      <c r="F674" s="455"/>
      <c r="G674" s="256"/>
      <c r="H674" s="256"/>
      <c r="I674" s="256"/>
      <c r="J674" s="256"/>
      <c r="K674" s="250"/>
      <c r="L674" s="250"/>
      <c r="M674" s="250"/>
      <c r="N674" s="250"/>
      <c r="O674" s="250"/>
      <c r="P674" s="250"/>
      <c r="Q674" s="658"/>
      <c r="R674" s="658"/>
      <c r="S674" s="658"/>
      <c r="T674" s="658"/>
      <c r="U674" s="657"/>
      <c r="V674" s="657"/>
      <c r="W674" s="487"/>
    </row>
    <row r="675" spans="2:23" s="67" customFormat="1" ht="15" x14ac:dyDescent="0.25">
      <c r="B675" s="487"/>
      <c r="C675" s="657"/>
      <c r="D675" s="455"/>
      <c r="E675" s="455"/>
      <c r="F675" s="455"/>
      <c r="G675" s="256"/>
      <c r="H675" s="256"/>
      <c r="I675" s="256"/>
      <c r="J675" s="256"/>
      <c r="K675" s="250"/>
      <c r="L675" s="250"/>
      <c r="M675" s="250"/>
      <c r="N675" s="250"/>
      <c r="O675" s="250"/>
      <c r="P675" s="250"/>
      <c r="Q675" s="658"/>
      <c r="R675" s="658"/>
      <c r="S675" s="658"/>
      <c r="T675" s="658"/>
      <c r="U675" s="657"/>
      <c r="V675" s="657"/>
      <c r="W675" s="487"/>
    </row>
    <row r="676" spans="2:23" s="67" customFormat="1" ht="15" x14ac:dyDescent="0.25">
      <c r="B676" s="487"/>
      <c r="C676" s="657"/>
      <c r="D676" s="455"/>
      <c r="E676" s="455"/>
      <c r="F676" s="455"/>
      <c r="G676" s="256"/>
      <c r="H676" s="256"/>
      <c r="I676" s="256"/>
      <c r="J676" s="256"/>
      <c r="K676" s="677"/>
      <c r="L676" s="677"/>
      <c r="M676" s="677"/>
      <c r="N676" s="677"/>
      <c r="O676" s="677"/>
      <c r="P676" s="677"/>
      <c r="Q676" s="658"/>
      <c r="R676" s="658"/>
      <c r="S676" s="658"/>
      <c r="T676" s="658"/>
      <c r="U676" s="657"/>
      <c r="V676" s="657"/>
      <c r="W676" s="487"/>
    </row>
    <row r="677" spans="2:23" s="67" customFormat="1" ht="15" x14ac:dyDescent="0.25">
      <c r="B677" s="487"/>
      <c r="C677" s="657"/>
      <c r="D677" s="455"/>
      <c r="E677" s="455"/>
      <c r="F677" s="455"/>
      <c r="G677" s="256"/>
      <c r="H677" s="256"/>
      <c r="I677" s="256"/>
      <c r="J677" s="256"/>
      <c r="K677" s="677"/>
      <c r="L677" s="677"/>
      <c r="M677" s="677"/>
      <c r="N677" s="677"/>
      <c r="O677" s="677"/>
      <c r="P677" s="677"/>
      <c r="Q677" s="658"/>
      <c r="R677" s="658"/>
      <c r="S677" s="658"/>
      <c r="T677" s="658"/>
      <c r="U677" s="657"/>
      <c r="V677" s="657"/>
      <c r="W677" s="487"/>
    </row>
    <row r="678" spans="2:23" ht="15" x14ac:dyDescent="0.25">
      <c r="B678" s="487"/>
      <c r="C678" s="487"/>
      <c r="D678" s="487"/>
      <c r="E678" s="487"/>
      <c r="F678" s="487"/>
      <c r="G678" s="487"/>
      <c r="H678" s="487"/>
      <c r="I678" s="487"/>
      <c r="J678" s="487"/>
      <c r="K678" s="487"/>
      <c r="L678" s="487"/>
      <c r="M678" s="487"/>
      <c r="N678" s="487"/>
      <c r="O678" s="487"/>
      <c r="P678" s="487"/>
      <c r="Q678" s="487"/>
      <c r="R678" s="487"/>
      <c r="S678" s="487"/>
      <c r="T678" s="487"/>
      <c r="U678" s="487"/>
      <c r="V678" s="487"/>
      <c r="W678" s="487"/>
    </row>
    <row r="679" spans="2:23" ht="15" x14ac:dyDescent="0.25">
      <c r="B679" s="487"/>
      <c r="C679" s="487"/>
      <c r="D679" s="487"/>
      <c r="E679" s="487"/>
      <c r="F679" s="487"/>
      <c r="G679" s="487"/>
      <c r="H679" s="487"/>
      <c r="I679" s="487"/>
      <c r="J679" s="487"/>
      <c r="K679" s="487"/>
      <c r="L679" s="487"/>
      <c r="M679" s="487"/>
      <c r="N679" s="487"/>
      <c r="O679" s="487"/>
      <c r="P679" s="487"/>
      <c r="Q679" s="487"/>
      <c r="R679" s="487"/>
      <c r="S679" s="487"/>
      <c r="T679" s="487"/>
      <c r="U679" s="487"/>
      <c r="V679" s="487"/>
      <c r="W679" s="487"/>
    </row>
    <row r="680" spans="2:23" ht="15" x14ac:dyDescent="0.25">
      <c r="B680" s="487"/>
      <c r="C680" s="487"/>
      <c r="D680" s="487"/>
      <c r="E680" s="487"/>
      <c r="F680" s="487"/>
      <c r="G680" s="487"/>
      <c r="H680" s="487"/>
      <c r="I680" s="487"/>
      <c r="J680" s="487"/>
      <c r="K680" s="487"/>
      <c r="L680" s="487"/>
      <c r="M680" s="487"/>
      <c r="N680" s="487"/>
      <c r="O680" s="487"/>
      <c r="P680" s="487"/>
      <c r="Q680" s="487"/>
      <c r="R680" s="487"/>
      <c r="S680" s="487"/>
      <c r="T680" s="487"/>
      <c r="U680" s="487"/>
      <c r="V680" s="487"/>
      <c r="W680" s="487"/>
    </row>
    <row r="681" spans="2:23" ht="15" x14ac:dyDescent="0.25">
      <c r="B681" s="487"/>
      <c r="C681" s="137"/>
      <c r="D681" s="137"/>
      <c r="E681" s="137"/>
      <c r="F681" s="137"/>
      <c r="G681" s="137"/>
      <c r="H681" s="137"/>
      <c r="I681" s="137"/>
      <c r="J681" s="137"/>
      <c r="K681" s="137"/>
      <c r="L681" s="137"/>
      <c r="M681" s="137"/>
      <c r="N681" s="137"/>
      <c r="O681" s="137"/>
      <c r="P681" s="137"/>
      <c r="Q681" s="137"/>
      <c r="R681" s="137"/>
      <c r="S681" s="137"/>
      <c r="T681" s="137"/>
      <c r="U681" s="137"/>
      <c r="V681" s="137"/>
      <c r="W681" s="487"/>
    </row>
    <row r="682" spans="2:23" ht="15" x14ac:dyDescent="0.25">
      <c r="B682" s="487"/>
      <c r="C682" s="137"/>
      <c r="D682" s="137"/>
      <c r="E682" s="137"/>
      <c r="F682" s="137"/>
      <c r="G682" s="137"/>
      <c r="H682" s="137"/>
      <c r="I682" s="137"/>
      <c r="J682" s="137"/>
      <c r="K682" s="137"/>
      <c r="L682" s="137"/>
      <c r="M682" s="137"/>
      <c r="N682" s="137"/>
      <c r="O682" s="137"/>
      <c r="P682" s="137"/>
      <c r="Q682" s="137"/>
      <c r="R682" s="137"/>
      <c r="S682" s="137"/>
      <c r="T682" s="137"/>
      <c r="U682" s="137"/>
      <c r="V682" s="137"/>
      <c r="W682" s="487"/>
    </row>
    <row r="683" spans="2:23" ht="15" x14ac:dyDescent="0.25">
      <c r="B683" s="487"/>
      <c r="C683" s="137"/>
      <c r="D683" s="137"/>
      <c r="E683" s="137"/>
      <c r="F683" s="137"/>
      <c r="G683" s="137"/>
      <c r="H683" s="137"/>
      <c r="I683" s="137"/>
      <c r="J683" s="137"/>
      <c r="K683" s="137"/>
      <c r="L683" s="137"/>
      <c r="M683" s="137"/>
      <c r="N683" s="137"/>
      <c r="O683" s="137"/>
      <c r="P683" s="137"/>
      <c r="Q683" s="137"/>
      <c r="R683" s="137"/>
      <c r="S683" s="137"/>
      <c r="T683" s="137"/>
      <c r="U683" s="137"/>
      <c r="V683" s="137"/>
      <c r="W683" s="487"/>
    </row>
    <row r="684" spans="2:23" ht="15" x14ac:dyDescent="0.25">
      <c r="B684" s="487"/>
      <c r="C684" s="137"/>
      <c r="D684" s="137"/>
      <c r="E684" s="137"/>
      <c r="F684" s="137"/>
      <c r="G684" s="137"/>
      <c r="H684" s="137"/>
      <c r="I684" s="137"/>
      <c r="J684" s="137"/>
      <c r="K684" s="137"/>
      <c r="L684" s="137"/>
      <c r="M684" s="137"/>
      <c r="N684" s="137"/>
      <c r="O684" s="137"/>
      <c r="P684" s="137"/>
      <c r="Q684" s="137"/>
      <c r="R684" s="137"/>
      <c r="S684" s="137"/>
      <c r="T684" s="137"/>
      <c r="U684" s="137"/>
      <c r="V684" s="137"/>
      <c r="W684" s="487"/>
    </row>
    <row r="685" spans="2:23" ht="15" x14ac:dyDescent="0.25">
      <c r="B685" s="487"/>
      <c r="C685" s="137"/>
      <c r="D685" s="137"/>
      <c r="E685" s="137"/>
      <c r="F685" s="137"/>
      <c r="G685" s="137"/>
      <c r="H685" s="137"/>
      <c r="I685" s="137"/>
      <c r="J685" s="137"/>
      <c r="K685" s="137"/>
      <c r="L685" s="137"/>
      <c r="M685" s="137"/>
      <c r="N685" s="137"/>
      <c r="O685" s="137"/>
      <c r="P685" s="137"/>
      <c r="Q685" s="137"/>
      <c r="R685" s="137"/>
      <c r="S685" s="137"/>
      <c r="T685" s="137"/>
      <c r="U685" s="137"/>
      <c r="V685" s="137"/>
      <c r="W685" s="487"/>
    </row>
    <row r="686" spans="2:23" ht="15" x14ac:dyDescent="0.25">
      <c r="B686" s="487"/>
      <c r="C686" s="137"/>
      <c r="D686" s="137"/>
      <c r="E686" s="137"/>
      <c r="F686" s="137"/>
      <c r="G686" s="137"/>
      <c r="H686" s="137"/>
      <c r="I686" s="137"/>
      <c r="J686" s="137"/>
      <c r="K686" s="137"/>
      <c r="L686" s="137"/>
      <c r="M686" s="137"/>
      <c r="N686" s="137"/>
      <c r="O686" s="137"/>
      <c r="P686" s="137"/>
      <c r="Q686" s="137"/>
      <c r="R686" s="137"/>
      <c r="S686" s="137"/>
      <c r="T686" s="137"/>
      <c r="U686" s="137"/>
      <c r="V686" s="137"/>
      <c r="W686" s="487"/>
    </row>
    <row r="687" spans="2:23" ht="15" x14ac:dyDescent="0.25">
      <c r="B687" s="487"/>
      <c r="C687" s="137"/>
      <c r="D687" s="137"/>
      <c r="E687" s="137"/>
      <c r="F687" s="137"/>
      <c r="G687" s="137"/>
      <c r="H687" s="137"/>
      <c r="I687" s="137"/>
      <c r="J687" s="137"/>
      <c r="K687" s="137"/>
      <c r="L687" s="137"/>
      <c r="M687" s="137"/>
      <c r="N687" s="137"/>
      <c r="O687" s="137"/>
      <c r="P687" s="137"/>
      <c r="Q687" s="137"/>
      <c r="R687" s="137"/>
      <c r="S687" s="137"/>
      <c r="T687" s="137"/>
      <c r="U687" s="137"/>
      <c r="V687" s="137"/>
      <c r="W687" s="487"/>
    </row>
    <row r="688" spans="2:23" ht="15" x14ac:dyDescent="0.25">
      <c r="B688" s="487"/>
      <c r="C688" s="137"/>
      <c r="D688" s="137"/>
      <c r="E688" s="137"/>
      <c r="F688" s="137"/>
      <c r="G688" s="137"/>
      <c r="H688" s="137"/>
      <c r="I688" s="137"/>
      <c r="J688" s="137"/>
      <c r="K688" s="137"/>
      <c r="L688" s="137"/>
      <c r="M688" s="137"/>
      <c r="N688" s="137"/>
      <c r="O688" s="137"/>
      <c r="P688" s="137"/>
      <c r="Q688" s="137"/>
      <c r="R688" s="137"/>
      <c r="S688" s="137"/>
      <c r="T688" s="137"/>
      <c r="U688" s="137"/>
      <c r="V688" s="137"/>
      <c r="W688" s="487"/>
    </row>
    <row r="689" spans="2:23" ht="15" x14ac:dyDescent="0.25">
      <c r="B689" s="487"/>
      <c r="C689" s="137"/>
      <c r="D689" s="137"/>
      <c r="E689" s="137"/>
      <c r="F689" s="137"/>
      <c r="G689" s="137"/>
      <c r="H689" s="137"/>
      <c r="I689" s="137"/>
      <c r="J689" s="137"/>
      <c r="K689" s="137"/>
      <c r="L689" s="137"/>
      <c r="M689" s="137"/>
      <c r="N689" s="137"/>
      <c r="O689" s="137"/>
      <c r="P689" s="137"/>
      <c r="Q689" s="137"/>
      <c r="R689" s="137"/>
      <c r="S689" s="137"/>
      <c r="T689" s="137"/>
      <c r="U689" s="137"/>
      <c r="V689" s="137"/>
      <c r="W689" s="487"/>
    </row>
    <row r="690" spans="2:23" ht="15" x14ac:dyDescent="0.25">
      <c r="B690" s="487"/>
      <c r="C690" s="137"/>
      <c r="D690" s="137"/>
      <c r="E690" s="137"/>
      <c r="F690" s="137"/>
      <c r="G690" s="137"/>
      <c r="H690" s="137"/>
      <c r="I690" s="137"/>
      <c r="J690" s="137"/>
      <c r="K690" s="137"/>
      <c r="L690" s="137"/>
      <c r="M690" s="137"/>
      <c r="N690" s="137"/>
      <c r="O690" s="137"/>
      <c r="P690" s="137"/>
      <c r="Q690" s="137"/>
      <c r="R690" s="137"/>
      <c r="S690" s="137"/>
      <c r="T690" s="137"/>
      <c r="U690" s="137"/>
      <c r="V690" s="137"/>
      <c r="W690" s="487"/>
    </row>
    <row r="691" spans="2:23" ht="15" x14ac:dyDescent="0.25">
      <c r="B691" s="487"/>
      <c r="C691" s="137"/>
      <c r="D691" s="137"/>
      <c r="E691" s="137"/>
      <c r="F691" s="137"/>
      <c r="G691" s="137"/>
      <c r="H691" s="137"/>
      <c r="I691" s="137"/>
      <c r="J691" s="137"/>
      <c r="K691" s="137"/>
      <c r="L691" s="137"/>
      <c r="M691" s="137"/>
      <c r="N691" s="137"/>
      <c r="O691" s="137"/>
      <c r="P691" s="137"/>
      <c r="Q691" s="137"/>
      <c r="R691" s="137"/>
      <c r="S691" s="137"/>
      <c r="T691" s="137"/>
      <c r="U691" s="137"/>
      <c r="V691" s="137"/>
      <c r="W691" s="487"/>
    </row>
    <row r="692" spans="2:23" ht="15" x14ac:dyDescent="0.25">
      <c r="B692" s="487"/>
      <c r="C692" s="137"/>
      <c r="D692" s="137"/>
      <c r="E692" s="137"/>
      <c r="F692" s="137"/>
      <c r="G692" s="137"/>
      <c r="H692" s="137"/>
      <c r="I692" s="137"/>
      <c r="J692" s="137"/>
      <c r="K692" s="137"/>
      <c r="L692" s="137"/>
      <c r="M692" s="137"/>
      <c r="N692" s="137"/>
      <c r="O692" s="137"/>
      <c r="P692" s="137"/>
      <c r="Q692" s="137"/>
      <c r="R692" s="137"/>
      <c r="S692" s="137"/>
      <c r="T692" s="137"/>
      <c r="U692" s="137"/>
      <c r="V692" s="137"/>
      <c r="W692" s="487"/>
    </row>
    <row r="693" spans="2:23" ht="15" x14ac:dyDescent="0.25">
      <c r="B693" s="487"/>
      <c r="C693" s="137"/>
      <c r="D693" s="137"/>
      <c r="E693" s="137"/>
      <c r="F693" s="137"/>
      <c r="G693" s="137"/>
      <c r="H693" s="137"/>
      <c r="I693" s="137"/>
      <c r="J693" s="137"/>
      <c r="K693" s="137"/>
      <c r="L693" s="137"/>
      <c r="M693" s="137"/>
      <c r="N693" s="137"/>
      <c r="O693" s="137"/>
      <c r="P693" s="137"/>
      <c r="Q693" s="137"/>
      <c r="R693" s="137"/>
      <c r="S693" s="137"/>
      <c r="T693" s="137"/>
      <c r="U693" s="137"/>
      <c r="V693" s="137"/>
      <c r="W693" s="487"/>
    </row>
    <row r="694" spans="2:23" ht="15" x14ac:dyDescent="0.25">
      <c r="B694" s="487"/>
      <c r="C694" s="137"/>
      <c r="D694" s="137"/>
      <c r="E694" s="137"/>
      <c r="F694" s="137"/>
      <c r="G694" s="137"/>
      <c r="H694" s="137"/>
      <c r="I694" s="137"/>
      <c r="J694" s="137"/>
      <c r="K694" s="137"/>
      <c r="L694" s="137"/>
      <c r="M694" s="137"/>
      <c r="N694" s="137"/>
      <c r="O694" s="137"/>
      <c r="P694" s="137"/>
      <c r="Q694" s="137"/>
      <c r="R694" s="137"/>
      <c r="S694" s="137"/>
      <c r="T694" s="137"/>
      <c r="U694" s="137"/>
      <c r="V694" s="137"/>
      <c r="W694" s="487"/>
    </row>
    <row r="695" spans="2:23" ht="15" x14ac:dyDescent="0.25">
      <c r="B695" s="487"/>
      <c r="C695" s="137"/>
      <c r="D695" s="137"/>
      <c r="E695" s="137"/>
      <c r="F695" s="137"/>
      <c r="G695" s="137"/>
      <c r="H695" s="137"/>
      <c r="I695" s="137"/>
      <c r="J695" s="137"/>
      <c r="K695" s="137"/>
      <c r="L695" s="137"/>
      <c r="M695" s="137"/>
      <c r="N695" s="137"/>
      <c r="O695" s="137"/>
      <c r="P695" s="137"/>
      <c r="Q695" s="137"/>
      <c r="R695" s="137"/>
      <c r="S695" s="137"/>
      <c r="T695" s="137"/>
      <c r="U695" s="137"/>
      <c r="V695" s="137"/>
      <c r="W695" s="487"/>
    </row>
    <row r="696" spans="2:23" ht="15" x14ac:dyDescent="0.25">
      <c r="B696" s="487"/>
      <c r="C696" s="137"/>
      <c r="D696" s="137"/>
      <c r="E696" s="137"/>
      <c r="F696" s="137"/>
      <c r="G696" s="137"/>
      <c r="H696" s="137"/>
      <c r="I696" s="137"/>
      <c r="J696" s="137"/>
      <c r="K696" s="137"/>
      <c r="L696" s="137"/>
      <c r="M696" s="137"/>
      <c r="N696" s="137"/>
      <c r="O696" s="137"/>
      <c r="P696" s="137"/>
      <c r="Q696" s="137"/>
      <c r="R696" s="137"/>
      <c r="S696" s="137"/>
      <c r="T696" s="137"/>
      <c r="U696" s="137"/>
      <c r="V696" s="137"/>
      <c r="W696" s="487"/>
    </row>
    <row r="697" spans="2:23" ht="15" x14ac:dyDescent="0.25">
      <c r="B697" s="487"/>
      <c r="C697" s="137"/>
      <c r="D697" s="137"/>
      <c r="E697" s="137"/>
      <c r="F697" s="137"/>
      <c r="G697" s="137"/>
      <c r="H697" s="137"/>
      <c r="I697" s="137"/>
      <c r="J697" s="137"/>
      <c r="K697" s="137"/>
      <c r="L697" s="137"/>
      <c r="M697" s="137"/>
      <c r="N697" s="137"/>
      <c r="O697" s="137"/>
      <c r="P697" s="137"/>
      <c r="Q697" s="137"/>
      <c r="R697" s="137"/>
      <c r="S697" s="137"/>
      <c r="T697" s="137"/>
      <c r="U697" s="137"/>
      <c r="V697" s="137"/>
      <c r="W697" s="487"/>
    </row>
    <row r="698" spans="2:23" ht="15" x14ac:dyDescent="0.25">
      <c r="B698" s="487"/>
      <c r="C698" s="137"/>
      <c r="D698" s="137"/>
      <c r="E698" s="137"/>
      <c r="F698" s="137"/>
      <c r="G698" s="137"/>
      <c r="H698" s="137"/>
      <c r="I698" s="137"/>
      <c r="J698" s="137"/>
      <c r="K698" s="137"/>
      <c r="L698" s="137"/>
      <c r="M698" s="137"/>
      <c r="N698" s="137"/>
      <c r="O698" s="137"/>
      <c r="P698" s="137"/>
      <c r="Q698" s="137"/>
      <c r="R698" s="137"/>
      <c r="S698" s="137"/>
      <c r="T698" s="137"/>
      <c r="U698" s="137"/>
      <c r="V698" s="137"/>
      <c r="W698" s="487"/>
    </row>
    <row r="699" spans="2:23" ht="15" x14ac:dyDescent="0.25">
      <c r="B699" s="487"/>
      <c r="C699" s="137"/>
      <c r="D699" s="137"/>
      <c r="E699" s="137"/>
      <c r="F699" s="137"/>
      <c r="G699" s="137"/>
      <c r="H699" s="137"/>
      <c r="I699" s="137"/>
      <c r="J699" s="137"/>
      <c r="K699" s="137"/>
      <c r="L699" s="137"/>
      <c r="M699" s="137"/>
      <c r="N699" s="137"/>
      <c r="O699" s="137"/>
      <c r="P699" s="137"/>
      <c r="Q699" s="137"/>
      <c r="R699" s="137"/>
      <c r="S699" s="137"/>
      <c r="T699" s="137"/>
      <c r="U699" s="137"/>
      <c r="V699" s="137"/>
      <c r="W699" s="487"/>
    </row>
    <row r="700" spans="2:23" ht="15" x14ac:dyDescent="0.25">
      <c r="B700" s="487"/>
      <c r="C700" s="137"/>
      <c r="D700" s="137"/>
      <c r="E700" s="137"/>
      <c r="F700" s="137"/>
      <c r="G700" s="137"/>
      <c r="H700" s="137"/>
      <c r="I700" s="137"/>
      <c r="J700" s="137"/>
      <c r="K700" s="137"/>
      <c r="L700" s="137"/>
      <c r="M700" s="137"/>
      <c r="N700" s="137"/>
      <c r="O700" s="137"/>
      <c r="P700" s="137"/>
      <c r="Q700" s="137"/>
      <c r="R700" s="137"/>
      <c r="S700" s="137"/>
      <c r="T700" s="137"/>
      <c r="U700" s="137"/>
      <c r="V700" s="137"/>
      <c r="W700" s="487"/>
    </row>
    <row r="701" spans="2:23" s="67" customFormat="1" ht="15" x14ac:dyDescent="0.25">
      <c r="B701" s="487"/>
      <c r="C701" s="137"/>
      <c r="D701" s="137"/>
      <c r="E701" s="137"/>
      <c r="F701" s="137"/>
      <c r="G701" s="137"/>
      <c r="H701" s="137"/>
      <c r="I701" s="137"/>
      <c r="J701" s="137"/>
      <c r="K701" s="137"/>
      <c r="L701" s="137"/>
      <c r="M701" s="137"/>
      <c r="N701" s="137"/>
      <c r="O701" s="137"/>
      <c r="P701" s="137"/>
      <c r="Q701" s="137"/>
      <c r="R701" s="137"/>
      <c r="S701" s="137"/>
      <c r="T701" s="137"/>
      <c r="U701" s="137"/>
      <c r="V701" s="137"/>
      <c r="W701" s="487"/>
    </row>
    <row r="702" spans="2:23" ht="15" x14ac:dyDescent="0.25">
      <c r="B702" s="487"/>
      <c r="C702" s="147" t="s">
        <v>918</v>
      </c>
      <c r="D702" s="137"/>
      <c r="E702" s="137"/>
      <c r="F702" s="137"/>
      <c r="G702" s="137"/>
      <c r="H702" s="137"/>
      <c r="I702" s="137"/>
      <c r="J702" s="137"/>
      <c r="K702" s="137"/>
      <c r="L702" s="137"/>
      <c r="M702" s="137"/>
      <c r="N702" s="137"/>
      <c r="O702" s="137"/>
      <c r="P702" s="137"/>
      <c r="Q702" s="137"/>
      <c r="R702" s="137"/>
      <c r="S702" s="137"/>
      <c r="T702" s="137"/>
      <c r="U702" s="137"/>
      <c r="V702" s="137"/>
      <c r="W702" s="487"/>
    </row>
    <row r="703" spans="2:23" ht="87" customHeight="1" x14ac:dyDescent="0.25">
      <c r="B703" s="487"/>
      <c r="C703" s="978" t="s">
        <v>1138</v>
      </c>
      <c r="D703" s="978"/>
      <c r="E703" s="978"/>
      <c r="F703" s="978"/>
      <c r="G703" s="978"/>
      <c r="H703" s="978"/>
      <c r="I703" s="978"/>
      <c r="J703" s="978"/>
      <c r="K703" s="978"/>
      <c r="L703" s="978"/>
      <c r="M703" s="978"/>
      <c r="N703" s="978"/>
      <c r="O703" s="978"/>
      <c r="P703" s="978"/>
      <c r="Q703" s="978"/>
      <c r="R703" s="978"/>
      <c r="S703" s="978"/>
      <c r="T703" s="978"/>
      <c r="U703" s="978"/>
      <c r="V703" s="137"/>
      <c r="W703" s="487"/>
    </row>
    <row r="704" spans="2:23" s="67" customFormat="1" ht="54.75" customHeight="1" x14ac:dyDescent="0.25">
      <c r="B704" s="487"/>
      <c r="C704" s="914" t="s">
        <v>1126</v>
      </c>
      <c r="D704" s="914"/>
      <c r="E704" s="914"/>
      <c r="F704" s="914"/>
      <c r="G704" s="914"/>
      <c r="H704" s="914"/>
      <c r="I704" s="914"/>
      <c r="J704" s="914"/>
      <c r="K704" s="914"/>
      <c r="L704" s="914"/>
      <c r="M704" s="914"/>
      <c r="N704" s="914"/>
      <c r="O704" s="914"/>
      <c r="P704" s="914"/>
      <c r="Q704" s="914"/>
      <c r="R704" s="914"/>
      <c r="S704" s="914"/>
      <c r="T704" s="914"/>
      <c r="U704" s="914"/>
      <c r="V704" s="388"/>
      <c r="W704" s="487"/>
    </row>
    <row r="705" spans="2:23" ht="15" x14ac:dyDescent="0.25">
      <c r="B705" s="487"/>
      <c r="C705" s="147" t="s">
        <v>572</v>
      </c>
      <c r="D705" s="137"/>
      <c r="E705" s="137"/>
      <c r="F705" s="137"/>
      <c r="G705" s="137"/>
      <c r="H705" s="137"/>
      <c r="I705" s="137"/>
      <c r="J705" s="137"/>
      <c r="K705" s="137"/>
      <c r="L705" s="137"/>
      <c r="M705" s="137"/>
      <c r="N705" s="137"/>
      <c r="O705" s="137"/>
      <c r="P705" s="137"/>
      <c r="Q705" s="137"/>
      <c r="R705" s="137"/>
      <c r="S705" s="137"/>
      <c r="T705" s="137"/>
      <c r="U705" s="137"/>
      <c r="V705" s="137"/>
      <c r="W705" s="487"/>
    </row>
    <row r="706" spans="2:23" ht="34.5" customHeight="1" x14ac:dyDescent="0.25">
      <c r="B706" s="487"/>
      <c r="C706" s="137"/>
      <c r="D706" s="159" t="s">
        <v>581</v>
      </c>
      <c r="E706" s="137"/>
      <c r="F706" s="137"/>
      <c r="G706" s="137"/>
      <c r="H706" s="1181" t="s">
        <v>587</v>
      </c>
      <c r="I706" s="1181"/>
      <c r="J706" s="1181"/>
      <c r="K706" s="1181"/>
      <c r="L706" s="1181"/>
      <c r="M706" s="1181"/>
      <c r="N706" s="1181"/>
      <c r="O706" s="1181"/>
      <c r="P706" s="1181"/>
      <c r="Q706" s="1181"/>
      <c r="R706" s="1181"/>
      <c r="S706" s="1181"/>
      <c r="T706" s="1181"/>
      <c r="U706" s="1181"/>
      <c r="V706" s="137"/>
      <c r="W706" s="487"/>
    </row>
    <row r="707" spans="2:23" ht="115.5" customHeight="1" x14ac:dyDescent="0.25">
      <c r="B707" s="487"/>
      <c r="C707" s="137"/>
      <c r="D707" s="159" t="s">
        <v>582</v>
      </c>
      <c r="E707" s="95"/>
      <c r="F707" s="95"/>
      <c r="G707" s="95"/>
      <c r="H707" s="1181" t="s">
        <v>1128</v>
      </c>
      <c r="I707" s="1181"/>
      <c r="J707" s="1181"/>
      <c r="K707" s="1181"/>
      <c r="L707" s="1181"/>
      <c r="M707" s="1181"/>
      <c r="N707" s="1181"/>
      <c r="O707" s="1181"/>
      <c r="P707" s="1181"/>
      <c r="Q707" s="1181"/>
      <c r="R707" s="1181"/>
      <c r="S707" s="1181"/>
      <c r="T707" s="1181"/>
      <c r="U707" s="1181"/>
      <c r="V707" s="137"/>
      <c r="W707" s="487"/>
    </row>
    <row r="708" spans="2:23" ht="13.5" customHeight="1" x14ac:dyDescent="0.25">
      <c r="B708" s="487"/>
      <c r="C708" s="137"/>
      <c r="D708" s="727" t="s">
        <v>583</v>
      </c>
      <c r="E708" s="726"/>
      <c r="F708" s="726"/>
      <c r="G708" s="726"/>
      <c r="H708" s="1182" t="s">
        <v>588</v>
      </c>
      <c r="I708" s="1182"/>
      <c r="J708" s="1182"/>
      <c r="K708" s="1182"/>
      <c r="L708" s="1182"/>
      <c r="M708" s="1182"/>
      <c r="N708" s="1182"/>
      <c r="O708" s="1182"/>
      <c r="P708" s="1182"/>
      <c r="Q708" s="1182"/>
      <c r="R708" s="1182"/>
      <c r="S708" s="1182"/>
      <c r="T708" s="1182"/>
      <c r="U708" s="1182"/>
      <c r="V708" s="137"/>
      <c r="W708" s="487"/>
    </row>
    <row r="709" spans="2:23" ht="38.25" customHeight="1" x14ac:dyDescent="0.25">
      <c r="B709" s="487"/>
      <c r="C709" s="137"/>
      <c r="D709" s="727" t="s">
        <v>584</v>
      </c>
      <c r="E709" s="726"/>
      <c r="F709" s="726"/>
      <c r="G709" s="726"/>
      <c r="H709" s="1182" t="s">
        <v>589</v>
      </c>
      <c r="I709" s="1182"/>
      <c r="J709" s="1182"/>
      <c r="K709" s="1182"/>
      <c r="L709" s="1182"/>
      <c r="M709" s="1182"/>
      <c r="N709" s="1182"/>
      <c r="O709" s="1182"/>
      <c r="P709" s="1182"/>
      <c r="Q709" s="1182"/>
      <c r="R709" s="1182"/>
      <c r="S709" s="1182"/>
      <c r="T709" s="1182"/>
      <c r="U709" s="1182"/>
      <c r="V709" s="137"/>
      <c r="W709" s="487"/>
    </row>
    <row r="710" spans="2:23" ht="15" x14ac:dyDescent="0.25">
      <c r="B710" s="487"/>
      <c r="C710" s="137"/>
      <c r="D710" s="158" t="s">
        <v>585</v>
      </c>
      <c r="E710" s="137"/>
      <c r="F710" s="137"/>
      <c r="G710" s="137"/>
      <c r="H710" s="1105" t="s">
        <v>590</v>
      </c>
      <c r="I710" s="1105"/>
      <c r="J710" s="1105"/>
      <c r="K710" s="1105"/>
      <c r="L710" s="1105"/>
      <c r="M710" s="1105"/>
      <c r="N710" s="1105"/>
      <c r="O710" s="1105"/>
      <c r="P710" s="1105"/>
      <c r="Q710" s="1105"/>
      <c r="R710" s="1105"/>
      <c r="S710" s="1105"/>
      <c r="T710" s="1105"/>
      <c r="U710" s="1105"/>
      <c r="V710" s="137"/>
      <c r="W710" s="487"/>
    </row>
    <row r="711" spans="2:23" ht="23.25" customHeight="1" x14ac:dyDescent="0.25">
      <c r="B711" s="487"/>
      <c r="C711" s="137"/>
      <c r="D711" s="158" t="s">
        <v>586</v>
      </c>
      <c r="E711" s="137"/>
      <c r="F711" s="137"/>
      <c r="G711" s="137"/>
      <c r="H711" s="1105" t="s">
        <v>591</v>
      </c>
      <c r="I711" s="1105"/>
      <c r="J711" s="1105"/>
      <c r="K711" s="1105"/>
      <c r="L711" s="1105"/>
      <c r="M711" s="1105"/>
      <c r="N711" s="1105"/>
      <c r="O711" s="1105"/>
      <c r="P711" s="1105"/>
      <c r="Q711" s="1105"/>
      <c r="R711" s="1105"/>
      <c r="S711" s="1105"/>
      <c r="T711" s="1105"/>
      <c r="U711" s="1105"/>
      <c r="V711" s="137"/>
      <c r="W711" s="487"/>
    </row>
    <row r="712" spans="2:23" ht="15" x14ac:dyDescent="0.25">
      <c r="B712" s="487"/>
      <c r="C712" s="137"/>
      <c r="D712" s="137"/>
      <c r="E712" s="137"/>
      <c r="F712" s="137"/>
      <c r="G712" s="137"/>
      <c r="H712" s="137"/>
      <c r="I712" s="137"/>
      <c r="J712" s="137"/>
      <c r="K712" s="137"/>
      <c r="L712" s="137"/>
      <c r="M712" s="137"/>
      <c r="N712" s="137"/>
      <c r="O712" s="137"/>
      <c r="P712" s="137"/>
      <c r="Q712" s="137"/>
      <c r="R712" s="137"/>
      <c r="S712" s="137"/>
      <c r="T712" s="137"/>
      <c r="U712" s="137"/>
      <c r="V712" s="137"/>
      <c r="W712" s="487"/>
    </row>
    <row r="713" spans="2:23" s="67" customFormat="1" ht="15" x14ac:dyDescent="0.25">
      <c r="B713" s="487"/>
      <c r="C713" s="1230" t="s">
        <v>1129</v>
      </c>
      <c r="D713" s="1230"/>
      <c r="E713" s="1230"/>
      <c r="F713" s="1230"/>
      <c r="G713" s="1230"/>
      <c r="H713" s="1230"/>
      <c r="I713" s="1230"/>
      <c r="J713" s="1230"/>
      <c r="K713" s="1230"/>
      <c r="L713" s="1230"/>
      <c r="M713" s="1230"/>
      <c r="N713" s="1230"/>
      <c r="O713" s="1230"/>
      <c r="P713" s="1230"/>
      <c r="Q713" s="1230"/>
      <c r="R713" s="1230"/>
      <c r="S713" s="1230"/>
      <c r="T713" s="1230"/>
      <c r="U713" s="1230"/>
      <c r="V713" s="1230"/>
      <c r="W713" s="487"/>
    </row>
    <row r="714" spans="2:23" s="67" customFormat="1" ht="15" x14ac:dyDescent="0.25">
      <c r="B714" s="487"/>
      <c r="C714" s="725"/>
      <c r="D714" s="725"/>
      <c r="E714" s="725"/>
      <c r="F714" s="725"/>
      <c r="G714" s="725"/>
      <c r="H714" s="725"/>
      <c r="I714" s="725"/>
      <c r="J714" s="725"/>
      <c r="K714" s="725"/>
      <c r="L714" s="725"/>
      <c r="M714" s="725"/>
      <c r="N714" s="725"/>
      <c r="O714" s="725"/>
      <c r="P714" s="725"/>
      <c r="Q714" s="725"/>
      <c r="R714" s="725"/>
      <c r="S714" s="725"/>
      <c r="T714" s="725"/>
      <c r="U714" s="725"/>
      <c r="V714" s="725"/>
      <c r="W714" s="487"/>
    </row>
    <row r="715" spans="2:23" ht="32.25" customHeight="1" x14ac:dyDescent="0.25">
      <c r="B715" s="489"/>
      <c r="C715" s="914" t="s">
        <v>936</v>
      </c>
      <c r="D715" s="914"/>
      <c r="E715" s="914"/>
      <c r="F715" s="914"/>
      <c r="G715" s="914"/>
      <c r="H715" s="914"/>
      <c r="I715" s="914"/>
      <c r="J715" s="914"/>
      <c r="K715" s="914"/>
      <c r="L715" s="914"/>
      <c r="M715" s="914"/>
      <c r="N715" s="914"/>
      <c r="O715" s="914"/>
      <c r="P715" s="914"/>
      <c r="Q715" s="914"/>
      <c r="R715" s="914"/>
      <c r="S715" s="914"/>
      <c r="T715" s="914"/>
      <c r="U715" s="914"/>
      <c r="V715" s="137"/>
      <c r="W715" s="487"/>
    </row>
    <row r="716" spans="2:23" ht="15" x14ac:dyDescent="0.25">
      <c r="B716" s="489"/>
      <c r="C716" s="137"/>
      <c r="D716" s="137"/>
      <c r="E716" s="137"/>
      <c r="F716" s="137"/>
      <c r="G716" s="137"/>
      <c r="H716" s="137"/>
      <c r="I716" s="137"/>
      <c r="J716" s="137"/>
      <c r="K716" s="137"/>
      <c r="L716" s="137"/>
      <c r="M716" s="137"/>
      <c r="N716" s="137"/>
      <c r="O716" s="137"/>
      <c r="P716" s="137"/>
      <c r="Q716" s="137"/>
      <c r="R716" s="137"/>
      <c r="S716" s="137"/>
      <c r="T716" s="137"/>
      <c r="U716" s="137"/>
      <c r="V716" s="137"/>
      <c r="W716" s="487"/>
    </row>
    <row r="717" spans="2:23" s="67" customFormat="1" ht="15" x14ac:dyDescent="0.25">
      <c r="B717" s="489"/>
      <c r="C717" s="137"/>
      <c r="D717" s="137"/>
      <c r="E717" s="137"/>
      <c r="F717" s="137"/>
      <c r="G717" s="137"/>
      <c r="H717" s="137"/>
      <c r="I717" s="137"/>
      <c r="J717" s="137"/>
      <c r="K717" s="137"/>
      <c r="L717" s="137"/>
      <c r="M717" s="137"/>
      <c r="N717" s="137"/>
      <c r="O717" s="137"/>
      <c r="P717" s="137"/>
      <c r="Q717" s="137"/>
      <c r="R717" s="137"/>
      <c r="S717" s="137"/>
      <c r="T717" s="137"/>
      <c r="U717" s="137"/>
      <c r="V717" s="137"/>
      <c r="W717" s="487"/>
    </row>
    <row r="718" spans="2:23" ht="15" x14ac:dyDescent="0.25">
      <c r="B718" s="489"/>
      <c r="C718" s="137"/>
      <c r="D718" s="137"/>
      <c r="E718" s="137"/>
      <c r="F718" s="137"/>
      <c r="G718" s="137"/>
      <c r="H718" s="137"/>
      <c r="I718" s="137"/>
      <c r="J718" s="137"/>
      <c r="K718" s="137"/>
      <c r="L718" s="137"/>
      <c r="M718" s="137"/>
      <c r="N718" s="137"/>
      <c r="O718" s="137"/>
      <c r="P718" s="137"/>
      <c r="Q718" s="137"/>
      <c r="R718" s="137"/>
      <c r="S718" s="137"/>
      <c r="T718" s="137"/>
      <c r="U718" s="137"/>
      <c r="V718" s="137"/>
      <c r="W718" s="487"/>
    </row>
    <row r="719" spans="2:23" s="67" customFormat="1" ht="15" x14ac:dyDescent="0.25">
      <c r="B719" s="489"/>
      <c r="C719" s="721"/>
      <c r="D719" s="721"/>
      <c r="E719" s="721"/>
      <c r="F719" s="721"/>
      <c r="G719" s="721"/>
      <c r="H719" s="721"/>
      <c r="I719" s="845" t="s">
        <v>503</v>
      </c>
      <c r="J719" s="845"/>
      <c r="K719" s="845"/>
      <c r="L719" s="845"/>
      <c r="M719" s="845"/>
      <c r="N719" s="845"/>
      <c r="O719" s="845" t="s">
        <v>1018</v>
      </c>
      <c r="P719" s="845"/>
      <c r="Q719" s="845"/>
      <c r="R719" s="845"/>
      <c r="S719" s="845"/>
      <c r="T719" s="845"/>
      <c r="U719" s="721"/>
      <c r="V719" s="721"/>
      <c r="W719" s="487"/>
    </row>
    <row r="720" spans="2:23" ht="15" customHeight="1" x14ac:dyDescent="0.25">
      <c r="B720" s="489"/>
      <c r="C720" s="137"/>
      <c r="D720" s="854"/>
      <c r="E720" s="855"/>
      <c r="F720" s="855"/>
      <c r="G720" s="855"/>
      <c r="H720" s="856"/>
      <c r="I720" s="880" t="str">
        <f>INDEX(Locations, selection)</f>
        <v>Angmering</v>
      </c>
      <c r="J720" s="880"/>
      <c r="K720" s="880"/>
      <c r="L720" s="1106" t="str">
        <f>INDEX(Locations, selection2)</f>
        <v>Bewbush</v>
      </c>
      <c r="M720" s="1107"/>
      <c r="N720" s="1108"/>
      <c r="O720" s="880" t="str">
        <f>INDEX(Locations, selection)</f>
        <v>Angmering</v>
      </c>
      <c r="P720" s="880"/>
      <c r="Q720" s="880"/>
      <c r="R720" s="1115" t="str">
        <f>INDEX(Locations, selection2)</f>
        <v>Bewbush</v>
      </c>
      <c r="S720" s="1115"/>
      <c r="T720" s="1115"/>
      <c r="U720" s="137"/>
      <c r="V720" s="137"/>
      <c r="W720" s="487"/>
    </row>
    <row r="721" spans="2:23" ht="15" x14ac:dyDescent="0.25">
      <c r="B721" s="489"/>
      <c r="C721" s="137"/>
      <c r="D721" s="857"/>
      <c r="E721" s="790"/>
      <c r="F721" s="790"/>
      <c r="G721" s="790"/>
      <c r="H721" s="858"/>
      <c r="I721" s="880"/>
      <c r="J721" s="880"/>
      <c r="K721" s="880"/>
      <c r="L721" s="1109"/>
      <c r="M721" s="852"/>
      <c r="N721" s="1110"/>
      <c r="O721" s="880"/>
      <c r="P721" s="880"/>
      <c r="Q721" s="880"/>
      <c r="R721" s="1115"/>
      <c r="S721" s="1115"/>
      <c r="T721" s="1115"/>
      <c r="U721" s="137"/>
      <c r="V721" s="137"/>
      <c r="W721" s="487"/>
    </row>
    <row r="722" spans="2:23" ht="15" x14ac:dyDescent="0.25">
      <c r="B722" s="489"/>
      <c r="C722" s="137"/>
      <c r="D722" s="859"/>
      <c r="E722" s="860"/>
      <c r="F722" s="860"/>
      <c r="G722" s="860"/>
      <c r="H722" s="861"/>
      <c r="I722" s="880"/>
      <c r="J722" s="880"/>
      <c r="K722" s="880"/>
      <c r="L722" s="1111"/>
      <c r="M722" s="1112"/>
      <c r="N722" s="1113"/>
      <c r="O722" s="880"/>
      <c r="P722" s="880"/>
      <c r="Q722" s="880"/>
      <c r="R722" s="1115"/>
      <c r="S722" s="1115"/>
      <c r="T722" s="1115"/>
      <c r="U722" s="137"/>
      <c r="V722" s="137"/>
      <c r="W722" s="487"/>
    </row>
    <row r="723" spans="2:23" s="67" customFormat="1" ht="15" x14ac:dyDescent="0.25">
      <c r="B723" s="489"/>
      <c r="C723" s="722" t="s">
        <v>878</v>
      </c>
      <c r="D723" s="790" t="s">
        <v>595</v>
      </c>
      <c r="E723" s="790"/>
      <c r="F723" s="790"/>
      <c r="G723" s="790"/>
      <c r="H723" s="790"/>
      <c r="I723" s="881">
        <f>IF(HLOOKUP(C723,Imms201415,selection+1,FALSE)="","n/a",(HLOOKUP(C723,Imms201415,selection+1,FALSE)))</f>
        <v>136</v>
      </c>
      <c r="J723" s="882"/>
      <c r="K723" s="882"/>
      <c r="L723" s="1114">
        <f>IF(HLOOKUP(C723,Imms201415,selection2+1,FALSE)="","n/a",(HLOOKUP(C723,Imms201415,selection2+1,FALSE)))</f>
        <v>222</v>
      </c>
      <c r="M723" s="882"/>
      <c r="N723" s="882"/>
      <c r="O723" s="847">
        <f>IF(HLOOKUP(C723,Imms201516,selection+1,FALSE)="","n/a",(HLOOKUP(C723,Imms201516,selection+1,FALSE)))</f>
        <v>147</v>
      </c>
      <c r="P723" s="847"/>
      <c r="Q723" s="847"/>
      <c r="R723" s="847">
        <f>IF(HLOOKUP(C723,Imms201516,selection2+1,FALSE)="","n/a",(HLOOKUP(C723,Imms201516,selection2+1,FALSE)))</f>
        <v>219</v>
      </c>
      <c r="S723" s="847"/>
      <c r="T723" s="847"/>
      <c r="U723" s="137"/>
      <c r="V723" s="137"/>
      <c r="W723" s="487"/>
    </row>
    <row r="724" spans="2:23" ht="15.75" customHeight="1" x14ac:dyDescent="0.25">
      <c r="B724" s="489"/>
      <c r="C724" s="722" t="s">
        <v>882</v>
      </c>
      <c r="D724" s="865" t="s">
        <v>921</v>
      </c>
      <c r="E724" s="866"/>
      <c r="F724" s="867"/>
      <c r="G724" s="874" t="s">
        <v>592</v>
      </c>
      <c r="H724" s="875"/>
      <c r="I724" s="891">
        <f>IF(HLOOKUP(C724,Imms201415,selection+1,FALSE)="","n/a",(HLOOKUP(C724,Imms201415,selection+1,FALSE)))</f>
        <v>130</v>
      </c>
      <c r="J724" s="892"/>
      <c r="K724" s="893"/>
      <c r="L724" s="891">
        <f>IF(HLOOKUP(C724,Imms201415,selection2+1,FALSE)="","n/a",(HLOOKUP(C724,Imms201415,selection2+1,FALSE)))</f>
        <v>211</v>
      </c>
      <c r="M724" s="892"/>
      <c r="N724" s="892"/>
      <c r="O724" s="883">
        <f>IF(HLOOKUP(C724,Imms201516,selection+1,FALSE)="","n/a",(HLOOKUP(C724,Imms201516,selection+1,FALSE)))</f>
        <v>139</v>
      </c>
      <c r="P724" s="883"/>
      <c r="Q724" s="883"/>
      <c r="R724" s="883">
        <f>IF(HLOOKUP(C724,Imms201516,selection2+1,FALSE)="","n/a",(HLOOKUP(C724,Imms201516,selection2+1,FALSE)))</f>
        <v>212</v>
      </c>
      <c r="S724" s="883"/>
      <c r="T724" s="883"/>
      <c r="U724" s="137"/>
      <c r="V724" s="137"/>
      <c r="W724" s="487"/>
    </row>
    <row r="725" spans="2:23" ht="15" x14ac:dyDescent="0.25">
      <c r="B725" s="489"/>
      <c r="C725" s="722" t="s">
        <v>879</v>
      </c>
      <c r="D725" s="868"/>
      <c r="E725" s="869"/>
      <c r="F725" s="870"/>
      <c r="G725" s="878" t="s">
        <v>593</v>
      </c>
      <c r="H725" s="879"/>
      <c r="I725" s="894">
        <f>IF(I724="*", "*",I724/I723)</f>
        <v>0.95588235294117652</v>
      </c>
      <c r="J725" s="895"/>
      <c r="K725" s="896"/>
      <c r="L725" s="894">
        <f>IF(L724="*", "*",L724/L723)</f>
        <v>0.9504504504504504</v>
      </c>
      <c r="M725" s="895"/>
      <c r="N725" s="895"/>
      <c r="O725" s="884">
        <f>IF(HLOOKUP(C725,Imms201516,selection+1,FALSE)="","n/a",(HLOOKUP(C725,Imms201516,selection+1,FALSE)))</f>
        <v>0.94557823129251706</v>
      </c>
      <c r="P725" s="884"/>
      <c r="Q725" s="884"/>
      <c r="R725" s="900">
        <f>IF(HLOOKUP(C725,Imms201516,selection2+1,FALSE)="","n/a",(HLOOKUP(C725,Imms201516,selection2+1,FALSE)))</f>
        <v>0.96803652968036524</v>
      </c>
      <c r="S725" s="900"/>
      <c r="T725" s="901"/>
      <c r="U725" s="137"/>
      <c r="V725" s="137"/>
      <c r="W725" s="487"/>
    </row>
    <row r="726" spans="2:23" ht="15" x14ac:dyDescent="0.25">
      <c r="B726" s="489"/>
      <c r="C726" s="723"/>
      <c r="D726" s="868"/>
      <c r="E726" s="869"/>
      <c r="F726" s="870"/>
      <c r="G726" s="1116" t="s">
        <v>594</v>
      </c>
      <c r="H726" s="1117"/>
      <c r="I726" s="887" t="str">
        <f>IF(I725="*","*",IF(I725&lt; 0.95, "Lower than required coverage", IF(I725 &gt;=0.95, "Required coverage or above")))</f>
        <v>Required coverage or above</v>
      </c>
      <c r="J726" s="888"/>
      <c r="K726" s="897"/>
      <c r="L726" s="887" t="str">
        <f>IF(L725="*","*",IF(L725&lt; 0.95, "Lower than required coverage", IF(L725 &gt;=0.95, "Required coverage or above")))</f>
        <v>Required coverage or above</v>
      </c>
      <c r="M726" s="888"/>
      <c r="N726" s="888"/>
      <c r="O726" s="885" t="str">
        <f>IF(O725="*","*",IF(O725&lt; 0.95, "Lower than required coverage", IF(O725 &gt;=0.95, "Required coverage or above")))</f>
        <v>Lower than required coverage</v>
      </c>
      <c r="P726" s="885"/>
      <c r="Q726" s="885"/>
      <c r="R726" s="1183" t="str">
        <f>IF(R725="*","*",IF(R725&lt; 0.95, "Lower than required coverage", IF(R725 &gt;=0.95, "Required coverage or above")))</f>
        <v>Required coverage or above</v>
      </c>
      <c r="S726" s="1183"/>
      <c r="T726" s="1184"/>
      <c r="U726" s="137"/>
      <c r="V726" s="137"/>
      <c r="W726" s="487"/>
    </row>
    <row r="727" spans="2:23" ht="15" customHeight="1" x14ac:dyDescent="0.25">
      <c r="B727" s="489"/>
      <c r="C727" s="722" t="s">
        <v>883</v>
      </c>
      <c r="D727" s="865" t="s">
        <v>919</v>
      </c>
      <c r="E727" s="866"/>
      <c r="F727" s="867"/>
      <c r="G727" s="876" t="s">
        <v>592</v>
      </c>
      <c r="H727" s="877"/>
      <c r="I727" s="1101">
        <f>IF(HLOOKUP(C727,Imms201415,selection+1,FALSE)="","n/a",(HLOOKUP(C727,Imms201415,selection+1,FALSE)))</f>
        <v>3</v>
      </c>
      <c r="J727" s="1102"/>
      <c r="K727" s="1103"/>
      <c r="L727" s="1101">
        <f>IF(HLOOKUP(C727,Imms201415,selection2+1,FALSE)="","n/a",(HLOOKUP(C727,Imms201415,selection2+1,FALSE)))</f>
        <v>0</v>
      </c>
      <c r="M727" s="1102"/>
      <c r="N727" s="1102"/>
      <c r="O727" s="886">
        <f>IF(HLOOKUP(C727,Imms201516,selection+1,FALSE)="","n/a",(HLOOKUP(C727,Imms201516,selection+1,FALSE)))</f>
        <v>33</v>
      </c>
      <c r="P727" s="886"/>
      <c r="Q727" s="886"/>
      <c r="R727" s="898">
        <f>IF(HLOOKUP(C727,Imms201516,selection2+1,FALSE)="","n/a",(HLOOKUP(C727,Imms201516,selection2+1,FALSE)))</f>
        <v>53</v>
      </c>
      <c r="S727" s="898"/>
      <c r="T727" s="899"/>
      <c r="U727" s="137"/>
      <c r="V727" s="137"/>
      <c r="W727" s="487"/>
    </row>
    <row r="728" spans="2:23" ht="15" x14ac:dyDescent="0.25">
      <c r="B728" s="489"/>
      <c r="C728" s="722" t="s">
        <v>880</v>
      </c>
      <c r="D728" s="868"/>
      <c r="E728" s="869"/>
      <c r="F728" s="870"/>
      <c r="G728" s="878" t="s">
        <v>593</v>
      </c>
      <c r="H728" s="879"/>
      <c r="I728" s="894">
        <f>IF($I723="*","*",I727/I$723)</f>
        <v>2.2058823529411766E-2</v>
      </c>
      <c r="J728" s="895"/>
      <c r="K728" s="896"/>
      <c r="L728" s="894">
        <f>IF(L723="*","*",L727/L$723)</f>
        <v>0</v>
      </c>
      <c r="M728" s="895"/>
      <c r="N728" s="895"/>
      <c r="O728" s="884">
        <f>IF(HLOOKUP(C728,Imms201516,selection+1,FALSE)="","n/a",(HLOOKUP(C728,Imms201516,selection+1,FALSE)))</f>
        <v>0.22448979591836735</v>
      </c>
      <c r="P728" s="884"/>
      <c r="Q728" s="884"/>
      <c r="R728" s="900">
        <f>IF(HLOOKUP(C728,Imms201516,selection2+1,FALSE)="","n/a",(HLOOKUP(C728,Imms201516,selection2+1,FALSE)))</f>
        <v>0.24200913242009131</v>
      </c>
      <c r="S728" s="900"/>
      <c r="T728" s="901"/>
      <c r="U728" s="137"/>
      <c r="V728" s="137"/>
      <c r="W728" s="487"/>
    </row>
    <row r="729" spans="2:23" ht="15" x14ac:dyDescent="0.25">
      <c r="B729" s="489"/>
      <c r="C729" s="723"/>
      <c r="D729" s="871"/>
      <c r="E729" s="872"/>
      <c r="F729" s="873"/>
      <c r="G729" s="1116" t="s">
        <v>594</v>
      </c>
      <c r="H729" s="1117"/>
      <c r="I729" s="887" t="str">
        <f>IF(I728="*","*",IF(I728&lt; 0.95, "Lower than required coverage", IF(I728 &gt;=0.95, "Required coverage or above")))</f>
        <v>Lower than required coverage</v>
      </c>
      <c r="J729" s="888"/>
      <c r="K729" s="897"/>
      <c r="L729" s="887" t="str">
        <f>IF(L728="*","*",IF(L728&lt; 0.95, "Lower than required coverage", IF(L728 &gt;=0.95, "Required coverage or above")))</f>
        <v>Lower than required coverage</v>
      </c>
      <c r="M729" s="888"/>
      <c r="N729" s="888"/>
      <c r="O729" s="887" t="str">
        <f t="shared" ref="O729" si="23">IF(O728="*","*",IF(O728&lt; 0.95, "Lower than required coverage", IF(O728 &gt;=0.95, "Required coverage or above")))</f>
        <v>Lower than required coverage</v>
      </c>
      <c r="P729" s="888"/>
      <c r="Q729" s="888"/>
      <c r="R729" s="887" t="str">
        <f t="shared" ref="R729" si="24">IF(R728="*","*",IF(R728&lt; 0.95, "Lower than required coverage", IF(R728 &gt;=0.95, "Required coverage or above")))</f>
        <v>Lower than required coverage</v>
      </c>
      <c r="S729" s="888"/>
      <c r="T729" s="888"/>
      <c r="U729" s="137"/>
      <c r="V729" s="137"/>
      <c r="W729" s="487"/>
    </row>
    <row r="730" spans="2:23" ht="15" customHeight="1" x14ac:dyDescent="0.25">
      <c r="B730" s="489"/>
      <c r="C730" s="722" t="s">
        <v>884</v>
      </c>
      <c r="D730" s="868" t="s">
        <v>929</v>
      </c>
      <c r="E730" s="869"/>
      <c r="F730" s="870"/>
      <c r="G730" s="876" t="s">
        <v>592</v>
      </c>
      <c r="H730" s="877"/>
      <c r="I730" s="1101">
        <f>IF(HLOOKUP(C730,Imms201415,selection+1,FALSE)="","n/a",(HLOOKUP(C730,Imms201415,selection+1,FALSE)))</f>
        <v>130</v>
      </c>
      <c r="J730" s="1102"/>
      <c r="K730" s="1103"/>
      <c r="L730" s="1101">
        <f>IF(HLOOKUP(C730,Imms201415,selection2+1,FALSE)="","n/a",(HLOOKUP(C730,Imms201415,selection2+1,FALSE)))</f>
        <v>210</v>
      </c>
      <c r="M730" s="1102"/>
      <c r="N730" s="1102"/>
      <c r="O730" s="886">
        <f>IF(HLOOKUP(C730,Imms201516,selection+1,FALSE)="","n/a",(HLOOKUP(C730,Imms201516,selection+1,FALSE)))</f>
        <v>138</v>
      </c>
      <c r="P730" s="886"/>
      <c r="Q730" s="886"/>
      <c r="R730" s="898">
        <f>IF(HLOOKUP(C730,Imms201516,selection2+1,FALSE)="","n/a",(HLOOKUP(C730,Imms201516,selection2+1,FALSE)))</f>
        <v>212</v>
      </c>
      <c r="S730" s="898"/>
      <c r="T730" s="899"/>
      <c r="U730" s="137"/>
      <c r="V730" s="137"/>
      <c r="W730" s="487"/>
    </row>
    <row r="731" spans="2:23" ht="15" x14ac:dyDescent="0.25">
      <c r="B731" s="489"/>
      <c r="C731" s="722" t="s">
        <v>881</v>
      </c>
      <c r="D731" s="868"/>
      <c r="E731" s="869"/>
      <c r="F731" s="870"/>
      <c r="G731" s="878" t="s">
        <v>593</v>
      </c>
      <c r="H731" s="879"/>
      <c r="I731" s="894">
        <f>IF($I723="*","*",I730/I$723)</f>
        <v>0.95588235294117652</v>
      </c>
      <c r="J731" s="895"/>
      <c r="K731" s="896"/>
      <c r="L731" s="894">
        <f>IF($L723="*","*",L730/L$723)</f>
        <v>0.94594594594594594</v>
      </c>
      <c r="M731" s="895"/>
      <c r="N731" s="895"/>
      <c r="O731" s="884">
        <f>IF(HLOOKUP(C731,Imms201516,selection+1,FALSE)="","n/a",(HLOOKUP(C731,Imms201516,selection+1,FALSE)))</f>
        <v>0.93877551020408168</v>
      </c>
      <c r="P731" s="884"/>
      <c r="Q731" s="884"/>
      <c r="R731" s="900">
        <f>IF(HLOOKUP(C731,Imms201516,selection2+1,FALSE)="","n/a",(HLOOKUP(C731,Imms201516,selection2+1,FALSE)))</f>
        <v>0.96803652968036524</v>
      </c>
      <c r="S731" s="900"/>
      <c r="T731" s="901"/>
      <c r="U731" s="137"/>
      <c r="V731" s="137"/>
      <c r="W731" s="487"/>
    </row>
    <row r="732" spans="2:23" ht="15" x14ac:dyDescent="0.25">
      <c r="B732" s="489"/>
      <c r="C732" s="723"/>
      <c r="D732" s="871"/>
      <c r="E732" s="872"/>
      <c r="F732" s="873"/>
      <c r="G732" s="1118" t="s">
        <v>594</v>
      </c>
      <c r="H732" s="1119"/>
      <c r="I732" s="889" t="str">
        <f>IF(I731="*","*",IF(I731&lt; 0.95, "Lower than required coverage", IF(I731 &gt;=0.95, "Required coverage or above")))</f>
        <v>Required coverage or above</v>
      </c>
      <c r="J732" s="890"/>
      <c r="K732" s="1104"/>
      <c r="L732" s="889" t="str">
        <f>IF(L731="*","*",IF(L731&lt; 0.95, "Lower than required coverage", IF(L731 &gt;=0.95, "Required coverage or above")))</f>
        <v>Lower than required coverage</v>
      </c>
      <c r="M732" s="890"/>
      <c r="N732" s="890"/>
      <c r="O732" s="889" t="str">
        <f t="shared" ref="O732" si="25">IF(O731="*","*",IF(O731&lt; 0.95, "Lower than required coverage", IF(O731 &gt;=0.95, "Required coverage or above")))</f>
        <v>Lower than required coverage</v>
      </c>
      <c r="P732" s="890"/>
      <c r="Q732" s="890"/>
      <c r="R732" s="889" t="str">
        <f t="shared" ref="R732" si="26">IF(R731="*","*",IF(R731&lt; 0.95, "Lower than required coverage", IF(R731 &gt;=0.95, "Required coverage or above")))</f>
        <v>Required coverage or above</v>
      </c>
      <c r="S732" s="890"/>
      <c r="T732" s="890"/>
      <c r="U732" s="137"/>
      <c r="V732" s="137"/>
      <c r="W732" s="487"/>
    </row>
    <row r="733" spans="2:23" ht="15" x14ac:dyDescent="0.25">
      <c r="B733" s="489"/>
      <c r="C733" s="137"/>
      <c r="D733" s="137"/>
      <c r="E733" s="3" t="s">
        <v>920</v>
      </c>
      <c r="F733" s="137"/>
      <c r="G733" s="137"/>
      <c r="H733" s="137"/>
      <c r="I733" s="137"/>
      <c r="J733" s="137"/>
      <c r="K733" s="137"/>
      <c r="L733" s="137"/>
      <c r="M733" s="137"/>
      <c r="N733" s="137"/>
      <c r="O733" s="137"/>
      <c r="P733" s="137"/>
      <c r="Q733" s="137"/>
      <c r="R733" s="137"/>
      <c r="S733" s="137"/>
      <c r="T733" s="137"/>
      <c r="U733" s="137"/>
      <c r="V733" s="137"/>
      <c r="W733" s="487"/>
    </row>
    <row r="734" spans="2:23" s="67" customFormat="1" ht="15" x14ac:dyDescent="0.25">
      <c r="B734" s="489"/>
      <c r="C734" s="388"/>
      <c r="D734" s="388"/>
      <c r="E734" s="388"/>
      <c r="F734" s="388"/>
      <c r="G734" s="388"/>
      <c r="H734" s="388"/>
      <c r="I734" s="388"/>
      <c r="J734" s="388"/>
      <c r="K734" s="388"/>
      <c r="L734" s="388"/>
      <c r="M734" s="388"/>
      <c r="N734" s="388"/>
      <c r="O734" s="388"/>
      <c r="P734" s="388"/>
      <c r="Q734" s="388"/>
      <c r="R734" s="388"/>
      <c r="S734" s="388"/>
      <c r="T734" s="388"/>
      <c r="U734" s="388"/>
      <c r="V734" s="388"/>
      <c r="W734" s="487"/>
    </row>
    <row r="735" spans="2:23" ht="15" x14ac:dyDescent="0.25">
      <c r="B735" s="489"/>
      <c r="C735" s="137"/>
      <c r="D735" s="137"/>
      <c r="E735" s="137"/>
      <c r="F735" s="137"/>
      <c r="G735" s="137"/>
      <c r="H735" s="137"/>
      <c r="I735" s="137"/>
      <c r="J735" s="137"/>
      <c r="K735" s="137"/>
      <c r="L735" s="137"/>
      <c r="M735" s="137"/>
      <c r="N735" s="137"/>
      <c r="O735" s="137"/>
      <c r="P735" s="137"/>
      <c r="Q735" s="137"/>
      <c r="R735" s="137"/>
      <c r="S735" s="137"/>
      <c r="T735" s="137"/>
      <c r="U735" s="137"/>
      <c r="V735" s="137"/>
      <c r="W735" s="487"/>
    </row>
    <row r="736" spans="2:23" ht="15" x14ac:dyDescent="0.25">
      <c r="B736" s="489"/>
      <c r="C736" s="137"/>
      <c r="D736" s="137"/>
      <c r="E736" s="137"/>
      <c r="F736" s="137"/>
      <c r="G736" s="137"/>
      <c r="H736" s="137"/>
      <c r="I736" s="137"/>
      <c r="J736" s="137"/>
      <c r="K736" s="137"/>
      <c r="L736" s="137"/>
      <c r="M736" s="137"/>
      <c r="N736" s="137"/>
      <c r="O736" s="137"/>
      <c r="P736" s="137"/>
      <c r="Q736" s="137"/>
      <c r="R736" s="137"/>
      <c r="S736" s="137"/>
      <c r="T736" s="137"/>
      <c r="U736" s="137"/>
      <c r="V736" s="137"/>
      <c r="W736" s="487"/>
    </row>
    <row r="737" spans="2:23" s="67" customFormat="1" ht="15" x14ac:dyDescent="0.25">
      <c r="B737" s="489"/>
      <c r="C737" s="721"/>
      <c r="D737" s="721"/>
      <c r="E737" s="721"/>
      <c r="F737" s="721"/>
      <c r="G737" s="721"/>
      <c r="H737" s="721"/>
      <c r="I737" s="721"/>
      <c r="J737" s="721"/>
      <c r="K737" s="721"/>
      <c r="L737" s="721"/>
      <c r="M737" s="721"/>
      <c r="N737" s="721"/>
      <c r="O737" s="721"/>
      <c r="P737" s="721"/>
      <c r="Q737" s="721"/>
      <c r="R737" s="721"/>
      <c r="S737" s="721"/>
      <c r="T737" s="721"/>
      <c r="U737" s="721"/>
      <c r="V737" s="721"/>
      <c r="W737" s="487"/>
    </row>
    <row r="738" spans="2:23" s="67" customFormat="1" ht="15" x14ac:dyDescent="0.25">
      <c r="B738" s="489"/>
      <c r="C738" s="721"/>
      <c r="D738" s="721"/>
      <c r="E738" s="721"/>
      <c r="F738" s="721"/>
      <c r="G738" s="721"/>
      <c r="H738" s="721"/>
      <c r="I738" s="845" t="s">
        <v>503</v>
      </c>
      <c r="J738" s="845"/>
      <c r="K738" s="845"/>
      <c r="L738" s="845"/>
      <c r="M738" s="845"/>
      <c r="N738" s="845"/>
      <c r="O738" s="845" t="s">
        <v>1018</v>
      </c>
      <c r="P738" s="845"/>
      <c r="Q738" s="845"/>
      <c r="R738" s="845"/>
      <c r="S738" s="845"/>
      <c r="T738" s="845"/>
      <c r="U738" s="721"/>
      <c r="V738" s="721"/>
      <c r="W738" s="487"/>
    </row>
    <row r="739" spans="2:23" ht="15" customHeight="1" x14ac:dyDescent="0.25">
      <c r="B739" s="489"/>
      <c r="C739" s="137"/>
      <c r="D739" s="854"/>
      <c r="E739" s="855"/>
      <c r="F739" s="855"/>
      <c r="G739" s="855"/>
      <c r="H739" s="856"/>
      <c r="I739" s="848" t="str">
        <f>INDEX(Locations, selection)</f>
        <v>Angmering</v>
      </c>
      <c r="J739" s="849"/>
      <c r="K739" s="850"/>
      <c r="L739" s="851" t="str">
        <f>INDEX(Locations, selection2)</f>
        <v>Bewbush</v>
      </c>
      <c r="M739" s="852"/>
      <c r="N739" s="852"/>
      <c r="O739" s="848" t="str">
        <f>INDEX(Locations, selection)</f>
        <v>Angmering</v>
      </c>
      <c r="P739" s="849"/>
      <c r="Q739" s="850"/>
      <c r="R739" s="851" t="str">
        <f>INDEX(Locations, selection2)</f>
        <v>Bewbush</v>
      </c>
      <c r="S739" s="852"/>
      <c r="T739" s="852"/>
      <c r="U739" s="137"/>
      <c r="V739" s="137"/>
      <c r="W739" s="487"/>
    </row>
    <row r="740" spans="2:23" ht="15" x14ac:dyDescent="0.25">
      <c r="B740" s="489"/>
      <c r="C740" s="137"/>
      <c r="D740" s="857"/>
      <c r="E740" s="790"/>
      <c r="F740" s="790"/>
      <c r="G740" s="790"/>
      <c r="H740" s="858"/>
      <c r="I740" s="848"/>
      <c r="J740" s="849"/>
      <c r="K740" s="850"/>
      <c r="L740" s="851"/>
      <c r="M740" s="852"/>
      <c r="N740" s="852"/>
      <c r="O740" s="848"/>
      <c r="P740" s="849"/>
      <c r="Q740" s="850"/>
      <c r="R740" s="851"/>
      <c r="S740" s="852"/>
      <c r="T740" s="852"/>
      <c r="U740" s="137"/>
      <c r="V740" s="137"/>
      <c r="W740" s="487"/>
    </row>
    <row r="741" spans="2:23" ht="15" x14ac:dyDescent="0.25">
      <c r="B741" s="489"/>
      <c r="C741" s="137"/>
      <c r="D741" s="859"/>
      <c r="E741" s="860"/>
      <c r="F741" s="860"/>
      <c r="G741" s="860"/>
      <c r="H741" s="861"/>
      <c r="I741" s="848"/>
      <c r="J741" s="849"/>
      <c r="K741" s="850"/>
      <c r="L741" s="851"/>
      <c r="M741" s="852"/>
      <c r="N741" s="852"/>
      <c r="O741" s="848"/>
      <c r="P741" s="849"/>
      <c r="Q741" s="850"/>
      <c r="R741" s="851"/>
      <c r="S741" s="852"/>
      <c r="T741" s="852"/>
      <c r="U741" s="137"/>
      <c r="V741" s="137"/>
      <c r="W741" s="487"/>
    </row>
    <row r="742" spans="2:23" ht="15" x14ac:dyDescent="0.25">
      <c r="B742" s="489"/>
      <c r="C742" s="71" t="s">
        <v>885</v>
      </c>
      <c r="D742" s="845" t="s">
        <v>596</v>
      </c>
      <c r="E742" s="845"/>
      <c r="F742" s="845"/>
      <c r="G742" s="845"/>
      <c r="H742" s="845"/>
      <c r="I742" s="847">
        <f>IF(HLOOKUP(C742,Imms201415,selection+1,FALSE)="","n/a",(HLOOKUP(C742,Imms201415,selection+1,FALSE)))</f>
        <v>169</v>
      </c>
      <c r="J742" s="847"/>
      <c r="K742" s="847"/>
      <c r="L742" s="847">
        <f>IF(HLOOKUP($C$742,Imms201415,selection2+1,FALSE)="","n/a",(HLOOKUP($C$742,Imms201415,selection2+1,FALSE)))</f>
        <v>202</v>
      </c>
      <c r="M742" s="847"/>
      <c r="N742" s="847"/>
      <c r="O742" s="847">
        <f>IF(HLOOKUP($C742,Imms201516,selection+1,FALSE)="","n/a",(HLOOKUP($C742,Imms201516,selection+1,FALSE)))</f>
        <v>145</v>
      </c>
      <c r="P742" s="847"/>
      <c r="Q742" s="847"/>
      <c r="R742" s="847">
        <f>IF(HLOOKUP($C742,Imms201516,selection2+1,FALSE)="","n/a",(HLOOKUP($C742,Imms201516,selection2+1,FALSE)))</f>
        <v>222</v>
      </c>
      <c r="S742" s="847"/>
      <c r="T742" s="847"/>
      <c r="U742" s="137"/>
      <c r="V742" s="137"/>
      <c r="W742" s="487"/>
    </row>
    <row r="743" spans="2:23" s="67" customFormat="1" ht="15.75" customHeight="1" x14ac:dyDescent="0.25">
      <c r="B743" s="489"/>
      <c r="C743" s="71" t="s">
        <v>893</v>
      </c>
      <c r="D743" s="847" t="s">
        <v>926</v>
      </c>
      <c r="E743" s="847"/>
      <c r="F743" s="847"/>
      <c r="G743" s="853" t="s">
        <v>592</v>
      </c>
      <c r="H743" s="853"/>
      <c r="I743" s="847">
        <f>IF(HLOOKUP(C743,Imms201415,selection+1,FALSE)="","n/a",(HLOOKUP(C743,Imms201415,selection+1,FALSE)))</f>
        <v>160</v>
      </c>
      <c r="J743" s="847"/>
      <c r="K743" s="847"/>
      <c r="L743" s="847">
        <f>IF(HLOOKUP($C$743,Imms201415,selection2+1,FALSE)="","n/a",(HLOOKUP($C$743,Imms201415,selection2+1,FALSE)))</f>
        <v>193</v>
      </c>
      <c r="M743" s="847"/>
      <c r="N743" s="847"/>
      <c r="O743" s="847">
        <f>IF(HLOOKUP($C743,Imms201516,selection+1,FALSE)="","n/a",(HLOOKUP($C743,Imms201516,selection+1,FALSE)))</f>
        <v>101</v>
      </c>
      <c r="P743" s="847"/>
      <c r="Q743" s="847"/>
      <c r="R743" s="847">
        <f>IF(HLOOKUP($C743,Imms201516,selection2+1,FALSE)="","n/a",(HLOOKUP($C743,Imms201516,selection2+1,FALSE)))</f>
        <v>156</v>
      </c>
      <c r="S743" s="847"/>
      <c r="T743" s="847"/>
      <c r="U743" s="388"/>
      <c r="V743" s="388"/>
      <c r="W743" s="487"/>
    </row>
    <row r="744" spans="2:23" s="67" customFormat="1" ht="15" x14ac:dyDescent="0.25">
      <c r="B744" s="489"/>
      <c r="C744" s="71" t="s">
        <v>888</v>
      </c>
      <c r="D744" s="847"/>
      <c r="E744" s="847"/>
      <c r="F744" s="847"/>
      <c r="G744" s="853" t="s">
        <v>593</v>
      </c>
      <c r="H744" s="853"/>
      <c r="I744" s="843">
        <f>IF(I742 = "*", "*",I743/I742)</f>
        <v>0.94674556213017746</v>
      </c>
      <c r="J744" s="843"/>
      <c r="K744" s="843"/>
      <c r="L744" s="843">
        <f>IF(L742 = "*", "*",L743/L742)</f>
        <v>0.95544554455445541</v>
      </c>
      <c r="M744" s="843"/>
      <c r="N744" s="843"/>
      <c r="O744" s="843">
        <f>IF(HLOOKUP($C744,Imms201516,selection+1,FALSE)="","n/a",(HLOOKUP($C744,Imms201516,selection+1,FALSE)))</f>
        <v>0.69655172413793098</v>
      </c>
      <c r="P744" s="843"/>
      <c r="Q744" s="843"/>
      <c r="R744" s="843">
        <f>IF(HLOOKUP($C744,Imms201516,selection2+1,FALSE)="","n/a",(HLOOKUP($C744,Imms201516,selection2+1,FALSE)))</f>
        <v>0.70270270270270274</v>
      </c>
      <c r="S744" s="843"/>
      <c r="T744" s="843"/>
      <c r="U744" s="388"/>
      <c r="V744" s="388"/>
      <c r="W744" s="487"/>
    </row>
    <row r="745" spans="2:23" s="67" customFormat="1" ht="15" x14ac:dyDescent="0.25">
      <c r="B745" s="489"/>
      <c r="C745" s="71"/>
      <c r="D745" s="847"/>
      <c r="E745" s="847"/>
      <c r="F745" s="847"/>
      <c r="G745" s="853" t="s">
        <v>594</v>
      </c>
      <c r="H745" s="853"/>
      <c r="I745" s="844" t="str">
        <f>IF(I744="*","*",IF(I744&lt; 0.95, "Lower than required coverage", IF(I744 &gt;=0.95, "Required coverage or above")))</f>
        <v>Lower than required coverage</v>
      </c>
      <c r="J745" s="844"/>
      <c r="K745" s="844"/>
      <c r="L745" s="844" t="str">
        <f>IF(L744="*","*",IF(L744&lt; 0.95, "Lower than required coverage", IF(L744 &gt;=0.95, "Required coverage or above")))</f>
        <v>Required coverage or above</v>
      </c>
      <c r="M745" s="844"/>
      <c r="N745" s="844"/>
      <c r="O745" s="844" t="str">
        <f t="shared" ref="O745" si="27">IF(O744="*","*",IF(O744&lt; 0.95, "Lower than required coverage", IF(O744 &gt;=0.95, "Required coverage or above")))</f>
        <v>Lower than required coverage</v>
      </c>
      <c r="P745" s="844"/>
      <c r="Q745" s="844"/>
      <c r="R745" s="844" t="str">
        <f t="shared" ref="R745" si="28">IF(R744="*","*",IF(R744&lt; 0.95, "Lower than required coverage", IF(R744 &gt;=0.95, "Required coverage or above")))</f>
        <v>Lower than required coverage</v>
      </c>
      <c r="S745" s="844"/>
      <c r="T745" s="844"/>
      <c r="U745" s="388"/>
      <c r="V745" s="388"/>
      <c r="W745" s="487"/>
    </row>
    <row r="746" spans="2:23" s="67" customFormat="1" ht="15.75" customHeight="1" x14ac:dyDescent="0.25">
      <c r="B746" s="489"/>
      <c r="C746" s="71" t="s">
        <v>894</v>
      </c>
      <c r="D746" s="847" t="s">
        <v>925</v>
      </c>
      <c r="E746" s="847"/>
      <c r="F746" s="847"/>
      <c r="G746" s="853" t="s">
        <v>592</v>
      </c>
      <c r="H746" s="853"/>
      <c r="I746" s="847">
        <f>IF(HLOOKUP(C746,Imms201415,selection+1,FALSE)="","n/a",(HLOOKUP(C746,Imms201415,selection+1,FALSE)))</f>
        <v>163</v>
      </c>
      <c r="J746" s="847"/>
      <c r="K746" s="847"/>
      <c r="L746" s="847">
        <f>IF(HLOOKUP(C746,Imms201415,selection2+1,FALSE)="","n/a",(HLOOKUP(C746,Imms201415,selection2+1,FALSE)))</f>
        <v>194</v>
      </c>
      <c r="M746" s="847"/>
      <c r="N746" s="847"/>
      <c r="O746" s="847">
        <f>IF(HLOOKUP($C746,Imms201516,selection+1,FALSE)="","n/a",(HLOOKUP($C746,Imms201516,selection+1,FALSE)))</f>
        <v>133</v>
      </c>
      <c r="P746" s="847"/>
      <c r="Q746" s="847"/>
      <c r="R746" s="847">
        <f>IF(HLOOKUP($C746,Imms201516,selection2+1,FALSE)="","n/a",(HLOOKUP($C746,Imms201516,selection2+1,FALSE)))</f>
        <v>210</v>
      </c>
      <c r="S746" s="847"/>
      <c r="T746" s="847"/>
      <c r="U746" s="388"/>
      <c r="V746" s="388"/>
      <c r="W746" s="487"/>
    </row>
    <row r="747" spans="2:23" s="67" customFormat="1" ht="15" x14ac:dyDescent="0.25">
      <c r="B747" s="489"/>
      <c r="C747" s="71" t="s">
        <v>889</v>
      </c>
      <c r="D747" s="847"/>
      <c r="E747" s="847"/>
      <c r="F747" s="847"/>
      <c r="G747" s="853" t="s">
        <v>593</v>
      </c>
      <c r="H747" s="853"/>
      <c r="I747" s="843">
        <f>IF(I742 = "*", "*",I746/I742)</f>
        <v>0.96449704142011838</v>
      </c>
      <c r="J747" s="843"/>
      <c r="K747" s="843"/>
      <c r="L747" s="843">
        <f>IF(L742 = "*", "*",L746/L742)</f>
        <v>0.96039603960396036</v>
      </c>
      <c r="M747" s="843"/>
      <c r="N747" s="843"/>
      <c r="O747" s="843">
        <f>IF(HLOOKUP($C747,Imms201516,selection+1,FALSE)="","n/a",(HLOOKUP($C747,Imms201516,selection+1,FALSE)))</f>
        <v>0.91724137931034477</v>
      </c>
      <c r="P747" s="843"/>
      <c r="Q747" s="843"/>
      <c r="R747" s="843">
        <f>IF(HLOOKUP($C747,Imms201516,selection2+1,FALSE)="","n/a",(HLOOKUP($C747,Imms201516,selection2+1,FALSE)))</f>
        <v>0.94594594594594594</v>
      </c>
      <c r="S747" s="843"/>
      <c r="T747" s="843"/>
      <c r="U747" s="388"/>
      <c r="V747" s="388"/>
      <c r="W747" s="487"/>
    </row>
    <row r="748" spans="2:23" s="67" customFormat="1" ht="15" x14ac:dyDescent="0.25">
      <c r="B748" s="489"/>
      <c r="C748" s="71"/>
      <c r="D748" s="847"/>
      <c r="E748" s="847"/>
      <c r="F748" s="847"/>
      <c r="G748" s="853" t="s">
        <v>594</v>
      </c>
      <c r="H748" s="853"/>
      <c r="I748" s="862" t="str">
        <f>IF(I747="*","*",IF(I747&lt; 0.95, "Lower than required coverage", IF(I747 &gt;=0.95, "Required coverage or above")))</f>
        <v>Required coverage or above</v>
      </c>
      <c r="J748" s="863"/>
      <c r="K748" s="864"/>
      <c r="L748" s="844" t="str">
        <f>IF(L747="*","*",IF(L747&lt; 0.95, "Lower than required coverage", IF(L747 &gt;=0.95, "Required coverage or above")))</f>
        <v>Required coverage or above</v>
      </c>
      <c r="M748" s="844"/>
      <c r="N748" s="844"/>
      <c r="O748" s="844" t="str">
        <f t="shared" ref="O748" si="29">IF(O747="*","*",IF(O747&lt; 0.95, "Lower than required coverage", IF(O747 &gt;=0.95, "Required coverage or above")))</f>
        <v>Lower than required coverage</v>
      </c>
      <c r="P748" s="844"/>
      <c r="Q748" s="844"/>
      <c r="R748" s="844" t="str">
        <f t="shared" ref="R748" si="30">IF(R747="*","*",IF(R747&lt; 0.95, "Lower than required coverage", IF(R747 &gt;=0.95, "Required coverage or above")))</f>
        <v>Lower than required coverage</v>
      </c>
      <c r="S748" s="844"/>
      <c r="T748" s="844"/>
      <c r="U748" s="388"/>
      <c r="V748" s="388"/>
      <c r="W748" s="487"/>
    </row>
    <row r="749" spans="2:23" ht="15" customHeight="1" x14ac:dyDescent="0.25">
      <c r="B749" s="489"/>
      <c r="C749" s="71" t="s">
        <v>891</v>
      </c>
      <c r="D749" s="847" t="s">
        <v>922</v>
      </c>
      <c r="E749" s="847"/>
      <c r="F749" s="847"/>
      <c r="G749" s="853" t="s">
        <v>592</v>
      </c>
      <c r="H749" s="853"/>
      <c r="I749" s="847">
        <f>IF(HLOOKUP(C749,Imms201415,selection+1,FALSE)="","n/a",(HLOOKUP(C749,Imms201415,selection+1,FALSE)))</f>
        <v>165</v>
      </c>
      <c r="J749" s="847"/>
      <c r="K749" s="847"/>
      <c r="L749" s="847">
        <f>IF(HLOOKUP(C749,Imms201415,selection2+1,FALSE)="","n/a",(HLOOKUP(C749,Imms201415,selection2+1,FALSE)))</f>
        <v>200</v>
      </c>
      <c r="M749" s="847"/>
      <c r="N749" s="847"/>
      <c r="O749" s="847">
        <f>IF(HLOOKUP($C749,Imms201516,selection+1,FALSE)="","n/a",(HLOOKUP($C749,Imms201516,selection+1,FALSE)))</f>
        <v>138</v>
      </c>
      <c r="P749" s="847"/>
      <c r="Q749" s="847"/>
      <c r="R749" s="847">
        <f>IF(HLOOKUP($C749,Imms201516,selection2+1,FALSE)="","n/a",(HLOOKUP($C749,Imms201516,selection2+1,FALSE)))</f>
        <v>214</v>
      </c>
      <c r="S749" s="847"/>
      <c r="T749" s="847"/>
      <c r="U749" s="137"/>
      <c r="V749" s="137"/>
      <c r="W749" s="487"/>
    </row>
    <row r="750" spans="2:23" ht="15" x14ac:dyDescent="0.25">
      <c r="B750" s="489"/>
      <c r="C750" s="71" t="s">
        <v>886</v>
      </c>
      <c r="D750" s="847"/>
      <c r="E750" s="847"/>
      <c r="F750" s="847"/>
      <c r="G750" s="853" t="s">
        <v>593</v>
      </c>
      <c r="H750" s="853"/>
      <c r="I750" s="843">
        <f>IF(I742 = "*", "*",I749/I742)</f>
        <v>0.97633136094674555</v>
      </c>
      <c r="J750" s="843"/>
      <c r="K750" s="843"/>
      <c r="L750" s="843">
        <f>IF(L742 = "*", "*",L749/L742)</f>
        <v>0.99009900990099009</v>
      </c>
      <c r="M750" s="843"/>
      <c r="N750" s="843"/>
      <c r="O750" s="843">
        <f>IF(HLOOKUP($C750,Imms201516,selection+1,FALSE)="","n/a",(HLOOKUP($C750,Imms201516,selection+1,FALSE)))</f>
        <v>0.9517241379310345</v>
      </c>
      <c r="P750" s="843"/>
      <c r="Q750" s="843"/>
      <c r="R750" s="843">
        <f>IF(HLOOKUP($C750,Imms201516,selection2+1,FALSE)="","n/a",(HLOOKUP($C750,Imms201516,selection2+1,FALSE)))</f>
        <v>0.963963963963964</v>
      </c>
      <c r="S750" s="843"/>
      <c r="T750" s="843"/>
      <c r="U750" s="137"/>
      <c r="V750" s="137"/>
      <c r="W750" s="487"/>
    </row>
    <row r="751" spans="2:23" ht="15" x14ac:dyDescent="0.25">
      <c r="B751" s="489"/>
      <c r="C751" s="71"/>
      <c r="D751" s="847"/>
      <c r="E751" s="847"/>
      <c r="F751" s="847"/>
      <c r="G751" s="853" t="s">
        <v>594</v>
      </c>
      <c r="H751" s="853"/>
      <c r="I751" s="844" t="str">
        <f>IF(I750="*","*",IF(I750&lt; 0.95, "Lower than required coverage", IF(I750 &gt;=0.95, "Required coverage or above")))</f>
        <v>Required coverage or above</v>
      </c>
      <c r="J751" s="844"/>
      <c r="K751" s="844"/>
      <c r="L751" s="844" t="str">
        <f>IF(L750="*","*",IF(L750&lt; 0.95, "Lower than required coverage", IF(L750 &gt;=0.95, "Required coverage or above")))</f>
        <v>Required coverage or above</v>
      </c>
      <c r="M751" s="844"/>
      <c r="N751" s="844"/>
      <c r="O751" s="844" t="str">
        <f t="shared" ref="O751" si="31">IF(O750="*","*",IF(O750&lt; 0.95, "Lower than required coverage", IF(O750 &gt;=0.95, "Required coverage or above")))</f>
        <v>Required coverage or above</v>
      </c>
      <c r="P751" s="844"/>
      <c r="Q751" s="844"/>
      <c r="R751" s="844" t="str">
        <f t="shared" ref="R751" si="32">IF(R750="*","*",IF(R750&lt; 0.95, "Lower than required coverage", IF(R750 &gt;=0.95, "Required coverage or above")))</f>
        <v>Required coverage or above</v>
      </c>
      <c r="S751" s="844"/>
      <c r="T751" s="844"/>
      <c r="U751" s="137"/>
      <c r="V751" s="137"/>
      <c r="W751" s="487"/>
    </row>
    <row r="752" spans="2:23" ht="15" customHeight="1" x14ac:dyDescent="0.25">
      <c r="B752" s="489"/>
      <c r="C752" s="71" t="s">
        <v>895</v>
      </c>
      <c r="D752" s="847" t="s">
        <v>1130</v>
      </c>
      <c r="E752" s="847"/>
      <c r="F752" s="847"/>
      <c r="G752" s="853" t="s">
        <v>592</v>
      </c>
      <c r="H752" s="853"/>
      <c r="I752" s="847">
        <f>IF(HLOOKUP(C752,Imms201415,selection+1,FALSE)="","n/a",(HLOOKUP(C752,Imms201415,selection+1,FALSE)))</f>
        <v>163</v>
      </c>
      <c r="J752" s="847"/>
      <c r="K752" s="847"/>
      <c r="L752" s="847">
        <f>IF(HLOOKUP(C752,Imms201415,selection2+1,FALSE)="","n/a",(HLOOKUP(C752,Imms201415,selection2+1,FALSE)))</f>
        <v>195</v>
      </c>
      <c r="M752" s="847"/>
      <c r="N752" s="847"/>
      <c r="O752" s="847">
        <f>IF(HLOOKUP($C752,Imms201516,selection+1,FALSE)="","n/a",(HLOOKUP($C752,Imms201516,selection+1,FALSE)))</f>
        <v>96</v>
      </c>
      <c r="P752" s="847"/>
      <c r="Q752" s="847"/>
      <c r="R752" s="847">
        <f>IF(HLOOKUP($C752,Imms201516,selection2+1,FALSE)="","n/a",(HLOOKUP($C752,Imms201516,selection2+1,FALSE)))</f>
        <v>165</v>
      </c>
      <c r="S752" s="847"/>
      <c r="T752" s="847"/>
      <c r="U752" s="137"/>
      <c r="V752" s="137"/>
      <c r="W752" s="487"/>
    </row>
    <row r="753" spans="2:23" ht="15" x14ac:dyDescent="0.25">
      <c r="B753" s="489"/>
      <c r="C753" s="71" t="s">
        <v>890</v>
      </c>
      <c r="D753" s="847"/>
      <c r="E753" s="847"/>
      <c r="F753" s="847"/>
      <c r="G753" s="853" t="s">
        <v>593</v>
      </c>
      <c r="H753" s="853"/>
      <c r="I753" s="843">
        <f>IF(I742 = "*", "*",I752/I742)</f>
        <v>0.96449704142011838</v>
      </c>
      <c r="J753" s="843"/>
      <c r="K753" s="843"/>
      <c r="L753" s="843">
        <f>IF(L742 = "*", "*",L752/L742)</f>
        <v>0.96534653465346532</v>
      </c>
      <c r="M753" s="843"/>
      <c r="N753" s="843"/>
      <c r="O753" s="843">
        <f>IF(HLOOKUP($C753,Imms201516,selection+1,FALSE)="","n/a",(HLOOKUP($C753,Imms201516,selection+1,FALSE)))</f>
        <v>0.66206896551724137</v>
      </c>
      <c r="P753" s="843"/>
      <c r="Q753" s="843"/>
      <c r="R753" s="843">
        <f>IF(HLOOKUP($C753,Imms201516,selection2+1,FALSE)="","n/a",(HLOOKUP($C753,Imms201516,selection2+1,FALSE)))</f>
        <v>0.7432432432432432</v>
      </c>
      <c r="S753" s="843"/>
      <c r="T753" s="843"/>
      <c r="U753" s="137"/>
      <c r="V753" s="137"/>
      <c r="W753" s="487"/>
    </row>
    <row r="754" spans="2:23" ht="15" x14ac:dyDescent="0.25">
      <c r="B754" s="489"/>
      <c r="C754" s="71"/>
      <c r="D754" s="847"/>
      <c r="E754" s="847"/>
      <c r="F754" s="847"/>
      <c r="G754" s="853" t="s">
        <v>594</v>
      </c>
      <c r="H754" s="853"/>
      <c r="I754" s="844" t="str">
        <f>IF(I753="*","*",IF(I753&lt; 0.95, "Lower than required coverage", IF(I753 &gt;=0.95, "Required coverage or above")))</f>
        <v>Required coverage or above</v>
      </c>
      <c r="J754" s="844"/>
      <c r="K754" s="844"/>
      <c r="L754" s="844" t="str">
        <f>IF(L753="*","*",IF(L753&lt; 0.95, "Lower than required coverage", IF(L753 &gt;=0.95, "Required coverage or above")))</f>
        <v>Required coverage or above</v>
      </c>
      <c r="M754" s="844"/>
      <c r="N754" s="844"/>
      <c r="O754" s="844" t="str">
        <f t="shared" ref="O754" si="33">IF(O753="*","*",IF(O753&lt; 0.95, "Lower than required coverage", IF(O753 &gt;=0.95, "Required coverage or above")))</f>
        <v>Lower than required coverage</v>
      </c>
      <c r="P754" s="844"/>
      <c r="Q754" s="844"/>
      <c r="R754" s="844" t="str">
        <f t="shared" ref="R754" si="34">IF(R753="*","*",IF(R753&lt; 0.95, "Lower than required coverage", IF(R753 &gt;=0.95, "Required coverage or above")))</f>
        <v>Lower than required coverage</v>
      </c>
      <c r="S754" s="844"/>
      <c r="T754" s="844"/>
      <c r="U754" s="137"/>
      <c r="V754" s="137"/>
      <c r="W754" s="487"/>
    </row>
    <row r="755" spans="2:23" ht="15" customHeight="1" x14ac:dyDescent="0.25">
      <c r="B755" s="489"/>
      <c r="C755" s="71" t="s">
        <v>894</v>
      </c>
      <c r="D755" s="847" t="s">
        <v>924</v>
      </c>
      <c r="E755" s="847"/>
      <c r="F755" s="847"/>
      <c r="G755" s="853" t="s">
        <v>592</v>
      </c>
      <c r="H755" s="853"/>
      <c r="I755" s="847">
        <f>IF(HLOOKUP(C755,Imms201415,selection+1,FALSE)="","n/a",(HLOOKUP(C755,Imms201415,selection+1,FALSE)))</f>
        <v>163</v>
      </c>
      <c r="J755" s="847"/>
      <c r="K755" s="847"/>
      <c r="L755" s="847">
        <f>IF(HLOOKUP(C755,Imms201415,selection2+1,FALSE)="","n/a",(HLOOKUP(C755,Imms201415,selection2+1,FALSE)))</f>
        <v>194</v>
      </c>
      <c r="M755" s="847"/>
      <c r="N755" s="847"/>
      <c r="O755" s="847">
        <f>IF(HLOOKUP($C755,Imms201516,selection+1,FALSE)="","n/a",(HLOOKUP($C755,Imms201516,selection+1,FALSE)))</f>
        <v>133</v>
      </c>
      <c r="P755" s="847"/>
      <c r="Q755" s="847"/>
      <c r="R755" s="847">
        <f>IF(HLOOKUP($C755,Imms201516,selection2+1,FALSE)="","n/a",(HLOOKUP($C755,Imms201516,selection2+1,FALSE)))</f>
        <v>210</v>
      </c>
      <c r="S755" s="847"/>
      <c r="T755" s="847"/>
      <c r="U755" s="137"/>
      <c r="V755" s="137"/>
      <c r="W755" s="487"/>
    </row>
    <row r="756" spans="2:23" ht="15" x14ac:dyDescent="0.25">
      <c r="B756" s="489"/>
      <c r="C756" s="71" t="s">
        <v>889</v>
      </c>
      <c r="D756" s="847"/>
      <c r="E756" s="847"/>
      <c r="F756" s="847"/>
      <c r="G756" s="853" t="s">
        <v>593</v>
      </c>
      <c r="H756" s="853"/>
      <c r="I756" s="843">
        <f>IF(I742 = "*", "*",I755/I742)</f>
        <v>0.96449704142011838</v>
      </c>
      <c r="J756" s="843"/>
      <c r="K756" s="843"/>
      <c r="L756" s="843">
        <f>IF(L742 = "*", "*",L755/L742)</f>
        <v>0.96039603960396036</v>
      </c>
      <c r="M756" s="843"/>
      <c r="N756" s="843"/>
      <c r="O756" s="843">
        <f>IF(HLOOKUP($C756,Imms201516,selection+1,FALSE)="","n/a",(HLOOKUP($C756,Imms201516,selection+1,FALSE)))</f>
        <v>0.91724137931034477</v>
      </c>
      <c r="P756" s="843"/>
      <c r="Q756" s="843"/>
      <c r="R756" s="843">
        <f>IF(HLOOKUP($C756,Imms201516,selection2+1,FALSE)="","n/a",(HLOOKUP($C756,Imms201516,selection2+1,FALSE)))</f>
        <v>0.94594594594594594</v>
      </c>
      <c r="S756" s="843"/>
      <c r="T756" s="843"/>
      <c r="U756" s="137"/>
      <c r="V756" s="137"/>
      <c r="W756" s="487"/>
    </row>
    <row r="757" spans="2:23" ht="15" x14ac:dyDescent="0.25">
      <c r="B757" s="489"/>
      <c r="C757" s="71"/>
      <c r="D757" s="847"/>
      <c r="E757" s="847"/>
      <c r="F757" s="847"/>
      <c r="G757" s="853" t="s">
        <v>594</v>
      </c>
      <c r="H757" s="853"/>
      <c r="I757" s="844" t="str">
        <f>IF(I756="*","*",IF(I756&lt; 0.95, "Lower than required coverage", IF(I756 &gt;=0.95, "Required coverage or above")))</f>
        <v>Required coverage or above</v>
      </c>
      <c r="J757" s="844"/>
      <c r="K757" s="844"/>
      <c r="L757" s="844" t="str">
        <f>IF(L756="*","*",IF(L756&lt; 0.95, "Lower than required coverage", IF(L756 &gt;=0.95, "Required coverage or above")))</f>
        <v>Required coverage or above</v>
      </c>
      <c r="M757" s="844"/>
      <c r="N757" s="844"/>
      <c r="O757" s="844" t="str">
        <f t="shared" ref="O757" si="35">IF(O756="*","*",IF(O756&lt; 0.95, "Lower than required coverage", IF(O756 &gt;=0.95, "Required coverage or above")))</f>
        <v>Lower than required coverage</v>
      </c>
      <c r="P757" s="844"/>
      <c r="Q757" s="844"/>
      <c r="R757" s="844" t="str">
        <f t="shared" ref="R757" si="36">IF(R756="*","*",IF(R756&lt; 0.95, "Lower than required coverage", IF(R756 &gt;=0.95, "Required coverage or above")))</f>
        <v>Lower than required coverage</v>
      </c>
      <c r="S757" s="844"/>
      <c r="T757" s="844"/>
      <c r="U757" s="137"/>
      <c r="V757" s="137"/>
      <c r="W757" s="487"/>
    </row>
    <row r="758" spans="2:23" ht="15" customHeight="1" x14ac:dyDescent="0.25">
      <c r="B758" s="489"/>
      <c r="C758" s="71" t="s">
        <v>892</v>
      </c>
      <c r="D758" s="847" t="s">
        <v>923</v>
      </c>
      <c r="E758" s="847"/>
      <c r="F758" s="847"/>
      <c r="G758" s="853" t="s">
        <v>592</v>
      </c>
      <c r="H758" s="853"/>
      <c r="I758" s="847">
        <f>IF(HLOOKUP(C758,Imms201415,selection+1,FALSE)="","n/a",(HLOOKUP(C758,Imms201415,selection+1,FALSE)))</f>
        <v>161</v>
      </c>
      <c r="J758" s="847"/>
      <c r="K758" s="847"/>
      <c r="L758" s="847">
        <f>IF(HLOOKUP(C758,Imms201415,selection2+1,FALSE)="","n/a",(HLOOKUP(C758,Imms201415,selection2+1,FALSE)))</f>
        <v>193</v>
      </c>
      <c r="M758" s="847"/>
      <c r="N758" s="847"/>
      <c r="O758" s="847">
        <f>IF(HLOOKUP($C758,Imms201516,selection+1,FALSE)="","n/a",(HLOOKUP($C758,Imms201516,selection+1,FALSE)))</f>
        <v>134</v>
      </c>
      <c r="P758" s="847"/>
      <c r="Q758" s="847"/>
      <c r="R758" s="847">
        <f>IF(HLOOKUP($C758,Imms201516,selection2+1,FALSE)="","n/a",(HLOOKUP($C758,Imms201516,selection2+1,FALSE)))</f>
        <v>210</v>
      </c>
      <c r="S758" s="847"/>
      <c r="T758" s="847"/>
      <c r="U758" s="137"/>
      <c r="V758" s="137"/>
      <c r="W758" s="487"/>
    </row>
    <row r="759" spans="2:23" ht="15" x14ac:dyDescent="0.25">
      <c r="B759" s="489"/>
      <c r="C759" s="71" t="s">
        <v>887</v>
      </c>
      <c r="D759" s="847"/>
      <c r="E759" s="847"/>
      <c r="F759" s="847"/>
      <c r="G759" s="853" t="s">
        <v>593</v>
      </c>
      <c r="H759" s="853"/>
      <c r="I759" s="843">
        <f>IF(I742 = "*", "*",I758/I742)</f>
        <v>0.9526627218934911</v>
      </c>
      <c r="J759" s="843"/>
      <c r="K759" s="843"/>
      <c r="L759" s="843">
        <f>IF(L742 = "*", "*",L758/L742)</f>
        <v>0.95544554455445541</v>
      </c>
      <c r="M759" s="843"/>
      <c r="N759" s="843"/>
      <c r="O759" s="843">
        <f>IF(HLOOKUP($C759,Imms201516,selection+1,FALSE)="","n/a",(HLOOKUP($C759,Imms201516,selection+1,FALSE)))</f>
        <v>0.92413793103448272</v>
      </c>
      <c r="P759" s="843"/>
      <c r="Q759" s="843"/>
      <c r="R759" s="843">
        <f>IF(HLOOKUP($C759,Imms201516,selection2+1,FALSE)="","n/a",(HLOOKUP($C759,Imms201516,selection2+1,FALSE)))</f>
        <v>0.94594594594594594</v>
      </c>
      <c r="S759" s="843"/>
      <c r="T759" s="843"/>
      <c r="U759" s="137"/>
      <c r="V759" s="137"/>
      <c r="W759" s="487"/>
    </row>
    <row r="760" spans="2:23" ht="15" x14ac:dyDescent="0.25">
      <c r="B760" s="489"/>
      <c r="C760" s="137"/>
      <c r="D760" s="847"/>
      <c r="E760" s="847"/>
      <c r="F760" s="847"/>
      <c r="G760" s="853" t="s">
        <v>594</v>
      </c>
      <c r="H760" s="853"/>
      <c r="I760" s="844" t="str">
        <f>IF(I759="*","*",IF(I759&lt; 0.95, "Lower than required coverage", IF(I759 &gt;=0.95, "Required coverage or above")))</f>
        <v>Required coverage or above</v>
      </c>
      <c r="J760" s="844"/>
      <c r="K760" s="844"/>
      <c r="L760" s="844" t="str">
        <f>IF(L759="*","*",IF(L759&lt; 0.95, "Lower than required coverage", IF(L759 &gt;=0.95, "Required coverage or above")))</f>
        <v>Required coverage or above</v>
      </c>
      <c r="M760" s="844"/>
      <c r="N760" s="844"/>
      <c r="O760" s="844" t="str">
        <f t="shared" ref="O760" si="37">IF(O759="*","*",IF(O759&lt; 0.95, "Lower than required coverage", IF(O759 &gt;=0.95, "Required coverage or above")))</f>
        <v>Lower than required coverage</v>
      </c>
      <c r="P760" s="844"/>
      <c r="Q760" s="844"/>
      <c r="R760" s="844" t="str">
        <f t="shared" ref="R760" si="38">IF(R759="*","*",IF(R759&lt; 0.95, "Lower than required coverage", IF(R759 &gt;=0.95, "Required coverage or above")))</f>
        <v>Lower than required coverage</v>
      </c>
      <c r="S760" s="844"/>
      <c r="T760" s="844"/>
      <c r="U760" s="137"/>
      <c r="V760" s="137"/>
      <c r="W760" s="487"/>
    </row>
    <row r="761" spans="2:23" s="67" customFormat="1" ht="28.5" customHeight="1" x14ac:dyDescent="0.25">
      <c r="B761" s="489"/>
      <c r="C761" s="725"/>
      <c r="D761" s="1231" t="s">
        <v>1134</v>
      </c>
      <c r="E761" s="1231"/>
      <c r="F761" s="1231"/>
      <c r="G761" s="1231"/>
      <c r="H761" s="1231"/>
      <c r="I761" s="1231"/>
      <c r="J761" s="1231"/>
      <c r="K761" s="1231"/>
      <c r="L761" s="1231"/>
      <c r="M761" s="1231"/>
      <c r="N761" s="1231"/>
      <c r="O761" s="1231"/>
      <c r="P761" s="1231"/>
      <c r="Q761" s="1231"/>
      <c r="R761" s="1231"/>
      <c r="S761" s="1231"/>
      <c r="T761" s="1231"/>
      <c r="U761" s="725"/>
      <c r="V761" s="725"/>
      <c r="W761" s="487"/>
    </row>
    <row r="762" spans="2:23" ht="15" x14ac:dyDescent="0.25">
      <c r="B762" s="489"/>
      <c r="C762" s="137"/>
      <c r="D762" s="137"/>
      <c r="E762" s="137"/>
      <c r="F762" s="137"/>
      <c r="G762" s="137"/>
      <c r="H762" s="137"/>
      <c r="I762" s="137"/>
      <c r="J762" s="137"/>
      <c r="K762" s="137"/>
      <c r="L762" s="137"/>
      <c r="M762" s="137"/>
      <c r="N762" s="137"/>
      <c r="O762" s="137"/>
      <c r="P762" s="137"/>
      <c r="Q762" s="137"/>
      <c r="R762" s="137"/>
      <c r="S762" s="137"/>
      <c r="T762" s="137"/>
      <c r="U762" s="137"/>
      <c r="V762" s="137"/>
      <c r="W762" s="487"/>
    </row>
    <row r="763" spans="2:23" ht="15" x14ac:dyDescent="0.25">
      <c r="B763" s="489"/>
      <c r="C763" s="137"/>
      <c r="D763" s="137"/>
      <c r="E763" s="137"/>
      <c r="F763" s="137"/>
      <c r="G763" s="137"/>
      <c r="H763" s="137"/>
      <c r="I763" s="137"/>
      <c r="J763" s="137"/>
      <c r="K763" s="137"/>
      <c r="L763" s="137"/>
      <c r="M763" s="137"/>
      <c r="N763" s="137"/>
      <c r="O763" s="137"/>
      <c r="P763" s="137"/>
      <c r="Q763" s="137"/>
      <c r="R763" s="137"/>
      <c r="S763" s="137"/>
      <c r="T763" s="137"/>
      <c r="U763" s="137"/>
      <c r="V763" s="137"/>
      <c r="W763" s="487"/>
    </row>
    <row r="764" spans="2:23" ht="15" x14ac:dyDescent="0.25">
      <c r="B764" s="489"/>
      <c r="C764" s="137"/>
      <c r="D764" s="137"/>
      <c r="E764" s="137"/>
      <c r="F764" s="137"/>
      <c r="G764" s="137"/>
      <c r="H764" s="137"/>
      <c r="I764" s="137"/>
      <c r="J764" s="137"/>
      <c r="K764" s="137"/>
      <c r="L764" s="137"/>
      <c r="M764" s="137"/>
      <c r="N764" s="137"/>
      <c r="O764" s="137"/>
      <c r="P764" s="137"/>
      <c r="Q764" s="137"/>
      <c r="R764" s="137"/>
      <c r="S764" s="137"/>
      <c r="T764" s="137"/>
      <c r="U764" s="137"/>
      <c r="V764" s="137"/>
      <c r="W764" s="487"/>
    </row>
    <row r="765" spans="2:23" s="67" customFormat="1" ht="15" x14ac:dyDescent="0.25">
      <c r="B765" s="489"/>
      <c r="C765" s="721"/>
      <c r="D765" s="721"/>
      <c r="E765" s="721"/>
      <c r="F765" s="721"/>
      <c r="G765" s="721"/>
      <c r="H765" s="721"/>
      <c r="I765" s="721"/>
      <c r="J765" s="721"/>
      <c r="K765" s="721"/>
      <c r="L765" s="721"/>
      <c r="M765" s="721"/>
      <c r="N765" s="721"/>
      <c r="O765" s="721"/>
      <c r="P765" s="721"/>
      <c r="Q765" s="721"/>
      <c r="R765" s="721"/>
      <c r="S765" s="721"/>
      <c r="T765" s="721"/>
      <c r="U765" s="721"/>
      <c r="V765" s="721"/>
      <c r="W765" s="487"/>
    </row>
    <row r="766" spans="2:23" s="67" customFormat="1" ht="15" x14ac:dyDescent="0.25">
      <c r="B766" s="489"/>
      <c r="C766" s="721"/>
      <c r="D766" s="721"/>
      <c r="E766" s="721"/>
      <c r="F766" s="721"/>
      <c r="G766" s="721"/>
      <c r="H766" s="721"/>
      <c r="I766" s="845" t="s">
        <v>503</v>
      </c>
      <c r="J766" s="845"/>
      <c r="K766" s="845"/>
      <c r="L766" s="845"/>
      <c r="M766" s="845"/>
      <c r="N766" s="845"/>
      <c r="O766" s="845" t="s">
        <v>1018</v>
      </c>
      <c r="P766" s="845"/>
      <c r="Q766" s="845"/>
      <c r="R766" s="845"/>
      <c r="S766" s="845"/>
      <c r="T766" s="845"/>
      <c r="U766" s="721"/>
      <c r="V766" s="721"/>
      <c r="W766" s="487"/>
    </row>
    <row r="767" spans="2:23" ht="15" customHeight="1" x14ac:dyDescent="0.25">
      <c r="B767" s="489"/>
      <c r="C767" s="137"/>
      <c r="D767" s="845"/>
      <c r="E767" s="845"/>
      <c r="F767" s="845"/>
      <c r="G767" s="845"/>
      <c r="H767" s="845"/>
      <c r="I767" s="848" t="str">
        <f>INDEX(Locations, selection)</f>
        <v>Angmering</v>
      </c>
      <c r="J767" s="849"/>
      <c r="K767" s="850"/>
      <c r="L767" s="851" t="str">
        <f>INDEX(Locations, selection2)</f>
        <v>Bewbush</v>
      </c>
      <c r="M767" s="852"/>
      <c r="N767" s="852"/>
      <c r="O767" s="848" t="str">
        <f>INDEX(Locations, selection)</f>
        <v>Angmering</v>
      </c>
      <c r="P767" s="849"/>
      <c r="Q767" s="850"/>
      <c r="R767" s="851" t="str">
        <f>INDEX(Locations, selection2)</f>
        <v>Bewbush</v>
      </c>
      <c r="S767" s="852"/>
      <c r="T767" s="852"/>
      <c r="U767" s="137"/>
      <c r="V767" s="137"/>
      <c r="W767" s="487"/>
    </row>
    <row r="768" spans="2:23" ht="15" x14ac:dyDescent="0.25">
      <c r="B768" s="489"/>
      <c r="C768" s="137"/>
      <c r="D768" s="845"/>
      <c r="E768" s="845"/>
      <c r="F768" s="845"/>
      <c r="G768" s="845"/>
      <c r="H768" s="845"/>
      <c r="I768" s="848"/>
      <c r="J768" s="849"/>
      <c r="K768" s="850"/>
      <c r="L768" s="851"/>
      <c r="M768" s="852"/>
      <c r="N768" s="852"/>
      <c r="O768" s="848"/>
      <c r="P768" s="849"/>
      <c r="Q768" s="850"/>
      <c r="R768" s="851"/>
      <c r="S768" s="852"/>
      <c r="T768" s="852"/>
      <c r="U768" s="137"/>
      <c r="V768" s="137"/>
      <c r="W768" s="487"/>
    </row>
    <row r="769" spans="2:23" ht="15" customHeight="1" x14ac:dyDescent="0.2">
      <c r="B769" s="489"/>
      <c r="C769" s="67"/>
      <c r="D769" s="845"/>
      <c r="E769" s="845"/>
      <c r="F769" s="845"/>
      <c r="G769" s="845"/>
      <c r="H769" s="845"/>
      <c r="I769" s="848"/>
      <c r="J769" s="849"/>
      <c r="K769" s="850"/>
      <c r="L769" s="851"/>
      <c r="M769" s="852"/>
      <c r="N769" s="852"/>
      <c r="O769" s="848"/>
      <c r="P769" s="849"/>
      <c r="Q769" s="850"/>
      <c r="R769" s="851"/>
      <c r="S769" s="852"/>
      <c r="T769" s="852"/>
      <c r="U769" s="67"/>
      <c r="V769" s="67"/>
      <c r="W769" s="489"/>
    </row>
    <row r="770" spans="2:23" ht="15" x14ac:dyDescent="0.25">
      <c r="B770" s="489"/>
      <c r="C770" s="74" t="s">
        <v>896</v>
      </c>
      <c r="D770" s="853" t="s">
        <v>597</v>
      </c>
      <c r="E770" s="853"/>
      <c r="F770" s="853"/>
      <c r="G770" s="853"/>
      <c r="H770" s="853"/>
      <c r="I770" s="847">
        <f>HLOOKUP(C770,Imms201415,selection+1, FALSE)</f>
        <v>162</v>
      </c>
      <c r="J770" s="847"/>
      <c r="K770" s="847"/>
      <c r="L770" s="847">
        <f>HLOOKUP(C770,Imms201415,selection2+1,FALSE)</f>
        <v>229</v>
      </c>
      <c r="M770" s="847"/>
      <c r="N770" s="847"/>
      <c r="O770" s="847">
        <f>HLOOKUP(C770,Imms201516,selection+1, FALSE)</f>
        <v>193</v>
      </c>
      <c r="P770" s="847"/>
      <c r="Q770" s="847"/>
      <c r="R770" s="847">
        <f>HLOOKUP(C770,Imms201516,selection2+1,FALSE)</f>
        <v>220</v>
      </c>
      <c r="S770" s="847"/>
      <c r="T770" s="847"/>
      <c r="U770" s="67"/>
      <c r="V770" s="67"/>
      <c r="W770" s="489"/>
    </row>
    <row r="771" spans="2:23" ht="15.75" customHeight="1" x14ac:dyDescent="0.25">
      <c r="B771" s="489"/>
      <c r="C771" s="74" t="s">
        <v>910</v>
      </c>
      <c r="D771" s="847" t="s">
        <v>928</v>
      </c>
      <c r="E771" s="847"/>
      <c r="F771" s="847"/>
      <c r="G771" s="853" t="s">
        <v>592</v>
      </c>
      <c r="H771" s="853"/>
      <c r="I771" s="847">
        <f>IF(HLOOKUP(C771,Imms201415,selection+1,FALSE)="","n/a",(HLOOKUP(C771,Imms201415,selection+1,FALSE)))</f>
        <v>159</v>
      </c>
      <c r="J771" s="847"/>
      <c r="K771" s="847"/>
      <c r="L771" s="847">
        <f>IF(HLOOKUP(C771,Imms201415,selection2+1,FALSE)="","n/a",(HLOOKUP(C771,Imms201415,selection2+1,FALSE)))</f>
        <v>226</v>
      </c>
      <c r="M771" s="847"/>
      <c r="N771" s="847"/>
      <c r="O771" s="847">
        <f>HLOOKUP(C771,Imms201516,selection+1, FALSE)</f>
        <v>190</v>
      </c>
      <c r="P771" s="847"/>
      <c r="Q771" s="847"/>
      <c r="R771" s="847">
        <f>HLOOKUP(C771,Imms201516,selection2+1,FALSE)</f>
        <v>215</v>
      </c>
      <c r="S771" s="847"/>
      <c r="T771" s="847"/>
      <c r="U771" s="67"/>
      <c r="V771" s="67"/>
      <c r="W771" s="489"/>
    </row>
    <row r="772" spans="2:23" ht="15" x14ac:dyDescent="0.25">
      <c r="B772" s="489"/>
      <c r="C772" s="74" t="s">
        <v>901</v>
      </c>
      <c r="D772" s="847"/>
      <c r="E772" s="847"/>
      <c r="F772" s="847"/>
      <c r="G772" s="853" t="s">
        <v>593</v>
      </c>
      <c r="H772" s="853"/>
      <c r="I772" s="843">
        <f>IF(I$770 = "*", "*",I771/I$770)</f>
        <v>0.98148148148148151</v>
      </c>
      <c r="J772" s="843"/>
      <c r="K772" s="843"/>
      <c r="L772" s="843">
        <f>IF(L770 = "*", "*",L771/L770)</f>
        <v>0.98689956331877726</v>
      </c>
      <c r="M772" s="843"/>
      <c r="N772" s="843"/>
      <c r="O772" s="843">
        <f>HLOOKUP(C772,Imms201516,selection+1, FALSE)</f>
        <v>0.98445595854922274</v>
      </c>
      <c r="P772" s="843"/>
      <c r="Q772" s="843"/>
      <c r="R772" s="843">
        <f>HLOOKUP(C772,Imms201516,selection2+1,FALSE)</f>
        <v>0.97727272727272729</v>
      </c>
      <c r="S772" s="843"/>
      <c r="T772" s="843"/>
      <c r="U772" s="67"/>
      <c r="V772" s="67"/>
      <c r="W772" s="489"/>
    </row>
    <row r="773" spans="2:23" ht="15" customHeight="1" x14ac:dyDescent="0.25">
      <c r="B773" s="489"/>
      <c r="C773" s="74"/>
      <c r="D773" s="847"/>
      <c r="E773" s="847"/>
      <c r="F773" s="847"/>
      <c r="G773" s="853" t="s">
        <v>594</v>
      </c>
      <c r="H773" s="853"/>
      <c r="I773" s="844" t="str">
        <f>IF(I772="*","*",IF(I772&lt; 0.95, "Lower than required coverage", IF(I772 &gt;=0.95, "Required coverage or above")))</f>
        <v>Required coverage or above</v>
      </c>
      <c r="J773" s="844"/>
      <c r="K773" s="844"/>
      <c r="L773" s="844" t="str">
        <f>IF(L772="*","*",IF(L772&lt; 0.95, "Lower than required coverage", IF(L772 &gt;=0.95, "Required coverage or above")))</f>
        <v>Required coverage or above</v>
      </c>
      <c r="M773" s="844"/>
      <c r="N773" s="844"/>
      <c r="O773" s="844" t="str">
        <f t="shared" ref="O773" si="39">IF(O772="*","*",IF(O772&lt; 0.95, "Lower than required coverage", IF(O772 &gt;=0.95, "Required coverage or above")))</f>
        <v>Required coverage or above</v>
      </c>
      <c r="P773" s="844"/>
      <c r="Q773" s="844"/>
      <c r="R773" s="844" t="str">
        <f t="shared" ref="R773" si="40">IF(R772="*","*",IF(R772&lt; 0.95, "Lower than required coverage", IF(R772 &gt;=0.95, "Required coverage or above")))</f>
        <v>Required coverage or above</v>
      </c>
      <c r="S773" s="844"/>
      <c r="T773" s="844"/>
      <c r="U773" s="67"/>
      <c r="V773" s="67"/>
      <c r="W773" s="489"/>
    </row>
    <row r="774" spans="2:23" ht="15" customHeight="1" x14ac:dyDescent="0.25">
      <c r="B774" s="489"/>
      <c r="C774" s="74" t="s">
        <v>911</v>
      </c>
      <c r="D774" s="847" t="s">
        <v>927</v>
      </c>
      <c r="E774" s="847"/>
      <c r="F774" s="847"/>
      <c r="G774" s="853" t="s">
        <v>592</v>
      </c>
      <c r="H774" s="853"/>
      <c r="I774" s="847">
        <f>IF(HLOOKUP(C774,Imms201415,selection+1,FALSE)="","n/a",(HLOOKUP(C774,Imms201415,selection+1,FALSE)))</f>
        <v>160</v>
      </c>
      <c r="J774" s="847"/>
      <c r="K774" s="847"/>
      <c r="L774" s="847">
        <f>IF(HLOOKUP(C774,Imms201415,selection2+1,FALSE)="","n/a",(HLOOKUP(C774,Imms201415,selection2+1,FALSE)))</f>
        <v>221</v>
      </c>
      <c r="M774" s="847"/>
      <c r="N774" s="847"/>
      <c r="O774" s="846">
        <f>HLOOKUP(C774,Imms201516,selection+1, FALSE)</f>
        <v>151</v>
      </c>
      <c r="P774" s="846"/>
      <c r="Q774" s="846"/>
      <c r="R774" s="846">
        <f>HLOOKUP(C774,Imms201516,selection2+1,FALSE)</f>
        <v>159</v>
      </c>
      <c r="S774" s="846"/>
      <c r="T774" s="846"/>
      <c r="U774" s="67"/>
      <c r="V774" s="67"/>
      <c r="W774" s="489"/>
    </row>
    <row r="775" spans="2:23" ht="15" x14ac:dyDescent="0.25">
      <c r="B775" s="489"/>
      <c r="C775" s="74" t="s">
        <v>902</v>
      </c>
      <c r="D775" s="847"/>
      <c r="E775" s="847"/>
      <c r="F775" s="847"/>
      <c r="G775" s="853" t="s">
        <v>593</v>
      </c>
      <c r="H775" s="853"/>
      <c r="I775" s="843">
        <f>IF(I$770 = "*", "*",I774/I$770)</f>
        <v>0.98765432098765427</v>
      </c>
      <c r="J775" s="843"/>
      <c r="K775" s="843"/>
      <c r="L775" s="843">
        <f>IF(L$770 = "*", "*",L774/L$770)</f>
        <v>0.96506550218340614</v>
      </c>
      <c r="M775" s="843"/>
      <c r="N775" s="843"/>
      <c r="O775" s="843">
        <f>HLOOKUP(C775,Imms201516,selection+1, FALSE)</f>
        <v>0.78238341968911918</v>
      </c>
      <c r="P775" s="843"/>
      <c r="Q775" s="843"/>
      <c r="R775" s="843">
        <f>HLOOKUP(C775,Imms201516,selection2+1,FALSE)</f>
        <v>0.72272727272727277</v>
      </c>
      <c r="S775" s="843"/>
      <c r="T775" s="843"/>
      <c r="U775" s="67"/>
      <c r="V775" s="67"/>
      <c r="W775" s="489"/>
    </row>
    <row r="776" spans="2:23" ht="15" customHeight="1" x14ac:dyDescent="0.25">
      <c r="B776" s="489"/>
      <c r="C776" s="74"/>
      <c r="D776" s="847"/>
      <c r="E776" s="847"/>
      <c r="F776" s="847"/>
      <c r="G776" s="853" t="s">
        <v>594</v>
      </c>
      <c r="H776" s="853"/>
      <c r="I776" s="844" t="str">
        <f>IF(I775="*","*",IF(I775&lt; 0.95, "Lower than required coverage", IF(I775 &gt;=0.95, "Required coverage or above")))</f>
        <v>Required coverage or above</v>
      </c>
      <c r="J776" s="844"/>
      <c r="K776" s="844"/>
      <c r="L776" s="844" t="str">
        <f>IF(L775="*","*",IF(L775&lt; 0.95, "Lower than required coverage", IF(L775 &gt;=0.95, "Required coverage or above")))</f>
        <v>Required coverage or above</v>
      </c>
      <c r="M776" s="844"/>
      <c r="N776" s="844"/>
      <c r="O776" s="844" t="str">
        <f t="shared" ref="O776" si="41">IF(O775="*","*",IF(O775&lt; 0.95, "Lower than required coverage", IF(O775 &gt;=0.95, "Required coverage or above")))</f>
        <v>Lower than required coverage</v>
      </c>
      <c r="P776" s="844"/>
      <c r="Q776" s="844"/>
      <c r="R776" s="844" t="str">
        <f t="shared" ref="R776" si="42">IF(R775="*","*",IF(R775&lt; 0.95, "Lower than required coverage", IF(R775 &gt;=0.95, "Required coverage or above")))</f>
        <v>Lower than required coverage</v>
      </c>
      <c r="S776" s="844"/>
      <c r="T776" s="844"/>
      <c r="U776" s="67"/>
      <c r="V776" s="67"/>
      <c r="W776" s="489"/>
    </row>
    <row r="777" spans="2:23" ht="15" customHeight="1" x14ac:dyDescent="0.25">
      <c r="B777" s="489"/>
      <c r="C777" s="74" t="s">
        <v>915</v>
      </c>
      <c r="D777" s="847" t="s">
        <v>930</v>
      </c>
      <c r="E777" s="847"/>
      <c r="F777" s="847"/>
      <c r="G777" s="853" t="s">
        <v>592</v>
      </c>
      <c r="H777" s="853"/>
      <c r="I777" s="847">
        <f>IF(HLOOKUP(C777,Imms201415,selection+1,FALSE)="","n/a",(HLOOKUP(C777,Imms201415,selection+1,FALSE)))</f>
        <v>160</v>
      </c>
      <c r="J777" s="847"/>
      <c r="K777" s="847"/>
      <c r="L777" s="847">
        <f>IF(HLOOKUP(C777,Imms201415,selection2+1,FALSE)="","n/a",(HLOOKUP(C777,Imms201415,selection2+1,FALSE)))</f>
        <v>223</v>
      </c>
      <c r="M777" s="847"/>
      <c r="N777" s="847"/>
      <c r="O777" s="843">
        <f>HLOOKUP(C777,Imms201516,selection+1, FALSE)</f>
        <v>151</v>
      </c>
      <c r="P777" s="843"/>
      <c r="Q777" s="843"/>
      <c r="R777" s="843">
        <f>HLOOKUP(C777,Imms201516,selection2+1,FALSE)</f>
        <v>163</v>
      </c>
      <c r="S777" s="843"/>
      <c r="T777" s="843"/>
      <c r="U777" s="67"/>
      <c r="V777" s="67"/>
      <c r="W777" s="489"/>
    </row>
    <row r="778" spans="2:23" ht="15" x14ac:dyDescent="0.25">
      <c r="B778" s="489"/>
      <c r="C778" s="74" t="s">
        <v>906</v>
      </c>
      <c r="D778" s="847"/>
      <c r="E778" s="847"/>
      <c r="F778" s="847"/>
      <c r="G778" s="853" t="s">
        <v>593</v>
      </c>
      <c r="H778" s="853"/>
      <c r="I778" s="843">
        <f>IF(I$770 = "*", "*",I777/I$770)</f>
        <v>0.98765432098765427</v>
      </c>
      <c r="J778" s="843"/>
      <c r="K778" s="843"/>
      <c r="L778" s="843">
        <f>IF(L$770 = "*", "*",L777/L$770)</f>
        <v>0.97379912663755464</v>
      </c>
      <c r="M778" s="843"/>
      <c r="N778" s="843"/>
      <c r="O778" s="843">
        <f>HLOOKUP(C778,Imms201516,selection+1, FALSE)</f>
        <v>0.78238341968911918</v>
      </c>
      <c r="P778" s="843"/>
      <c r="Q778" s="843"/>
      <c r="R778" s="843">
        <f>HLOOKUP(C778,Imms201516,selection2+1,FALSE)</f>
        <v>0.74090909090909096</v>
      </c>
      <c r="S778" s="843"/>
      <c r="T778" s="843"/>
      <c r="U778" s="67"/>
      <c r="V778" s="67"/>
      <c r="W778" s="489"/>
    </row>
    <row r="779" spans="2:23" ht="15" customHeight="1" x14ac:dyDescent="0.25">
      <c r="B779" s="489"/>
      <c r="C779" s="74"/>
      <c r="D779" s="847"/>
      <c r="E779" s="847"/>
      <c r="F779" s="847"/>
      <c r="G779" s="853" t="s">
        <v>594</v>
      </c>
      <c r="H779" s="853"/>
      <c r="I779" s="844" t="str">
        <f>IF(I778="*","*",IF(I778&lt; 0.95, "Lower than required coverage", IF(I778 &gt;=0.95, "Required coverage or above")))</f>
        <v>Required coverage or above</v>
      </c>
      <c r="J779" s="844"/>
      <c r="K779" s="844"/>
      <c r="L779" s="844" t="str">
        <f>IF(L778="*","*",IF(L778&lt; 0.95, "Lower than required coverage", IF(L778 &gt;=0.95, "Required coverage or above")))</f>
        <v>Required coverage or above</v>
      </c>
      <c r="M779" s="844"/>
      <c r="N779" s="844"/>
      <c r="O779" s="844" t="str">
        <f t="shared" ref="O779" si="43">IF(O778="*","*",IF(O778&lt; 0.95, "Lower than required coverage", IF(O778 &gt;=0.95, "Required coverage or above")))</f>
        <v>Lower than required coverage</v>
      </c>
      <c r="P779" s="844"/>
      <c r="Q779" s="844"/>
      <c r="R779" s="844" t="str">
        <f t="shared" ref="R779" si="44">IF(R778="*","*",IF(R778&lt; 0.95, "Lower than required coverage", IF(R778 &gt;=0.95, "Required coverage or above")))</f>
        <v>Lower than required coverage</v>
      </c>
      <c r="S779" s="844"/>
      <c r="T779" s="844"/>
      <c r="U779" s="67"/>
      <c r="V779" s="67"/>
      <c r="W779" s="489"/>
    </row>
    <row r="780" spans="2:23" s="67" customFormat="1" ht="15" customHeight="1" x14ac:dyDescent="0.25">
      <c r="B780" s="489"/>
      <c r="C780" s="74" t="s">
        <v>913</v>
      </c>
      <c r="D780" s="847" t="s">
        <v>932</v>
      </c>
      <c r="E780" s="847"/>
      <c r="F780" s="847"/>
      <c r="G780" s="853" t="s">
        <v>592</v>
      </c>
      <c r="H780" s="853"/>
      <c r="I780" s="847">
        <f>IF(HLOOKUP(C780,Imms201415,selection+1,FALSE)="","n/a",(HLOOKUP(C780,Imms201415,selection+1,FALSE)))</f>
        <v>152</v>
      </c>
      <c r="J780" s="847"/>
      <c r="K780" s="847"/>
      <c r="L780" s="847">
        <f>IF(HLOOKUP(C780,Imms201415,selection2+1,FALSE)="","n/a",(HLOOKUP(C780,Imms201415,selection2+1,FALSE)))</f>
        <v>221</v>
      </c>
      <c r="M780" s="847"/>
      <c r="N780" s="847"/>
      <c r="O780" s="846">
        <f>HLOOKUP(C780,Imms201516,selection+1, FALSE)</f>
        <v>182</v>
      </c>
      <c r="P780" s="846"/>
      <c r="Q780" s="846"/>
      <c r="R780" s="846">
        <f>HLOOKUP(C780,Imms201516,selection2+1,FALSE)</f>
        <v>210</v>
      </c>
      <c r="S780" s="846"/>
      <c r="T780" s="846"/>
      <c r="W780" s="489"/>
    </row>
    <row r="781" spans="2:23" s="67" customFormat="1" ht="15" x14ac:dyDescent="0.25">
      <c r="B781" s="489"/>
      <c r="C781" s="74" t="s">
        <v>904</v>
      </c>
      <c r="D781" s="847"/>
      <c r="E781" s="847"/>
      <c r="F781" s="847"/>
      <c r="G781" s="853" t="s">
        <v>593</v>
      </c>
      <c r="H781" s="853"/>
      <c r="I781" s="843">
        <f>IF(I$770 = "*", "*",I780/I$770)</f>
        <v>0.93827160493827155</v>
      </c>
      <c r="J781" s="843"/>
      <c r="K781" s="843"/>
      <c r="L781" s="843">
        <f>IF(L$770 = "*", "*",L780/L$770)</f>
        <v>0.96506550218340614</v>
      </c>
      <c r="M781" s="843"/>
      <c r="N781" s="843"/>
      <c r="O781" s="843">
        <f>HLOOKUP(C781,Imms201516,selection+1, FALSE)</f>
        <v>0.94300518134715028</v>
      </c>
      <c r="P781" s="843"/>
      <c r="Q781" s="843"/>
      <c r="R781" s="843">
        <f>HLOOKUP(C781,Imms201516,selection2+1,FALSE)</f>
        <v>0.95454545454545459</v>
      </c>
      <c r="S781" s="843"/>
      <c r="T781" s="843"/>
      <c r="W781" s="489"/>
    </row>
    <row r="782" spans="2:23" s="67" customFormat="1" ht="15" x14ac:dyDescent="0.25">
      <c r="B782" s="489"/>
      <c r="C782" s="74"/>
      <c r="D782" s="847"/>
      <c r="E782" s="847"/>
      <c r="F782" s="847"/>
      <c r="G782" s="853" t="s">
        <v>594</v>
      </c>
      <c r="H782" s="853"/>
      <c r="I782" s="844" t="str">
        <f>IF(I781="*","*",IF(I781&lt; 0.95, "Lower than required coverage", IF(I781 &gt;=0.95, "Required coverage or above")))</f>
        <v>Lower than required coverage</v>
      </c>
      <c r="J782" s="844"/>
      <c r="K782" s="844"/>
      <c r="L782" s="844" t="str">
        <f>IF(L781="*","*",IF(L781&lt; 0.95, "Lower than required coverage", IF(L781 &gt;=0.95, "Required coverage or above")))</f>
        <v>Required coverage or above</v>
      </c>
      <c r="M782" s="844"/>
      <c r="N782" s="844"/>
      <c r="O782" s="844" t="str">
        <f t="shared" ref="O782" si="45">IF(O781="*","*",IF(O781&lt; 0.95, "Lower than required coverage", IF(O781 &gt;=0.95, "Required coverage or above")))</f>
        <v>Lower than required coverage</v>
      </c>
      <c r="P782" s="844"/>
      <c r="Q782" s="844"/>
      <c r="R782" s="844" t="str">
        <f t="shared" ref="R782" si="46">IF(R781="*","*",IF(R781&lt; 0.95, "Lower than required coverage", IF(R781 &gt;=0.95, "Required coverage or above")))</f>
        <v>Required coverage or above</v>
      </c>
      <c r="S782" s="844"/>
      <c r="T782" s="844"/>
      <c r="W782" s="489"/>
    </row>
    <row r="783" spans="2:23" s="67" customFormat="1" ht="15.75" customHeight="1" x14ac:dyDescent="0.25">
      <c r="B783" s="489"/>
      <c r="C783" s="74" t="s">
        <v>908</v>
      </c>
      <c r="D783" s="847" t="s">
        <v>935</v>
      </c>
      <c r="E783" s="847"/>
      <c r="F783" s="847"/>
      <c r="G783" s="853" t="s">
        <v>592</v>
      </c>
      <c r="H783" s="853"/>
      <c r="I783" s="847">
        <f>IF(HLOOKUP(C783,Imms201415,selection+1,FALSE)="","n/a",(HLOOKUP(C783,Imms201415,selection+1,FALSE)))</f>
        <v>159</v>
      </c>
      <c r="J783" s="847"/>
      <c r="K783" s="847"/>
      <c r="L783" s="847">
        <f>IF(HLOOKUP(C783,Imms201415,selection2+1,FALSE)="","n/a",(HLOOKUP(C783,Imms201415,selection2+1,FALSE)))</f>
        <v>228</v>
      </c>
      <c r="M783" s="847"/>
      <c r="N783" s="847"/>
      <c r="O783" s="846">
        <f>HLOOKUP(C783,Imms201516,selection+1, FALSE)</f>
        <v>190</v>
      </c>
      <c r="P783" s="846"/>
      <c r="Q783" s="846"/>
      <c r="R783" s="846">
        <f>HLOOKUP(C783,Imms201516,selection2+1,FALSE)</f>
        <v>215</v>
      </c>
      <c r="S783" s="846"/>
      <c r="T783" s="846"/>
      <c r="W783" s="489"/>
    </row>
    <row r="784" spans="2:23" s="67" customFormat="1" ht="15" x14ac:dyDescent="0.25">
      <c r="B784" s="489"/>
      <c r="C784" s="74" t="s">
        <v>897</v>
      </c>
      <c r="D784" s="847"/>
      <c r="E784" s="847"/>
      <c r="F784" s="847"/>
      <c r="G784" s="853" t="s">
        <v>593</v>
      </c>
      <c r="H784" s="853"/>
      <c r="I784" s="843">
        <f>IF(I$770 = "*", "*",I783/I$770)</f>
        <v>0.98148148148148151</v>
      </c>
      <c r="J784" s="843"/>
      <c r="K784" s="843"/>
      <c r="L784" s="843">
        <f>IF(L$770 = "*", "*",L783/L$770)</f>
        <v>0.99563318777292575</v>
      </c>
      <c r="M784" s="843"/>
      <c r="N784" s="843"/>
      <c r="O784" s="843">
        <f>HLOOKUP(C784,Imms201516,selection+1, FALSE)</f>
        <v>0.98445595854922274</v>
      </c>
      <c r="P784" s="843"/>
      <c r="Q784" s="843"/>
      <c r="R784" s="843">
        <f>HLOOKUP(C784,Imms201516,selection2+1,FALSE)</f>
        <v>0.97727272727272729</v>
      </c>
      <c r="S784" s="843"/>
      <c r="T784" s="843"/>
      <c r="W784" s="489"/>
    </row>
    <row r="785" spans="2:23" s="67" customFormat="1" ht="15" x14ac:dyDescent="0.25">
      <c r="B785" s="489"/>
      <c r="C785" s="74"/>
      <c r="D785" s="847"/>
      <c r="E785" s="847"/>
      <c r="F785" s="847"/>
      <c r="G785" s="853" t="s">
        <v>594</v>
      </c>
      <c r="H785" s="853"/>
      <c r="I785" s="844" t="str">
        <f>IF(I784="*","*",IF(I784&lt; 0.95, "Lower than required coverage", IF(I784 &gt;=0.95, "Required coverage or above")))</f>
        <v>Required coverage or above</v>
      </c>
      <c r="J785" s="844"/>
      <c r="K785" s="844"/>
      <c r="L785" s="844" t="str">
        <f>IF(L784="*","*",IF(L784&lt; 0.95, "Lower than required coverage", IF(L784 &gt;=0.95, "Required coverage or above")))</f>
        <v>Required coverage or above</v>
      </c>
      <c r="M785" s="844"/>
      <c r="N785" s="844"/>
      <c r="O785" s="844" t="str">
        <f t="shared" ref="O785" si="47">IF(O784="*","*",IF(O784&lt; 0.95, "Lower than required coverage", IF(O784 &gt;=0.95, "Required coverage or above")))</f>
        <v>Required coverage or above</v>
      </c>
      <c r="P785" s="844"/>
      <c r="Q785" s="844"/>
      <c r="R785" s="844" t="str">
        <f t="shared" ref="R785" si="48">IF(R784="*","*",IF(R784&lt; 0.95, "Lower than required coverage", IF(R784 &gt;=0.95, "Required coverage or above")))</f>
        <v>Required coverage or above</v>
      </c>
      <c r="S785" s="844"/>
      <c r="T785" s="844"/>
      <c r="W785" s="489"/>
    </row>
    <row r="786" spans="2:23" ht="15" customHeight="1" x14ac:dyDescent="0.25">
      <c r="B786" s="489"/>
      <c r="C786" s="74" t="s">
        <v>916</v>
      </c>
      <c r="D786" s="847" t="s">
        <v>1131</v>
      </c>
      <c r="E786" s="847"/>
      <c r="F786" s="847"/>
      <c r="G786" s="853" t="s">
        <v>592</v>
      </c>
      <c r="H786" s="853"/>
      <c r="I786" s="847">
        <f>IF(HLOOKUP(C786,Imms201415,selection+1,FALSE)="","n/a",(HLOOKUP(C786,Imms201415,selection+1,FALSE)))</f>
        <v>152</v>
      </c>
      <c r="J786" s="847"/>
      <c r="K786" s="847"/>
      <c r="L786" s="847">
        <f>IF(HLOOKUP(C786,Imms201415,selection2+1,FALSE)="","n/a",(HLOOKUP(C786,Imms201415,selection2+1,FALSE)))</f>
        <v>221</v>
      </c>
      <c r="M786" s="847"/>
      <c r="N786" s="847"/>
      <c r="O786" s="846">
        <f>HLOOKUP(C786,Imms201516,selection+1, FALSE)</f>
        <v>141</v>
      </c>
      <c r="P786" s="846"/>
      <c r="Q786" s="846"/>
      <c r="R786" s="846">
        <f>HLOOKUP(C786,Imms201516,selection2+1,FALSE)</f>
        <v>152</v>
      </c>
      <c r="S786" s="846"/>
      <c r="T786" s="846"/>
      <c r="U786" s="67"/>
      <c r="V786" s="67"/>
      <c r="W786" s="489"/>
    </row>
    <row r="787" spans="2:23" ht="15" x14ac:dyDescent="0.25">
      <c r="B787" s="489"/>
      <c r="C787" s="74" t="s">
        <v>907</v>
      </c>
      <c r="D787" s="847"/>
      <c r="E787" s="847"/>
      <c r="F787" s="847"/>
      <c r="G787" s="853" t="s">
        <v>593</v>
      </c>
      <c r="H787" s="853"/>
      <c r="I787" s="843">
        <f>IF(I$770 = "*", "*",I786/I$770)</f>
        <v>0.93827160493827155</v>
      </c>
      <c r="J787" s="843"/>
      <c r="K787" s="843"/>
      <c r="L787" s="843">
        <f>IF(L$770 = "*", "*",L786/L$770)</f>
        <v>0.96506550218340614</v>
      </c>
      <c r="M787" s="843"/>
      <c r="N787" s="843"/>
      <c r="O787" s="843">
        <f>HLOOKUP(C787,Imms201516,selection+1, FALSE)</f>
        <v>0.73056994818652854</v>
      </c>
      <c r="P787" s="843"/>
      <c r="Q787" s="843"/>
      <c r="R787" s="843">
        <f>HLOOKUP(C787,Imms201516,selection2+1,FALSE)</f>
        <v>0.69090909090909092</v>
      </c>
      <c r="S787" s="843"/>
      <c r="T787" s="843"/>
      <c r="U787" s="67"/>
      <c r="V787" s="67"/>
      <c r="W787" s="489"/>
    </row>
    <row r="788" spans="2:23" ht="15" x14ac:dyDescent="0.25">
      <c r="B788" s="489"/>
      <c r="C788" s="74"/>
      <c r="D788" s="847"/>
      <c r="E788" s="847"/>
      <c r="F788" s="847"/>
      <c r="G788" s="853" t="s">
        <v>594</v>
      </c>
      <c r="H788" s="853"/>
      <c r="I788" s="844" t="str">
        <f>IF(I787="*","*",IF(I787&lt; 0.95, "Lower than required coverage", IF(I787 &gt;=0.95, "Required coverage or above")))</f>
        <v>Lower than required coverage</v>
      </c>
      <c r="J788" s="844"/>
      <c r="K788" s="844"/>
      <c r="L788" s="844" t="str">
        <f>IF(L787="*","*",IF(L787&lt; 0.95, "Lower than required coverage", IF(L787 &gt;=0.95, "Required coverage or above")))</f>
        <v>Required coverage or above</v>
      </c>
      <c r="M788" s="844"/>
      <c r="N788" s="844"/>
      <c r="O788" s="844" t="str">
        <f t="shared" ref="O788" si="49">IF(O787="*","*",IF(O787&lt; 0.95, "Lower than required coverage", IF(O787 &gt;=0.95, "Required coverage or above")))</f>
        <v>Lower than required coverage</v>
      </c>
      <c r="P788" s="844"/>
      <c r="Q788" s="844"/>
      <c r="R788" s="844" t="str">
        <f t="shared" ref="R788" si="50">IF(R787="*","*",IF(R787&lt; 0.95, "Lower than required coverage", IF(R787 &gt;=0.95, "Required coverage or above")))</f>
        <v>Lower than required coverage</v>
      </c>
      <c r="S788" s="844"/>
      <c r="T788" s="844"/>
      <c r="U788" s="67"/>
      <c r="V788" s="67"/>
      <c r="W788" s="489"/>
    </row>
    <row r="789" spans="2:23" ht="15" customHeight="1" x14ac:dyDescent="0.25">
      <c r="B789" s="489"/>
      <c r="C789" s="74" t="s">
        <v>912</v>
      </c>
      <c r="D789" s="847" t="s">
        <v>933</v>
      </c>
      <c r="E789" s="847"/>
      <c r="F789" s="847"/>
      <c r="G789" s="853" t="s">
        <v>592</v>
      </c>
      <c r="H789" s="853"/>
      <c r="I789" s="847">
        <f>IF(HLOOKUP(C789,Imms201415,selection+1,FALSE)="","n/a",(HLOOKUP(C789,Imms201415,selection+1,FALSE)))</f>
        <v>150</v>
      </c>
      <c r="J789" s="847"/>
      <c r="K789" s="847"/>
      <c r="L789" s="847">
        <f>IF(HLOOKUP(C789,Imms201415,selection2+1,FALSE)="","n/a",(HLOOKUP(C789,Imms201415,selection2+1,FALSE)))</f>
        <v>195</v>
      </c>
      <c r="M789" s="847"/>
      <c r="N789" s="847"/>
      <c r="O789" s="846">
        <f>HLOOKUP(C789,Imms201516,selection+1, FALSE)</f>
        <v>179</v>
      </c>
      <c r="P789" s="846"/>
      <c r="Q789" s="846"/>
      <c r="R789" s="846">
        <f>HLOOKUP(C789,Imms201516,selection2+1,FALSE)</f>
        <v>211</v>
      </c>
      <c r="S789" s="846"/>
      <c r="T789" s="846"/>
      <c r="U789" s="67"/>
      <c r="V789" s="67"/>
      <c r="W789" s="489"/>
    </row>
    <row r="790" spans="2:23" ht="15" x14ac:dyDescent="0.25">
      <c r="B790" s="489"/>
      <c r="C790" s="74" t="s">
        <v>903</v>
      </c>
      <c r="D790" s="847"/>
      <c r="E790" s="847"/>
      <c r="F790" s="847"/>
      <c r="G790" s="853" t="s">
        <v>593</v>
      </c>
      <c r="H790" s="853"/>
      <c r="I790" s="843">
        <f>IF(I$770 = "*", "*",I789/I$770)</f>
        <v>0.92592592592592593</v>
      </c>
      <c r="J790" s="843"/>
      <c r="K790" s="843"/>
      <c r="L790" s="843">
        <f>IF(L$770 = "*", "*",L789/L$770)</f>
        <v>0.85152838427947597</v>
      </c>
      <c r="M790" s="843"/>
      <c r="N790" s="843"/>
      <c r="O790" s="843">
        <f>HLOOKUP(C790,Imms201516,selection+1, FALSE)</f>
        <v>0.92746113989637302</v>
      </c>
      <c r="P790" s="843"/>
      <c r="Q790" s="843"/>
      <c r="R790" s="843">
        <f>HLOOKUP(C790,Imms201516,selection2+1,FALSE)</f>
        <v>0.95909090909090911</v>
      </c>
      <c r="S790" s="843"/>
      <c r="T790" s="843"/>
      <c r="U790" s="67"/>
      <c r="V790" s="67"/>
      <c r="W790" s="489"/>
    </row>
    <row r="791" spans="2:23" ht="15" x14ac:dyDescent="0.25">
      <c r="B791" s="489"/>
      <c r="C791" s="74"/>
      <c r="D791" s="847"/>
      <c r="E791" s="847"/>
      <c r="F791" s="847"/>
      <c r="G791" s="853" t="s">
        <v>594</v>
      </c>
      <c r="H791" s="853"/>
      <c r="I791" s="844" t="str">
        <f>IF(I790="*","*",IF(I790&lt; 0.95, "Lower than required coverage", IF(I790 &gt;=0.95, "Required coverage or above")))</f>
        <v>Lower than required coverage</v>
      </c>
      <c r="J791" s="844"/>
      <c r="K791" s="844"/>
      <c r="L791" s="844" t="str">
        <f>IF(L790="*","*",IF(L790&lt; 0.95, "Lower than required coverage", IF(L790 &gt;=0.95, "Required coverage or above")))</f>
        <v>Lower than required coverage</v>
      </c>
      <c r="M791" s="844"/>
      <c r="N791" s="844"/>
      <c r="O791" s="844" t="str">
        <f t="shared" ref="O791" si="51">IF(O790="*","*",IF(O790&lt; 0.95, "Lower than required coverage", IF(O790 &gt;=0.95, "Required coverage or above")))</f>
        <v>Lower than required coverage</v>
      </c>
      <c r="P791" s="844"/>
      <c r="Q791" s="844"/>
      <c r="R791" s="844" t="str">
        <f t="shared" ref="R791" si="52">IF(R790="*","*",IF(R790&lt; 0.95, "Lower than required coverage", IF(R790 &gt;=0.95, "Required coverage or above")))</f>
        <v>Required coverage or above</v>
      </c>
      <c r="S791" s="844"/>
      <c r="T791" s="844"/>
      <c r="U791" s="67"/>
      <c r="V791" s="67"/>
      <c r="W791" s="489"/>
    </row>
    <row r="792" spans="2:23" ht="15.75" customHeight="1" x14ac:dyDescent="0.25">
      <c r="B792" s="489"/>
      <c r="C792" s="74" t="s">
        <v>909</v>
      </c>
      <c r="D792" s="847" t="s">
        <v>934</v>
      </c>
      <c r="E792" s="847"/>
      <c r="F792" s="847"/>
      <c r="G792" s="853" t="s">
        <v>592</v>
      </c>
      <c r="H792" s="853"/>
      <c r="I792" s="847">
        <f>IF(HLOOKUP(C792,Imms201415,selection+1,FALSE)="","n/a",(HLOOKUP(C792,Imms201415,selection+1,FALSE)))</f>
        <v>149</v>
      </c>
      <c r="J792" s="847"/>
      <c r="K792" s="847"/>
      <c r="L792" s="847">
        <f>IF(HLOOKUP(C792,Imms201415,selection2+1,FALSE)="","n/a",(HLOOKUP(C792,Imms201415,selection2+1,FALSE)))</f>
        <v>219</v>
      </c>
      <c r="M792" s="847"/>
      <c r="N792" s="847"/>
      <c r="O792" s="846">
        <f>HLOOKUP(C792,Imms201516,selection+1, FALSE)</f>
        <v>172</v>
      </c>
      <c r="P792" s="846"/>
      <c r="Q792" s="846"/>
      <c r="R792" s="846">
        <f>HLOOKUP(C792,Imms201516,selection2+1,FALSE)</f>
        <v>202</v>
      </c>
      <c r="S792" s="846"/>
      <c r="T792" s="846"/>
      <c r="W792" s="489"/>
    </row>
    <row r="793" spans="2:23" ht="14.25" customHeight="1" x14ac:dyDescent="0.25">
      <c r="B793" s="489"/>
      <c r="C793" s="74" t="s">
        <v>898</v>
      </c>
      <c r="D793" s="847"/>
      <c r="E793" s="847"/>
      <c r="F793" s="847"/>
      <c r="G793" s="853" t="s">
        <v>593</v>
      </c>
      <c r="H793" s="853"/>
      <c r="I793" s="843">
        <f>IF(I$770 = "*", "*",I792/I$770)</f>
        <v>0.91975308641975306</v>
      </c>
      <c r="J793" s="843"/>
      <c r="K793" s="843"/>
      <c r="L793" s="843">
        <f>IF(L$770 = "*", "*",L792/L$770)</f>
        <v>0.95633187772925765</v>
      </c>
      <c r="M793" s="843"/>
      <c r="N793" s="843"/>
      <c r="O793" s="843">
        <f>HLOOKUP(C793,Imms201516,selection+1, FALSE)</f>
        <v>0.89119170984455953</v>
      </c>
      <c r="P793" s="843"/>
      <c r="Q793" s="843"/>
      <c r="R793" s="843">
        <f>HLOOKUP(C793,Imms201516,selection2+1,FALSE)</f>
        <v>0.91818181818181821</v>
      </c>
      <c r="S793" s="843"/>
      <c r="T793" s="843"/>
      <c r="W793" s="489"/>
    </row>
    <row r="794" spans="2:23" ht="14.25" customHeight="1" x14ac:dyDescent="0.25">
      <c r="B794" s="489"/>
      <c r="C794" s="74"/>
      <c r="D794" s="847"/>
      <c r="E794" s="847"/>
      <c r="F794" s="847"/>
      <c r="G794" s="853" t="s">
        <v>594</v>
      </c>
      <c r="H794" s="853"/>
      <c r="I794" s="844" t="str">
        <f>IF(I793="*","*",IF(I793&lt; 0.95, "Lower than required coverage", IF(I793 &gt;=0.95, "Required coverage or above")))</f>
        <v>Lower than required coverage</v>
      </c>
      <c r="J794" s="844"/>
      <c r="K794" s="844"/>
      <c r="L794" s="844" t="str">
        <f>IF(L793="*","*",IF(L793&lt; 0.95, "Lower than required coverage", IF(L793 &gt;=0.95, "Required coverage or above")))</f>
        <v>Required coverage or above</v>
      </c>
      <c r="M794" s="844"/>
      <c r="N794" s="844"/>
      <c r="O794" s="844" t="str">
        <f t="shared" ref="O794" si="53">IF(O793="*","*",IF(O793&lt; 0.95, "Lower than required coverage", IF(O793 &gt;=0.95, "Required coverage or above")))</f>
        <v>Lower than required coverage</v>
      </c>
      <c r="P794" s="844"/>
      <c r="Q794" s="844"/>
      <c r="R794" s="844" t="str">
        <f t="shared" ref="R794" si="54">IF(R793="*","*",IF(R793&lt; 0.95, "Lower than required coverage", IF(R793 &gt;=0.95, "Required coverage or above")))</f>
        <v>Lower than required coverage</v>
      </c>
      <c r="S794" s="844"/>
      <c r="T794" s="844"/>
      <c r="W794" s="489"/>
    </row>
    <row r="795" spans="2:23" ht="15" customHeight="1" x14ac:dyDescent="0.25">
      <c r="B795" s="489"/>
      <c r="C795" s="74" t="s">
        <v>914</v>
      </c>
      <c r="D795" s="847" t="s">
        <v>931</v>
      </c>
      <c r="E795" s="847"/>
      <c r="F795" s="847"/>
      <c r="G795" s="853" t="s">
        <v>592</v>
      </c>
      <c r="H795" s="853"/>
      <c r="I795" s="847">
        <f>IF(HLOOKUP(C795,Imms201415,selection+1,FALSE)="","n/a",(HLOOKUP(C795,Imms201415,selection+1,FALSE)))</f>
        <v>148</v>
      </c>
      <c r="J795" s="847"/>
      <c r="K795" s="847"/>
      <c r="L795" s="847">
        <f>IF(HLOOKUP(C795,Imms201415,selection2+1,FALSE)="","n/a",(HLOOKUP(C795,Imms201415,selection2+1,FALSE)))</f>
        <v>216</v>
      </c>
      <c r="M795" s="847"/>
      <c r="N795" s="847"/>
      <c r="O795" s="846">
        <f>HLOOKUP(C795,Imms201516,selection+1, FALSE)</f>
        <v>178</v>
      </c>
      <c r="P795" s="846"/>
      <c r="Q795" s="846"/>
      <c r="R795" s="846">
        <f>HLOOKUP(C795,Imms201516,selection2+1,FALSE)</f>
        <v>206</v>
      </c>
      <c r="S795" s="846"/>
      <c r="T795" s="846"/>
      <c r="W795" s="489"/>
    </row>
    <row r="796" spans="2:23" ht="15" x14ac:dyDescent="0.25">
      <c r="B796" s="489"/>
      <c r="C796" s="74" t="s">
        <v>905</v>
      </c>
      <c r="D796" s="847"/>
      <c r="E796" s="847"/>
      <c r="F796" s="847"/>
      <c r="G796" s="853" t="s">
        <v>593</v>
      </c>
      <c r="H796" s="853"/>
      <c r="I796" s="843">
        <f>IF(I$770 = "*", "*",I795/I$770)</f>
        <v>0.9135802469135802</v>
      </c>
      <c r="J796" s="843"/>
      <c r="K796" s="843"/>
      <c r="L796" s="843">
        <f>IF(L$770 = "*", "*",L795/L$770)</f>
        <v>0.94323144104803491</v>
      </c>
      <c r="M796" s="843"/>
      <c r="N796" s="843"/>
      <c r="O796" s="843">
        <f>HLOOKUP(C796,Imms201516,selection+1, FALSE)</f>
        <v>0.92227979274611394</v>
      </c>
      <c r="P796" s="843"/>
      <c r="Q796" s="843"/>
      <c r="R796" s="843">
        <f>HLOOKUP(C796,Imms201516,selection2+1,FALSE)</f>
        <v>0.9363636363636364</v>
      </c>
      <c r="S796" s="843"/>
      <c r="T796" s="843"/>
      <c r="W796" s="489"/>
    </row>
    <row r="797" spans="2:23" ht="15" x14ac:dyDescent="0.25">
      <c r="B797" s="489"/>
      <c r="D797" s="847"/>
      <c r="E797" s="847"/>
      <c r="F797" s="847"/>
      <c r="G797" s="853" t="s">
        <v>594</v>
      </c>
      <c r="H797" s="853"/>
      <c r="I797" s="844" t="str">
        <f>IF(I796="*","*",IF(I796&lt; 0.95, "Lower than required coverage", IF(I796 &gt;=0.95, "Required coverage or above")))</f>
        <v>Lower than required coverage</v>
      </c>
      <c r="J797" s="844"/>
      <c r="K797" s="844"/>
      <c r="L797" s="844" t="str">
        <f>IF(L796="*","*",IF(L796&lt; 0.95, "Lower than required coverage", IF(L796 &gt;=0.95, "Required coverage or above")))</f>
        <v>Lower than required coverage</v>
      </c>
      <c r="M797" s="844"/>
      <c r="N797" s="844"/>
      <c r="O797" s="844" t="str">
        <f t="shared" ref="O797" si="55">IF(O796="*","*",IF(O796&lt; 0.95, "Lower than required coverage", IF(O796 &gt;=0.95, "Required coverage or above")))</f>
        <v>Lower than required coverage</v>
      </c>
      <c r="P797" s="844"/>
      <c r="Q797" s="844"/>
      <c r="R797" s="844" t="str">
        <f t="shared" ref="R797" si="56">IF(R796="*","*",IF(R796&lt; 0.95, "Lower than required coverage", IF(R796 &gt;=0.95, "Required coverage or above")))</f>
        <v>Lower than required coverage</v>
      </c>
      <c r="S797" s="844"/>
      <c r="T797" s="844"/>
      <c r="W797" s="489"/>
    </row>
    <row r="798" spans="2:23" ht="29.25" customHeight="1" x14ac:dyDescent="0.2">
      <c r="B798" s="489"/>
      <c r="D798" s="1231" t="s">
        <v>1134</v>
      </c>
      <c r="E798" s="1231"/>
      <c r="F798" s="1231"/>
      <c r="G798" s="1231"/>
      <c r="H798" s="1231"/>
      <c r="I798" s="1231"/>
      <c r="J798" s="1231"/>
      <c r="K798" s="1231"/>
      <c r="L798" s="1231"/>
      <c r="M798" s="1231"/>
      <c r="N798" s="1231"/>
      <c r="O798" s="1231"/>
      <c r="P798" s="1231"/>
      <c r="Q798" s="1231"/>
      <c r="R798" s="1231"/>
      <c r="S798" s="1231"/>
      <c r="T798" s="1231"/>
      <c r="W798" s="489"/>
    </row>
    <row r="799" spans="2:23" x14ac:dyDescent="0.2">
      <c r="B799" s="489"/>
      <c r="W799" s="489"/>
    </row>
    <row r="800" spans="2:23" x14ac:dyDescent="0.2">
      <c r="B800" s="489"/>
      <c r="C800" s="489"/>
      <c r="D800" s="489"/>
      <c r="E800" s="489"/>
      <c r="F800" s="489"/>
      <c r="G800" s="489"/>
      <c r="H800" s="489"/>
      <c r="I800" s="489"/>
      <c r="J800" s="489"/>
      <c r="K800" s="489"/>
      <c r="L800" s="489"/>
      <c r="M800" s="489"/>
      <c r="N800" s="489"/>
      <c r="O800" s="489"/>
      <c r="P800" s="489"/>
      <c r="Q800" s="489"/>
      <c r="R800" s="489"/>
      <c r="S800" s="489"/>
      <c r="T800" s="489"/>
      <c r="U800" s="489"/>
      <c r="V800" s="489"/>
      <c r="W800" s="489"/>
    </row>
    <row r="801" spans="2:23" x14ac:dyDescent="0.2">
      <c r="B801" s="489"/>
      <c r="C801" s="489"/>
      <c r="D801" s="489"/>
      <c r="E801" s="489"/>
      <c r="F801" s="489"/>
      <c r="G801" s="489"/>
      <c r="H801" s="489"/>
      <c r="I801" s="489"/>
      <c r="J801" s="489"/>
      <c r="K801" s="489"/>
      <c r="L801" s="489"/>
      <c r="M801" s="489"/>
      <c r="N801" s="489"/>
      <c r="O801" s="489"/>
      <c r="P801" s="489"/>
      <c r="Q801" s="489"/>
      <c r="R801" s="489"/>
      <c r="S801" s="489"/>
      <c r="T801" s="489"/>
      <c r="U801" s="489"/>
      <c r="V801" s="489"/>
      <c r="W801" s="489"/>
    </row>
    <row r="802" spans="2:23" x14ac:dyDescent="0.2">
      <c r="B802" s="489"/>
      <c r="C802" s="489"/>
      <c r="D802" s="489"/>
      <c r="E802" s="489"/>
      <c r="F802" s="489"/>
      <c r="G802" s="489"/>
      <c r="H802" s="489"/>
      <c r="I802" s="489"/>
      <c r="J802" s="489"/>
      <c r="K802" s="489"/>
      <c r="L802" s="489"/>
      <c r="M802" s="489"/>
      <c r="N802" s="489"/>
      <c r="O802" s="489"/>
      <c r="P802" s="489"/>
      <c r="Q802" s="489"/>
      <c r="R802" s="489"/>
      <c r="S802" s="489"/>
      <c r="T802" s="489"/>
      <c r="U802" s="489"/>
      <c r="V802" s="489"/>
      <c r="W802" s="489"/>
    </row>
    <row r="803" spans="2:23" x14ac:dyDescent="0.2">
      <c r="B803" s="489"/>
      <c r="C803" s="67"/>
      <c r="D803" s="67"/>
      <c r="E803" s="67"/>
      <c r="F803" s="67"/>
      <c r="G803" s="67"/>
      <c r="H803" s="67"/>
      <c r="I803" s="67"/>
      <c r="J803" s="67"/>
      <c r="K803" s="67"/>
      <c r="L803" s="67"/>
      <c r="M803" s="67"/>
      <c r="N803" s="67"/>
      <c r="O803" s="67"/>
      <c r="Q803" s="67"/>
      <c r="R803" s="67"/>
      <c r="S803" s="67"/>
      <c r="T803" s="67"/>
      <c r="U803" s="67"/>
      <c r="V803" s="67"/>
      <c r="W803" s="489"/>
    </row>
    <row r="804" spans="2:23" x14ac:dyDescent="0.2">
      <c r="B804" s="489"/>
      <c r="C804" s="67"/>
      <c r="D804" s="67"/>
      <c r="E804" s="67"/>
      <c r="F804" s="67"/>
      <c r="G804" s="67"/>
      <c r="H804" s="67"/>
      <c r="I804" s="67"/>
      <c r="J804" s="67"/>
      <c r="K804" s="67"/>
      <c r="L804" s="67"/>
      <c r="M804" s="67"/>
      <c r="N804" s="67"/>
      <c r="O804" s="67"/>
      <c r="Q804" s="67"/>
      <c r="R804" s="67"/>
      <c r="S804" s="67"/>
      <c r="T804" s="67"/>
      <c r="U804" s="67"/>
      <c r="V804" s="67"/>
      <c r="W804" s="489"/>
    </row>
    <row r="805" spans="2:23" x14ac:dyDescent="0.2">
      <c r="B805" s="489"/>
      <c r="C805" s="67"/>
      <c r="D805" s="67"/>
      <c r="E805" s="67"/>
      <c r="F805" s="67"/>
      <c r="G805" s="67"/>
      <c r="H805" s="67"/>
      <c r="I805" s="67"/>
      <c r="J805" s="67"/>
      <c r="K805" s="67"/>
      <c r="L805" s="67"/>
      <c r="M805" s="67"/>
      <c r="N805" s="67"/>
      <c r="O805" s="67"/>
      <c r="Q805" s="67"/>
      <c r="R805" s="67"/>
      <c r="S805" s="67"/>
      <c r="T805" s="67"/>
      <c r="U805" s="67"/>
      <c r="V805" s="67"/>
      <c r="W805" s="489"/>
    </row>
    <row r="806" spans="2:23" x14ac:dyDescent="0.2">
      <c r="B806" s="489"/>
      <c r="C806" s="67"/>
      <c r="D806" s="67"/>
      <c r="E806" s="67"/>
      <c r="F806" s="67"/>
      <c r="G806" s="67"/>
      <c r="H806" s="67"/>
      <c r="I806" s="67"/>
      <c r="J806" s="67"/>
      <c r="K806" s="67"/>
      <c r="L806" s="67"/>
      <c r="M806" s="67"/>
      <c r="N806" s="67"/>
      <c r="O806" s="67"/>
      <c r="Q806" s="67"/>
      <c r="R806" s="67"/>
      <c r="S806" s="67"/>
      <c r="T806" s="67"/>
      <c r="U806" s="67"/>
      <c r="V806" s="67"/>
      <c r="W806" s="489"/>
    </row>
    <row r="807" spans="2:23" x14ac:dyDescent="0.2">
      <c r="B807" s="489"/>
      <c r="C807" s="67"/>
      <c r="D807" s="67"/>
      <c r="E807" s="67"/>
      <c r="F807" s="67"/>
      <c r="G807" s="67"/>
      <c r="H807" s="67"/>
      <c r="I807" s="67"/>
      <c r="J807" s="67"/>
      <c r="K807" s="67"/>
      <c r="L807" s="67"/>
      <c r="M807" s="67"/>
      <c r="N807" s="67"/>
      <c r="O807" s="67"/>
      <c r="Q807" s="67"/>
      <c r="R807" s="67"/>
      <c r="S807" s="67"/>
      <c r="T807" s="67"/>
      <c r="U807" s="67"/>
      <c r="V807" s="67"/>
      <c r="W807" s="489"/>
    </row>
    <row r="808" spans="2:23" x14ac:dyDescent="0.2">
      <c r="B808" s="489"/>
      <c r="C808" s="67"/>
      <c r="D808" s="67"/>
      <c r="E808" s="67"/>
      <c r="F808" s="67"/>
      <c r="G808" s="67"/>
      <c r="H808" s="67"/>
      <c r="I808" s="67"/>
      <c r="J808" s="67"/>
      <c r="K808" s="67"/>
      <c r="L808" s="67"/>
      <c r="M808" s="67"/>
      <c r="N808" s="67"/>
      <c r="O808" s="67"/>
      <c r="Q808" s="67"/>
      <c r="R808" s="67"/>
      <c r="S808" s="67"/>
      <c r="T808" s="67"/>
      <c r="U808" s="67"/>
      <c r="V808" s="67"/>
      <c r="W808" s="489"/>
    </row>
    <row r="809" spans="2:23" x14ac:dyDescent="0.2">
      <c r="B809" s="489"/>
      <c r="C809" s="67"/>
      <c r="D809" s="67"/>
      <c r="E809" s="67"/>
      <c r="F809" s="67"/>
      <c r="G809" s="67"/>
      <c r="H809" s="67"/>
      <c r="I809" s="67"/>
      <c r="J809" s="67"/>
      <c r="K809" s="67"/>
      <c r="L809" s="67"/>
      <c r="M809" s="67"/>
      <c r="N809" s="67"/>
      <c r="O809" s="67"/>
      <c r="Q809" s="67"/>
      <c r="R809" s="67"/>
      <c r="S809" s="67"/>
      <c r="T809" s="67"/>
      <c r="U809" s="67"/>
      <c r="V809" s="67"/>
      <c r="W809" s="489"/>
    </row>
    <row r="810" spans="2:23" s="67" customFormat="1" x14ac:dyDescent="0.2">
      <c r="B810" s="489"/>
      <c r="W810" s="489"/>
    </row>
    <row r="811" spans="2:23" s="67" customFormat="1" x14ac:dyDescent="0.2">
      <c r="B811" s="489"/>
      <c r="W811" s="489"/>
    </row>
    <row r="812" spans="2:23" x14ac:dyDescent="0.2">
      <c r="B812" s="489"/>
      <c r="C812" s="67"/>
      <c r="D812" s="67"/>
      <c r="E812" s="67"/>
      <c r="F812" s="67"/>
      <c r="G812" s="67"/>
      <c r="H812" s="67"/>
      <c r="I812" s="67"/>
      <c r="J812" s="67"/>
      <c r="K812" s="67"/>
      <c r="L812" s="67"/>
      <c r="M812" s="67"/>
      <c r="N812" s="67"/>
      <c r="O812" s="67"/>
      <c r="Q812" s="67"/>
      <c r="R812" s="67"/>
      <c r="S812" s="67"/>
      <c r="T812" s="67"/>
      <c r="U812" s="67"/>
      <c r="V812" s="67"/>
      <c r="W812" s="489"/>
    </row>
    <row r="813" spans="2:23" x14ac:dyDescent="0.2">
      <c r="B813" s="489"/>
      <c r="C813" s="67"/>
      <c r="D813" s="67"/>
      <c r="E813" s="67"/>
      <c r="F813" s="67"/>
      <c r="G813" s="67"/>
      <c r="H813" s="67"/>
      <c r="I813" s="67"/>
      <c r="J813" s="67"/>
      <c r="K813" s="67"/>
      <c r="L813" s="67"/>
      <c r="M813" s="67"/>
      <c r="N813" s="67"/>
      <c r="O813" s="67"/>
      <c r="Q813" s="67"/>
      <c r="R813" s="67"/>
      <c r="S813" s="67"/>
      <c r="T813" s="67"/>
      <c r="U813" s="67"/>
      <c r="V813" s="67"/>
      <c r="W813" s="489"/>
    </row>
    <row r="814" spans="2:23" x14ac:dyDescent="0.2">
      <c r="B814" s="489"/>
      <c r="C814" s="67"/>
      <c r="D814" s="67"/>
      <c r="E814" s="67"/>
      <c r="F814" s="67"/>
      <c r="G814" s="67"/>
      <c r="H814" s="67"/>
      <c r="I814" s="67"/>
      <c r="J814" s="67"/>
      <c r="K814" s="67"/>
      <c r="L814" s="67"/>
      <c r="M814" s="67"/>
      <c r="N814" s="67"/>
      <c r="O814" s="67"/>
      <c r="Q814" s="67"/>
      <c r="R814" s="67"/>
      <c r="S814" s="67"/>
      <c r="T814" s="67"/>
      <c r="U814" s="67"/>
      <c r="V814" s="67"/>
      <c r="W814" s="489"/>
    </row>
    <row r="815" spans="2:23" s="67" customFormat="1" x14ac:dyDescent="0.2">
      <c r="B815" s="489"/>
      <c r="W815" s="489"/>
    </row>
    <row r="816" spans="2:23" s="67" customFormat="1" x14ac:dyDescent="0.2">
      <c r="B816" s="489"/>
      <c r="W816" s="489"/>
    </row>
    <row r="817" spans="2:23" x14ac:dyDescent="0.2">
      <c r="B817" s="489"/>
      <c r="C817" s="67"/>
      <c r="D817" s="67"/>
      <c r="E817" s="67"/>
      <c r="F817" s="67"/>
      <c r="G817" s="67"/>
      <c r="H817" s="67"/>
      <c r="I817" s="67"/>
      <c r="J817" s="67"/>
      <c r="K817" s="67"/>
      <c r="L817" s="67"/>
      <c r="M817" s="67"/>
      <c r="N817" s="67"/>
      <c r="O817" s="67"/>
      <c r="Q817" s="67"/>
      <c r="R817" s="67"/>
      <c r="S817" s="67"/>
      <c r="T817" s="67"/>
      <c r="U817" s="67"/>
      <c r="V817" s="67"/>
      <c r="W817" s="489"/>
    </row>
    <row r="818" spans="2:23" x14ac:dyDescent="0.2">
      <c r="B818" s="489"/>
      <c r="C818" s="67"/>
      <c r="D818" s="67"/>
      <c r="E818" s="67"/>
      <c r="F818" s="67"/>
      <c r="G818" s="67"/>
      <c r="H818" s="67"/>
      <c r="I818" s="67"/>
      <c r="J818" s="67"/>
      <c r="K818" s="67"/>
      <c r="L818" s="67"/>
      <c r="M818" s="67"/>
      <c r="N818" s="67"/>
      <c r="O818" s="67"/>
      <c r="Q818" s="67"/>
      <c r="R818" s="67"/>
      <c r="S818" s="67"/>
      <c r="T818" s="67"/>
      <c r="U818" s="67"/>
      <c r="V818" s="67"/>
      <c r="W818" s="489"/>
    </row>
    <row r="819" spans="2:23" x14ac:dyDescent="0.2">
      <c r="B819" s="489"/>
      <c r="C819" s="67"/>
      <c r="D819" s="67"/>
      <c r="E819" s="67"/>
      <c r="F819" s="67"/>
      <c r="G819" s="67"/>
      <c r="H819" s="67"/>
      <c r="I819" s="67"/>
      <c r="J819" s="67"/>
      <c r="K819" s="67"/>
      <c r="L819" s="67"/>
      <c r="M819" s="67"/>
      <c r="N819" s="67"/>
      <c r="O819" s="67"/>
      <c r="Q819" s="67"/>
      <c r="R819" s="67"/>
      <c r="S819" s="67"/>
      <c r="T819" s="67"/>
      <c r="U819" s="67"/>
      <c r="V819" s="67"/>
      <c r="W819" s="489"/>
    </row>
    <row r="820" spans="2:23" x14ac:dyDescent="0.2">
      <c r="B820" s="489"/>
      <c r="C820" s="67"/>
      <c r="D820" s="67"/>
      <c r="E820" s="67"/>
      <c r="F820" s="67"/>
      <c r="G820" s="67"/>
      <c r="H820" s="67"/>
      <c r="I820" s="67"/>
      <c r="J820" s="67"/>
      <c r="K820" s="67"/>
      <c r="L820" s="67"/>
      <c r="M820" s="67"/>
      <c r="N820" s="67"/>
      <c r="O820" s="67"/>
      <c r="Q820" s="67"/>
      <c r="R820" s="67"/>
      <c r="S820" s="67"/>
      <c r="T820" s="67"/>
      <c r="U820" s="67"/>
      <c r="V820" s="67"/>
      <c r="W820" s="489"/>
    </row>
    <row r="821" spans="2:23" x14ac:dyDescent="0.2">
      <c r="B821" s="489"/>
      <c r="C821" s="67"/>
      <c r="D821" s="67"/>
      <c r="E821" s="67"/>
      <c r="F821" s="67"/>
      <c r="G821" s="67"/>
      <c r="H821" s="67"/>
      <c r="I821" s="67"/>
      <c r="J821" s="67"/>
      <c r="K821" s="67"/>
      <c r="L821" s="67"/>
      <c r="M821" s="67"/>
      <c r="N821" s="67"/>
      <c r="O821" s="67"/>
      <c r="Q821" s="67"/>
      <c r="R821" s="67"/>
      <c r="S821" s="67"/>
      <c r="T821" s="67"/>
      <c r="U821" s="67"/>
      <c r="V821" s="67"/>
      <c r="W821" s="489"/>
    </row>
    <row r="822" spans="2:23" x14ac:dyDescent="0.2">
      <c r="B822" s="489"/>
      <c r="C822" s="67"/>
      <c r="D822" s="67"/>
      <c r="E822" s="67"/>
      <c r="F822" s="67"/>
      <c r="G822" s="67"/>
      <c r="H822" s="67"/>
      <c r="I822" s="67"/>
      <c r="J822" s="67"/>
      <c r="K822" s="67"/>
      <c r="L822" s="67"/>
      <c r="M822" s="67"/>
      <c r="N822" s="67"/>
      <c r="O822" s="67"/>
      <c r="Q822" s="67"/>
      <c r="R822" s="67"/>
      <c r="S822" s="67"/>
      <c r="T822" s="67"/>
      <c r="U822" s="67"/>
      <c r="V822" s="67"/>
      <c r="W822" s="489"/>
    </row>
    <row r="823" spans="2:23" x14ac:dyDescent="0.2">
      <c r="B823" s="489"/>
      <c r="C823" s="67"/>
      <c r="D823" s="67"/>
      <c r="E823" s="67"/>
      <c r="F823" s="67"/>
      <c r="G823" s="67"/>
      <c r="H823" s="67"/>
      <c r="I823" s="67"/>
      <c r="J823" s="67"/>
      <c r="K823" s="67"/>
      <c r="L823" s="67"/>
      <c r="M823" s="67"/>
      <c r="N823" s="67"/>
      <c r="O823" s="67"/>
      <c r="Q823" s="67"/>
      <c r="R823" s="67"/>
      <c r="S823" s="67"/>
      <c r="T823" s="67"/>
      <c r="U823" s="67"/>
      <c r="V823" s="67"/>
      <c r="W823" s="489"/>
    </row>
    <row r="824" spans="2:23" x14ac:dyDescent="0.2">
      <c r="B824" s="489"/>
      <c r="C824" s="67"/>
      <c r="D824" s="67"/>
      <c r="E824" s="67"/>
      <c r="F824" s="67"/>
      <c r="G824" s="67"/>
      <c r="H824" s="67"/>
      <c r="I824" s="67"/>
      <c r="J824" s="67"/>
      <c r="K824" s="67"/>
      <c r="L824" s="67"/>
      <c r="M824" s="67"/>
      <c r="N824" s="67"/>
      <c r="O824" s="67"/>
      <c r="Q824" s="67"/>
      <c r="R824" s="67"/>
      <c r="S824" s="67"/>
      <c r="T824" s="67"/>
      <c r="U824" s="67"/>
      <c r="V824" s="67"/>
      <c r="W824" s="489"/>
    </row>
    <row r="825" spans="2:23" x14ac:dyDescent="0.2">
      <c r="B825" s="489"/>
      <c r="C825" s="67"/>
      <c r="D825" s="67"/>
      <c r="E825" s="67"/>
      <c r="F825" s="67"/>
      <c r="G825" s="67"/>
      <c r="H825" s="67"/>
      <c r="I825" s="67"/>
      <c r="J825" s="67"/>
      <c r="K825" s="67"/>
      <c r="L825" s="67"/>
      <c r="M825" s="67"/>
      <c r="N825" s="67"/>
      <c r="O825" s="67"/>
      <c r="Q825" s="67"/>
      <c r="R825" s="67"/>
      <c r="S825" s="67"/>
      <c r="T825" s="67"/>
      <c r="U825" s="67"/>
      <c r="V825" s="67"/>
      <c r="W825" s="489"/>
    </row>
    <row r="826" spans="2:23" x14ac:dyDescent="0.2">
      <c r="B826" s="489"/>
      <c r="C826" s="67"/>
      <c r="D826" s="67"/>
      <c r="E826" s="67"/>
      <c r="F826" s="67"/>
      <c r="G826" s="67"/>
      <c r="H826" s="67"/>
      <c r="I826" s="67"/>
      <c r="J826" s="67"/>
      <c r="K826" s="67"/>
      <c r="L826" s="67"/>
      <c r="M826" s="67"/>
      <c r="N826" s="67"/>
      <c r="O826" s="67"/>
      <c r="Q826" s="67"/>
      <c r="R826" s="67"/>
      <c r="S826" s="67"/>
      <c r="T826" s="67"/>
      <c r="U826" s="67"/>
      <c r="V826" s="67"/>
      <c r="W826" s="489"/>
    </row>
    <row r="827" spans="2:23" x14ac:dyDescent="0.2">
      <c r="B827" s="489"/>
      <c r="C827" s="67"/>
      <c r="D827" s="67"/>
      <c r="E827" s="67"/>
      <c r="F827" s="67"/>
      <c r="G827" s="67"/>
      <c r="H827" s="67"/>
      <c r="I827" s="67"/>
      <c r="J827" s="67"/>
      <c r="K827" s="67"/>
      <c r="L827" s="67"/>
      <c r="M827" s="67"/>
      <c r="N827" s="67"/>
      <c r="O827" s="67"/>
      <c r="Q827" s="67"/>
      <c r="R827" s="67"/>
      <c r="S827" s="67"/>
      <c r="T827" s="67"/>
      <c r="U827" s="67"/>
      <c r="V827" s="67"/>
      <c r="W827" s="489"/>
    </row>
    <row r="828" spans="2:23" x14ac:dyDescent="0.2">
      <c r="B828" s="489"/>
      <c r="C828" s="67"/>
      <c r="D828" s="67"/>
      <c r="E828" s="67"/>
      <c r="F828" s="67"/>
      <c r="G828" s="67"/>
      <c r="H828" s="67"/>
      <c r="I828" s="67"/>
      <c r="J828" s="67"/>
      <c r="K828" s="67"/>
      <c r="L828" s="67"/>
      <c r="M828" s="67"/>
      <c r="N828" s="67"/>
      <c r="O828" s="67"/>
      <c r="Q828" s="67"/>
      <c r="R828" s="67"/>
      <c r="S828" s="67"/>
      <c r="T828" s="67"/>
      <c r="U828" s="67"/>
      <c r="V828" s="67"/>
      <c r="W828" s="489"/>
    </row>
    <row r="829" spans="2:23" x14ac:dyDescent="0.2">
      <c r="B829" s="489"/>
      <c r="C829" s="67"/>
      <c r="D829" s="67"/>
      <c r="E829" s="67"/>
      <c r="F829" s="67"/>
      <c r="G829" s="67"/>
      <c r="H829" s="67"/>
      <c r="I829" s="67"/>
      <c r="J829" s="67"/>
      <c r="K829" s="67"/>
      <c r="L829" s="67"/>
      <c r="M829" s="67"/>
      <c r="N829" s="67"/>
      <c r="O829" s="67"/>
      <c r="Q829" s="67"/>
      <c r="R829" s="67"/>
      <c r="S829" s="67"/>
      <c r="T829" s="67"/>
      <c r="U829" s="67"/>
      <c r="V829" s="67"/>
      <c r="W829" s="489"/>
    </row>
    <row r="830" spans="2:23" x14ac:dyDescent="0.2">
      <c r="B830" s="489"/>
      <c r="C830" s="67"/>
      <c r="D830" s="67"/>
      <c r="E830" s="67"/>
      <c r="F830" s="67"/>
      <c r="G830" s="67"/>
      <c r="H830" s="67"/>
      <c r="I830" s="67"/>
      <c r="J830" s="67"/>
      <c r="K830" s="67"/>
      <c r="L830" s="67"/>
      <c r="M830" s="67"/>
      <c r="N830" s="67"/>
      <c r="O830" s="67"/>
      <c r="Q830" s="67"/>
      <c r="R830" s="67"/>
      <c r="S830" s="67"/>
      <c r="T830" s="67"/>
      <c r="U830" s="67"/>
      <c r="V830" s="67"/>
      <c r="W830" s="489"/>
    </row>
    <row r="831" spans="2:23" x14ac:dyDescent="0.2">
      <c r="B831" s="489"/>
      <c r="C831" s="67"/>
      <c r="D831" s="67"/>
      <c r="E831" s="67"/>
      <c r="F831" s="67"/>
      <c r="G831" s="67"/>
      <c r="H831" s="67"/>
      <c r="I831" s="67"/>
      <c r="J831" s="67"/>
      <c r="K831" s="67"/>
      <c r="L831" s="67"/>
      <c r="M831" s="67"/>
      <c r="N831" s="67"/>
      <c r="O831" s="67"/>
      <c r="Q831" s="67"/>
      <c r="R831" s="67"/>
      <c r="S831" s="67"/>
      <c r="T831" s="67"/>
      <c r="U831" s="67"/>
      <c r="V831" s="67"/>
      <c r="W831" s="489"/>
    </row>
    <row r="832" spans="2:23" s="67" customFormat="1" x14ac:dyDescent="0.2">
      <c r="B832" s="489"/>
      <c r="W832" s="489"/>
    </row>
    <row r="833" spans="2:23" s="67" customFormat="1" x14ac:dyDescent="0.2">
      <c r="B833" s="489"/>
      <c r="W833" s="489"/>
    </row>
    <row r="834" spans="2:23" s="67" customFormat="1" x14ac:dyDescent="0.2">
      <c r="B834" s="489"/>
      <c r="W834" s="489"/>
    </row>
    <row r="835" spans="2:23" x14ac:dyDescent="0.2">
      <c r="B835" s="489"/>
      <c r="C835" s="67"/>
      <c r="D835" s="67"/>
      <c r="E835" s="67"/>
      <c r="F835" s="67"/>
      <c r="G835" s="67"/>
      <c r="H835" s="67"/>
      <c r="I835" s="67"/>
      <c r="J835" s="67"/>
      <c r="K835" s="67"/>
      <c r="L835" s="67"/>
      <c r="M835" s="67"/>
      <c r="N835" s="67"/>
      <c r="O835" s="67"/>
      <c r="Q835" s="67"/>
      <c r="R835" s="67"/>
      <c r="S835" s="67"/>
      <c r="T835" s="67"/>
      <c r="U835" s="67"/>
      <c r="V835" s="67"/>
      <c r="W835" s="489"/>
    </row>
    <row r="836" spans="2:23" x14ac:dyDescent="0.2">
      <c r="B836" s="489"/>
      <c r="C836" s="67"/>
      <c r="D836" s="67"/>
      <c r="E836" s="67"/>
      <c r="F836" s="67"/>
      <c r="G836" s="67"/>
      <c r="H836" s="67"/>
      <c r="I836" s="67"/>
      <c r="J836" s="67"/>
      <c r="K836" s="67"/>
      <c r="L836" s="67"/>
      <c r="M836" s="67"/>
      <c r="N836" s="67"/>
      <c r="O836" s="67"/>
      <c r="Q836" s="67"/>
      <c r="R836" s="67"/>
      <c r="S836" s="67"/>
      <c r="T836" s="67"/>
      <c r="U836" s="67"/>
      <c r="V836" s="67"/>
      <c r="W836" s="489"/>
    </row>
    <row r="837" spans="2:23" x14ac:dyDescent="0.2">
      <c r="B837" s="489"/>
      <c r="C837" s="67"/>
      <c r="D837" s="67"/>
      <c r="E837" s="67"/>
      <c r="F837" s="67"/>
      <c r="G837" s="67"/>
      <c r="H837" s="67"/>
      <c r="I837" s="67"/>
      <c r="J837" s="67"/>
      <c r="K837" s="67"/>
      <c r="L837" s="67"/>
      <c r="M837" s="67"/>
      <c r="N837" s="67"/>
      <c r="O837" s="67"/>
      <c r="Q837" s="67"/>
      <c r="R837" s="67"/>
      <c r="S837" s="67"/>
      <c r="T837" s="67"/>
      <c r="U837" s="67"/>
      <c r="V837" s="67"/>
      <c r="W837" s="489"/>
    </row>
    <row r="838" spans="2:23" ht="15" x14ac:dyDescent="0.25">
      <c r="B838" s="489"/>
      <c r="C838" s="137"/>
      <c r="D838" s="137"/>
      <c r="E838" s="137"/>
      <c r="F838" s="137"/>
      <c r="G838" s="137"/>
      <c r="H838" s="137"/>
      <c r="I838" s="137"/>
      <c r="J838" s="137"/>
      <c r="K838" s="137"/>
      <c r="L838" s="137"/>
      <c r="M838" s="137"/>
      <c r="N838" s="137"/>
      <c r="O838" s="137"/>
      <c r="P838" s="137"/>
      <c r="Q838" s="137"/>
      <c r="R838" s="137"/>
      <c r="S838" s="137"/>
      <c r="T838" s="137"/>
      <c r="U838" s="137"/>
      <c r="V838" s="67"/>
      <c r="W838" s="489"/>
    </row>
    <row r="839" spans="2:23" s="67" customFormat="1" ht="15" x14ac:dyDescent="0.25">
      <c r="B839" s="489"/>
      <c r="C839" s="566" t="s">
        <v>1042</v>
      </c>
      <c r="D839" s="137"/>
      <c r="E839" s="137"/>
      <c r="F839" s="137"/>
      <c r="G839" s="137"/>
      <c r="H839" s="137"/>
      <c r="I839" s="137"/>
      <c r="J839" s="137"/>
      <c r="K839" s="137"/>
      <c r="L839" s="137"/>
      <c r="M839" s="137"/>
      <c r="N839" s="137"/>
      <c r="O839" s="137"/>
      <c r="P839" s="137"/>
      <c r="Q839" s="137"/>
      <c r="R839" s="137"/>
      <c r="S839" s="137"/>
      <c r="T839" s="137"/>
      <c r="U839" s="137"/>
      <c r="W839" s="489"/>
    </row>
    <row r="840" spans="2:23" s="67" customFormat="1" ht="37.5" customHeight="1" x14ac:dyDescent="0.2">
      <c r="B840" s="489"/>
      <c r="C840" s="914" t="s">
        <v>1038</v>
      </c>
      <c r="D840" s="914"/>
      <c r="E840" s="914"/>
      <c r="F840" s="914"/>
      <c r="G840" s="914"/>
      <c r="H840" s="914"/>
      <c r="I840" s="914"/>
      <c r="J840" s="914"/>
      <c r="K840" s="914"/>
      <c r="L840" s="914"/>
      <c r="M840" s="914"/>
      <c r="N840" s="914"/>
      <c r="O840" s="914"/>
      <c r="P840" s="914"/>
      <c r="Q840" s="914"/>
      <c r="R840" s="914"/>
      <c r="S840" s="914"/>
      <c r="T840" s="914"/>
      <c r="U840" s="914"/>
      <c r="W840" s="489"/>
    </row>
    <row r="841" spans="2:23" ht="15" x14ac:dyDescent="0.25">
      <c r="B841" s="489"/>
      <c r="C841" s="137"/>
      <c r="D841" s="137"/>
      <c r="E841" s="137"/>
      <c r="F841" s="137"/>
      <c r="G841" s="137"/>
      <c r="H841" s="137"/>
      <c r="I841" s="137"/>
      <c r="J841" s="137"/>
      <c r="K841" s="137"/>
      <c r="L841" s="137"/>
      <c r="M841" s="137"/>
      <c r="N841" s="137"/>
      <c r="O841" s="137"/>
      <c r="P841" s="137"/>
      <c r="Q841" s="137"/>
      <c r="R841" s="137"/>
      <c r="S841" s="137"/>
      <c r="T841" s="137"/>
      <c r="U841" s="137"/>
      <c r="V841" s="67"/>
      <c r="W841" s="489"/>
    </row>
    <row r="842" spans="2:23" ht="15" customHeight="1" x14ac:dyDescent="0.25">
      <c r="B842" s="489"/>
      <c r="C842" s="137"/>
      <c r="D842" s="964" t="s">
        <v>623</v>
      </c>
      <c r="E842" s="965"/>
      <c r="F842" s="966"/>
      <c r="G842" s="955" t="s">
        <v>598</v>
      </c>
      <c r="H842" s="956"/>
      <c r="I842" s="955" t="s">
        <v>1039</v>
      </c>
      <c r="J842" s="956"/>
      <c r="K842" s="955" t="s">
        <v>599</v>
      </c>
      <c r="L842" s="956"/>
      <c r="M842" s="955" t="s">
        <v>600</v>
      </c>
      <c r="N842" s="956"/>
      <c r="O842" s="955" t="s">
        <v>601</v>
      </c>
      <c r="P842" s="956"/>
      <c r="Q842" s="955" t="s">
        <v>602</v>
      </c>
      <c r="R842" s="961"/>
      <c r="S842" s="961"/>
      <c r="T842" s="956"/>
      <c r="U842" s="137"/>
      <c r="V842" s="67"/>
      <c r="W842" s="489"/>
    </row>
    <row r="843" spans="2:23" ht="15" x14ac:dyDescent="0.25">
      <c r="B843" s="489"/>
      <c r="C843" s="137"/>
      <c r="D843" s="967"/>
      <c r="E843" s="968"/>
      <c r="F843" s="969"/>
      <c r="G843" s="957"/>
      <c r="H843" s="958"/>
      <c r="I843" s="957"/>
      <c r="J843" s="958"/>
      <c r="K843" s="957"/>
      <c r="L843" s="958"/>
      <c r="M843" s="957"/>
      <c r="N843" s="958"/>
      <c r="O843" s="957"/>
      <c r="P843" s="958"/>
      <c r="Q843" s="957"/>
      <c r="R843" s="962"/>
      <c r="S843" s="962"/>
      <c r="T843" s="958"/>
      <c r="U843" s="137"/>
      <c r="V843" s="67"/>
      <c r="W843" s="489"/>
    </row>
    <row r="844" spans="2:23" ht="15" x14ac:dyDescent="0.25">
      <c r="B844" s="489"/>
      <c r="C844" s="137"/>
      <c r="D844" s="970"/>
      <c r="E844" s="971"/>
      <c r="F844" s="972"/>
      <c r="G844" s="959"/>
      <c r="H844" s="960"/>
      <c r="I844" s="959"/>
      <c r="J844" s="960"/>
      <c r="K844" s="959"/>
      <c r="L844" s="960"/>
      <c r="M844" s="959"/>
      <c r="N844" s="960"/>
      <c r="O844" s="959"/>
      <c r="P844" s="960"/>
      <c r="Q844" s="959"/>
      <c r="R844" s="963"/>
      <c r="S844" s="963"/>
      <c r="T844" s="960"/>
      <c r="U844" s="137"/>
      <c r="V844" s="67"/>
      <c r="W844" s="489"/>
    </row>
    <row r="845" spans="2:23" ht="15" x14ac:dyDescent="0.25">
      <c r="B845" s="489"/>
      <c r="C845" s="137"/>
      <c r="D845" s="927" t="s">
        <v>398</v>
      </c>
      <c r="E845" s="928"/>
      <c r="F845" s="929"/>
      <c r="G845" s="930">
        <v>57</v>
      </c>
      <c r="H845" s="930"/>
      <c r="I845" s="930">
        <v>3915</v>
      </c>
      <c r="J845" s="930">
        <v>3915</v>
      </c>
      <c r="K845" s="1092">
        <v>145.59</v>
      </c>
      <c r="L845" s="1092"/>
      <c r="M845" s="1092">
        <v>110.27</v>
      </c>
      <c r="N845" s="1092"/>
      <c r="O845" s="1092">
        <v>188.63</v>
      </c>
      <c r="P845" s="1092"/>
      <c r="Q845" s="924" t="s">
        <v>624</v>
      </c>
      <c r="R845" s="925"/>
      <c r="S845" s="925"/>
      <c r="T845" s="926"/>
      <c r="U845" s="137"/>
      <c r="V845" s="67"/>
      <c r="W845" s="489"/>
    </row>
    <row r="846" spans="2:23" ht="15" x14ac:dyDescent="0.25">
      <c r="B846" s="489"/>
      <c r="C846" s="137"/>
      <c r="D846" s="927" t="s">
        <v>82</v>
      </c>
      <c r="E846" s="928"/>
      <c r="F846" s="929"/>
      <c r="G846" s="930">
        <v>127</v>
      </c>
      <c r="H846" s="930"/>
      <c r="I846" s="930">
        <v>7936</v>
      </c>
      <c r="J846" s="930">
        <v>7936</v>
      </c>
      <c r="K846" s="1092">
        <v>160.03</v>
      </c>
      <c r="L846" s="1092"/>
      <c r="M846" s="1092">
        <v>133.41</v>
      </c>
      <c r="N846" s="1092"/>
      <c r="O846" s="1092">
        <v>190.41</v>
      </c>
      <c r="P846" s="1092"/>
      <c r="Q846" s="924" t="s">
        <v>624</v>
      </c>
      <c r="R846" s="925"/>
      <c r="S846" s="925"/>
      <c r="T846" s="926"/>
      <c r="U846" s="137"/>
      <c r="V846" s="67"/>
      <c r="W846" s="489"/>
    </row>
    <row r="847" spans="2:23" ht="15" x14ac:dyDescent="0.25">
      <c r="B847" s="489"/>
      <c r="C847" s="137"/>
      <c r="D847" s="927" t="s">
        <v>44</v>
      </c>
      <c r="E847" s="928"/>
      <c r="F847" s="929"/>
      <c r="G847" s="930">
        <v>129</v>
      </c>
      <c r="H847" s="930"/>
      <c r="I847" s="930">
        <v>5725</v>
      </c>
      <c r="J847" s="930">
        <v>5725</v>
      </c>
      <c r="K847" s="1092">
        <v>225.33</v>
      </c>
      <c r="L847" s="1092"/>
      <c r="M847" s="1092">
        <v>188.12</v>
      </c>
      <c r="N847" s="1092"/>
      <c r="O847" s="1092">
        <v>267.74</v>
      </c>
      <c r="P847" s="1092"/>
      <c r="Q847" s="1093" t="s">
        <v>625</v>
      </c>
      <c r="R847" s="1094"/>
      <c r="S847" s="1094"/>
      <c r="T847" s="1095"/>
      <c r="U847" s="137"/>
      <c r="V847" s="67"/>
      <c r="W847" s="489"/>
    </row>
    <row r="848" spans="2:23" ht="15" x14ac:dyDescent="0.25">
      <c r="B848" s="489"/>
      <c r="C848" s="137"/>
      <c r="D848" s="927" t="s">
        <v>79</v>
      </c>
      <c r="E848" s="928"/>
      <c r="F848" s="929"/>
      <c r="G848" s="930">
        <v>83</v>
      </c>
      <c r="H848" s="930"/>
      <c r="I848" s="930">
        <v>8470</v>
      </c>
      <c r="J848" s="930">
        <v>8470</v>
      </c>
      <c r="K848" s="1092">
        <v>97.99</v>
      </c>
      <c r="L848" s="1092"/>
      <c r="M848" s="1092">
        <v>78.05</v>
      </c>
      <c r="N848" s="1092"/>
      <c r="O848" s="1092">
        <v>121.48</v>
      </c>
      <c r="P848" s="1092"/>
      <c r="Q848" s="1096" t="s">
        <v>626</v>
      </c>
      <c r="R848" s="1097"/>
      <c r="S848" s="1097"/>
      <c r="T848" s="1098"/>
      <c r="U848" s="137"/>
      <c r="V848" s="67"/>
      <c r="W848" s="489"/>
    </row>
    <row r="849" spans="2:23" ht="15" x14ac:dyDescent="0.25">
      <c r="B849" s="489"/>
      <c r="C849" s="137"/>
      <c r="D849" s="927" t="s">
        <v>83</v>
      </c>
      <c r="E849" s="928"/>
      <c r="F849" s="929"/>
      <c r="G849" s="930">
        <v>70</v>
      </c>
      <c r="H849" s="930"/>
      <c r="I849" s="930">
        <v>7172</v>
      </c>
      <c r="J849" s="930">
        <v>7172</v>
      </c>
      <c r="K849" s="1092">
        <v>97.6</v>
      </c>
      <c r="L849" s="1092"/>
      <c r="M849" s="1092">
        <v>76.09</v>
      </c>
      <c r="N849" s="1092"/>
      <c r="O849" s="1092">
        <v>123.31</v>
      </c>
      <c r="P849" s="1092"/>
      <c r="Q849" s="1096" t="s">
        <v>626</v>
      </c>
      <c r="R849" s="1097"/>
      <c r="S849" s="1097"/>
      <c r="T849" s="1098"/>
      <c r="U849" s="137"/>
      <c r="V849" s="67"/>
      <c r="W849" s="489"/>
    </row>
    <row r="850" spans="2:23" ht="15" x14ac:dyDescent="0.25">
      <c r="B850" s="489"/>
      <c r="C850" s="137"/>
      <c r="D850" s="927" t="s">
        <v>80</v>
      </c>
      <c r="E850" s="928"/>
      <c r="F850" s="929"/>
      <c r="G850" s="930">
        <v>78</v>
      </c>
      <c r="H850" s="930"/>
      <c r="I850" s="930">
        <v>8695</v>
      </c>
      <c r="J850" s="930">
        <v>8695</v>
      </c>
      <c r="K850" s="1092">
        <v>89.71</v>
      </c>
      <c r="L850" s="1092"/>
      <c r="M850" s="1092">
        <v>70.91</v>
      </c>
      <c r="N850" s="1092"/>
      <c r="O850" s="1092">
        <v>111.96</v>
      </c>
      <c r="P850" s="1092"/>
      <c r="Q850" s="1096" t="s">
        <v>626</v>
      </c>
      <c r="R850" s="1097"/>
      <c r="S850" s="1097"/>
      <c r="T850" s="1098"/>
      <c r="U850" s="137"/>
      <c r="V850" s="67"/>
      <c r="W850" s="489"/>
    </row>
    <row r="851" spans="2:23" ht="15" x14ac:dyDescent="0.25">
      <c r="B851" s="489"/>
      <c r="C851" s="137"/>
      <c r="D851" s="927" t="s">
        <v>81</v>
      </c>
      <c r="E851" s="928"/>
      <c r="F851" s="929"/>
      <c r="G851" s="930">
        <v>108</v>
      </c>
      <c r="H851" s="930"/>
      <c r="I851" s="930">
        <v>6068</v>
      </c>
      <c r="J851" s="930">
        <v>6068</v>
      </c>
      <c r="K851" s="1092">
        <v>177.98</v>
      </c>
      <c r="L851" s="1092"/>
      <c r="M851" s="1092">
        <v>146</v>
      </c>
      <c r="N851" s="1092"/>
      <c r="O851" s="1092">
        <v>214.89</v>
      </c>
      <c r="P851" s="1092"/>
      <c r="Q851" s="1093" t="s">
        <v>625</v>
      </c>
      <c r="R851" s="1094"/>
      <c r="S851" s="1094"/>
      <c r="T851" s="1095"/>
      <c r="U851" s="137"/>
      <c r="V851" s="67"/>
      <c r="W851" s="489"/>
    </row>
    <row r="852" spans="2:23" s="67" customFormat="1" ht="15" x14ac:dyDescent="0.25">
      <c r="B852" s="489"/>
      <c r="C852" s="137"/>
      <c r="D852" s="160" t="s">
        <v>110</v>
      </c>
      <c r="E852" s="161"/>
      <c r="F852" s="162"/>
      <c r="G852" s="932">
        <v>652</v>
      </c>
      <c r="H852" s="932"/>
      <c r="I852" s="932">
        <v>47981</v>
      </c>
      <c r="J852" s="932"/>
      <c r="K852" s="1099">
        <v>135.88999999999999</v>
      </c>
      <c r="L852" s="1099"/>
      <c r="M852" s="1099">
        <v>125.66</v>
      </c>
      <c r="N852" s="1099"/>
      <c r="O852" s="1099">
        <v>146.72999999999999</v>
      </c>
      <c r="P852" s="1099"/>
      <c r="Q852" s="924" t="s">
        <v>624</v>
      </c>
      <c r="R852" s="925"/>
      <c r="S852" s="925"/>
      <c r="T852" s="926"/>
      <c r="U852" s="137"/>
      <c r="W852" s="489"/>
    </row>
    <row r="853" spans="2:23" s="67" customFormat="1" ht="15" x14ac:dyDescent="0.25">
      <c r="B853" s="489"/>
      <c r="C853" s="137"/>
      <c r="D853" s="163" t="s">
        <v>111</v>
      </c>
      <c r="E853" s="164"/>
      <c r="F853" s="165"/>
      <c r="G853" s="916">
        <v>7279</v>
      </c>
      <c r="H853" s="916"/>
      <c r="I853" s="916">
        <v>548266</v>
      </c>
      <c r="J853" s="916"/>
      <c r="K853" s="1100">
        <v>132.76</v>
      </c>
      <c r="L853" s="1100"/>
      <c r="M853" s="1100">
        <v>129.72999999999999</v>
      </c>
      <c r="N853" s="1100"/>
      <c r="O853" s="1100">
        <v>135.85</v>
      </c>
      <c r="P853" s="1100"/>
      <c r="Q853" s="1096" t="s">
        <v>626</v>
      </c>
      <c r="R853" s="1097"/>
      <c r="S853" s="1097"/>
      <c r="T853" s="1098"/>
      <c r="U853" s="137"/>
      <c r="W853" s="489"/>
    </row>
    <row r="854" spans="2:23" ht="15" x14ac:dyDescent="0.25">
      <c r="B854" s="489"/>
      <c r="C854" s="137"/>
      <c r="D854" s="921" t="s">
        <v>112</v>
      </c>
      <c r="E854" s="922"/>
      <c r="F854" s="923"/>
      <c r="G854" s="916">
        <v>47164</v>
      </c>
      <c r="H854" s="916"/>
      <c r="I854" s="916">
        <v>3430957</v>
      </c>
      <c r="J854" s="916"/>
      <c r="K854" s="1100">
        <v>137.47</v>
      </c>
      <c r="L854" s="1100"/>
      <c r="M854" s="1100">
        <v>136.22999999999999</v>
      </c>
      <c r="N854" s="1100"/>
      <c r="O854" s="1100">
        <v>138.71</v>
      </c>
      <c r="P854" s="1100"/>
      <c r="Q854" s="924" t="s">
        <v>286</v>
      </c>
      <c r="R854" s="925"/>
      <c r="S854" s="925"/>
      <c r="T854" s="926"/>
      <c r="U854" s="137"/>
      <c r="V854" s="67"/>
      <c r="W854" s="489"/>
    </row>
    <row r="855" spans="2:23" ht="15" x14ac:dyDescent="0.25">
      <c r="B855" s="489"/>
      <c r="C855" s="137"/>
      <c r="D855" s="137"/>
      <c r="E855" s="137"/>
      <c r="F855" s="137"/>
      <c r="G855" s="137"/>
      <c r="H855" s="137"/>
      <c r="I855" s="137"/>
      <c r="J855" s="137"/>
      <c r="K855" s="137"/>
      <c r="L855" s="137"/>
      <c r="M855" s="137"/>
      <c r="N855" s="137"/>
      <c r="O855" s="137"/>
      <c r="P855" s="137"/>
      <c r="Q855" s="137"/>
      <c r="R855" s="137"/>
      <c r="S855" s="137"/>
      <c r="T855" s="137"/>
      <c r="U855" s="137"/>
      <c r="V855" s="67"/>
      <c r="W855" s="489"/>
    </row>
    <row r="856" spans="2:23" ht="15" x14ac:dyDescent="0.25">
      <c r="B856" s="489"/>
      <c r="C856" s="71"/>
      <c r="D856" s="71"/>
      <c r="E856" s="71"/>
      <c r="F856" s="71"/>
      <c r="G856" s="71"/>
      <c r="H856" s="71"/>
      <c r="I856" s="71"/>
      <c r="J856" s="97" t="s">
        <v>608</v>
      </c>
      <c r="K856" s="97"/>
      <c r="L856" s="97" t="s">
        <v>612</v>
      </c>
      <c r="M856" s="97"/>
      <c r="N856" s="97" t="s">
        <v>613</v>
      </c>
      <c r="O856" s="97"/>
      <c r="P856" s="97" t="s">
        <v>502</v>
      </c>
      <c r="Q856" s="97"/>
      <c r="R856" s="71" t="s">
        <v>503</v>
      </c>
      <c r="S856" s="71"/>
      <c r="T856" s="70"/>
      <c r="U856" s="71"/>
      <c r="V856" s="67"/>
      <c r="W856" s="489"/>
    </row>
    <row r="857" spans="2:23" ht="15" x14ac:dyDescent="0.25">
      <c r="B857" s="489"/>
      <c r="C857" s="71"/>
      <c r="D857" s="97"/>
      <c r="E857" s="97" t="s">
        <v>608</v>
      </c>
      <c r="F857" s="97" t="s">
        <v>612</v>
      </c>
      <c r="G857" s="97" t="s">
        <v>613</v>
      </c>
      <c r="H857" s="97" t="s">
        <v>502</v>
      </c>
      <c r="I857" s="563" t="s">
        <v>503</v>
      </c>
      <c r="J857" s="97" t="s">
        <v>419</v>
      </c>
      <c r="K857" s="97" t="s">
        <v>418</v>
      </c>
      <c r="L857" s="97" t="s">
        <v>419</v>
      </c>
      <c r="M857" s="97" t="s">
        <v>418</v>
      </c>
      <c r="N857" s="97" t="s">
        <v>419</v>
      </c>
      <c r="O857" s="97" t="s">
        <v>418</v>
      </c>
      <c r="P857" s="97" t="s">
        <v>419</v>
      </c>
      <c r="Q857" s="97" t="s">
        <v>418</v>
      </c>
      <c r="R857" s="71" t="s">
        <v>1040</v>
      </c>
      <c r="S857" s="71" t="s">
        <v>1041</v>
      </c>
      <c r="T857" s="70"/>
      <c r="U857" s="71"/>
      <c r="V857" s="67"/>
      <c r="W857" s="489"/>
    </row>
    <row r="858" spans="2:23" ht="15" x14ac:dyDescent="0.25">
      <c r="B858" s="489"/>
      <c r="C858" s="71"/>
      <c r="D858" s="97" t="s">
        <v>398</v>
      </c>
      <c r="E858" s="97">
        <v>141.21037463976899</v>
      </c>
      <c r="F858" s="97">
        <v>148.29322887520999</v>
      </c>
      <c r="G858" s="97">
        <v>159.41637395298599</v>
      </c>
      <c r="H858" s="97">
        <v>147.91336502905401</v>
      </c>
      <c r="I858" s="564">
        <v>145.59</v>
      </c>
      <c r="J858" s="97">
        <v>45.477228907285024</v>
      </c>
      <c r="K858" s="97">
        <v>36.742160482030982</v>
      </c>
      <c r="L858" s="97">
        <v>45.677965798132021</v>
      </c>
      <c r="M858" s="97">
        <v>37.211422632850997</v>
      </c>
      <c r="N858" s="97">
        <v>46.219133858939017</v>
      </c>
      <c r="O858" s="97">
        <v>38.061242639269992</v>
      </c>
      <c r="P858" s="97">
        <v>44.164442703605999</v>
      </c>
      <c r="Q858" s="97">
        <v>36.181198672397002</v>
      </c>
      <c r="R858" s="565">
        <v>43.039999999999992</v>
      </c>
      <c r="S858" s="564">
        <v>35.320000000000007</v>
      </c>
      <c r="T858" s="70"/>
      <c r="U858" s="71"/>
      <c r="V858" s="67"/>
      <c r="W858" s="489"/>
    </row>
    <row r="859" spans="2:23" ht="15" x14ac:dyDescent="0.25">
      <c r="B859" s="489"/>
      <c r="C859" s="71"/>
      <c r="D859" s="97" t="s">
        <v>82</v>
      </c>
      <c r="E859" s="97">
        <v>137.67720828789501</v>
      </c>
      <c r="F859" s="97">
        <v>162.68835844779301</v>
      </c>
      <c r="G859" s="97">
        <v>152.29076017404699</v>
      </c>
      <c r="H859" s="97">
        <v>144.00200350613599</v>
      </c>
      <c r="I859" s="564">
        <v>160.03</v>
      </c>
      <c r="J859" s="97">
        <v>29.613080039071974</v>
      </c>
      <c r="K859" s="97">
        <v>25.536859406304018</v>
      </c>
      <c r="L859" s="97">
        <v>31.561768188016003</v>
      </c>
      <c r="M859" s="97">
        <v>27.585507184783012</v>
      </c>
      <c r="N859" s="97">
        <v>29.947839739047993</v>
      </c>
      <c r="O859" s="97">
        <v>26.130490704654989</v>
      </c>
      <c r="P859" s="97">
        <v>28.850593061533004</v>
      </c>
      <c r="Q859" s="97">
        <v>25.113580940334998</v>
      </c>
      <c r="R859" s="565">
        <v>30.379999999999995</v>
      </c>
      <c r="S859" s="564">
        <v>26.620000000000005</v>
      </c>
      <c r="T859" s="70"/>
      <c r="U859" s="71"/>
      <c r="V859" s="67"/>
      <c r="W859" s="489"/>
    </row>
    <row r="860" spans="2:23" ht="15" x14ac:dyDescent="0.25">
      <c r="B860" s="489"/>
      <c r="C860" s="71"/>
      <c r="D860" s="97" t="s">
        <v>44</v>
      </c>
      <c r="E860" s="97">
        <v>152.48226950354601</v>
      </c>
      <c r="F860" s="97">
        <v>170.212765957447</v>
      </c>
      <c r="G860" s="97">
        <v>120.006857534716</v>
      </c>
      <c r="H860" s="97">
        <v>195.40031125713301</v>
      </c>
      <c r="I860" s="564">
        <v>225.33</v>
      </c>
      <c r="J860" s="97">
        <v>35.832092703168996</v>
      </c>
      <c r="K860" s="97">
        <v>30.516134116254008</v>
      </c>
      <c r="L860" s="97">
        <v>37.646153980545989</v>
      </c>
      <c r="M860" s="97">
        <v>32.339877007729001</v>
      </c>
      <c r="N860" s="97">
        <v>31.614587691294986</v>
      </c>
      <c r="O860" s="97">
        <v>26.4556233709</v>
      </c>
      <c r="P860" s="97">
        <v>39.52475398765398</v>
      </c>
      <c r="Q860" s="97">
        <v>34.362798787481012</v>
      </c>
      <c r="R860" s="565">
        <v>42.41</v>
      </c>
      <c r="S860" s="564">
        <v>37.210000000000008</v>
      </c>
      <c r="T860" s="70"/>
      <c r="U860" s="71"/>
      <c r="V860" s="67"/>
      <c r="W860" s="489"/>
    </row>
    <row r="861" spans="2:23" x14ac:dyDescent="0.2">
      <c r="B861" s="489"/>
      <c r="C861" s="74"/>
      <c r="D861" s="97" t="s">
        <v>79</v>
      </c>
      <c r="E861" s="97">
        <v>217.082310376018</v>
      </c>
      <c r="F861" s="97">
        <v>201.399975439027</v>
      </c>
      <c r="G861" s="97">
        <v>179.129598461169</v>
      </c>
      <c r="H861" s="97">
        <v>160.344621275577</v>
      </c>
      <c r="I861" s="564">
        <v>97.99</v>
      </c>
      <c r="J861" s="97">
        <v>35.421978517725989</v>
      </c>
      <c r="K861" s="97">
        <v>31.585523400481009</v>
      </c>
      <c r="L861" s="97">
        <v>33.291860447423005</v>
      </c>
      <c r="M861" s="97">
        <v>29.644645607842989</v>
      </c>
      <c r="N861" s="97">
        <v>31.182056569361009</v>
      </c>
      <c r="O861" s="97">
        <v>27.607169593389983</v>
      </c>
      <c r="P861" s="97">
        <v>29.561556397223995</v>
      </c>
      <c r="Q861" s="97">
        <v>25.998261432944986</v>
      </c>
      <c r="R861" s="565">
        <v>23.490000000000009</v>
      </c>
      <c r="S861" s="564">
        <v>19.939999999999998</v>
      </c>
      <c r="T861" s="148"/>
      <c r="U861" s="74"/>
      <c r="V861" s="67"/>
      <c r="W861" s="489"/>
    </row>
    <row r="862" spans="2:23" x14ac:dyDescent="0.2">
      <c r="B862" s="489"/>
      <c r="C862" s="74"/>
      <c r="D862" s="97" t="s">
        <v>83</v>
      </c>
      <c r="E862" s="97">
        <v>139.53488372093</v>
      </c>
      <c r="F862" s="97">
        <v>135.79728405431899</v>
      </c>
      <c r="G862" s="97">
        <v>125.06948304613699</v>
      </c>
      <c r="H862" s="97">
        <v>154.66072175003501</v>
      </c>
      <c r="I862" s="564">
        <v>97.6</v>
      </c>
      <c r="J862" s="97">
        <v>30.343830272677991</v>
      </c>
      <c r="K862" s="97">
        <v>26.127814263814997</v>
      </c>
      <c r="L862" s="97">
        <v>29.863886002368019</v>
      </c>
      <c r="M862" s="97">
        <v>25.674832899131999</v>
      </c>
      <c r="N862" s="97">
        <v>28.662145180308002</v>
      </c>
      <c r="O862" s="97">
        <v>24.498847766284996</v>
      </c>
      <c r="P862" s="97">
        <v>31.590681887272979</v>
      </c>
      <c r="Q862" s="97">
        <v>27.430224508596012</v>
      </c>
      <c r="R862" s="565">
        <v>25.710000000000008</v>
      </c>
      <c r="S862" s="564">
        <v>21.509999999999991</v>
      </c>
      <c r="T862" s="148"/>
      <c r="U862" s="74"/>
      <c r="V862" s="67"/>
      <c r="W862" s="489"/>
    </row>
    <row r="863" spans="2:23" x14ac:dyDescent="0.2">
      <c r="B863" s="489"/>
      <c r="C863" s="74"/>
      <c r="D863" s="97" t="s">
        <v>80</v>
      </c>
      <c r="E863" s="97">
        <v>129.83861181895401</v>
      </c>
      <c r="F863" s="97">
        <v>139.30587246307201</v>
      </c>
      <c r="G863" s="97">
        <v>94.239604193662402</v>
      </c>
      <c r="H863" s="97">
        <v>114.51273662070599</v>
      </c>
      <c r="I863" s="564">
        <v>89.71</v>
      </c>
      <c r="J863" s="97">
        <v>27.058059754831987</v>
      </c>
      <c r="K863" s="97">
        <v>23.43273456864901</v>
      </c>
      <c r="L863" s="97">
        <v>27.778251659713987</v>
      </c>
      <c r="M863" s="97">
        <v>24.194732501246008</v>
      </c>
      <c r="N863" s="97">
        <v>23.049740719289602</v>
      </c>
      <c r="O863" s="97">
        <v>19.513457974426601</v>
      </c>
      <c r="P863" s="97">
        <v>25.041610531824006</v>
      </c>
      <c r="Q863" s="97">
        <v>21.545761773372888</v>
      </c>
      <c r="R863" s="565">
        <v>22.25</v>
      </c>
      <c r="S863" s="564">
        <v>18.799999999999997</v>
      </c>
      <c r="T863" s="148"/>
      <c r="U863" s="74"/>
      <c r="V863" s="67"/>
      <c r="W863" s="489"/>
    </row>
    <row r="864" spans="2:23" x14ac:dyDescent="0.2">
      <c r="B864" s="489"/>
      <c r="C864" s="74"/>
      <c r="D864" s="97" t="s">
        <v>81</v>
      </c>
      <c r="E864" s="97">
        <v>107.369448511469</v>
      </c>
      <c r="F864" s="97">
        <v>126.10340479192899</v>
      </c>
      <c r="G864" s="97">
        <v>112.395124267849</v>
      </c>
      <c r="H864" s="97">
        <v>127.625201938611</v>
      </c>
      <c r="I864" s="564">
        <v>177.98</v>
      </c>
      <c r="J864" s="97">
        <v>29.230815963896006</v>
      </c>
      <c r="K864" s="97">
        <v>24.329923512856297</v>
      </c>
      <c r="L864" s="97">
        <v>30.843198134623009</v>
      </c>
      <c r="M864" s="97">
        <v>26.1112460190581</v>
      </c>
      <c r="N864" s="97">
        <v>29.376031796468013</v>
      </c>
      <c r="O864" s="97">
        <v>24.613598288522098</v>
      </c>
      <c r="P864" s="97">
        <v>31.433879102868005</v>
      </c>
      <c r="Q864" s="97">
        <v>26.583127690476999</v>
      </c>
      <c r="R864" s="565">
        <v>36.909999999999997</v>
      </c>
      <c r="S864" s="564">
        <v>31.97999999999999</v>
      </c>
      <c r="T864" s="148"/>
      <c r="U864" s="74"/>
      <c r="V864" s="67"/>
      <c r="W864" s="489"/>
    </row>
    <row r="865" spans="2:23" x14ac:dyDescent="0.2">
      <c r="B865" s="489"/>
      <c r="C865" s="74"/>
      <c r="D865" s="97" t="s">
        <v>291</v>
      </c>
      <c r="E865" s="97">
        <v>148.024875186126</v>
      </c>
      <c r="F865" s="97">
        <v>155.98885793871901</v>
      </c>
      <c r="G865" s="97">
        <v>133.842410002517</v>
      </c>
      <c r="H865" s="97">
        <v>147.58450571733201</v>
      </c>
      <c r="I865" s="564">
        <v>135.88999999999999</v>
      </c>
      <c r="J865" s="97">
        <v>11.591862576186998</v>
      </c>
      <c r="K865" s="97">
        <v>10.949908279629</v>
      </c>
      <c r="L865" s="97">
        <v>11.754924793216986</v>
      </c>
      <c r="M865" s="97">
        <v>11.127041994471</v>
      </c>
      <c r="N865" s="97">
        <v>10.800881384504009</v>
      </c>
      <c r="O865" s="97">
        <v>10.185633472196997</v>
      </c>
      <c r="P865" s="97">
        <v>11.299939188645993</v>
      </c>
      <c r="Q865" s="97">
        <v>10.687258379895013</v>
      </c>
      <c r="R865" s="565">
        <v>10.840000000000003</v>
      </c>
      <c r="S865" s="564">
        <v>10.22999999999999</v>
      </c>
      <c r="T865" s="148"/>
      <c r="U865" s="74"/>
      <c r="V865" s="67"/>
      <c r="W865" s="489"/>
    </row>
    <row r="866" spans="2:23" x14ac:dyDescent="0.2">
      <c r="B866" s="489"/>
      <c r="C866" s="74"/>
      <c r="D866" s="97" t="s">
        <v>609</v>
      </c>
      <c r="E866" s="97">
        <v>140.97298779338399</v>
      </c>
      <c r="F866" s="97">
        <v>145.72543693377699</v>
      </c>
      <c r="G866" s="97">
        <v>128.823001227758</v>
      </c>
      <c r="H866" s="97">
        <v>134.82341639103501</v>
      </c>
      <c r="I866" s="564">
        <v>132.76</v>
      </c>
      <c r="J866" s="97">
        <v>3.2483334309669942</v>
      </c>
      <c r="K866" s="97">
        <v>3.1930092221369932</v>
      </c>
      <c r="L866" s="97">
        <v>3.2681937774800076</v>
      </c>
      <c r="M866" s="97">
        <v>3.2139899784799866</v>
      </c>
      <c r="N866" s="97">
        <v>3.0472288196779971</v>
      </c>
      <c r="O866" s="97">
        <v>2.9939777583809928</v>
      </c>
      <c r="P866" s="97">
        <v>3.1113127080460004</v>
      </c>
      <c r="Q866" s="97">
        <v>3.0582438763809989</v>
      </c>
      <c r="R866" s="565">
        <v>3.0900000000000034</v>
      </c>
      <c r="S866" s="564">
        <v>3.0300000000000011</v>
      </c>
      <c r="T866" s="148"/>
      <c r="U866" s="74"/>
      <c r="V866" s="67"/>
      <c r="W866" s="489"/>
    </row>
    <row r="867" spans="2:23" x14ac:dyDescent="0.2">
      <c r="B867" s="489"/>
      <c r="C867" s="74"/>
      <c r="D867" s="97" t="s">
        <v>293</v>
      </c>
      <c r="E867" s="97">
        <v>143.298539793092</v>
      </c>
      <c r="F867" s="97">
        <v>148.196948640719</v>
      </c>
      <c r="G867" s="97">
        <v>134.69851085474099</v>
      </c>
      <c r="H867" s="97">
        <v>140.79721627471699</v>
      </c>
      <c r="I867" s="564">
        <v>137.47</v>
      </c>
      <c r="J867" s="97">
        <v>1.3013335652040041</v>
      </c>
      <c r="K867" s="97">
        <v>1.2924970263350133</v>
      </c>
      <c r="L867" s="97">
        <v>1.3136186610090022</v>
      </c>
      <c r="M867" s="97">
        <v>1.3049105354000119</v>
      </c>
      <c r="N867" s="97">
        <v>1.24060109562501</v>
      </c>
      <c r="O867" s="97">
        <v>1.2320582695269877</v>
      </c>
      <c r="P867" s="97">
        <v>1.2643645531590266</v>
      </c>
      <c r="Q867" s="97">
        <v>1.2558740410409825</v>
      </c>
      <c r="R867" s="565">
        <v>1.2400000000000091</v>
      </c>
      <c r="S867" s="564">
        <v>1.2400000000000091</v>
      </c>
      <c r="T867" s="148"/>
      <c r="U867" s="74"/>
      <c r="V867" s="67"/>
      <c r="W867" s="489"/>
    </row>
    <row r="868" spans="2:23" x14ac:dyDescent="0.2">
      <c r="B868" s="489"/>
      <c r="C868" s="74"/>
      <c r="D868" s="74"/>
      <c r="E868" s="74"/>
      <c r="F868" s="74"/>
      <c r="G868" s="74"/>
      <c r="H868" s="74"/>
      <c r="I868" s="74"/>
      <c r="J868" s="74"/>
      <c r="K868" s="74"/>
      <c r="L868" s="74"/>
      <c r="M868" s="74"/>
      <c r="N868" s="74"/>
      <c r="O868" s="74"/>
      <c r="P868" s="74"/>
      <c r="Q868" s="74"/>
      <c r="R868" s="74"/>
      <c r="S868" s="74"/>
      <c r="T868" s="148"/>
      <c r="U868" s="74"/>
      <c r="V868" s="67"/>
      <c r="W868" s="489"/>
    </row>
    <row r="869" spans="2:23" x14ac:dyDescent="0.2">
      <c r="B869" s="489"/>
      <c r="C869" s="74"/>
      <c r="D869" s="148"/>
      <c r="E869" s="148"/>
      <c r="F869" s="148"/>
      <c r="G869" s="148"/>
      <c r="H869" s="148"/>
      <c r="I869" s="148"/>
      <c r="J869" s="148"/>
      <c r="K869" s="148"/>
      <c r="L869" s="148"/>
      <c r="M869" s="148"/>
      <c r="N869" s="148"/>
      <c r="O869" s="148"/>
      <c r="P869" s="148"/>
      <c r="Q869" s="148"/>
      <c r="R869" s="148"/>
      <c r="S869" s="148"/>
      <c r="T869" s="148"/>
      <c r="U869" s="74"/>
      <c r="V869" s="67"/>
      <c r="W869" s="489"/>
    </row>
    <row r="870" spans="2:23" x14ac:dyDescent="0.2">
      <c r="B870" s="489"/>
      <c r="C870" s="74"/>
      <c r="D870" s="74"/>
      <c r="E870" s="74"/>
      <c r="F870" s="74"/>
      <c r="G870" s="74"/>
      <c r="H870" s="74"/>
      <c r="I870" s="74"/>
      <c r="J870" s="74"/>
      <c r="K870" s="74"/>
      <c r="L870" s="74"/>
      <c r="M870" s="74"/>
      <c r="N870" s="74"/>
      <c r="O870" s="74"/>
      <c r="P870" s="74"/>
      <c r="Q870" s="74"/>
      <c r="R870" s="74"/>
      <c r="S870" s="74"/>
      <c r="T870" s="74"/>
      <c r="U870" s="74"/>
      <c r="V870" s="67"/>
      <c r="W870" s="489"/>
    </row>
    <row r="871" spans="2:23" x14ac:dyDescent="0.2">
      <c r="B871" s="489"/>
      <c r="C871" s="74"/>
      <c r="D871" s="74"/>
      <c r="E871" s="74"/>
      <c r="F871" s="74"/>
      <c r="G871" s="74"/>
      <c r="H871" s="74"/>
      <c r="I871" s="74"/>
      <c r="J871" s="74"/>
      <c r="K871" s="74"/>
      <c r="L871" s="74"/>
      <c r="M871" s="74"/>
      <c r="N871" s="74"/>
      <c r="O871" s="74"/>
      <c r="P871" s="74"/>
      <c r="Q871" s="74"/>
      <c r="R871" s="74"/>
      <c r="S871" s="74"/>
      <c r="T871" s="74"/>
      <c r="U871" s="74"/>
      <c r="V871" s="67"/>
      <c r="W871" s="489"/>
    </row>
    <row r="872" spans="2:23" x14ac:dyDescent="0.2">
      <c r="B872" s="489"/>
      <c r="C872" s="67"/>
      <c r="D872" s="67"/>
      <c r="E872" s="67"/>
      <c r="F872" s="67"/>
      <c r="G872" s="67"/>
      <c r="H872" s="67"/>
      <c r="I872" s="67"/>
      <c r="J872" s="67"/>
      <c r="K872" s="67"/>
      <c r="L872" s="67"/>
      <c r="M872" s="67"/>
      <c r="N872" s="67"/>
      <c r="O872" s="67"/>
      <c r="Q872" s="67"/>
      <c r="R872" s="67"/>
      <c r="S872" s="67"/>
      <c r="T872" s="67"/>
      <c r="U872" s="67"/>
      <c r="V872" s="67"/>
      <c r="W872" s="489"/>
    </row>
    <row r="873" spans="2:23" s="67" customFormat="1" x14ac:dyDescent="0.2">
      <c r="B873" s="489"/>
      <c r="C873" s="489"/>
      <c r="D873" s="489"/>
      <c r="E873" s="489"/>
      <c r="F873" s="489"/>
      <c r="G873" s="489"/>
      <c r="H873" s="489"/>
      <c r="I873" s="489"/>
      <c r="J873" s="489"/>
      <c r="K873" s="489"/>
      <c r="L873" s="489"/>
      <c r="M873" s="489"/>
      <c r="N873" s="489"/>
      <c r="O873" s="489"/>
      <c r="P873" s="489"/>
      <c r="Q873" s="489"/>
      <c r="R873" s="489"/>
      <c r="S873" s="489"/>
      <c r="T873" s="489"/>
      <c r="U873" s="489"/>
      <c r="V873" s="489"/>
      <c r="W873" s="489"/>
    </row>
    <row r="874" spans="2:23" s="67" customFormat="1" x14ac:dyDescent="0.2">
      <c r="B874" s="489"/>
      <c r="C874" s="489"/>
      <c r="D874" s="489"/>
      <c r="E874" s="489"/>
      <c r="F874" s="489"/>
      <c r="G874" s="489"/>
      <c r="H874" s="489"/>
      <c r="I874" s="489"/>
      <c r="J874" s="489"/>
      <c r="K874" s="489"/>
      <c r="L874" s="489"/>
      <c r="M874" s="489"/>
      <c r="N874" s="489"/>
      <c r="O874" s="489"/>
      <c r="P874" s="489"/>
      <c r="Q874" s="489"/>
      <c r="R874" s="489"/>
      <c r="S874" s="489"/>
      <c r="T874" s="489"/>
      <c r="U874" s="489"/>
      <c r="V874" s="489"/>
      <c r="W874" s="489"/>
    </row>
    <row r="875" spans="2:23" s="67" customFormat="1" x14ac:dyDescent="0.2">
      <c r="B875" s="489"/>
      <c r="C875" s="489"/>
      <c r="D875" s="489"/>
      <c r="E875" s="489"/>
      <c r="F875" s="489"/>
      <c r="G875" s="489"/>
      <c r="H875" s="489"/>
      <c r="I875" s="489"/>
      <c r="J875" s="489"/>
      <c r="K875" s="489"/>
      <c r="L875" s="489"/>
      <c r="M875" s="489"/>
      <c r="N875" s="489"/>
      <c r="O875" s="489"/>
      <c r="P875" s="489"/>
      <c r="Q875" s="489"/>
      <c r="R875" s="489"/>
      <c r="S875" s="489"/>
      <c r="T875" s="489"/>
      <c r="U875" s="489"/>
      <c r="V875" s="489"/>
      <c r="W875" s="489"/>
    </row>
    <row r="876" spans="2:23" s="67" customFormat="1" x14ac:dyDescent="0.2">
      <c r="B876" s="489"/>
      <c r="W876" s="489"/>
    </row>
    <row r="877" spans="2:23" s="67" customFormat="1" x14ac:dyDescent="0.2">
      <c r="B877" s="489"/>
      <c r="W877" s="489"/>
    </row>
    <row r="878" spans="2:23" s="67" customFormat="1" x14ac:dyDescent="0.2">
      <c r="B878" s="489"/>
      <c r="W878" s="489"/>
    </row>
    <row r="879" spans="2:23" s="67" customFormat="1" x14ac:dyDescent="0.2">
      <c r="B879" s="489"/>
      <c r="W879" s="489"/>
    </row>
    <row r="880" spans="2:23" s="67" customFormat="1" x14ac:dyDescent="0.2">
      <c r="B880" s="489"/>
      <c r="W880" s="489"/>
    </row>
    <row r="881" spans="2:23" s="67" customFormat="1" x14ac:dyDescent="0.2">
      <c r="B881" s="489"/>
      <c r="W881" s="489"/>
    </row>
    <row r="882" spans="2:23" s="67" customFormat="1" x14ac:dyDescent="0.2">
      <c r="B882" s="489"/>
      <c r="W882" s="489"/>
    </row>
    <row r="883" spans="2:23" s="67" customFormat="1" x14ac:dyDescent="0.2">
      <c r="B883" s="489"/>
      <c r="W883" s="489"/>
    </row>
    <row r="884" spans="2:23" s="67" customFormat="1" x14ac:dyDescent="0.2">
      <c r="B884" s="489"/>
      <c r="W884" s="489"/>
    </row>
    <row r="885" spans="2:23" s="67" customFormat="1" x14ac:dyDescent="0.2">
      <c r="B885" s="489"/>
      <c r="W885" s="489"/>
    </row>
    <row r="886" spans="2:23" s="67" customFormat="1" x14ac:dyDescent="0.2">
      <c r="B886" s="489"/>
      <c r="W886" s="489"/>
    </row>
    <row r="887" spans="2:23" s="67" customFormat="1" x14ac:dyDescent="0.2">
      <c r="B887" s="489"/>
      <c r="W887" s="489"/>
    </row>
    <row r="888" spans="2:23" s="67" customFormat="1" x14ac:dyDescent="0.2">
      <c r="B888" s="489"/>
      <c r="W888" s="489"/>
    </row>
    <row r="889" spans="2:23" s="67" customFormat="1" x14ac:dyDescent="0.2">
      <c r="B889" s="489"/>
      <c r="W889" s="489"/>
    </row>
    <row r="890" spans="2:23" s="67" customFormat="1" x14ac:dyDescent="0.2">
      <c r="B890" s="489"/>
      <c r="W890" s="489"/>
    </row>
    <row r="891" spans="2:23" s="67" customFormat="1" x14ac:dyDescent="0.2">
      <c r="B891" s="489"/>
      <c r="W891" s="489"/>
    </row>
    <row r="892" spans="2:23" s="67" customFormat="1" x14ac:dyDescent="0.2">
      <c r="B892" s="489"/>
      <c r="W892" s="489"/>
    </row>
    <row r="893" spans="2:23" s="67" customFormat="1" x14ac:dyDescent="0.2">
      <c r="B893" s="489"/>
      <c r="W893" s="489"/>
    </row>
    <row r="894" spans="2:23" s="67" customFormat="1" x14ac:dyDescent="0.2">
      <c r="B894" s="489"/>
      <c r="W894" s="489"/>
    </row>
    <row r="895" spans="2:23" s="67" customFormat="1" x14ac:dyDescent="0.2">
      <c r="B895" s="489"/>
      <c r="W895" s="489"/>
    </row>
    <row r="896" spans="2:23" s="67" customFormat="1" x14ac:dyDescent="0.2">
      <c r="B896" s="489"/>
      <c r="W896" s="489"/>
    </row>
    <row r="897" spans="2:23" s="67" customFormat="1" x14ac:dyDescent="0.2">
      <c r="B897" s="489"/>
      <c r="W897" s="489"/>
    </row>
    <row r="898" spans="2:23" s="67" customFormat="1" x14ac:dyDescent="0.2">
      <c r="B898" s="489"/>
      <c r="W898" s="489"/>
    </row>
    <row r="899" spans="2:23" x14ac:dyDescent="0.2">
      <c r="B899" s="489"/>
      <c r="C899" s="67"/>
      <c r="D899" s="67"/>
      <c r="E899" s="67"/>
      <c r="F899" s="67"/>
      <c r="G899" s="67"/>
      <c r="H899" s="67"/>
      <c r="I899" s="67"/>
      <c r="J899" s="67"/>
      <c r="K899" s="67"/>
      <c r="L899" s="67"/>
      <c r="M899" s="67"/>
      <c r="N899" s="67"/>
      <c r="O899" s="67"/>
      <c r="Q899" s="67"/>
      <c r="R899" s="67"/>
      <c r="S899" s="67"/>
      <c r="T899" s="67"/>
      <c r="U899" s="67"/>
      <c r="V899" s="67"/>
      <c r="W899" s="489"/>
    </row>
    <row r="900" spans="2:23" x14ac:dyDescent="0.2">
      <c r="B900" s="489"/>
      <c r="C900" s="67"/>
      <c r="D900" s="67"/>
      <c r="E900" s="67"/>
      <c r="F900" s="67"/>
      <c r="G900" s="67"/>
      <c r="H900" s="67"/>
      <c r="I900" s="67"/>
      <c r="J900" s="67"/>
      <c r="K900" s="67"/>
      <c r="L900" s="67"/>
      <c r="M900" s="67"/>
      <c r="N900" s="67"/>
      <c r="O900" s="67"/>
      <c r="Q900" s="67"/>
      <c r="R900" s="67"/>
      <c r="S900" s="67"/>
      <c r="T900" s="67"/>
      <c r="U900" s="67"/>
      <c r="V900" s="67"/>
      <c r="W900" s="489"/>
    </row>
    <row r="901" spans="2:23" x14ac:dyDescent="0.2">
      <c r="B901" s="489"/>
      <c r="C901" s="67"/>
      <c r="D901" s="67"/>
      <c r="E901" s="67"/>
      <c r="F901" s="67"/>
      <c r="G901" s="67"/>
      <c r="H901" s="67"/>
      <c r="I901" s="67"/>
      <c r="J901" s="67"/>
      <c r="K901" s="67"/>
      <c r="L901" s="67"/>
      <c r="M901" s="67"/>
      <c r="N901" s="67"/>
      <c r="O901" s="67"/>
      <c r="Q901" s="67"/>
      <c r="R901" s="67"/>
      <c r="S901" s="67"/>
      <c r="T901" s="67"/>
      <c r="U901" s="67"/>
      <c r="V901" s="67"/>
      <c r="W901" s="489"/>
    </row>
    <row r="902" spans="2:23" s="67" customFormat="1" x14ac:dyDescent="0.2">
      <c r="B902" s="489"/>
      <c r="W902" s="489"/>
    </row>
    <row r="903" spans="2:23" x14ac:dyDescent="0.2">
      <c r="B903" s="489"/>
      <c r="C903" s="67"/>
      <c r="D903" s="67"/>
      <c r="E903" s="67"/>
      <c r="F903" s="67"/>
      <c r="G903" s="67"/>
      <c r="H903" s="67"/>
      <c r="I903" s="67"/>
      <c r="J903" s="67"/>
      <c r="K903" s="67"/>
      <c r="L903" s="67"/>
      <c r="M903" s="67"/>
      <c r="N903" s="67"/>
      <c r="O903" s="67"/>
      <c r="Q903" s="67"/>
      <c r="R903" s="67"/>
      <c r="S903" s="67"/>
      <c r="T903" s="67"/>
      <c r="U903" s="67"/>
      <c r="V903" s="67"/>
      <c r="W903" s="489"/>
    </row>
    <row r="904" spans="2:23" x14ac:dyDescent="0.2">
      <c r="B904" s="489"/>
      <c r="C904" s="67"/>
      <c r="D904" s="67"/>
      <c r="E904" s="67"/>
      <c r="F904" s="67"/>
      <c r="G904" s="67"/>
      <c r="H904" s="67"/>
      <c r="I904" s="67"/>
      <c r="J904" s="67"/>
      <c r="K904" s="67"/>
      <c r="L904" s="67"/>
      <c r="M904" s="67"/>
      <c r="N904" s="67"/>
      <c r="O904" s="67"/>
      <c r="Q904" s="67"/>
      <c r="R904" s="67"/>
      <c r="S904" s="67"/>
      <c r="T904" s="67"/>
      <c r="U904" s="67"/>
      <c r="V904" s="67"/>
      <c r="W904" s="489"/>
    </row>
    <row r="905" spans="2:23" s="67" customFormat="1" x14ac:dyDescent="0.2">
      <c r="B905" s="489"/>
      <c r="W905" s="489"/>
    </row>
    <row r="906" spans="2:23" s="67" customFormat="1" x14ac:dyDescent="0.2">
      <c r="B906" s="489"/>
      <c r="W906" s="489"/>
    </row>
    <row r="907" spans="2:23" s="67" customFormat="1" x14ac:dyDescent="0.2">
      <c r="B907" s="489"/>
      <c r="W907" s="489"/>
    </row>
    <row r="908" spans="2:23" s="67" customFormat="1" x14ac:dyDescent="0.2">
      <c r="B908" s="489"/>
      <c r="W908" s="489"/>
    </row>
    <row r="909" spans="2:23" s="67" customFormat="1" x14ac:dyDescent="0.2">
      <c r="B909" s="489"/>
      <c r="W909" s="489"/>
    </row>
    <row r="910" spans="2:23" s="67" customFormat="1" x14ac:dyDescent="0.2">
      <c r="B910" s="489"/>
      <c r="W910" s="489"/>
    </row>
    <row r="911" spans="2:23" s="67" customFormat="1" x14ac:dyDescent="0.2">
      <c r="B911" s="489"/>
      <c r="W911" s="489"/>
    </row>
    <row r="912" spans="2:23" x14ac:dyDescent="0.2">
      <c r="B912" s="489"/>
      <c r="C912" s="67"/>
      <c r="D912" s="67"/>
      <c r="E912" s="67"/>
      <c r="F912" s="67"/>
      <c r="G912" s="67"/>
      <c r="H912" s="67"/>
      <c r="I912" s="67"/>
      <c r="J912" s="67"/>
      <c r="K912" s="67"/>
      <c r="L912" s="67"/>
      <c r="M912" s="67"/>
      <c r="N912" s="67"/>
      <c r="O912" s="67"/>
      <c r="Q912" s="67"/>
      <c r="R912" s="67"/>
      <c r="S912" s="67"/>
      <c r="T912" s="67"/>
      <c r="U912" s="67"/>
      <c r="V912" s="67"/>
      <c r="W912" s="489"/>
    </row>
    <row r="913" spans="2:23" x14ac:dyDescent="0.2">
      <c r="B913" s="489"/>
      <c r="C913" s="67"/>
      <c r="D913" s="67"/>
      <c r="E913" s="67"/>
      <c r="F913" s="67"/>
      <c r="G913" s="67"/>
      <c r="H913" s="67"/>
      <c r="I913" s="67"/>
      <c r="J913" s="67"/>
      <c r="K913" s="67"/>
      <c r="L913" s="67"/>
      <c r="M913" s="67"/>
      <c r="N913" s="67"/>
      <c r="O913" s="67"/>
      <c r="Q913" s="67"/>
      <c r="R913" s="67"/>
      <c r="S913" s="67"/>
      <c r="T913" s="67"/>
      <c r="U913" s="67"/>
      <c r="V913" s="67"/>
      <c r="W913" s="489"/>
    </row>
    <row r="914" spans="2:23" ht="15" x14ac:dyDescent="0.25">
      <c r="B914" s="489"/>
      <c r="C914" s="566" t="s">
        <v>1044</v>
      </c>
      <c r="D914" s="314"/>
      <c r="E914" s="314"/>
      <c r="F914" s="314"/>
      <c r="G914" s="314"/>
      <c r="H914" s="314"/>
      <c r="I914" s="314"/>
      <c r="J914" s="314"/>
      <c r="K914" s="314"/>
      <c r="L914" s="314"/>
      <c r="M914" s="314"/>
      <c r="N914" s="314"/>
      <c r="O914" s="314"/>
      <c r="P914" s="314"/>
      <c r="Q914" s="314"/>
      <c r="R914" s="314"/>
      <c r="S914" s="314"/>
      <c r="T914" s="314"/>
      <c r="U914" s="314"/>
      <c r="V914" s="314"/>
      <c r="W914" s="489"/>
    </row>
    <row r="915" spans="2:23" ht="15" x14ac:dyDescent="0.25">
      <c r="B915" s="489"/>
      <c r="C915" s="314"/>
      <c r="D915" s="314"/>
      <c r="E915" s="314"/>
      <c r="F915" s="314"/>
      <c r="G915" s="314"/>
      <c r="H915" s="314"/>
      <c r="I915" s="314"/>
      <c r="J915" s="314"/>
      <c r="K915" s="314"/>
      <c r="L915" s="314"/>
      <c r="M915" s="314"/>
      <c r="N915" s="314"/>
      <c r="O915" s="314"/>
      <c r="P915" s="314"/>
      <c r="Q915" s="314"/>
      <c r="R915" s="314"/>
      <c r="S915" s="314"/>
      <c r="T915" s="314"/>
      <c r="U915" s="314"/>
      <c r="V915" s="314"/>
      <c r="W915" s="489"/>
    </row>
    <row r="916" spans="2:23" ht="15" customHeight="1" x14ac:dyDescent="0.25">
      <c r="B916" s="489"/>
      <c r="C916" s="314"/>
      <c r="D916" s="950" t="s">
        <v>440</v>
      </c>
      <c r="E916" s="951"/>
      <c r="F916" s="952" t="str">
        <f>INDEX(Locations, selection)</f>
        <v>Angmering</v>
      </c>
      <c r="G916" s="953"/>
      <c r="H916" s="954"/>
      <c r="I916" s="314"/>
      <c r="J916" s="314"/>
      <c r="K916" s="314"/>
      <c r="L916" s="314"/>
      <c r="M916" s="314"/>
      <c r="N916" s="314"/>
      <c r="O916" s="314"/>
      <c r="P916" s="314"/>
      <c r="Q916" s="314"/>
      <c r="R916" s="314"/>
      <c r="S916" s="314"/>
      <c r="T916" s="314"/>
      <c r="U916" s="314"/>
      <c r="V916" s="314"/>
      <c r="W916" s="489"/>
    </row>
    <row r="917" spans="2:23" ht="15.75" customHeight="1" x14ac:dyDescent="0.25">
      <c r="B917" s="489"/>
      <c r="C917" s="314"/>
      <c r="D917" s="912" t="s">
        <v>817</v>
      </c>
      <c r="E917" s="912"/>
      <c r="F917" s="913" t="str">
        <f>IF(VLOOKUP(F916,Geographies,9,FALSE)="","",VLOOKUP(F916,Geographies,9,FALSE))</f>
        <v>Arun</v>
      </c>
      <c r="G917" s="913"/>
      <c r="H917" s="913"/>
      <c r="I917" s="314"/>
      <c r="J917" s="314"/>
      <c r="K917" s="314"/>
      <c r="L917" s="314"/>
      <c r="M917" s="314"/>
      <c r="N917" s="314"/>
      <c r="O917" s="314"/>
      <c r="P917" s="314"/>
      <c r="Q917" s="314"/>
      <c r="R917" s="314"/>
      <c r="S917" s="314"/>
      <c r="T917" s="314"/>
      <c r="U917" s="314"/>
      <c r="V917" s="314"/>
      <c r="W917" s="489"/>
    </row>
    <row r="918" spans="2:23" ht="15" x14ac:dyDescent="0.25">
      <c r="B918" s="489"/>
      <c r="C918" s="314"/>
      <c r="D918" s="314"/>
      <c r="E918" s="314"/>
      <c r="F918" s="314"/>
      <c r="G918" s="314"/>
      <c r="H918" s="314"/>
      <c r="I918" s="314"/>
      <c r="J918" s="314"/>
      <c r="K918" s="314"/>
      <c r="L918" s="314"/>
      <c r="M918" s="314"/>
      <c r="N918" s="314"/>
      <c r="O918" s="314"/>
      <c r="P918" s="314"/>
      <c r="Q918" s="314"/>
      <c r="R918" s="314"/>
      <c r="S918" s="314"/>
      <c r="T918" s="314"/>
      <c r="U918" s="314"/>
      <c r="V918" s="314"/>
      <c r="W918" s="489"/>
    </row>
    <row r="919" spans="2:23" s="67" customFormat="1" ht="15" x14ac:dyDescent="0.25">
      <c r="B919" s="489"/>
      <c r="C919" s="314"/>
      <c r="D919" s="131" t="s">
        <v>820</v>
      </c>
      <c r="E919" s="314"/>
      <c r="F919" s="314"/>
      <c r="G919" s="314"/>
      <c r="H919" s="314"/>
      <c r="I919" s="314"/>
      <c r="J919" s="314"/>
      <c r="K919" s="314"/>
      <c r="L919" s="314"/>
      <c r="M919" s="314"/>
      <c r="N919" s="314"/>
      <c r="O919" s="314"/>
      <c r="P919" s="314"/>
      <c r="Q919" s="314"/>
      <c r="R919" s="314"/>
      <c r="S919" s="314"/>
      <c r="T919" s="314"/>
      <c r="U919" s="314"/>
      <c r="V919" s="314"/>
      <c r="W919" s="489"/>
    </row>
    <row r="920" spans="2:23" s="67" customFormat="1" ht="15" x14ac:dyDescent="0.25">
      <c r="B920" s="489"/>
      <c r="C920" s="314"/>
      <c r="D920" s="131"/>
      <c r="E920" s="314"/>
      <c r="F920" s="314"/>
      <c r="G920" s="314"/>
      <c r="H920" s="314"/>
      <c r="I920" s="314"/>
      <c r="J920" s="314"/>
      <c r="K920" s="314"/>
      <c r="L920" s="314"/>
      <c r="M920" s="314"/>
      <c r="N920" s="314"/>
      <c r="O920" s="314"/>
      <c r="P920" s="314"/>
      <c r="Q920" s="314"/>
      <c r="R920" s="314"/>
      <c r="S920" s="314"/>
      <c r="T920" s="314"/>
      <c r="U920" s="314"/>
      <c r="V920" s="314"/>
      <c r="W920" s="489"/>
    </row>
    <row r="921" spans="2:23" ht="15" customHeight="1" x14ac:dyDescent="0.25">
      <c r="B921" s="489"/>
      <c r="C921" s="314"/>
      <c r="D921" s="964" t="s">
        <v>818</v>
      </c>
      <c r="E921" s="965"/>
      <c r="F921" s="966"/>
      <c r="G921" s="955" t="s">
        <v>819</v>
      </c>
      <c r="H921" s="961"/>
      <c r="I921" s="956"/>
      <c r="J921" s="955" t="s">
        <v>526</v>
      </c>
      <c r="K921" s="956"/>
      <c r="L921" s="1173" t="s">
        <v>527</v>
      </c>
      <c r="M921" s="1174"/>
      <c r="N921" s="314"/>
      <c r="O921" s="314"/>
      <c r="P921" s="314"/>
      <c r="Q921" s="314"/>
      <c r="R921" s="314"/>
      <c r="S921" s="314"/>
      <c r="T921" s="314"/>
      <c r="U921" s="314"/>
      <c r="V921" s="314"/>
      <c r="W921" s="489"/>
    </row>
    <row r="922" spans="2:23" ht="15" x14ac:dyDescent="0.25">
      <c r="B922" s="489"/>
      <c r="C922" s="314"/>
      <c r="D922" s="967"/>
      <c r="E922" s="968"/>
      <c r="F922" s="969"/>
      <c r="G922" s="957"/>
      <c r="H922" s="962"/>
      <c r="I922" s="958"/>
      <c r="J922" s="957"/>
      <c r="K922" s="958"/>
      <c r="L922" s="1175"/>
      <c r="M922" s="1176"/>
      <c r="N922" s="314"/>
      <c r="O922" s="314"/>
      <c r="P922" s="314"/>
      <c r="Q922" s="314"/>
      <c r="R922" s="314"/>
      <c r="S922" s="314"/>
      <c r="T922" s="314"/>
      <c r="U922" s="314"/>
      <c r="V922" s="314"/>
      <c r="W922" s="489"/>
    </row>
    <row r="923" spans="2:23" ht="15" x14ac:dyDescent="0.25">
      <c r="B923" s="489"/>
      <c r="C923" s="314"/>
      <c r="D923" s="970"/>
      <c r="E923" s="971"/>
      <c r="F923" s="972"/>
      <c r="G923" s="959"/>
      <c r="H923" s="963"/>
      <c r="I923" s="960"/>
      <c r="J923" s="959"/>
      <c r="K923" s="960"/>
      <c r="L923" s="1177"/>
      <c r="M923" s="1178"/>
      <c r="N923" s="314"/>
      <c r="O923" s="314"/>
      <c r="P923" s="314"/>
      <c r="Q923" s="314"/>
      <c r="R923" s="314"/>
      <c r="S923" s="314"/>
      <c r="T923" s="314"/>
      <c r="U923" s="314"/>
      <c r="V923" s="314"/>
      <c r="W923" s="489"/>
    </row>
    <row r="924" spans="2:23" ht="15" x14ac:dyDescent="0.25">
      <c r="B924" s="489"/>
      <c r="C924" s="314"/>
      <c r="D924" s="927" t="s">
        <v>398</v>
      </c>
      <c r="E924" s="928"/>
      <c r="F924" s="929"/>
      <c r="G924" s="1164">
        <v>0.57999999999999996</v>
      </c>
      <c r="H924" s="1165"/>
      <c r="I924" s="1166"/>
      <c r="J924" s="1179">
        <v>0.16</v>
      </c>
      <c r="K924" s="1180"/>
      <c r="L924" s="1195">
        <v>1.49</v>
      </c>
      <c r="M924" s="1196"/>
      <c r="N924" s="314"/>
      <c r="O924" s="314"/>
      <c r="P924" s="314"/>
      <c r="Q924" s="314"/>
      <c r="R924" s="314"/>
      <c r="S924" s="314"/>
      <c r="T924" s="314"/>
      <c r="U924" s="314"/>
      <c r="V924" s="314"/>
      <c r="W924" s="489"/>
    </row>
    <row r="925" spans="2:23" ht="15" x14ac:dyDescent="0.25">
      <c r="B925" s="489"/>
      <c r="C925" s="314"/>
      <c r="D925" s="927" t="s">
        <v>82</v>
      </c>
      <c r="E925" s="928"/>
      <c r="F925" s="929"/>
      <c r="G925" s="1164">
        <v>0.61</v>
      </c>
      <c r="H925" s="1165"/>
      <c r="I925" s="1166"/>
      <c r="J925" s="1179">
        <v>0.28000000000000003</v>
      </c>
      <c r="K925" s="1180"/>
      <c r="L925" s="1195">
        <v>1.1599999999999999</v>
      </c>
      <c r="M925" s="1196"/>
      <c r="N925" s="314"/>
      <c r="O925" s="314"/>
      <c r="P925" s="314"/>
      <c r="Q925" s="314"/>
      <c r="R925" s="314"/>
      <c r="S925" s="314"/>
      <c r="T925" s="314"/>
      <c r="U925" s="314"/>
      <c r="V925" s="314"/>
      <c r="W925" s="489"/>
    </row>
    <row r="926" spans="2:23" ht="15" x14ac:dyDescent="0.25">
      <c r="B926" s="489"/>
      <c r="C926" s="314"/>
      <c r="D926" s="927" t="s">
        <v>44</v>
      </c>
      <c r="E926" s="928"/>
      <c r="F926" s="929"/>
      <c r="G926" s="1170" t="s">
        <v>1043</v>
      </c>
      <c r="H926" s="1171"/>
      <c r="I926" s="1171"/>
      <c r="J926" s="1171"/>
      <c r="K926" s="1171"/>
      <c r="L926" s="1171"/>
      <c r="M926" s="1172"/>
      <c r="N926" s="314"/>
      <c r="O926" s="314"/>
      <c r="P926" s="314"/>
      <c r="Q926" s="314"/>
      <c r="R926" s="314"/>
      <c r="S926" s="314"/>
      <c r="T926" s="314"/>
      <c r="U926" s="314"/>
      <c r="V926" s="314"/>
      <c r="W926" s="489"/>
    </row>
    <row r="927" spans="2:23" ht="15" x14ac:dyDescent="0.25">
      <c r="B927" s="489"/>
      <c r="C927" s="314"/>
      <c r="D927" s="927" t="s">
        <v>79</v>
      </c>
      <c r="E927" s="928"/>
      <c r="F927" s="929"/>
      <c r="G927" s="1164">
        <v>0.32</v>
      </c>
      <c r="H927" s="1165"/>
      <c r="I927" s="1166"/>
      <c r="J927" s="1179">
        <v>0.1</v>
      </c>
      <c r="K927" s="1180"/>
      <c r="L927" s="1195">
        <v>0.75</v>
      </c>
      <c r="M927" s="1196"/>
      <c r="N927" s="314"/>
      <c r="O927" s="314"/>
      <c r="P927" s="314"/>
      <c r="Q927" s="314"/>
      <c r="R927" s="314"/>
      <c r="S927" s="314"/>
      <c r="T927" s="314"/>
      <c r="U927" s="314"/>
      <c r="V927" s="314"/>
      <c r="W927" s="489"/>
    </row>
    <row r="928" spans="2:23" ht="15" x14ac:dyDescent="0.25">
      <c r="B928" s="489"/>
      <c r="C928" s="314"/>
      <c r="D928" s="927" t="s">
        <v>83</v>
      </c>
      <c r="E928" s="928"/>
      <c r="F928" s="929"/>
      <c r="G928" s="1170" t="s">
        <v>1043</v>
      </c>
      <c r="H928" s="1171"/>
      <c r="I928" s="1171"/>
      <c r="J928" s="1171"/>
      <c r="K928" s="1171"/>
      <c r="L928" s="1171"/>
      <c r="M928" s="1172"/>
      <c r="N928" s="314"/>
      <c r="O928" s="314"/>
      <c r="P928" s="314"/>
      <c r="Q928" s="314"/>
      <c r="R928" s="314"/>
      <c r="S928" s="314"/>
      <c r="T928" s="314"/>
      <c r="U928" s="314"/>
      <c r="V928" s="314"/>
      <c r="W928" s="489"/>
    </row>
    <row r="929" spans="2:23" ht="15" x14ac:dyDescent="0.25">
      <c r="B929" s="489"/>
      <c r="C929" s="314"/>
      <c r="D929" s="927" t="s">
        <v>80</v>
      </c>
      <c r="E929" s="928"/>
      <c r="F929" s="929"/>
      <c r="G929" s="1164">
        <v>0.2</v>
      </c>
      <c r="H929" s="1165"/>
      <c r="I929" s="1166"/>
      <c r="J929" s="1179">
        <v>0.04</v>
      </c>
      <c r="K929" s="1180"/>
      <c r="L929" s="1195">
        <v>0.57999999999999996</v>
      </c>
      <c r="M929" s="1196"/>
      <c r="N929" s="314"/>
      <c r="O929" s="314"/>
      <c r="P929" s="314"/>
      <c r="Q929" s="314"/>
      <c r="R929" s="314"/>
      <c r="S929" s="314"/>
      <c r="T929" s="314"/>
      <c r="U929" s="314"/>
      <c r="V929" s="314"/>
      <c r="W929" s="489"/>
    </row>
    <row r="930" spans="2:23" ht="15" x14ac:dyDescent="0.25">
      <c r="B930" s="489"/>
      <c r="C930" s="314"/>
      <c r="D930" s="927" t="s">
        <v>81</v>
      </c>
      <c r="E930" s="928"/>
      <c r="F930" s="929"/>
      <c r="G930" s="1164">
        <v>0.42</v>
      </c>
      <c r="H930" s="1165"/>
      <c r="I930" s="1166"/>
      <c r="J930" s="1179">
        <v>0.14000000000000001</v>
      </c>
      <c r="K930" s="1180"/>
      <c r="L930" s="1195">
        <v>0.99</v>
      </c>
      <c r="M930" s="1196"/>
      <c r="N930" s="314"/>
      <c r="O930" s="314"/>
      <c r="P930" s="314"/>
      <c r="Q930" s="314"/>
      <c r="R930" s="314"/>
      <c r="S930" s="314"/>
      <c r="T930" s="314"/>
      <c r="U930" s="314"/>
      <c r="V930" s="314"/>
      <c r="W930" s="489"/>
    </row>
    <row r="931" spans="2:23" s="67" customFormat="1" ht="15" x14ac:dyDescent="0.25">
      <c r="B931" s="489"/>
      <c r="C931" s="350"/>
      <c r="D931" s="921" t="s">
        <v>110</v>
      </c>
      <c r="E931" s="922"/>
      <c r="F931" s="923"/>
      <c r="G931" s="1216" t="s">
        <v>1103</v>
      </c>
      <c r="H931" s="1217"/>
      <c r="I931" s="1217"/>
      <c r="J931" s="1217"/>
      <c r="K931" s="1217"/>
      <c r="L931" s="1217"/>
      <c r="M931" s="1218"/>
      <c r="N931" s="350"/>
      <c r="O931" s="350"/>
      <c r="P931" s="350"/>
      <c r="Q931" s="350"/>
      <c r="R931" s="350"/>
      <c r="S931" s="350"/>
      <c r="T931" s="350"/>
      <c r="U931" s="350"/>
      <c r="V931" s="350"/>
      <c r="W931" s="489"/>
    </row>
    <row r="932" spans="2:23" ht="15" x14ac:dyDescent="0.25">
      <c r="B932" s="489"/>
      <c r="C932" s="314"/>
      <c r="D932" s="921" t="s">
        <v>111</v>
      </c>
      <c r="E932" s="922"/>
      <c r="F932" s="923"/>
      <c r="G932" s="1167">
        <v>0.31</v>
      </c>
      <c r="H932" s="1168"/>
      <c r="I932" s="1169"/>
      <c r="J932" s="1212">
        <v>0.27</v>
      </c>
      <c r="K932" s="1213"/>
      <c r="L932" s="1214">
        <v>0.34</v>
      </c>
      <c r="M932" s="1215"/>
      <c r="N932" s="314"/>
      <c r="O932" s="314"/>
      <c r="P932" s="314"/>
      <c r="Q932" s="314"/>
      <c r="R932" s="314"/>
      <c r="S932" s="314"/>
      <c r="T932" s="314"/>
      <c r="U932" s="314"/>
      <c r="V932" s="314"/>
      <c r="W932" s="489"/>
    </row>
    <row r="933" spans="2:23" ht="15" x14ac:dyDescent="0.25">
      <c r="B933" s="489"/>
      <c r="C933" s="314"/>
      <c r="D933" s="921" t="s">
        <v>112</v>
      </c>
      <c r="E933" s="922"/>
      <c r="F933" s="923"/>
      <c r="G933" s="1167">
        <v>0.37</v>
      </c>
      <c r="H933" s="1168"/>
      <c r="I933" s="1169"/>
      <c r="J933" s="1212">
        <v>0.36</v>
      </c>
      <c r="K933" s="1213"/>
      <c r="L933" s="1214">
        <v>0.39</v>
      </c>
      <c r="M933" s="1215"/>
      <c r="N933" s="314"/>
      <c r="O933" s="314"/>
      <c r="P933" s="314"/>
      <c r="Q933" s="314"/>
      <c r="R933" s="314"/>
      <c r="S933" s="314"/>
      <c r="T933" s="314"/>
      <c r="U933" s="314"/>
      <c r="V933" s="314"/>
      <c r="W933" s="489"/>
    </row>
    <row r="934" spans="2:23" ht="15" x14ac:dyDescent="0.25">
      <c r="B934" s="489"/>
      <c r="C934" s="314"/>
      <c r="E934" s="314"/>
      <c r="F934" s="314"/>
      <c r="G934" s="314"/>
      <c r="H934" s="314"/>
      <c r="I934" s="314"/>
      <c r="J934" s="314"/>
      <c r="K934" s="314"/>
      <c r="L934" s="314"/>
      <c r="M934" s="314"/>
      <c r="N934" s="314"/>
      <c r="O934" s="314"/>
      <c r="P934" s="314"/>
      <c r="Q934" s="314"/>
      <c r="R934" s="314"/>
      <c r="S934" s="314"/>
      <c r="T934" s="314"/>
      <c r="U934" s="314"/>
      <c r="V934" s="314"/>
      <c r="W934" s="489"/>
    </row>
    <row r="935" spans="2:23" s="67" customFormat="1" ht="15" x14ac:dyDescent="0.25">
      <c r="B935" s="489"/>
      <c r="C935" s="394"/>
      <c r="E935" s="394"/>
      <c r="F935" s="394"/>
      <c r="G935" s="394"/>
      <c r="H935" s="394"/>
      <c r="I935" s="394"/>
      <c r="J935" s="394"/>
      <c r="K935" s="394"/>
      <c r="L935" s="394"/>
      <c r="M935" s="394"/>
      <c r="N935" s="394"/>
      <c r="O935" s="394"/>
      <c r="P935" s="394"/>
      <c r="Q935" s="394"/>
      <c r="R935" s="394"/>
      <c r="S935" s="394"/>
      <c r="T935" s="394"/>
      <c r="U935" s="394"/>
      <c r="V935" s="394"/>
      <c r="W935" s="489"/>
    </row>
    <row r="936" spans="2:23" ht="15" x14ac:dyDescent="0.25">
      <c r="B936" s="489"/>
      <c r="C936" s="487"/>
      <c r="D936" s="487"/>
      <c r="E936" s="487"/>
      <c r="F936" s="487"/>
      <c r="G936" s="487"/>
      <c r="H936" s="487"/>
      <c r="I936" s="487"/>
      <c r="J936" s="487"/>
      <c r="K936" s="487"/>
      <c r="L936" s="487"/>
      <c r="M936" s="487"/>
      <c r="N936" s="487"/>
      <c r="O936" s="487"/>
      <c r="P936" s="487"/>
      <c r="Q936" s="487"/>
      <c r="R936" s="487"/>
      <c r="S936" s="487"/>
      <c r="T936" s="487"/>
      <c r="U936" s="487"/>
      <c r="V936" s="487"/>
      <c r="W936" s="489"/>
    </row>
    <row r="937" spans="2:23" s="67" customFormat="1" ht="15" x14ac:dyDescent="0.25">
      <c r="B937" s="489"/>
      <c r="C937" s="487"/>
      <c r="D937" s="487"/>
      <c r="E937" s="487"/>
      <c r="F937" s="487"/>
      <c r="G937" s="487"/>
      <c r="H937" s="487"/>
      <c r="I937" s="487"/>
      <c r="J937" s="487"/>
      <c r="K937" s="487"/>
      <c r="L937" s="487"/>
      <c r="M937" s="487"/>
      <c r="N937" s="487"/>
      <c r="O937" s="487"/>
      <c r="P937" s="487"/>
      <c r="Q937" s="487"/>
      <c r="R937" s="487"/>
      <c r="S937" s="487"/>
      <c r="T937" s="487"/>
      <c r="U937" s="487"/>
      <c r="V937" s="487"/>
      <c r="W937" s="489"/>
    </row>
    <row r="938" spans="2:23" s="67" customFormat="1" ht="15" x14ac:dyDescent="0.25">
      <c r="B938" s="489"/>
      <c r="C938" s="487"/>
      <c r="D938" s="487"/>
      <c r="E938" s="487"/>
      <c r="F938" s="487"/>
      <c r="G938" s="487"/>
      <c r="H938" s="487"/>
      <c r="I938" s="487"/>
      <c r="J938" s="487"/>
      <c r="K938" s="487"/>
      <c r="L938" s="487"/>
      <c r="M938" s="487"/>
      <c r="N938" s="487"/>
      <c r="O938" s="487"/>
      <c r="P938" s="487"/>
      <c r="Q938" s="487"/>
      <c r="R938" s="487"/>
      <c r="S938" s="487"/>
      <c r="T938" s="487"/>
      <c r="U938" s="487"/>
      <c r="V938" s="487"/>
      <c r="W938" s="489"/>
    </row>
    <row r="939" spans="2:23" s="67" customFormat="1" ht="15" x14ac:dyDescent="0.25">
      <c r="B939" s="489"/>
      <c r="C939" s="357"/>
      <c r="D939" s="357"/>
      <c r="E939" s="357"/>
      <c r="F939" s="357"/>
      <c r="G939" s="357"/>
      <c r="H939" s="357"/>
      <c r="I939" s="357"/>
      <c r="J939" s="357"/>
      <c r="K939" s="357"/>
      <c r="L939" s="357"/>
      <c r="M939" s="357"/>
      <c r="N939" s="357"/>
      <c r="O939" s="357"/>
      <c r="P939" s="357"/>
      <c r="Q939" s="357"/>
      <c r="R939" s="357"/>
      <c r="S939" s="357"/>
      <c r="T939" s="357"/>
      <c r="U939" s="357"/>
      <c r="V939" s="357"/>
      <c r="W939" s="489"/>
    </row>
    <row r="940" spans="2:23" s="67" customFormat="1" ht="15" x14ac:dyDescent="0.25">
      <c r="B940" s="489"/>
      <c r="C940" s="357"/>
      <c r="D940" s="357"/>
      <c r="E940" s="357"/>
      <c r="F940" s="357"/>
      <c r="G940" s="357"/>
      <c r="H940" s="357"/>
      <c r="I940" s="357"/>
      <c r="J940" s="357"/>
      <c r="K940" s="357"/>
      <c r="L940" s="357"/>
      <c r="M940" s="357"/>
      <c r="N940" s="357"/>
      <c r="O940" s="357"/>
      <c r="P940" s="357"/>
      <c r="Q940" s="357"/>
      <c r="R940" s="357"/>
      <c r="S940" s="357"/>
      <c r="T940" s="357"/>
      <c r="U940" s="357"/>
      <c r="V940" s="357"/>
      <c r="W940" s="489"/>
    </row>
    <row r="941" spans="2:23" s="67" customFormat="1" ht="15" x14ac:dyDescent="0.25">
      <c r="B941" s="489"/>
      <c r="C941" s="357"/>
      <c r="D941" s="357"/>
      <c r="E941" s="357"/>
      <c r="F941" s="357"/>
      <c r="G941" s="357"/>
      <c r="H941" s="357"/>
      <c r="I941" s="357"/>
      <c r="J941" s="357"/>
      <c r="K941" s="357"/>
      <c r="L941" s="357"/>
      <c r="M941" s="357"/>
      <c r="N941" s="357"/>
      <c r="O941" s="357"/>
      <c r="P941" s="357"/>
      <c r="Q941" s="357"/>
      <c r="R941" s="357"/>
      <c r="S941" s="357"/>
      <c r="T941" s="357"/>
      <c r="U941" s="357"/>
      <c r="V941" s="357"/>
      <c r="W941" s="489"/>
    </row>
    <row r="942" spans="2:23" s="67" customFormat="1" ht="15" x14ac:dyDescent="0.25">
      <c r="B942" s="489"/>
      <c r="C942" s="357"/>
      <c r="D942" s="357"/>
      <c r="E942" s="357"/>
      <c r="F942" s="357"/>
      <c r="G942" s="357"/>
      <c r="H942" s="357"/>
      <c r="I942" s="357"/>
      <c r="J942" s="357"/>
      <c r="K942" s="357"/>
      <c r="L942" s="357"/>
      <c r="M942" s="357"/>
      <c r="N942" s="357"/>
      <c r="O942" s="357"/>
      <c r="P942" s="357"/>
      <c r="Q942" s="357"/>
      <c r="R942" s="357"/>
      <c r="S942" s="357"/>
      <c r="T942" s="357"/>
      <c r="U942" s="357"/>
      <c r="V942" s="357"/>
      <c r="W942" s="489"/>
    </row>
    <row r="943" spans="2:23" s="67" customFormat="1" ht="15" x14ac:dyDescent="0.25">
      <c r="B943" s="489"/>
      <c r="C943" s="357"/>
      <c r="D943" s="357"/>
      <c r="E943" s="357"/>
      <c r="F943" s="357"/>
      <c r="G943" s="357"/>
      <c r="H943" s="357"/>
      <c r="I943" s="357"/>
      <c r="J943" s="357"/>
      <c r="K943" s="357"/>
      <c r="L943" s="357"/>
      <c r="M943" s="357"/>
      <c r="N943" s="357"/>
      <c r="O943" s="357"/>
      <c r="P943" s="357"/>
      <c r="Q943" s="357"/>
      <c r="R943" s="357"/>
      <c r="S943" s="357"/>
      <c r="T943" s="357"/>
      <c r="U943" s="357"/>
      <c r="V943" s="357"/>
      <c r="W943" s="489"/>
    </row>
    <row r="944" spans="2:23" s="67" customFormat="1" ht="15" x14ac:dyDescent="0.25">
      <c r="B944" s="489"/>
      <c r="C944" s="357"/>
      <c r="D944" s="357"/>
      <c r="E944" s="357"/>
      <c r="F944" s="357"/>
      <c r="G944" s="357"/>
      <c r="H944" s="357"/>
      <c r="I944" s="357"/>
      <c r="J944" s="357"/>
      <c r="K944" s="357"/>
      <c r="L944" s="357"/>
      <c r="M944" s="357"/>
      <c r="N944" s="357"/>
      <c r="O944" s="357"/>
      <c r="P944" s="357"/>
      <c r="Q944" s="357"/>
      <c r="R944" s="357"/>
      <c r="S944" s="357"/>
      <c r="T944" s="357"/>
      <c r="U944" s="357"/>
      <c r="V944" s="357"/>
      <c r="W944" s="489"/>
    </row>
    <row r="945" spans="2:23" s="67" customFormat="1" ht="15" x14ac:dyDescent="0.25">
      <c r="B945" s="489"/>
      <c r="C945" s="357"/>
      <c r="D945" s="357"/>
      <c r="E945" s="357"/>
      <c r="F945" s="357"/>
      <c r="G945" s="357"/>
      <c r="H945" s="357"/>
      <c r="I945" s="357"/>
      <c r="J945" s="357"/>
      <c r="K945" s="357"/>
      <c r="L945" s="357"/>
      <c r="M945" s="357"/>
      <c r="N945" s="357"/>
      <c r="O945" s="357"/>
      <c r="P945" s="357"/>
      <c r="Q945" s="357"/>
      <c r="R945" s="357"/>
      <c r="S945" s="357"/>
      <c r="T945" s="357"/>
      <c r="U945" s="357"/>
      <c r="V945" s="357"/>
      <c r="W945" s="489"/>
    </row>
    <row r="946" spans="2:23" s="67" customFormat="1" ht="15" x14ac:dyDescent="0.25">
      <c r="B946" s="489"/>
      <c r="C946" s="357"/>
      <c r="D946" s="357"/>
      <c r="E946" s="357"/>
      <c r="F946" s="357"/>
      <c r="G946" s="357"/>
      <c r="H946" s="357"/>
      <c r="I946" s="357"/>
      <c r="J946" s="357"/>
      <c r="K946" s="357"/>
      <c r="L946" s="357"/>
      <c r="M946" s="357"/>
      <c r="N946" s="357"/>
      <c r="O946" s="357"/>
      <c r="P946" s="357"/>
      <c r="Q946" s="357"/>
      <c r="R946" s="357"/>
      <c r="S946" s="357"/>
      <c r="T946" s="357"/>
      <c r="U946" s="357"/>
      <c r="V946" s="357"/>
      <c r="W946" s="489"/>
    </row>
    <row r="947" spans="2:23" s="67" customFormat="1" ht="15" x14ac:dyDescent="0.25">
      <c r="B947" s="489"/>
      <c r="C947" s="357"/>
      <c r="D947" s="357"/>
      <c r="E947" s="357"/>
      <c r="F947" s="357"/>
      <c r="G947" s="357"/>
      <c r="H947" s="357"/>
      <c r="I947" s="357"/>
      <c r="J947" s="357"/>
      <c r="K947" s="357"/>
      <c r="L947" s="357"/>
      <c r="M947" s="357"/>
      <c r="N947" s="357"/>
      <c r="O947" s="357"/>
      <c r="P947" s="357"/>
      <c r="Q947" s="357"/>
      <c r="R947" s="357"/>
      <c r="S947" s="357"/>
      <c r="T947" s="357"/>
      <c r="U947" s="357"/>
      <c r="V947" s="357"/>
      <c r="W947" s="489"/>
    </row>
    <row r="948" spans="2:23" s="67" customFormat="1" ht="15" x14ac:dyDescent="0.25">
      <c r="B948" s="489"/>
      <c r="C948" s="357"/>
      <c r="D948" s="357"/>
      <c r="E948" s="357"/>
      <c r="F948" s="357"/>
      <c r="G948" s="357"/>
      <c r="H948" s="357"/>
      <c r="I948" s="357"/>
      <c r="J948" s="357"/>
      <c r="K948" s="357"/>
      <c r="L948" s="357"/>
      <c r="M948" s="357"/>
      <c r="N948" s="357"/>
      <c r="O948" s="357"/>
      <c r="P948" s="357"/>
      <c r="Q948" s="357"/>
      <c r="R948" s="357"/>
      <c r="S948" s="357"/>
      <c r="T948" s="357"/>
      <c r="U948" s="357"/>
      <c r="V948" s="357"/>
      <c r="W948" s="489"/>
    </row>
    <row r="949" spans="2:23" s="67" customFormat="1" ht="15" x14ac:dyDescent="0.25">
      <c r="B949" s="489"/>
      <c r="C949" s="357"/>
      <c r="D949" s="357"/>
      <c r="E949" s="357"/>
      <c r="F949" s="357"/>
      <c r="G949" s="357"/>
      <c r="H949" s="357"/>
      <c r="I949" s="357"/>
      <c r="J949" s="357"/>
      <c r="K949" s="357"/>
      <c r="L949" s="357"/>
      <c r="M949" s="357"/>
      <c r="N949" s="357"/>
      <c r="O949" s="357"/>
      <c r="P949" s="357"/>
      <c r="Q949" s="357"/>
      <c r="R949" s="357"/>
      <c r="S949" s="357"/>
      <c r="T949" s="357"/>
      <c r="U949" s="357"/>
      <c r="V949" s="357"/>
      <c r="W949" s="489"/>
    </row>
    <row r="950" spans="2:23" s="67" customFormat="1" ht="15" x14ac:dyDescent="0.25">
      <c r="B950" s="489"/>
      <c r="C950" s="357"/>
      <c r="D950" s="357"/>
      <c r="E950" s="357"/>
      <c r="F950" s="357"/>
      <c r="G950" s="357"/>
      <c r="H950" s="357"/>
      <c r="I950" s="357"/>
      <c r="J950" s="357"/>
      <c r="K950" s="357"/>
      <c r="L950" s="357"/>
      <c r="M950" s="357"/>
      <c r="N950" s="357"/>
      <c r="O950" s="357"/>
      <c r="P950" s="357"/>
      <c r="Q950" s="357"/>
      <c r="R950" s="357"/>
      <c r="S950" s="357"/>
      <c r="T950" s="357"/>
      <c r="U950" s="357"/>
      <c r="V950" s="357"/>
      <c r="W950" s="489"/>
    </row>
    <row r="951" spans="2:23" s="67" customFormat="1" ht="15" x14ac:dyDescent="0.25">
      <c r="B951" s="489"/>
      <c r="C951" s="357"/>
      <c r="D951" s="357"/>
      <c r="E951" s="357"/>
      <c r="F951" s="357"/>
      <c r="G951" s="357"/>
      <c r="H951" s="357"/>
      <c r="I951" s="357"/>
      <c r="J951" s="357"/>
      <c r="K951" s="357"/>
      <c r="L951" s="357"/>
      <c r="M951" s="357"/>
      <c r="N951" s="357"/>
      <c r="O951" s="357"/>
      <c r="P951" s="357"/>
      <c r="Q951" s="357"/>
      <c r="R951" s="357"/>
      <c r="S951" s="357"/>
      <c r="T951" s="357"/>
      <c r="U951" s="357"/>
      <c r="V951" s="357"/>
      <c r="W951" s="489"/>
    </row>
    <row r="952" spans="2:23" s="67" customFormat="1" ht="15" x14ac:dyDescent="0.25">
      <c r="B952" s="489"/>
      <c r="C952" s="357"/>
      <c r="D952" s="357"/>
      <c r="E952" s="357"/>
      <c r="F952" s="357"/>
      <c r="G952" s="357"/>
      <c r="H952" s="357"/>
      <c r="I952" s="357"/>
      <c r="J952" s="357"/>
      <c r="K952" s="357"/>
      <c r="L952" s="357"/>
      <c r="M952" s="357"/>
      <c r="N952" s="357"/>
      <c r="O952" s="357"/>
      <c r="P952" s="357"/>
      <c r="Q952" s="357"/>
      <c r="R952" s="357"/>
      <c r="S952" s="357"/>
      <c r="T952" s="357"/>
      <c r="U952" s="357"/>
      <c r="V952" s="357"/>
      <c r="W952" s="489"/>
    </row>
    <row r="953" spans="2:23" s="67" customFormat="1" ht="15" x14ac:dyDescent="0.25">
      <c r="B953" s="489"/>
      <c r="C953" s="357"/>
      <c r="D953" s="357"/>
      <c r="E953" s="357"/>
      <c r="F953" s="357"/>
      <c r="G953" s="357"/>
      <c r="H953" s="357"/>
      <c r="I953" s="357"/>
      <c r="J953" s="357"/>
      <c r="K953" s="357"/>
      <c r="L953" s="357"/>
      <c r="M953" s="357"/>
      <c r="N953" s="357"/>
      <c r="O953" s="357"/>
      <c r="P953" s="357"/>
      <c r="Q953" s="357"/>
      <c r="R953" s="357"/>
      <c r="S953" s="357"/>
      <c r="T953" s="357"/>
      <c r="U953" s="357"/>
      <c r="V953" s="357"/>
      <c r="W953" s="489"/>
    </row>
    <row r="954" spans="2:23" s="67" customFormat="1" ht="15" x14ac:dyDescent="0.25">
      <c r="B954" s="489"/>
      <c r="C954" s="357"/>
      <c r="D954" s="357"/>
      <c r="E954" s="357"/>
      <c r="F954" s="357"/>
      <c r="G954" s="357"/>
      <c r="H954" s="357"/>
      <c r="I954" s="357"/>
      <c r="J954" s="357"/>
      <c r="K954" s="357"/>
      <c r="L954" s="357"/>
      <c r="M954" s="357"/>
      <c r="N954" s="357"/>
      <c r="O954" s="357"/>
      <c r="P954" s="357"/>
      <c r="Q954" s="357"/>
      <c r="R954" s="357"/>
      <c r="S954" s="357"/>
      <c r="T954" s="357"/>
      <c r="U954" s="357"/>
      <c r="V954" s="357"/>
      <c r="W954" s="489"/>
    </row>
    <row r="955" spans="2:23" s="67" customFormat="1" ht="15" x14ac:dyDescent="0.25">
      <c r="B955" s="489"/>
      <c r="C955" s="357"/>
      <c r="D955" s="357"/>
      <c r="E955" s="357"/>
      <c r="F955" s="357"/>
      <c r="G955" s="357"/>
      <c r="H955" s="357"/>
      <c r="I955" s="357"/>
      <c r="J955" s="357"/>
      <c r="K955" s="357"/>
      <c r="L955" s="357"/>
      <c r="M955" s="357"/>
      <c r="N955" s="357"/>
      <c r="O955" s="357"/>
      <c r="P955" s="357"/>
      <c r="Q955" s="357"/>
      <c r="R955" s="357"/>
      <c r="S955" s="357"/>
      <c r="T955" s="357"/>
      <c r="U955" s="357"/>
      <c r="V955" s="357"/>
      <c r="W955" s="489"/>
    </row>
    <row r="956" spans="2:23" s="67" customFormat="1" ht="15" x14ac:dyDescent="0.25">
      <c r="B956" s="489"/>
      <c r="C956" s="357"/>
      <c r="D956" s="357"/>
      <c r="E956" s="357"/>
      <c r="F956" s="357"/>
      <c r="G956" s="357"/>
      <c r="H956" s="357"/>
      <c r="I956" s="357"/>
      <c r="J956" s="357"/>
      <c r="K956" s="357"/>
      <c r="L956" s="357"/>
      <c r="M956" s="357"/>
      <c r="N956" s="357"/>
      <c r="O956" s="357"/>
      <c r="P956" s="357"/>
      <c r="Q956" s="357"/>
      <c r="R956" s="357"/>
      <c r="S956" s="357"/>
      <c r="T956" s="357"/>
      <c r="U956" s="357"/>
      <c r="V956" s="357"/>
      <c r="W956" s="489"/>
    </row>
    <row r="957" spans="2:23" s="67" customFormat="1" ht="15" x14ac:dyDescent="0.25">
      <c r="B957" s="489"/>
      <c r="C957" s="357"/>
      <c r="D957" s="357"/>
      <c r="E957" s="357"/>
      <c r="F957" s="357"/>
      <c r="G957" s="357"/>
      <c r="H957" s="357"/>
      <c r="I957" s="357"/>
      <c r="J957" s="357"/>
      <c r="K957" s="357"/>
      <c r="L957" s="357"/>
      <c r="M957" s="357"/>
      <c r="N957" s="357"/>
      <c r="O957" s="357"/>
      <c r="P957" s="357"/>
      <c r="Q957" s="357"/>
      <c r="R957" s="357"/>
      <c r="S957" s="357"/>
      <c r="T957" s="357"/>
      <c r="U957" s="357"/>
      <c r="V957" s="357"/>
      <c r="W957" s="489"/>
    </row>
    <row r="958" spans="2:23" s="67" customFormat="1" ht="15" x14ac:dyDescent="0.25">
      <c r="B958" s="489"/>
      <c r="C958" s="357"/>
      <c r="D958" s="357"/>
      <c r="E958" s="357"/>
      <c r="F958" s="357"/>
      <c r="G958" s="357"/>
      <c r="H958" s="357"/>
      <c r="I958" s="357"/>
      <c r="J958" s="357"/>
      <c r="K958" s="357"/>
      <c r="L958" s="357"/>
      <c r="M958" s="357"/>
      <c r="N958" s="357"/>
      <c r="O958" s="357"/>
      <c r="P958" s="357"/>
      <c r="Q958" s="357"/>
      <c r="R958" s="357"/>
      <c r="S958" s="357"/>
      <c r="T958" s="357"/>
      <c r="U958" s="357"/>
      <c r="V958" s="357"/>
      <c r="W958" s="489"/>
    </row>
    <row r="959" spans="2:23" s="67" customFormat="1" ht="15" x14ac:dyDescent="0.25">
      <c r="B959" s="489"/>
      <c r="C959" s="357"/>
      <c r="D959" s="357"/>
      <c r="E959" s="357"/>
      <c r="F959" s="357"/>
      <c r="G959" s="357"/>
      <c r="H959" s="357"/>
      <c r="I959" s="357"/>
      <c r="J959" s="357"/>
      <c r="K959" s="357"/>
      <c r="L959" s="357"/>
      <c r="M959" s="357"/>
      <c r="N959" s="357"/>
      <c r="O959" s="357"/>
      <c r="P959" s="357"/>
      <c r="Q959" s="357"/>
      <c r="R959" s="357"/>
      <c r="S959" s="357"/>
      <c r="T959" s="357"/>
      <c r="U959" s="357"/>
      <c r="V959" s="357"/>
      <c r="W959" s="489"/>
    </row>
    <row r="960" spans="2:23" s="67" customFormat="1" ht="15" x14ac:dyDescent="0.25">
      <c r="B960" s="489"/>
      <c r="C960" s="357"/>
      <c r="D960" s="357"/>
      <c r="E960" s="357"/>
      <c r="F960" s="357"/>
      <c r="G960" s="357"/>
      <c r="H960" s="357"/>
      <c r="I960" s="357"/>
      <c r="J960" s="357"/>
      <c r="K960" s="357"/>
      <c r="L960" s="357"/>
      <c r="M960" s="357"/>
      <c r="N960" s="357"/>
      <c r="O960" s="357"/>
      <c r="P960" s="357"/>
      <c r="Q960" s="357"/>
      <c r="R960" s="357"/>
      <c r="S960" s="357"/>
      <c r="T960" s="357"/>
      <c r="U960" s="357"/>
      <c r="V960" s="357"/>
      <c r="W960" s="489"/>
    </row>
    <row r="961" spans="1:23" s="67" customFormat="1" ht="15" x14ac:dyDescent="0.25">
      <c r="B961" s="489"/>
      <c r="C961" s="487"/>
      <c r="D961" s="487"/>
      <c r="E961" s="487"/>
      <c r="F961" s="487"/>
      <c r="G961" s="487"/>
      <c r="H961" s="487"/>
      <c r="I961" s="487"/>
      <c r="J961" s="487"/>
      <c r="K961" s="487"/>
      <c r="L961" s="487"/>
      <c r="M961" s="487"/>
      <c r="N961" s="487"/>
      <c r="O961" s="487"/>
      <c r="P961" s="487"/>
      <c r="Q961" s="487"/>
      <c r="R961" s="487"/>
      <c r="S961" s="487"/>
      <c r="T961" s="487"/>
      <c r="U961" s="487"/>
      <c r="V961" s="487"/>
      <c r="W961" s="489"/>
    </row>
    <row r="962" spans="1:23" ht="15" x14ac:dyDescent="0.25">
      <c r="B962" s="489"/>
      <c r="C962" s="487"/>
      <c r="D962" s="487"/>
      <c r="E962" s="487"/>
      <c r="F962" s="487"/>
      <c r="G962" s="487"/>
      <c r="H962" s="487"/>
      <c r="I962" s="487"/>
      <c r="J962" s="487"/>
      <c r="K962" s="487"/>
      <c r="L962" s="487"/>
      <c r="M962" s="487"/>
      <c r="N962" s="487"/>
      <c r="O962" s="487"/>
      <c r="P962" s="487"/>
      <c r="Q962" s="487"/>
      <c r="R962" s="487"/>
      <c r="S962" s="487"/>
      <c r="T962" s="487"/>
      <c r="U962" s="487"/>
      <c r="V962" s="487"/>
      <c r="W962" s="489"/>
    </row>
    <row r="963" spans="1:23" s="67" customFormat="1" x14ac:dyDescent="0.2">
      <c r="B963" s="489"/>
      <c r="C963" s="489"/>
      <c r="D963" s="489"/>
      <c r="E963" s="489"/>
      <c r="F963" s="489"/>
      <c r="G963" s="489"/>
      <c r="H963" s="489"/>
      <c r="I963" s="489"/>
      <c r="J963" s="489"/>
      <c r="K963" s="489"/>
      <c r="L963" s="489"/>
      <c r="M963" s="489"/>
      <c r="N963" s="489"/>
      <c r="O963" s="489"/>
      <c r="P963" s="489"/>
      <c r="Q963" s="489"/>
      <c r="R963" s="489"/>
      <c r="S963" s="489"/>
      <c r="T963" s="489"/>
      <c r="U963" s="489"/>
      <c r="V963" s="489"/>
      <c r="W963" s="489"/>
    </row>
    <row r="964" spans="1:23" x14ac:dyDescent="0.2">
      <c r="A964" s="67"/>
      <c r="B964" s="67"/>
      <c r="C964" s="67"/>
      <c r="D964" s="67"/>
      <c r="E964" s="67"/>
      <c r="F964" s="67"/>
      <c r="G964" s="67"/>
      <c r="H964" s="67"/>
      <c r="I964" s="67"/>
      <c r="J964" s="67"/>
      <c r="K964" s="67"/>
      <c r="L964" s="67"/>
      <c r="M964" s="67"/>
      <c r="N964" s="67"/>
      <c r="O964" s="67"/>
      <c r="Q964" s="67"/>
      <c r="R964" s="67"/>
      <c r="S964" s="67"/>
      <c r="T964" s="67"/>
      <c r="U964" s="67"/>
      <c r="V964" s="67"/>
      <c r="W964" s="67"/>
    </row>
    <row r="965" spans="1:23" x14ac:dyDescent="0.2">
      <c r="A965" s="67"/>
      <c r="B965" s="67"/>
      <c r="C965" s="67"/>
      <c r="D965" s="67"/>
      <c r="E965" s="67"/>
      <c r="F965" s="67"/>
      <c r="G965" s="67"/>
      <c r="H965" s="67"/>
      <c r="I965" s="67"/>
      <c r="J965" s="67"/>
      <c r="K965" s="67"/>
      <c r="L965" s="67"/>
      <c r="M965" s="67"/>
      <c r="N965" s="67"/>
      <c r="O965" s="67"/>
      <c r="Q965" s="67"/>
      <c r="R965" s="67"/>
      <c r="S965" s="67"/>
      <c r="T965" s="67"/>
      <c r="U965" s="67"/>
      <c r="V965" s="67"/>
      <c r="W965" s="67"/>
    </row>
    <row r="966" spans="1:23" x14ac:dyDescent="0.2">
      <c r="A966" s="67"/>
      <c r="B966" s="67"/>
      <c r="C966" s="67"/>
      <c r="D966" s="67"/>
      <c r="E966" s="67"/>
      <c r="F966" s="67"/>
      <c r="G966" s="67"/>
      <c r="H966" s="67"/>
      <c r="I966" s="67"/>
      <c r="J966" s="67"/>
      <c r="K966" s="67"/>
      <c r="L966" s="67"/>
      <c r="M966" s="67"/>
      <c r="N966" s="67"/>
      <c r="O966" s="67"/>
      <c r="Q966" s="67"/>
      <c r="R966" s="67"/>
      <c r="S966" s="67"/>
      <c r="T966" s="67"/>
      <c r="U966" s="67"/>
      <c r="V966" s="67"/>
      <c r="W966" s="67"/>
    </row>
  </sheetData>
  <sheetProtection sheet="1" objects="1" scenarios="1"/>
  <mergeCells count="1217">
    <mergeCell ref="C713:V713"/>
    <mergeCell ref="D761:T761"/>
    <mergeCell ref="D798:T798"/>
    <mergeCell ref="S63:U69"/>
    <mergeCell ref="S70:U72"/>
    <mergeCell ref="S54:U60"/>
    <mergeCell ref="R367:S367"/>
    <mergeCell ref="F365:G365"/>
    <mergeCell ref="F366:G366"/>
    <mergeCell ref="F368:G368"/>
    <mergeCell ref="F370:G370"/>
    <mergeCell ref="J368:K368"/>
    <mergeCell ref="J370:K370"/>
    <mergeCell ref="J366:K366"/>
    <mergeCell ref="F358:I359"/>
    <mergeCell ref="F360:G360"/>
    <mergeCell ref="F361:G361"/>
    <mergeCell ref="F364:G364"/>
    <mergeCell ref="F363:G363"/>
    <mergeCell ref="F362:G362"/>
    <mergeCell ref="N362:U362"/>
    <mergeCell ref="J361:K361"/>
    <mergeCell ref="J363:K363"/>
    <mergeCell ref="J362:K362"/>
    <mergeCell ref="N363:O363"/>
    <mergeCell ref="R363:S363"/>
    <mergeCell ref="R278:T278"/>
    <mergeCell ref="E279:H279"/>
    <mergeCell ref="I279:K279"/>
    <mergeCell ref="L279:N279"/>
    <mergeCell ref="N361:U361"/>
    <mergeCell ref="C635:U635"/>
    <mergeCell ref="F369:G369"/>
    <mergeCell ref="J369:K369"/>
    <mergeCell ref="N369:O369"/>
    <mergeCell ref="O279:Q279"/>
    <mergeCell ref="J933:K933"/>
    <mergeCell ref="L933:M933"/>
    <mergeCell ref="J932:K932"/>
    <mergeCell ref="L932:M932"/>
    <mergeCell ref="G926:M926"/>
    <mergeCell ref="G931:M931"/>
    <mergeCell ref="R364:S364"/>
    <mergeCell ref="N365:O365"/>
    <mergeCell ref="R365:S365"/>
    <mergeCell ref="N366:O366"/>
    <mergeCell ref="R366:S366"/>
    <mergeCell ref="N368:O368"/>
    <mergeCell ref="R368:S368"/>
    <mergeCell ref="N370:O370"/>
    <mergeCell ref="R370:S370"/>
    <mergeCell ref="N367:O367"/>
    <mergeCell ref="J365:K365"/>
    <mergeCell ref="J364:K364"/>
    <mergeCell ref="F367:M367"/>
    <mergeCell ref="N364:O364"/>
    <mergeCell ref="J929:K929"/>
    <mergeCell ref="L925:M925"/>
    <mergeCell ref="D926:F926"/>
    <mergeCell ref="D927:F927"/>
    <mergeCell ref="D928:F928"/>
    <mergeCell ref="D924:F924"/>
    <mergeCell ref="D925:F925"/>
    <mergeCell ref="G924:I924"/>
    <mergeCell ref="G925:I925"/>
    <mergeCell ref="D932:F932"/>
    <mergeCell ref="L927:M927"/>
    <mergeCell ref="L929:M929"/>
    <mergeCell ref="R279:T279"/>
    <mergeCell ref="E276:H276"/>
    <mergeCell ref="I276:K276"/>
    <mergeCell ref="L276:N276"/>
    <mergeCell ref="O276:Q276"/>
    <mergeCell ref="R276:T276"/>
    <mergeCell ref="E277:H277"/>
    <mergeCell ref="I277:K277"/>
    <mergeCell ref="L277:N277"/>
    <mergeCell ref="O277:Q277"/>
    <mergeCell ref="R277:T277"/>
    <mergeCell ref="G933:I933"/>
    <mergeCell ref="D933:F933"/>
    <mergeCell ref="J930:K930"/>
    <mergeCell ref="L924:M924"/>
    <mergeCell ref="E280:H280"/>
    <mergeCell ref="E278:H278"/>
    <mergeCell ref="I278:K278"/>
    <mergeCell ref="L278:N278"/>
    <mergeCell ref="H353:U353"/>
    <mergeCell ref="H354:U354"/>
    <mergeCell ref="N358:Q359"/>
    <mergeCell ref="R358:U359"/>
    <mergeCell ref="N360:O360"/>
    <mergeCell ref="R360:S360"/>
    <mergeCell ref="D357:E360"/>
    <mergeCell ref="F357:M357"/>
    <mergeCell ref="N357:U357"/>
    <mergeCell ref="J360:K360"/>
    <mergeCell ref="J358:M359"/>
    <mergeCell ref="O278:Q278"/>
    <mergeCell ref="L930:M930"/>
    <mergeCell ref="E273:H275"/>
    <mergeCell ref="I273:K275"/>
    <mergeCell ref="L273:N275"/>
    <mergeCell ref="O273:Q275"/>
    <mergeCell ref="R273:T275"/>
    <mergeCell ref="R231:T231"/>
    <mergeCell ref="E230:H230"/>
    <mergeCell ref="I230:K230"/>
    <mergeCell ref="L230:N230"/>
    <mergeCell ref="O230:Q230"/>
    <mergeCell ref="R230:T230"/>
    <mergeCell ref="E236:H236"/>
    <mergeCell ref="I236:K236"/>
    <mergeCell ref="L236:N236"/>
    <mergeCell ref="O236:Q236"/>
    <mergeCell ref="R236:T236"/>
    <mergeCell ref="E232:H232"/>
    <mergeCell ref="E233:H235"/>
    <mergeCell ref="E271:H271"/>
    <mergeCell ref="I271:K271"/>
    <mergeCell ref="L271:N271"/>
    <mergeCell ref="O271:Q271"/>
    <mergeCell ref="R271:T271"/>
    <mergeCell ref="E268:H268"/>
    <mergeCell ref="I268:K268"/>
    <mergeCell ref="L268:N268"/>
    <mergeCell ref="O268:Q268"/>
    <mergeCell ref="R268:T268"/>
    <mergeCell ref="D127:I127"/>
    <mergeCell ref="D128:I128"/>
    <mergeCell ref="D129:I129"/>
    <mergeCell ref="D130:S130"/>
    <mergeCell ref="E187:H189"/>
    <mergeCell ref="R187:T189"/>
    <mergeCell ref="O187:Q189"/>
    <mergeCell ref="L187:N189"/>
    <mergeCell ref="O179:Q181"/>
    <mergeCell ref="R179:T181"/>
    <mergeCell ref="I177:K177"/>
    <mergeCell ref="L177:N177"/>
    <mergeCell ref="O177:Q177"/>
    <mergeCell ref="R177:T177"/>
    <mergeCell ref="I183:K183"/>
    <mergeCell ref="E166:H166"/>
    <mergeCell ref="E167:H167"/>
    <mergeCell ref="E168:H168"/>
    <mergeCell ref="E169:H169"/>
    <mergeCell ref="R184:T184"/>
    <mergeCell ref="I185:K185"/>
    <mergeCell ref="L185:N185"/>
    <mergeCell ref="R265:T267"/>
    <mergeCell ref="E229:H229"/>
    <mergeCell ref="I229:K229"/>
    <mergeCell ref="L229:N229"/>
    <mergeCell ref="O229:Q229"/>
    <mergeCell ref="R239:T239"/>
    <mergeCell ref="O231:Q231"/>
    <mergeCell ref="I233:K235"/>
    <mergeCell ref="L233:N235"/>
    <mergeCell ref="E207:H207"/>
    <mergeCell ref="I207:K207"/>
    <mergeCell ref="L207:N207"/>
    <mergeCell ref="O207:Q207"/>
    <mergeCell ref="R207:T207"/>
    <mergeCell ref="E208:H208"/>
    <mergeCell ref="I208:K208"/>
    <mergeCell ref="L208:N208"/>
    <mergeCell ref="O208:Q208"/>
    <mergeCell ref="R208:T208"/>
    <mergeCell ref="E209:H209"/>
    <mergeCell ref="I209:K209"/>
    <mergeCell ref="E211:H213"/>
    <mergeCell ref="I211:K213"/>
    <mergeCell ref="L211:N213"/>
    <mergeCell ref="O211:Q213"/>
    <mergeCell ref="R211:T213"/>
    <mergeCell ref="E214:H214"/>
    <mergeCell ref="I214:K214"/>
    <mergeCell ref="L214:N214"/>
    <mergeCell ref="O214:Q214"/>
    <mergeCell ref="R214:T214"/>
    <mergeCell ref="E215:H215"/>
    <mergeCell ref="I215:K215"/>
    <mergeCell ref="L215:N215"/>
    <mergeCell ref="O215:Q215"/>
    <mergeCell ref="R215:T215"/>
    <mergeCell ref="E210:H210"/>
    <mergeCell ref="O233:Q235"/>
    <mergeCell ref="E272:H272"/>
    <mergeCell ref="E270:H270"/>
    <mergeCell ref="I270:K270"/>
    <mergeCell ref="L270:N270"/>
    <mergeCell ref="O270:Q270"/>
    <mergeCell ref="R270:T270"/>
    <mergeCell ref="E239:H239"/>
    <mergeCell ref="I239:K239"/>
    <mergeCell ref="L239:N239"/>
    <mergeCell ref="O239:Q239"/>
    <mergeCell ref="R233:T235"/>
    <mergeCell ref="E238:H238"/>
    <mergeCell ref="I238:K238"/>
    <mergeCell ref="L238:N238"/>
    <mergeCell ref="O238:Q238"/>
    <mergeCell ref="R238:T238"/>
    <mergeCell ref="E237:H237"/>
    <mergeCell ref="I237:K237"/>
    <mergeCell ref="E269:H269"/>
    <mergeCell ref="I269:K269"/>
    <mergeCell ref="L269:N269"/>
    <mergeCell ref="O269:Q269"/>
    <mergeCell ref="L237:N237"/>
    <mergeCell ref="O237:Q237"/>
    <mergeCell ref="R237:T237"/>
    <mergeCell ref="O262:Q262"/>
    <mergeCell ref="R269:T269"/>
    <mergeCell ref="E265:H267"/>
    <mergeCell ref="I265:K267"/>
    <mergeCell ref="L265:N267"/>
    <mergeCell ref="O265:Q267"/>
    <mergeCell ref="J921:K923"/>
    <mergeCell ref="D921:F923"/>
    <mergeCell ref="G921:I923"/>
    <mergeCell ref="I245:K245"/>
    <mergeCell ref="L245:N245"/>
    <mergeCell ref="I246:K246"/>
    <mergeCell ref="L246:N246"/>
    <mergeCell ref="I247:K247"/>
    <mergeCell ref="L247:N247"/>
    <mergeCell ref="I252:K252"/>
    <mergeCell ref="L252:N252"/>
    <mergeCell ref="I253:K253"/>
    <mergeCell ref="L253:N253"/>
    <mergeCell ref="I254:K254"/>
    <mergeCell ref="L254:N254"/>
    <mergeCell ref="E248:H248"/>
    <mergeCell ref="G927:I927"/>
    <mergeCell ref="L249:N251"/>
    <mergeCell ref="C703:U703"/>
    <mergeCell ref="H706:U706"/>
    <mergeCell ref="H707:U707"/>
    <mergeCell ref="H708:U708"/>
    <mergeCell ref="H709:U709"/>
    <mergeCell ref="C704:U704"/>
    <mergeCell ref="G725:H725"/>
    <mergeCell ref="G726:H726"/>
    <mergeCell ref="R725:T725"/>
    <mergeCell ref="R726:T726"/>
    <mergeCell ref="C374:U374"/>
    <mergeCell ref="C431:U431"/>
    <mergeCell ref="C432:U432"/>
    <mergeCell ref="C434:U434"/>
    <mergeCell ref="G929:I929"/>
    <mergeCell ref="G930:I930"/>
    <mergeCell ref="G932:I932"/>
    <mergeCell ref="D931:F931"/>
    <mergeCell ref="G928:M928"/>
    <mergeCell ref="D929:F929"/>
    <mergeCell ref="D930:F930"/>
    <mergeCell ref="L921:M923"/>
    <mergeCell ref="J924:K924"/>
    <mergeCell ref="J925:K925"/>
    <mergeCell ref="J927:K927"/>
    <mergeCell ref="R185:T185"/>
    <mergeCell ref="L192:N192"/>
    <mergeCell ref="O192:Q192"/>
    <mergeCell ref="R192:T192"/>
    <mergeCell ref="I198:K198"/>
    <mergeCell ref="L198:N198"/>
    <mergeCell ref="O198:Q198"/>
    <mergeCell ref="R198:T198"/>
    <mergeCell ref="I199:K199"/>
    <mergeCell ref="L199:N199"/>
    <mergeCell ref="O199:Q199"/>
    <mergeCell ref="R199:T199"/>
    <mergeCell ref="D916:E916"/>
    <mergeCell ref="F916:H916"/>
    <mergeCell ref="F917:H917"/>
    <mergeCell ref="D917:E917"/>
    <mergeCell ref="R262:T262"/>
    <mergeCell ref="I244:K244"/>
    <mergeCell ref="L244:N244"/>
    <mergeCell ref="E186:H186"/>
    <mergeCell ref="E190:H190"/>
    <mergeCell ref="X163:AD163"/>
    <mergeCell ref="X164:AD164"/>
    <mergeCell ref="X165:AD165"/>
    <mergeCell ref="X166:AB166"/>
    <mergeCell ref="X167:AD167"/>
    <mergeCell ref="I182:K182"/>
    <mergeCell ref="L182:N182"/>
    <mergeCell ref="O182:Q182"/>
    <mergeCell ref="R182:T182"/>
    <mergeCell ref="I171:K173"/>
    <mergeCell ref="L171:N173"/>
    <mergeCell ref="O171:Q173"/>
    <mergeCell ref="R171:T173"/>
    <mergeCell ref="I174:K174"/>
    <mergeCell ref="L174:N174"/>
    <mergeCell ref="O174:Q174"/>
    <mergeCell ref="R174:T174"/>
    <mergeCell ref="O166:Q166"/>
    <mergeCell ref="O167:Q167"/>
    <mergeCell ref="O168:Q168"/>
    <mergeCell ref="O169:Q169"/>
    <mergeCell ref="R166:T166"/>
    <mergeCell ref="R167:T167"/>
    <mergeCell ref="R168:T168"/>
    <mergeCell ref="I175:K175"/>
    <mergeCell ref="L175:N175"/>
    <mergeCell ref="O175:Q175"/>
    <mergeCell ref="R175:T175"/>
    <mergeCell ref="I176:K176"/>
    <mergeCell ref="L176:N176"/>
    <mergeCell ref="O176:Q176"/>
    <mergeCell ref="R176:T176"/>
    <mergeCell ref="A2:L2"/>
    <mergeCell ref="E36:H36"/>
    <mergeCell ref="N46:O46"/>
    <mergeCell ref="N47:O47"/>
    <mergeCell ref="N48:O48"/>
    <mergeCell ref="N49:O49"/>
    <mergeCell ref="N51:O51"/>
    <mergeCell ref="N52:O52"/>
    <mergeCell ref="D43:K45"/>
    <mergeCell ref="D46:K46"/>
    <mergeCell ref="D47:K47"/>
    <mergeCell ref="D48:K48"/>
    <mergeCell ref="D49:K49"/>
    <mergeCell ref="D51:K51"/>
    <mergeCell ref="D52:K52"/>
    <mergeCell ref="L43:M45"/>
    <mergeCell ref="N43:O45"/>
    <mergeCell ref="L46:M46"/>
    <mergeCell ref="L47:M47"/>
    <mergeCell ref="L48:M48"/>
    <mergeCell ref="L49:M49"/>
    <mergeCell ref="D50:K50"/>
    <mergeCell ref="L50:M50"/>
    <mergeCell ref="N50:O50"/>
    <mergeCell ref="D41:U41"/>
    <mergeCell ref="S43:U50"/>
    <mergeCell ref="L51:M51"/>
    <mergeCell ref="L52:M52"/>
    <mergeCell ref="D113:I113"/>
    <mergeCell ref="D114:I114"/>
    <mergeCell ref="D124:I126"/>
    <mergeCell ref="C118:U118"/>
    <mergeCell ref="C122:U122"/>
    <mergeCell ref="C97:M97"/>
    <mergeCell ref="D115:L115"/>
    <mergeCell ref="I76:K76"/>
    <mergeCell ref="F76:H76"/>
    <mergeCell ref="L70:M70"/>
    <mergeCell ref="C96:U96"/>
    <mergeCell ref="C99:U99"/>
    <mergeCell ref="D58:K58"/>
    <mergeCell ref="L58:M58"/>
    <mergeCell ref="N58:O58"/>
    <mergeCell ref="D60:K60"/>
    <mergeCell ref="L60:M60"/>
    <mergeCell ref="N60:O60"/>
    <mergeCell ref="D61:K61"/>
    <mergeCell ref="L61:M61"/>
    <mergeCell ref="N61:O61"/>
    <mergeCell ref="N59:O59"/>
    <mergeCell ref="L59:M59"/>
    <mergeCell ref="P61:Q61"/>
    <mergeCell ref="P58:Q58"/>
    <mergeCell ref="P59:Q59"/>
    <mergeCell ref="P60:Q60"/>
    <mergeCell ref="E182:H182"/>
    <mergeCell ref="E183:H183"/>
    <mergeCell ref="E179:H181"/>
    <mergeCell ref="E176:H176"/>
    <mergeCell ref="E177:H177"/>
    <mergeCell ref="E178:H178"/>
    <mergeCell ref="E185:H185"/>
    <mergeCell ref="J107:M108"/>
    <mergeCell ref="N107:Q108"/>
    <mergeCell ref="D107:I109"/>
    <mergeCell ref="D110:I110"/>
    <mergeCell ref="O124:S125"/>
    <mergeCell ref="P127:S129"/>
    <mergeCell ref="D57:K57"/>
    <mergeCell ref="L57:M57"/>
    <mergeCell ref="N57:O57"/>
    <mergeCell ref="P54:Q56"/>
    <mergeCell ref="D54:K56"/>
    <mergeCell ref="L54:M56"/>
    <mergeCell ref="N54:O56"/>
    <mergeCell ref="N71:O71"/>
    <mergeCell ref="P71:Q71"/>
    <mergeCell ref="D72:K72"/>
    <mergeCell ref="L72:M72"/>
    <mergeCell ref="N72:O72"/>
    <mergeCell ref="L163:N165"/>
    <mergeCell ref="O163:Q165"/>
    <mergeCell ref="R163:T165"/>
    <mergeCell ref="E163:H165"/>
    <mergeCell ref="C155:S155"/>
    <mergeCell ref="D111:I111"/>
    <mergeCell ref="D112:I112"/>
    <mergeCell ref="R169:T169"/>
    <mergeCell ref="I166:K166"/>
    <mergeCell ref="I167:K167"/>
    <mergeCell ref="I168:K168"/>
    <mergeCell ref="I169:K169"/>
    <mergeCell ref="L166:N166"/>
    <mergeCell ref="L167:N167"/>
    <mergeCell ref="L168:N168"/>
    <mergeCell ref="L169:N169"/>
    <mergeCell ref="C156:U156"/>
    <mergeCell ref="C157:U157"/>
    <mergeCell ref="I163:K165"/>
    <mergeCell ref="E191:H191"/>
    <mergeCell ref="I195:K197"/>
    <mergeCell ref="L195:N197"/>
    <mergeCell ref="I187:K189"/>
    <mergeCell ref="I179:K181"/>
    <mergeCell ref="L179:N181"/>
    <mergeCell ref="O195:Q197"/>
    <mergeCell ref="R195:T197"/>
    <mergeCell ref="L183:N183"/>
    <mergeCell ref="O183:Q183"/>
    <mergeCell ref="R183:T183"/>
    <mergeCell ref="I184:K184"/>
    <mergeCell ref="L184:N184"/>
    <mergeCell ref="O184:Q184"/>
    <mergeCell ref="O185:Q185"/>
    <mergeCell ref="E170:H170"/>
    <mergeCell ref="E171:H173"/>
    <mergeCell ref="E174:H174"/>
    <mergeCell ref="E175:H175"/>
    <mergeCell ref="E184:H184"/>
    <mergeCell ref="E206:H206"/>
    <mergeCell ref="I206:K206"/>
    <mergeCell ref="L206:N206"/>
    <mergeCell ref="O206:Q206"/>
    <mergeCell ref="R206:T206"/>
    <mergeCell ref="E202:H202"/>
    <mergeCell ref="E198:H198"/>
    <mergeCell ref="E192:H192"/>
    <mergeCell ref="E193:H193"/>
    <mergeCell ref="E194:H194"/>
    <mergeCell ref="E195:H197"/>
    <mergeCell ref="I193:K193"/>
    <mergeCell ref="L193:N193"/>
    <mergeCell ref="O193:Q193"/>
    <mergeCell ref="R193:T193"/>
    <mergeCell ref="I190:K190"/>
    <mergeCell ref="L190:N190"/>
    <mergeCell ref="O190:Q190"/>
    <mergeCell ref="R190:T190"/>
    <mergeCell ref="I191:K191"/>
    <mergeCell ref="L191:N191"/>
    <mergeCell ref="O191:Q191"/>
    <mergeCell ref="R191:T191"/>
    <mergeCell ref="I192:K192"/>
    <mergeCell ref="I216:K216"/>
    <mergeCell ref="L216:N216"/>
    <mergeCell ref="O216:Q216"/>
    <mergeCell ref="R216:T216"/>
    <mergeCell ref="E217:H217"/>
    <mergeCell ref="I217:K217"/>
    <mergeCell ref="L217:N217"/>
    <mergeCell ref="O217:Q217"/>
    <mergeCell ref="R217:T217"/>
    <mergeCell ref="E218:H218"/>
    <mergeCell ref="R229:T229"/>
    <mergeCell ref="E228:H228"/>
    <mergeCell ref="I228:K228"/>
    <mergeCell ref="L228:N228"/>
    <mergeCell ref="O228:Q228"/>
    <mergeCell ref="R228:T228"/>
    <mergeCell ref="E199:H199"/>
    <mergeCell ref="E200:H200"/>
    <mergeCell ref="E201:H201"/>
    <mergeCell ref="I201:K201"/>
    <mergeCell ref="L201:N201"/>
    <mergeCell ref="I200:K200"/>
    <mergeCell ref="L200:N200"/>
    <mergeCell ref="O200:Q200"/>
    <mergeCell ref="R200:T200"/>
    <mergeCell ref="O201:Q201"/>
    <mergeCell ref="R201:T201"/>
    <mergeCell ref="E203:H205"/>
    <mergeCell ref="I203:K205"/>
    <mergeCell ref="L203:N205"/>
    <mergeCell ref="O203:Q205"/>
    <mergeCell ref="R203:T205"/>
    <mergeCell ref="E231:H231"/>
    <mergeCell ref="I231:K231"/>
    <mergeCell ref="L231:N231"/>
    <mergeCell ref="L209:N209"/>
    <mergeCell ref="O209:Q209"/>
    <mergeCell ref="R209:T209"/>
    <mergeCell ref="O249:Q251"/>
    <mergeCell ref="R241:T243"/>
    <mergeCell ref="E244:H244"/>
    <mergeCell ref="E245:H245"/>
    <mergeCell ref="E246:H246"/>
    <mergeCell ref="E247:H247"/>
    <mergeCell ref="R245:T245"/>
    <mergeCell ref="R246:T246"/>
    <mergeCell ref="R247:T247"/>
    <mergeCell ref="R244:T244"/>
    <mergeCell ref="O244:Q244"/>
    <mergeCell ref="O245:Q245"/>
    <mergeCell ref="O246:Q246"/>
    <mergeCell ref="O247:Q247"/>
    <mergeCell ref="E240:H240"/>
    <mergeCell ref="E241:H243"/>
    <mergeCell ref="I241:K243"/>
    <mergeCell ref="L241:N243"/>
    <mergeCell ref="O241:Q243"/>
    <mergeCell ref="R249:T251"/>
    <mergeCell ref="E225:H227"/>
    <mergeCell ref="I225:K227"/>
    <mergeCell ref="L225:N227"/>
    <mergeCell ref="O225:Q227"/>
    <mergeCell ref="R225:T227"/>
    <mergeCell ref="E216:H216"/>
    <mergeCell ref="H710:U710"/>
    <mergeCell ref="E604:K606"/>
    <mergeCell ref="M604:S606"/>
    <mergeCell ref="C595:V595"/>
    <mergeCell ref="C596:V596"/>
    <mergeCell ref="M574:S576"/>
    <mergeCell ref="M573:S573"/>
    <mergeCell ref="E573:K573"/>
    <mergeCell ref="E574:K576"/>
    <mergeCell ref="C597:V597"/>
    <mergeCell ref="E599:K599"/>
    <mergeCell ref="M599:S599"/>
    <mergeCell ref="E600:K602"/>
    <mergeCell ref="M600:S602"/>
    <mergeCell ref="E603:K603"/>
    <mergeCell ref="M603:S603"/>
    <mergeCell ref="O610:O611"/>
    <mergeCell ref="P610:P611"/>
    <mergeCell ref="Q610:Q611"/>
    <mergeCell ref="R610:R611"/>
    <mergeCell ref="D653:F653"/>
    <mergeCell ref="G653:H653"/>
    <mergeCell ref="I653:J653"/>
    <mergeCell ref="K653:L653"/>
    <mergeCell ref="M653:N653"/>
    <mergeCell ref="O653:P653"/>
    <mergeCell ref="Q653:T653"/>
    <mergeCell ref="D654:F654"/>
    <mergeCell ref="N608:P608"/>
    <mergeCell ref="Q608:S608"/>
    <mergeCell ref="J614:J615"/>
    <mergeCell ref="K614:K615"/>
    <mergeCell ref="O750:Q750"/>
    <mergeCell ref="O751:Q751"/>
    <mergeCell ref="O752:Q752"/>
    <mergeCell ref="I730:K730"/>
    <mergeCell ref="I731:K731"/>
    <mergeCell ref="I732:K732"/>
    <mergeCell ref="I727:K727"/>
    <mergeCell ref="I728:K728"/>
    <mergeCell ref="I729:K729"/>
    <mergeCell ref="L727:N727"/>
    <mergeCell ref="L728:N728"/>
    <mergeCell ref="L729:N729"/>
    <mergeCell ref="L730:N730"/>
    <mergeCell ref="L731:N731"/>
    <mergeCell ref="L732:N732"/>
    <mergeCell ref="H711:U711"/>
    <mergeCell ref="C715:U715"/>
    <mergeCell ref="L720:N722"/>
    <mergeCell ref="L723:N723"/>
    <mergeCell ref="L724:N724"/>
    <mergeCell ref="L725:N725"/>
    <mergeCell ref="L726:N726"/>
    <mergeCell ref="D724:F726"/>
    <mergeCell ref="R720:T722"/>
    <mergeCell ref="R723:T723"/>
    <mergeCell ref="R724:T724"/>
    <mergeCell ref="G729:H729"/>
    <mergeCell ref="G730:H730"/>
    <mergeCell ref="G731:H731"/>
    <mergeCell ref="G732:H732"/>
    <mergeCell ref="D723:H723"/>
    <mergeCell ref="D720:H722"/>
    <mergeCell ref="D854:F854"/>
    <mergeCell ref="D847:F847"/>
    <mergeCell ref="D848:F848"/>
    <mergeCell ref="D849:F849"/>
    <mergeCell ref="D850:F850"/>
    <mergeCell ref="D851:F851"/>
    <mergeCell ref="G847:H847"/>
    <mergeCell ref="G848:H848"/>
    <mergeCell ref="G849:H849"/>
    <mergeCell ref="G854:H854"/>
    <mergeCell ref="G850:H850"/>
    <mergeCell ref="G851:H851"/>
    <mergeCell ref="G852:H852"/>
    <mergeCell ref="G853:H853"/>
    <mergeCell ref="Q854:T854"/>
    <mergeCell ref="K850:L850"/>
    <mergeCell ref="K851:L851"/>
    <mergeCell ref="K852:L852"/>
    <mergeCell ref="K853:L853"/>
    <mergeCell ref="K854:L854"/>
    <mergeCell ref="K847:L847"/>
    <mergeCell ref="M854:N854"/>
    <mergeCell ref="O854:P854"/>
    <mergeCell ref="M847:N847"/>
    <mergeCell ref="Q850:T850"/>
    <mergeCell ref="M848:N848"/>
    <mergeCell ref="M849:N849"/>
    <mergeCell ref="M852:N852"/>
    <mergeCell ref="M853:N853"/>
    <mergeCell ref="O852:P852"/>
    <mergeCell ref="O853:P853"/>
    <mergeCell ref="Q851:T851"/>
    <mergeCell ref="Q852:T852"/>
    <mergeCell ref="Q853:T853"/>
    <mergeCell ref="I854:J854"/>
    <mergeCell ref="I852:J852"/>
    <mergeCell ref="I853:J853"/>
    <mergeCell ref="I847:J847"/>
    <mergeCell ref="I848:J848"/>
    <mergeCell ref="I849:J849"/>
    <mergeCell ref="I850:J850"/>
    <mergeCell ref="I851:J851"/>
    <mergeCell ref="Q849:T849"/>
    <mergeCell ref="M850:N850"/>
    <mergeCell ref="M851:N851"/>
    <mergeCell ref="O845:P845"/>
    <mergeCell ref="O846:P846"/>
    <mergeCell ref="O847:P847"/>
    <mergeCell ref="O848:P848"/>
    <mergeCell ref="O849:P849"/>
    <mergeCell ref="O850:P850"/>
    <mergeCell ref="O851:P851"/>
    <mergeCell ref="D845:F845"/>
    <mergeCell ref="K845:L845"/>
    <mergeCell ref="K846:L846"/>
    <mergeCell ref="M846:N846"/>
    <mergeCell ref="D842:F844"/>
    <mergeCell ref="M845:N845"/>
    <mergeCell ref="I845:J845"/>
    <mergeCell ref="I846:J846"/>
    <mergeCell ref="D846:F846"/>
    <mergeCell ref="G845:H845"/>
    <mergeCell ref="G846:H846"/>
    <mergeCell ref="Q845:T845"/>
    <mergeCell ref="Q846:T846"/>
    <mergeCell ref="K848:L848"/>
    <mergeCell ref="K849:L849"/>
    <mergeCell ref="L71:M71"/>
    <mergeCell ref="I780:K780"/>
    <mergeCell ref="I785:K785"/>
    <mergeCell ref="I777:K777"/>
    <mergeCell ref="I842:J844"/>
    <mergeCell ref="G842:H844"/>
    <mergeCell ref="I797:K797"/>
    <mergeCell ref="C840:U840"/>
    <mergeCell ref="Q842:T844"/>
    <mergeCell ref="M842:N844"/>
    <mergeCell ref="K842:L844"/>
    <mergeCell ref="I791:K791"/>
    <mergeCell ref="I783:K783"/>
    <mergeCell ref="I784:K784"/>
    <mergeCell ref="O842:P844"/>
    <mergeCell ref="Q847:T847"/>
    <mergeCell ref="Q848:T848"/>
    <mergeCell ref="O784:Q784"/>
    <mergeCell ref="R784:T784"/>
    <mergeCell ref="O785:Q785"/>
    <mergeCell ref="R785:T785"/>
    <mergeCell ref="O786:Q786"/>
    <mergeCell ref="R786:T786"/>
    <mergeCell ref="I773:K773"/>
    <mergeCell ref="I772:K772"/>
    <mergeCell ref="L773:N773"/>
    <mergeCell ref="O743:Q743"/>
    <mergeCell ref="S610:S611"/>
    <mergeCell ref="P43:Q45"/>
    <mergeCell ref="E569:K569"/>
    <mergeCell ref="M569:S569"/>
    <mergeCell ref="M570:S572"/>
    <mergeCell ref="D63:K65"/>
    <mergeCell ref="L63:M65"/>
    <mergeCell ref="N63:O65"/>
    <mergeCell ref="P63:Q65"/>
    <mergeCell ref="D67:K67"/>
    <mergeCell ref="L67:M67"/>
    <mergeCell ref="N67:O67"/>
    <mergeCell ref="P67:Q67"/>
    <mergeCell ref="D69:K69"/>
    <mergeCell ref="L69:M69"/>
    <mergeCell ref="N69:O69"/>
    <mergeCell ref="P69:Q69"/>
    <mergeCell ref="O745:Q745"/>
    <mergeCell ref="O746:Q746"/>
    <mergeCell ref="O747:Q747"/>
    <mergeCell ref="O748:Q748"/>
    <mergeCell ref="O749:Q749"/>
    <mergeCell ref="R369:S369"/>
    <mergeCell ref="N70:O70"/>
    <mergeCell ref="P46:Q46"/>
    <mergeCell ref="P47:Q47"/>
    <mergeCell ref="P48:Q48"/>
    <mergeCell ref="P49:Q49"/>
    <mergeCell ref="P50:Q50"/>
    <mergeCell ref="P51:Q51"/>
    <mergeCell ref="P52:Q52"/>
    <mergeCell ref="P57:Q57"/>
    <mergeCell ref="P70:Q70"/>
    <mergeCell ref="D71:K71"/>
    <mergeCell ref="P72:Q72"/>
    <mergeCell ref="N614:N615"/>
    <mergeCell ref="O614:O615"/>
    <mergeCell ref="P614:P615"/>
    <mergeCell ref="Q614:Q615"/>
    <mergeCell ref="R614:R615"/>
    <mergeCell ref="S614:S615"/>
    <mergeCell ref="H612:H613"/>
    <mergeCell ref="I612:I613"/>
    <mergeCell ref="J612:J613"/>
    <mergeCell ref="K612:K613"/>
    <mergeCell ref="M612:M613"/>
    <mergeCell ref="N612:N613"/>
    <mergeCell ref="O612:O613"/>
    <mergeCell ref="P612:P613"/>
    <mergeCell ref="Q612:Q613"/>
    <mergeCell ref="R612:R613"/>
    <mergeCell ref="R107:R108"/>
    <mergeCell ref="D116:R116"/>
    <mergeCell ref="J124:N125"/>
    <mergeCell ref="C379:U379"/>
    <mergeCell ref="D381:E381"/>
    <mergeCell ref="F381:H381"/>
    <mergeCell ref="E264:H264"/>
    <mergeCell ref="C286:U286"/>
    <mergeCell ref="C342:U342"/>
    <mergeCell ref="C351:U351"/>
    <mergeCell ref="R257:T259"/>
    <mergeCell ref="E260:H260"/>
    <mergeCell ref="E261:H261"/>
    <mergeCell ref="E262:H262"/>
    <mergeCell ref="E263:H263"/>
    <mergeCell ref="I263:K263"/>
    <mergeCell ref="E252:H252"/>
    <mergeCell ref="E253:H253"/>
    <mergeCell ref="E254:H254"/>
    <mergeCell ref="E255:H255"/>
    <mergeCell ref="I255:K255"/>
    <mergeCell ref="L255:N255"/>
    <mergeCell ref="O255:Q255"/>
    <mergeCell ref="R255:T255"/>
    <mergeCell ref="O252:Q252"/>
    <mergeCell ref="O253:Q253"/>
    <mergeCell ref="O254:Q254"/>
    <mergeCell ref="R252:T252"/>
    <mergeCell ref="R253:T253"/>
    <mergeCell ref="R254:T254"/>
    <mergeCell ref="L261:N261"/>
    <mergeCell ref="O261:Q261"/>
    <mergeCell ref="R261:T261"/>
    <mergeCell ref="I262:K262"/>
    <mergeCell ref="L262:N262"/>
    <mergeCell ref="D382:E382"/>
    <mergeCell ref="F382:H382"/>
    <mergeCell ref="H391:I391"/>
    <mergeCell ref="J391:K391"/>
    <mergeCell ref="F384:I384"/>
    <mergeCell ref="D384:E385"/>
    <mergeCell ref="J384:M384"/>
    <mergeCell ref="L391:M391"/>
    <mergeCell ref="F385:G385"/>
    <mergeCell ref="J385:K385"/>
    <mergeCell ref="F386:G386"/>
    <mergeCell ref="J386:K386"/>
    <mergeCell ref="F387:G387"/>
    <mergeCell ref="J387:K387"/>
    <mergeCell ref="F388:G388"/>
    <mergeCell ref="J388:K388"/>
    <mergeCell ref="J389:K389"/>
    <mergeCell ref="F390:G390"/>
    <mergeCell ref="D386:E386"/>
    <mergeCell ref="D387:E387"/>
    <mergeCell ref="D388:E388"/>
    <mergeCell ref="D389:E389"/>
    <mergeCell ref="D390:E390"/>
    <mergeCell ref="O386:P386"/>
    <mergeCell ref="Q386:S386"/>
    <mergeCell ref="H394:I394"/>
    <mergeCell ref="L392:M392"/>
    <mergeCell ref="H393:I393"/>
    <mergeCell ref="Q385:S385"/>
    <mergeCell ref="J390:K390"/>
    <mergeCell ref="H385:I385"/>
    <mergeCell ref="L385:M385"/>
    <mergeCell ref="H386:I386"/>
    <mergeCell ref="E249:H251"/>
    <mergeCell ref="I249:K251"/>
    <mergeCell ref="G648:H650"/>
    <mergeCell ref="I648:J650"/>
    <mergeCell ref="K648:L650"/>
    <mergeCell ref="M648:N650"/>
    <mergeCell ref="L610:L611"/>
    <mergeCell ref="M610:M611"/>
    <mergeCell ref="N610:N611"/>
    <mergeCell ref="L263:N263"/>
    <mergeCell ref="O263:Q263"/>
    <mergeCell ref="R263:T263"/>
    <mergeCell ref="I260:K260"/>
    <mergeCell ref="L260:N260"/>
    <mergeCell ref="O260:Q260"/>
    <mergeCell ref="R260:T260"/>
    <mergeCell ref="I261:K261"/>
    <mergeCell ref="E256:H256"/>
    <mergeCell ref="E257:H259"/>
    <mergeCell ref="I257:K259"/>
    <mergeCell ref="L257:N259"/>
    <mergeCell ref="O257:Q259"/>
    <mergeCell ref="H392:I392"/>
    <mergeCell ref="F392:G392"/>
    <mergeCell ref="D610:G611"/>
    <mergeCell ref="D612:G613"/>
    <mergeCell ref="F393:G393"/>
    <mergeCell ref="J393:K393"/>
    <mergeCell ref="D608:G609"/>
    <mergeCell ref="D614:G615"/>
    <mergeCell ref="H614:H615"/>
    <mergeCell ref="I614:I615"/>
    <mergeCell ref="H610:H611"/>
    <mergeCell ref="I610:I611"/>
    <mergeCell ref="J610:J611"/>
    <mergeCell ref="K610:K611"/>
    <mergeCell ref="L386:M386"/>
    <mergeCell ref="H387:I387"/>
    <mergeCell ref="L387:M387"/>
    <mergeCell ref="H389:I389"/>
    <mergeCell ref="L389:M389"/>
    <mergeCell ref="H390:I390"/>
    <mergeCell ref="L390:M390"/>
    <mergeCell ref="D391:E391"/>
    <mergeCell ref="D392:E392"/>
    <mergeCell ref="D393:E393"/>
    <mergeCell ref="D394:E394"/>
    <mergeCell ref="D395:E395"/>
    <mergeCell ref="L614:L615"/>
    <mergeCell ref="L612:L613"/>
    <mergeCell ref="H608:J608"/>
    <mergeCell ref="K608:M608"/>
    <mergeCell ref="M614:M615"/>
    <mergeCell ref="L393:M393"/>
    <mergeCell ref="H395:I395"/>
    <mergeCell ref="F395:G395"/>
    <mergeCell ref="J394:M395"/>
    <mergeCell ref="F394:G394"/>
    <mergeCell ref="H388:I388"/>
    <mergeCell ref="L388:M388"/>
    <mergeCell ref="F391:G391"/>
    <mergeCell ref="F389:G389"/>
    <mergeCell ref="D651:F651"/>
    <mergeCell ref="G651:H651"/>
    <mergeCell ref="I651:J651"/>
    <mergeCell ref="K651:L651"/>
    <mergeCell ref="M651:N651"/>
    <mergeCell ref="O651:P651"/>
    <mergeCell ref="Q651:T651"/>
    <mergeCell ref="D652:F652"/>
    <mergeCell ref="G652:H652"/>
    <mergeCell ref="I652:J652"/>
    <mergeCell ref="D644:E644"/>
    <mergeCell ref="F644:H644"/>
    <mergeCell ref="O648:P650"/>
    <mergeCell ref="Q648:T650"/>
    <mergeCell ref="D648:F650"/>
    <mergeCell ref="J392:K392"/>
    <mergeCell ref="D396:S396"/>
    <mergeCell ref="C440:U440"/>
    <mergeCell ref="C491:U491"/>
    <mergeCell ref="E570:K572"/>
    <mergeCell ref="C567:U567"/>
    <mergeCell ref="C543:U543"/>
    <mergeCell ref="S612:S613"/>
    <mergeCell ref="K655:L655"/>
    <mergeCell ref="M655:N655"/>
    <mergeCell ref="O655:P655"/>
    <mergeCell ref="Q655:T655"/>
    <mergeCell ref="D656:F656"/>
    <mergeCell ref="G656:H656"/>
    <mergeCell ref="I656:J656"/>
    <mergeCell ref="K656:L656"/>
    <mergeCell ref="M656:N656"/>
    <mergeCell ref="O656:P656"/>
    <mergeCell ref="Q656:T656"/>
    <mergeCell ref="G654:H654"/>
    <mergeCell ref="I654:J654"/>
    <mergeCell ref="K654:L654"/>
    <mergeCell ref="M654:N654"/>
    <mergeCell ref="O654:P654"/>
    <mergeCell ref="Q654:T654"/>
    <mergeCell ref="I659:J659"/>
    <mergeCell ref="K659:L659"/>
    <mergeCell ref="M659:N659"/>
    <mergeCell ref="O659:P659"/>
    <mergeCell ref="Q659:T659"/>
    <mergeCell ref="D660:F660"/>
    <mergeCell ref="G660:H660"/>
    <mergeCell ref="I660:J660"/>
    <mergeCell ref="K660:L660"/>
    <mergeCell ref="M660:N660"/>
    <mergeCell ref="O660:P660"/>
    <mergeCell ref="Q660:T660"/>
    <mergeCell ref="D657:F657"/>
    <mergeCell ref="G657:H657"/>
    <mergeCell ref="I657:J657"/>
    <mergeCell ref="K657:L657"/>
    <mergeCell ref="K652:L652"/>
    <mergeCell ref="M652:N652"/>
    <mergeCell ref="O652:P652"/>
    <mergeCell ref="Q652:T652"/>
    <mergeCell ref="M657:N657"/>
    <mergeCell ref="O657:P657"/>
    <mergeCell ref="Q657:T657"/>
    <mergeCell ref="G658:H658"/>
    <mergeCell ref="I658:J658"/>
    <mergeCell ref="K658:L658"/>
    <mergeCell ref="M658:N658"/>
    <mergeCell ref="O658:P658"/>
    <mergeCell ref="Q658:T658"/>
    <mergeCell ref="D655:F655"/>
    <mergeCell ref="G655:H655"/>
    <mergeCell ref="I655:J655"/>
    <mergeCell ref="O726:Q726"/>
    <mergeCell ref="O727:Q727"/>
    <mergeCell ref="O728:Q728"/>
    <mergeCell ref="O729:Q729"/>
    <mergeCell ref="O730:Q730"/>
    <mergeCell ref="O731:Q731"/>
    <mergeCell ref="O732:Q732"/>
    <mergeCell ref="I724:K724"/>
    <mergeCell ref="I725:K725"/>
    <mergeCell ref="I726:K726"/>
    <mergeCell ref="R727:T727"/>
    <mergeCell ref="R728:T728"/>
    <mergeCell ref="R729:T729"/>
    <mergeCell ref="R730:T730"/>
    <mergeCell ref="R731:T731"/>
    <mergeCell ref="R732:T732"/>
    <mergeCell ref="L66:M66"/>
    <mergeCell ref="N66:O66"/>
    <mergeCell ref="P66:Q66"/>
    <mergeCell ref="D66:K66"/>
    <mergeCell ref="D68:K68"/>
    <mergeCell ref="L68:M68"/>
    <mergeCell ref="N68:O68"/>
    <mergeCell ref="P68:Q68"/>
    <mergeCell ref="D645:E645"/>
    <mergeCell ref="F645:H645"/>
    <mergeCell ref="C639:U639"/>
    <mergeCell ref="C640:U640"/>
    <mergeCell ref="C641:U641"/>
    <mergeCell ref="C642:U642"/>
    <mergeCell ref="C662:U662"/>
    <mergeCell ref="G659:H659"/>
    <mergeCell ref="I719:N719"/>
    <mergeCell ref="O719:T719"/>
    <mergeCell ref="D742:H742"/>
    <mergeCell ref="D743:F745"/>
    <mergeCell ref="D746:F748"/>
    <mergeCell ref="D749:F751"/>
    <mergeCell ref="D739:H741"/>
    <mergeCell ref="I739:K741"/>
    <mergeCell ref="L739:N741"/>
    <mergeCell ref="I742:K742"/>
    <mergeCell ref="I743:K743"/>
    <mergeCell ref="I744:K744"/>
    <mergeCell ref="I745:K745"/>
    <mergeCell ref="I746:K746"/>
    <mergeCell ref="I747:K747"/>
    <mergeCell ref="I748:K748"/>
    <mergeCell ref="I749:K749"/>
    <mergeCell ref="I750:K750"/>
    <mergeCell ref="I751:K751"/>
    <mergeCell ref="O739:Q741"/>
    <mergeCell ref="O742:Q742"/>
    <mergeCell ref="D727:F729"/>
    <mergeCell ref="D730:F732"/>
    <mergeCell ref="G724:H724"/>
    <mergeCell ref="G727:H727"/>
    <mergeCell ref="G728:H728"/>
    <mergeCell ref="I720:K722"/>
    <mergeCell ref="I723:K723"/>
    <mergeCell ref="O720:Q722"/>
    <mergeCell ref="O723:Q723"/>
    <mergeCell ref="O724:Q724"/>
    <mergeCell ref="O725:Q725"/>
    <mergeCell ref="D752:F754"/>
    <mergeCell ref="D755:F757"/>
    <mergeCell ref="D758:F760"/>
    <mergeCell ref="G743:H743"/>
    <mergeCell ref="G744:H744"/>
    <mergeCell ref="G745:H745"/>
    <mergeCell ref="G746:H746"/>
    <mergeCell ref="G747:H747"/>
    <mergeCell ref="G748:H748"/>
    <mergeCell ref="G749:H749"/>
    <mergeCell ref="G750:H750"/>
    <mergeCell ref="G751:H751"/>
    <mergeCell ref="G752:H752"/>
    <mergeCell ref="G753:H753"/>
    <mergeCell ref="G754:H754"/>
    <mergeCell ref="G755:H755"/>
    <mergeCell ref="G756:H756"/>
    <mergeCell ref="G757:H757"/>
    <mergeCell ref="G758:H758"/>
    <mergeCell ref="G759:H759"/>
    <mergeCell ref="G760:H760"/>
    <mergeCell ref="R758:T758"/>
    <mergeCell ref="R759:T759"/>
    <mergeCell ref="R760:T760"/>
    <mergeCell ref="I752:K752"/>
    <mergeCell ref="I753:K753"/>
    <mergeCell ref="I754:K754"/>
    <mergeCell ref="I755:K755"/>
    <mergeCell ref="I756:K756"/>
    <mergeCell ref="I757:K757"/>
    <mergeCell ref="I758:K758"/>
    <mergeCell ref="I759:K759"/>
    <mergeCell ref="I760:K760"/>
    <mergeCell ref="L742:N742"/>
    <mergeCell ref="L743:N743"/>
    <mergeCell ref="L744:N744"/>
    <mergeCell ref="L745:N745"/>
    <mergeCell ref="L746:N746"/>
    <mergeCell ref="L747:N747"/>
    <mergeCell ref="L748:N748"/>
    <mergeCell ref="L749:N749"/>
    <mergeCell ref="L750:N750"/>
    <mergeCell ref="L751:N751"/>
    <mergeCell ref="L752:N752"/>
    <mergeCell ref="L753:N753"/>
    <mergeCell ref="L754:N754"/>
    <mergeCell ref="L755:N755"/>
    <mergeCell ref="L756:N756"/>
    <mergeCell ref="L757:N757"/>
    <mergeCell ref="L758:N758"/>
    <mergeCell ref="L759:N759"/>
    <mergeCell ref="L760:N760"/>
    <mergeCell ref="O744:Q744"/>
    <mergeCell ref="G783:H783"/>
    <mergeCell ref="G784:H784"/>
    <mergeCell ref="G785:H785"/>
    <mergeCell ref="G786:H786"/>
    <mergeCell ref="G787:H787"/>
    <mergeCell ref="G788:H788"/>
    <mergeCell ref="G789:H789"/>
    <mergeCell ref="O753:Q753"/>
    <mergeCell ref="O754:Q754"/>
    <mergeCell ref="O755:Q755"/>
    <mergeCell ref="O756:Q756"/>
    <mergeCell ref="O757:Q757"/>
    <mergeCell ref="O758:Q758"/>
    <mergeCell ref="O759:Q759"/>
    <mergeCell ref="O760:Q760"/>
    <mergeCell ref="R739:T741"/>
    <mergeCell ref="R742:T742"/>
    <mergeCell ref="R743:T743"/>
    <mergeCell ref="R744:T744"/>
    <mergeCell ref="R745:T745"/>
    <mergeCell ref="R746:T746"/>
    <mergeCell ref="R747:T747"/>
    <mergeCell ref="R748:T748"/>
    <mergeCell ref="R749:T749"/>
    <mergeCell ref="R750:T750"/>
    <mergeCell ref="R751:T751"/>
    <mergeCell ref="R752:T752"/>
    <mergeCell ref="R753:T753"/>
    <mergeCell ref="R754:T754"/>
    <mergeCell ref="R755:T755"/>
    <mergeCell ref="R756:T756"/>
    <mergeCell ref="R757:T757"/>
    <mergeCell ref="I793:K793"/>
    <mergeCell ref="I794:K794"/>
    <mergeCell ref="I795:K795"/>
    <mergeCell ref="I796:K796"/>
    <mergeCell ref="L770:N770"/>
    <mergeCell ref="L771:N771"/>
    <mergeCell ref="L772:N772"/>
    <mergeCell ref="I738:N738"/>
    <mergeCell ref="O738:T738"/>
    <mergeCell ref="D767:H769"/>
    <mergeCell ref="D770:H770"/>
    <mergeCell ref="D771:F773"/>
    <mergeCell ref="D774:F776"/>
    <mergeCell ref="D777:F779"/>
    <mergeCell ref="D780:F782"/>
    <mergeCell ref="D783:F785"/>
    <mergeCell ref="D786:F788"/>
    <mergeCell ref="D789:F791"/>
    <mergeCell ref="D792:F794"/>
    <mergeCell ref="D795:F797"/>
    <mergeCell ref="G771:H771"/>
    <mergeCell ref="G772:H772"/>
    <mergeCell ref="G773:H773"/>
    <mergeCell ref="G774:H774"/>
    <mergeCell ref="G775:H775"/>
    <mergeCell ref="G776:H776"/>
    <mergeCell ref="G777:H777"/>
    <mergeCell ref="G778:H778"/>
    <mergeCell ref="G779:H779"/>
    <mergeCell ref="G780:H780"/>
    <mergeCell ref="G781:H781"/>
    <mergeCell ref="G782:H782"/>
    <mergeCell ref="L784:N784"/>
    <mergeCell ref="L785:N785"/>
    <mergeCell ref="L786:N786"/>
    <mergeCell ref="L787:N787"/>
    <mergeCell ref="L788:N788"/>
    <mergeCell ref="L789:N789"/>
    <mergeCell ref="L790:N790"/>
    <mergeCell ref="G790:H790"/>
    <mergeCell ref="G791:H791"/>
    <mergeCell ref="G792:H792"/>
    <mergeCell ref="G793:H793"/>
    <mergeCell ref="G794:H794"/>
    <mergeCell ref="G795:H795"/>
    <mergeCell ref="G796:H796"/>
    <mergeCell ref="G797:H797"/>
    <mergeCell ref="I767:K769"/>
    <mergeCell ref="L767:N769"/>
    <mergeCell ref="I770:K770"/>
    <mergeCell ref="I771:K771"/>
    <mergeCell ref="I774:K774"/>
    <mergeCell ref="I775:K775"/>
    <mergeCell ref="I776:K776"/>
    <mergeCell ref="I778:K778"/>
    <mergeCell ref="I779:K779"/>
    <mergeCell ref="I781:K781"/>
    <mergeCell ref="I782:K782"/>
    <mergeCell ref="I786:K786"/>
    <mergeCell ref="I787:K787"/>
    <mergeCell ref="I788:K788"/>
    <mergeCell ref="I789:K789"/>
    <mergeCell ref="I790:K790"/>
    <mergeCell ref="I792:K792"/>
    <mergeCell ref="O778:Q778"/>
    <mergeCell ref="R778:T778"/>
    <mergeCell ref="O779:Q779"/>
    <mergeCell ref="R779:T779"/>
    <mergeCell ref="O780:Q780"/>
    <mergeCell ref="R780:T780"/>
    <mergeCell ref="O781:Q781"/>
    <mergeCell ref="L774:N774"/>
    <mergeCell ref="L775:N775"/>
    <mergeCell ref="L776:N776"/>
    <mergeCell ref="L777:N777"/>
    <mergeCell ref="L778:N778"/>
    <mergeCell ref="L779:N779"/>
    <mergeCell ref="L780:N780"/>
    <mergeCell ref="L781:N781"/>
    <mergeCell ref="L782:N782"/>
    <mergeCell ref="L783:N783"/>
    <mergeCell ref="R781:T781"/>
    <mergeCell ref="O782:Q782"/>
    <mergeCell ref="R782:T782"/>
    <mergeCell ref="O783:Q783"/>
    <mergeCell ref="R783:T783"/>
    <mergeCell ref="R767:T769"/>
    <mergeCell ref="O770:Q770"/>
    <mergeCell ref="R770:T770"/>
    <mergeCell ref="O771:Q771"/>
    <mergeCell ref="R771:T771"/>
    <mergeCell ref="O772:Q772"/>
    <mergeCell ref="R772:T772"/>
    <mergeCell ref="O773:Q773"/>
    <mergeCell ref="R773:T773"/>
    <mergeCell ref="O774:Q774"/>
    <mergeCell ref="R774:T774"/>
    <mergeCell ref="O775:Q775"/>
    <mergeCell ref="R775:T775"/>
    <mergeCell ref="O776:Q776"/>
    <mergeCell ref="R776:T776"/>
    <mergeCell ref="O777:Q777"/>
    <mergeCell ref="R777:T777"/>
    <mergeCell ref="O796:Q796"/>
    <mergeCell ref="R796:T796"/>
    <mergeCell ref="O797:Q797"/>
    <mergeCell ref="R797:T797"/>
    <mergeCell ref="I766:N766"/>
    <mergeCell ref="O766:T766"/>
    <mergeCell ref="O787:Q787"/>
    <mergeCell ref="R787:T787"/>
    <mergeCell ref="O788:Q788"/>
    <mergeCell ref="R788:T788"/>
    <mergeCell ref="O789:Q789"/>
    <mergeCell ref="R789:T789"/>
    <mergeCell ref="O790:Q790"/>
    <mergeCell ref="R790:T790"/>
    <mergeCell ref="O791:Q791"/>
    <mergeCell ref="R791:T791"/>
    <mergeCell ref="O792:Q792"/>
    <mergeCell ref="R792:T792"/>
    <mergeCell ref="O793:Q793"/>
    <mergeCell ref="R793:T793"/>
    <mergeCell ref="O794:Q794"/>
    <mergeCell ref="R794:T794"/>
    <mergeCell ref="O795:Q795"/>
    <mergeCell ref="R795:T795"/>
    <mergeCell ref="L791:N791"/>
    <mergeCell ref="L792:N792"/>
    <mergeCell ref="L793:N793"/>
    <mergeCell ref="L794:N794"/>
    <mergeCell ref="L795:N795"/>
    <mergeCell ref="L796:N796"/>
    <mergeCell ref="L797:N797"/>
    <mergeCell ref="O767:Q769"/>
  </mergeCells>
  <conditionalFormatting sqref="I723:I732 L723:L732 O725:O726 R725:R726 O729 R729 O732 R732 L733:S737 I739 L739 I742:I760 L742:L760 O742:O745 O748 O754 O751 R742:R745 R748 R751 R754 R757 R760 O757 O760 O738 L762:S765 I767 L767 I770:I797 L770:L797 O766 O771:O797 R771:R797">
    <cfRule type="containsText" dxfId="61" priority="70" operator="containsText" text="Lower than required coverage">
      <formula>NOT(ISERROR(SEARCH("Lower than required coverage",I723)))</formula>
    </cfRule>
  </conditionalFormatting>
  <conditionalFormatting sqref="D924:F924">
    <cfRule type="expression" dxfId="60" priority="67" stopIfTrue="1">
      <formula>$D$924=$F$917</formula>
    </cfRule>
  </conditionalFormatting>
  <conditionalFormatting sqref="D924:M924">
    <cfRule type="expression" dxfId="59" priority="66" stopIfTrue="1">
      <formula>$D$924=$F$917</formula>
    </cfRule>
  </conditionalFormatting>
  <conditionalFormatting sqref="D925:M925">
    <cfRule type="expression" dxfId="58" priority="65" stopIfTrue="1">
      <formula>$D$925=$F$917</formula>
    </cfRule>
  </conditionalFormatting>
  <conditionalFormatting sqref="D926:F926">
    <cfRule type="expression" dxfId="57" priority="64" stopIfTrue="1">
      <formula>$D$926=$F$917</formula>
    </cfRule>
  </conditionalFormatting>
  <conditionalFormatting sqref="D927:M927">
    <cfRule type="expression" dxfId="56" priority="63" stopIfTrue="1">
      <formula>$D$927=$F$917</formula>
    </cfRule>
  </conditionalFormatting>
  <conditionalFormatting sqref="D928:G928">
    <cfRule type="expression" dxfId="55" priority="61" stopIfTrue="1">
      <formula>$D$928=$F$917</formula>
    </cfRule>
  </conditionalFormatting>
  <conditionalFormatting sqref="D929:M929">
    <cfRule type="expression" dxfId="54" priority="60" stopIfTrue="1">
      <formula>$D$929=$F$917</formula>
    </cfRule>
  </conditionalFormatting>
  <conditionalFormatting sqref="D930:M930">
    <cfRule type="expression" dxfId="53" priority="59" stopIfTrue="1">
      <formula>$D$930=$F$917</formula>
    </cfRule>
  </conditionalFormatting>
  <conditionalFormatting sqref="J933:M933">
    <cfRule type="expression" dxfId="52" priority="55" stopIfTrue="1">
      <formula>$D$930=$F$917</formula>
    </cfRule>
  </conditionalFormatting>
  <conditionalFormatting sqref="G926">
    <cfRule type="expression" dxfId="51" priority="54" stopIfTrue="1">
      <formula>$D$928=$F$917</formula>
    </cfRule>
  </conditionalFormatting>
  <conditionalFormatting sqref="D386:M386">
    <cfRule type="expression" dxfId="50" priority="53" stopIfTrue="1">
      <formula>$D$386=$F$382</formula>
    </cfRule>
  </conditionalFormatting>
  <conditionalFormatting sqref="D387:M387">
    <cfRule type="expression" dxfId="49" priority="52" stopIfTrue="1">
      <formula>$D$387=$F$382</formula>
    </cfRule>
  </conditionalFormatting>
  <conditionalFormatting sqref="D388:M388">
    <cfRule type="expression" dxfId="48" priority="51" stopIfTrue="1">
      <formula>$D$388=$F$382</formula>
    </cfRule>
  </conditionalFormatting>
  <conditionalFormatting sqref="D389:M389">
    <cfRule type="expression" dxfId="47" priority="50" stopIfTrue="1">
      <formula>$D$389=$F$382</formula>
    </cfRule>
  </conditionalFormatting>
  <conditionalFormatting sqref="D390:M390">
    <cfRule type="expression" dxfId="46" priority="49" stopIfTrue="1">
      <formula>$D$390=$F$382</formula>
    </cfRule>
  </conditionalFormatting>
  <conditionalFormatting sqref="D391:M391">
    <cfRule type="expression" dxfId="45" priority="48" stopIfTrue="1">
      <formula>$D$391=$F$382</formula>
    </cfRule>
  </conditionalFormatting>
  <conditionalFormatting sqref="D392:M392">
    <cfRule type="expression" dxfId="44" priority="47" stopIfTrue="1">
      <formula>$D$392=$F$382</formula>
    </cfRule>
  </conditionalFormatting>
  <conditionalFormatting sqref="Q651:T659">
    <cfRule type="containsText" dxfId="43" priority="44" operator="containsText" text="Higher than England">
      <formula>NOT(ISERROR(SEARCH("Higher than England",Q651)))</formula>
    </cfRule>
    <cfRule type="containsText" dxfId="42" priority="45" operator="containsText" text="Lower than England">
      <formula>NOT(ISERROR(SEARCH("Lower than England",Q651)))</formula>
    </cfRule>
    <cfRule type="containsText" dxfId="41" priority="46" operator="containsText" text="No difference">
      <formula>NOT(ISERROR(SEARCH("No difference",Q651)))</formula>
    </cfRule>
  </conditionalFormatting>
  <conditionalFormatting sqref="D651:P651">
    <cfRule type="expression" dxfId="40" priority="42">
      <formula>$D$651=$F$645</formula>
    </cfRule>
  </conditionalFormatting>
  <conditionalFormatting sqref="D652:P652">
    <cfRule type="expression" dxfId="39" priority="41">
      <formula>$D$652=$F$645</formula>
    </cfRule>
  </conditionalFormatting>
  <conditionalFormatting sqref="D653:P653">
    <cfRule type="expression" dxfId="38" priority="40">
      <formula>$D$653=$F$645</formula>
    </cfRule>
  </conditionalFormatting>
  <conditionalFormatting sqref="D654:P654">
    <cfRule type="expression" dxfId="37" priority="39">
      <formula>$D$654=$F$645</formula>
    </cfRule>
  </conditionalFormatting>
  <conditionalFormatting sqref="D655:P655">
    <cfRule type="expression" dxfId="36" priority="38">
      <formula>$D$655=$F$645</formula>
    </cfRule>
  </conditionalFormatting>
  <conditionalFormatting sqref="D656:P656">
    <cfRule type="expression" dxfId="35" priority="37">
      <formula>$D$656=$F$645</formula>
    </cfRule>
  </conditionalFormatting>
  <conditionalFormatting sqref="D657:P657">
    <cfRule type="expression" dxfId="34" priority="36">
      <formula>$D$657=$F$645</formula>
    </cfRule>
  </conditionalFormatting>
  <conditionalFormatting sqref="O723 R723">
    <cfRule type="containsText" dxfId="33" priority="35" operator="containsText" text="Lower than required coverage">
      <formula>NOT(ISERROR(SEARCH("Lower than required coverage",O723)))</formula>
    </cfRule>
  </conditionalFormatting>
  <conditionalFormatting sqref="O724 R724">
    <cfRule type="containsText" dxfId="32" priority="34" operator="containsText" text="Lower than required coverage">
      <formula>NOT(ISERROR(SEARCH("Lower than required coverage",O724)))</formula>
    </cfRule>
  </conditionalFormatting>
  <conditionalFormatting sqref="O727:O728">
    <cfRule type="containsText" dxfId="31" priority="33" operator="containsText" text="Lower than required coverage">
      <formula>NOT(ISERROR(SEARCH("Lower than required coverage",O727)))</formula>
    </cfRule>
  </conditionalFormatting>
  <conditionalFormatting sqref="R727:R728">
    <cfRule type="containsText" dxfId="30" priority="32" operator="containsText" text="Lower than required coverage">
      <formula>NOT(ISERROR(SEARCH("Lower than required coverage",R727)))</formula>
    </cfRule>
  </conditionalFormatting>
  <conditionalFormatting sqref="O730">
    <cfRule type="containsText" dxfId="29" priority="31" operator="containsText" text="Lower than required coverage">
      <formula>NOT(ISERROR(SEARCH("Lower than required coverage",O730)))</formula>
    </cfRule>
  </conditionalFormatting>
  <conditionalFormatting sqref="O731">
    <cfRule type="containsText" dxfId="28" priority="30" operator="containsText" text="Lower than required coverage">
      <formula>NOT(ISERROR(SEARCH("Lower than required coverage",O731)))</formula>
    </cfRule>
  </conditionalFormatting>
  <conditionalFormatting sqref="R731">
    <cfRule type="containsText" dxfId="27" priority="28" operator="containsText" text="Lower than required coverage">
      <formula>NOT(ISERROR(SEARCH("Lower than required coverage",R731)))</formula>
    </cfRule>
  </conditionalFormatting>
  <conditionalFormatting sqref="R730">
    <cfRule type="containsText" dxfId="26" priority="29" operator="containsText" text="Lower than required coverage">
      <formula>NOT(ISERROR(SEARCH("Lower than required coverage",R730)))</formula>
    </cfRule>
  </conditionalFormatting>
  <conditionalFormatting sqref="O739">
    <cfRule type="containsText" dxfId="25" priority="27" operator="containsText" text="Lower than required coverage">
      <formula>NOT(ISERROR(SEARCH("Lower than required coverage",O739)))</formula>
    </cfRule>
  </conditionalFormatting>
  <conditionalFormatting sqref="R739">
    <cfRule type="containsText" dxfId="24" priority="26" operator="containsText" text="Lower than required coverage">
      <formula>NOT(ISERROR(SEARCH("Lower than required coverage",R739)))</formula>
    </cfRule>
  </conditionalFormatting>
  <conditionalFormatting sqref="O746">
    <cfRule type="containsText" dxfId="23" priority="25" operator="containsText" text="Lower than required coverage">
      <formula>NOT(ISERROR(SEARCH("Lower than required coverage",O746)))</formula>
    </cfRule>
  </conditionalFormatting>
  <conditionalFormatting sqref="O747">
    <cfRule type="containsText" dxfId="22" priority="24" operator="containsText" text="Lower than required coverage">
      <formula>NOT(ISERROR(SEARCH("Lower than required coverage",O747)))</formula>
    </cfRule>
  </conditionalFormatting>
  <conditionalFormatting sqref="O749">
    <cfRule type="containsText" dxfId="21" priority="23" operator="containsText" text="Lower than required coverage">
      <formula>NOT(ISERROR(SEARCH("Lower than required coverage",O749)))</formula>
    </cfRule>
  </conditionalFormatting>
  <conditionalFormatting sqref="R756">
    <cfRule type="containsText" dxfId="20" priority="16" operator="containsText" text="Lower than required coverage">
      <formula>NOT(ISERROR(SEARCH("Lower than required coverage",R756)))</formula>
    </cfRule>
  </conditionalFormatting>
  <conditionalFormatting sqref="O758">
    <cfRule type="containsText" dxfId="19" priority="5" operator="containsText" text="Lower than required coverage">
      <formula>NOT(ISERROR(SEARCH("Lower than required coverage",O758)))</formula>
    </cfRule>
  </conditionalFormatting>
  <conditionalFormatting sqref="O752">
    <cfRule type="containsText" dxfId="18" priority="21" operator="containsText" text="Lower than required coverage">
      <formula>NOT(ISERROR(SEARCH("Lower than required coverage",O752)))</formula>
    </cfRule>
  </conditionalFormatting>
  <conditionalFormatting sqref="R746">
    <cfRule type="containsText" dxfId="17" priority="20" operator="containsText" text="Lower than required coverage">
      <formula>NOT(ISERROR(SEARCH("Lower than required coverage",R746)))</formula>
    </cfRule>
  </conditionalFormatting>
  <conditionalFormatting sqref="R747">
    <cfRule type="containsText" dxfId="16" priority="19" operator="containsText" text="Lower than required coverage">
      <formula>NOT(ISERROR(SEARCH("Lower than required coverage",R747)))</formula>
    </cfRule>
  </conditionalFormatting>
  <conditionalFormatting sqref="R750">
    <cfRule type="containsText" dxfId="15" priority="18" operator="containsText" text="Lower than required coverage">
      <formula>NOT(ISERROR(SEARCH("Lower than required coverage",R750)))</formula>
    </cfRule>
  </conditionalFormatting>
  <conditionalFormatting sqref="R753">
    <cfRule type="containsText" dxfId="14" priority="17" operator="containsText" text="Lower than required coverage">
      <formula>NOT(ISERROR(SEARCH("Lower than required coverage",R753)))</formula>
    </cfRule>
  </conditionalFormatting>
  <conditionalFormatting sqref="R759">
    <cfRule type="containsText" dxfId="13" priority="15" operator="containsText" text="Lower than required coverage">
      <formula>NOT(ISERROR(SEARCH("Lower than required coverage",R759)))</formula>
    </cfRule>
  </conditionalFormatting>
  <conditionalFormatting sqref="R749">
    <cfRule type="containsText" dxfId="12" priority="14" operator="containsText" text="Lower than required coverage">
      <formula>NOT(ISERROR(SEARCH("Lower than required coverage",R749)))</formula>
    </cfRule>
  </conditionalFormatting>
  <conditionalFormatting sqref="R752">
    <cfRule type="containsText" dxfId="11" priority="13" operator="containsText" text="Lower than required coverage">
      <formula>NOT(ISERROR(SEARCH("Lower than required coverage",R752)))</formula>
    </cfRule>
  </conditionalFormatting>
  <conditionalFormatting sqref="R755">
    <cfRule type="containsText" dxfId="10" priority="12" operator="containsText" text="Lower than required coverage">
      <formula>NOT(ISERROR(SEARCH("Lower than required coverage",R755)))</formula>
    </cfRule>
  </conditionalFormatting>
  <conditionalFormatting sqref="R758">
    <cfRule type="containsText" dxfId="9" priority="11" operator="containsText" text="Lower than required coverage">
      <formula>NOT(ISERROR(SEARCH("Lower than required coverage",R758)))</formula>
    </cfRule>
  </conditionalFormatting>
  <conditionalFormatting sqref="O750">
    <cfRule type="containsText" dxfId="8" priority="10" operator="containsText" text="Lower than required coverage">
      <formula>NOT(ISERROR(SEARCH("Lower than required coverage",O750)))</formula>
    </cfRule>
  </conditionalFormatting>
  <conditionalFormatting sqref="O753">
    <cfRule type="containsText" dxfId="7" priority="9" operator="containsText" text="Lower than required coverage">
      <formula>NOT(ISERROR(SEARCH("Lower than required coverage",O753)))</formula>
    </cfRule>
  </conditionalFormatting>
  <conditionalFormatting sqref="O756">
    <cfRule type="containsText" dxfId="6" priority="8" operator="containsText" text="Lower than required coverage">
      <formula>NOT(ISERROR(SEARCH("Lower than required coverage",O756)))</formula>
    </cfRule>
  </conditionalFormatting>
  <conditionalFormatting sqref="O759">
    <cfRule type="containsText" dxfId="5" priority="7" operator="containsText" text="Lower than required coverage">
      <formula>NOT(ISERROR(SEARCH("Lower than required coverage",O759)))</formula>
    </cfRule>
  </conditionalFormatting>
  <conditionalFormatting sqref="O755">
    <cfRule type="containsText" dxfId="4" priority="6" operator="containsText" text="Lower than required coverage">
      <formula>NOT(ISERROR(SEARCH("Lower than required coverage",O755)))</formula>
    </cfRule>
  </conditionalFormatting>
  <conditionalFormatting sqref="O767">
    <cfRule type="containsText" dxfId="3" priority="4" operator="containsText" text="Lower than required coverage">
      <formula>NOT(ISERROR(SEARCH("Lower than required coverage",O767)))</formula>
    </cfRule>
  </conditionalFormatting>
  <conditionalFormatting sqref="R767">
    <cfRule type="containsText" dxfId="2" priority="3" operator="containsText" text="Lower than required coverage">
      <formula>NOT(ISERROR(SEARCH("Lower than required coverage",R767)))</formula>
    </cfRule>
  </conditionalFormatting>
  <conditionalFormatting sqref="R770">
    <cfRule type="containsText" dxfId="1" priority="2" operator="containsText" text="Lower than required coverage">
      <formula>NOT(ISERROR(SEARCH("Lower than required coverage",R770)))</formula>
    </cfRule>
  </conditionalFormatting>
  <conditionalFormatting sqref="O770">
    <cfRule type="containsText" dxfId="0" priority="1" operator="containsText" text="Lower than required coverage">
      <formula>NOT(ISERROR(SEARCH("Lower than required coverage",O770)))</formula>
    </cfRule>
  </conditionalFormatting>
  <hyperlinks>
    <hyperlink ref="C341" r:id="rId1"/>
    <hyperlink ref="C98" r:id="rId2" display="Source: NHS Statistics (Maternity Services) until 2014/15"/>
    <hyperlink ref="C120" r:id="rId3"/>
    <hyperlink ref="C914" r:id="rId4" display="Source: ONS Unexplained deaths in Infancy: England and Wales"/>
    <hyperlink ref="C839" r:id="rId5" location="gid/1000042/ati/102"/>
    <hyperlink ref="C378" r:id="rId6" display="Source: Public Health England Extractions Data Release (2014/15), and Hospital Episode Statistics (local level analysis 2015/16)"/>
    <hyperlink ref="C713:V713" r:id="rId7" display="The current immunisation schedule for young children can be viewed here."/>
  </hyperlinks>
  <pageMargins left="0.25" right="0.25" top="0.75" bottom="0.75" header="0.3" footer="0.3"/>
  <pageSetup paperSize="9" scale="60" fitToHeight="8" orientation="portrait" r:id="rId8"/>
  <rowBreaks count="10" manualBreakCount="10">
    <brk id="92" max="22" man="1"/>
    <brk id="158" max="22" man="1"/>
    <brk id="220" max="22" man="1"/>
    <brk id="282" max="22" man="1"/>
    <brk id="350" max="22" man="1"/>
    <brk id="455" max="22" man="1"/>
    <brk id="545" max="22" man="1"/>
    <brk id="679" max="22" man="1"/>
    <brk id="734" max="22" man="1"/>
    <brk id="801" max="22" man="1"/>
  </rowBreaks>
  <ignoredErrors>
    <ignoredError sqref="I610 L720 O726 R726 O729:T729 O720 O745:T760 L767 O773:T797 O767" formula="1"/>
    <ignoredError sqref="L304:M304" evalError="1"/>
  </ignoredErrors>
  <drawing r:id="rId9"/>
  <legacyDrawing r:id="rId10"/>
  <oleObjects>
    <mc:AlternateContent xmlns:mc="http://schemas.openxmlformats.org/markup-compatibility/2006">
      <mc:Choice Requires="x14">
        <oleObject progId="AcroExch.Document.7" dvAspect="DVASPECT_ICON" shapeId="5124" r:id="rId11">
          <objectPr defaultSize="0" autoPict="0" r:id="rId12">
            <anchor moveWithCells="1" sizeWithCells="1">
              <from>
                <xdr:col>10</xdr:col>
                <xdr:colOff>76200</xdr:colOff>
                <xdr:row>508</xdr:row>
                <xdr:rowOff>38100</xdr:rowOff>
              </from>
              <to>
                <xdr:col>11</xdr:col>
                <xdr:colOff>504825</xdr:colOff>
                <xdr:row>511</xdr:row>
                <xdr:rowOff>133350</xdr:rowOff>
              </to>
            </anchor>
          </objectPr>
        </oleObject>
      </mc:Choice>
      <mc:Fallback>
        <oleObject progId="AcroExch.Document.7" dvAspect="DVASPECT_ICON" shapeId="5124" r:id="rId11"/>
      </mc:Fallback>
    </mc:AlternateContent>
  </oleObjects>
  <mc:AlternateContent xmlns:mc="http://schemas.openxmlformats.org/markup-compatibility/2006">
    <mc:Choice Requires="x14">
      <controls>
        <mc:AlternateContent xmlns:mc="http://schemas.openxmlformats.org/markup-compatibility/2006">
          <mc:Choice Requires="x14">
            <control shapeId="5122" r:id="rId13" name="Drop Down 2">
              <controlPr defaultSize="0" autoLine="0" autoPict="0">
                <anchor moveWithCells="1">
                  <from>
                    <xdr:col>6</xdr:col>
                    <xdr:colOff>371475</xdr:colOff>
                    <xdr:row>4</xdr:row>
                    <xdr:rowOff>180975</xdr:rowOff>
                  </from>
                  <to>
                    <xdr:col>12</xdr:col>
                    <xdr:colOff>247650</xdr:colOff>
                    <xdr:row>6</xdr:row>
                    <xdr:rowOff>66675</xdr:rowOff>
                  </to>
                </anchor>
              </controlPr>
            </control>
          </mc:Choice>
        </mc:AlternateContent>
        <mc:AlternateContent xmlns:mc="http://schemas.openxmlformats.org/markup-compatibility/2006">
          <mc:Choice Requires="x14">
            <control shapeId="5123" r:id="rId14" name="Drop Down 3">
              <controlPr defaultSize="0" autoLine="0" autoPict="0">
                <anchor moveWithCells="1">
                  <from>
                    <xdr:col>6</xdr:col>
                    <xdr:colOff>371475</xdr:colOff>
                    <xdr:row>6</xdr:row>
                    <xdr:rowOff>161925</xdr:rowOff>
                  </from>
                  <to>
                    <xdr:col>12</xdr:col>
                    <xdr:colOff>247650</xdr:colOff>
                    <xdr:row>8</xdr:row>
                    <xdr:rowOff>47625</xdr:rowOff>
                  </to>
                </anchor>
              </controlPr>
            </control>
          </mc:Choice>
        </mc:AlternateContent>
      </controls>
    </mc:Choice>
  </mc:AlternateConten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tabColor theme="4"/>
  </sheetPr>
  <dimension ref="A1:X203"/>
  <sheetViews>
    <sheetView zoomScaleNormal="100" zoomScaleSheetLayoutView="80" zoomScalePageLayoutView="80" workbookViewId="0"/>
  </sheetViews>
  <sheetFormatPr defaultColWidth="8.796875" defaultRowHeight="14.25" x14ac:dyDescent="0.2"/>
  <cols>
    <col min="1" max="1" width="1" style="1" customWidth="1"/>
    <col min="2" max="2" width="1.09765625" style="1" customWidth="1"/>
    <col min="3" max="3" width="6.5" style="1" customWidth="1"/>
    <col min="4" max="4" width="5.69921875" style="1" customWidth="1"/>
    <col min="5" max="5" width="5.69921875" style="67" customWidth="1"/>
    <col min="6" max="6" width="6.69921875" style="1" customWidth="1"/>
    <col min="7" max="8" width="6.69921875" style="67" customWidth="1"/>
    <col min="9" max="14" width="6.69921875" style="1" customWidth="1"/>
    <col min="15" max="17" width="6.69921875" style="67" customWidth="1"/>
    <col min="18" max="18" width="5.69921875" style="67" customWidth="1"/>
    <col min="19" max="19" width="5.69921875" style="1" customWidth="1"/>
    <col min="20" max="20" width="1.5" style="1" customWidth="1"/>
    <col min="21" max="21" width="1.19921875" style="1" customWidth="1"/>
    <col min="22" max="22" width="1.09765625" style="1" customWidth="1"/>
    <col min="23" max="23" width="8.796875" style="1"/>
    <col min="24" max="24" width="19" style="1" bestFit="1" customWidth="1"/>
    <col min="25" max="16384" width="8.796875" style="1"/>
  </cols>
  <sheetData>
    <row r="1" spans="1:24" ht="15" x14ac:dyDescent="0.25">
      <c r="X1" s="21">
        <f ca="1">NOW()</f>
        <v>42740.35657314815</v>
      </c>
    </row>
    <row r="2" spans="1:24" ht="17.25" customHeight="1" x14ac:dyDescent="0.2">
      <c r="A2" s="732"/>
      <c r="B2" s="733"/>
      <c r="C2" s="733"/>
      <c r="D2" s="733"/>
      <c r="E2" s="733"/>
      <c r="F2" s="733"/>
      <c r="G2" s="733"/>
      <c r="H2" s="733"/>
      <c r="I2" s="733"/>
      <c r="J2" s="733"/>
      <c r="K2" s="733"/>
      <c r="L2" s="733"/>
      <c r="M2" s="733"/>
      <c r="N2" s="733"/>
      <c r="O2" s="69"/>
      <c r="P2" s="69"/>
      <c r="Q2" s="69"/>
      <c r="R2" s="69"/>
    </row>
    <row r="3" spans="1:24" ht="15" x14ac:dyDescent="0.25">
      <c r="A3" s="2"/>
      <c r="B3" s="2"/>
      <c r="C3" s="2"/>
      <c r="D3" s="2"/>
      <c r="E3" s="2"/>
      <c r="F3" s="2"/>
      <c r="G3" s="2"/>
      <c r="H3" s="2"/>
      <c r="I3" s="2"/>
      <c r="J3" s="2"/>
      <c r="K3" s="2"/>
      <c r="L3" s="2"/>
      <c r="M3" s="2"/>
      <c r="N3" s="2"/>
      <c r="O3" s="2"/>
      <c r="P3" s="2"/>
      <c r="Q3" s="2"/>
      <c r="R3" s="2"/>
    </row>
    <row r="4" spans="1:24" ht="15" x14ac:dyDescent="0.25">
      <c r="A4" s="2"/>
      <c r="B4" s="477"/>
      <c r="C4" s="477"/>
      <c r="D4" s="477"/>
      <c r="E4" s="477"/>
      <c r="F4" s="477"/>
      <c r="G4" s="477"/>
      <c r="H4" s="477"/>
      <c r="I4" s="477"/>
      <c r="J4" s="477"/>
      <c r="K4" s="477"/>
      <c r="L4" s="477"/>
      <c r="M4" s="477"/>
      <c r="N4" s="477"/>
      <c r="O4" s="477"/>
      <c r="P4" s="477"/>
      <c r="Q4" s="477"/>
      <c r="R4" s="477"/>
      <c r="S4" s="67"/>
      <c r="T4" s="67"/>
      <c r="U4" s="67"/>
      <c r="V4" s="67"/>
    </row>
    <row r="5" spans="1:24" s="67" customFormat="1" ht="15" x14ac:dyDescent="0.25">
      <c r="A5" s="248"/>
      <c r="B5" s="487"/>
      <c r="C5" s="487"/>
      <c r="D5" s="487"/>
      <c r="E5" s="487"/>
      <c r="F5" s="487"/>
      <c r="G5" s="487"/>
      <c r="H5" s="487"/>
      <c r="I5" s="487"/>
      <c r="J5" s="487"/>
      <c r="K5" s="487"/>
      <c r="L5" s="487"/>
      <c r="M5" s="487"/>
      <c r="N5" s="487"/>
      <c r="O5" s="487"/>
      <c r="P5" s="487"/>
      <c r="Q5" s="487"/>
      <c r="R5" s="487"/>
      <c r="S5" s="489"/>
      <c r="T5" s="489"/>
      <c r="U5" s="489"/>
    </row>
    <row r="6" spans="1:24" s="67" customFormat="1" ht="15" x14ac:dyDescent="0.25">
      <c r="A6" s="248"/>
      <c r="B6" s="487"/>
      <c r="C6" s="487"/>
      <c r="D6" s="487"/>
      <c r="E6" s="487"/>
      <c r="F6" s="487"/>
      <c r="G6" s="487"/>
      <c r="H6" s="487"/>
      <c r="I6" s="487"/>
      <c r="J6" s="487"/>
      <c r="K6" s="487"/>
      <c r="L6" s="487"/>
      <c r="M6" s="487"/>
      <c r="N6" s="487"/>
      <c r="O6" s="487"/>
      <c r="P6" s="487"/>
      <c r="Q6" s="487"/>
      <c r="R6" s="487"/>
      <c r="S6" s="489"/>
      <c r="T6" s="489"/>
      <c r="U6" s="489"/>
    </row>
    <row r="7" spans="1:24" s="67" customFormat="1" ht="15" x14ac:dyDescent="0.25">
      <c r="A7" s="248"/>
      <c r="B7" s="487"/>
      <c r="C7" s="487"/>
      <c r="D7" s="487"/>
      <c r="E7" s="487"/>
      <c r="F7" s="487"/>
      <c r="G7" s="487"/>
      <c r="H7" s="487"/>
      <c r="I7" s="487"/>
      <c r="J7" s="487"/>
      <c r="K7" s="487"/>
      <c r="L7" s="487"/>
      <c r="M7" s="487"/>
      <c r="N7" s="487"/>
      <c r="O7" s="487"/>
      <c r="P7" s="487"/>
      <c r="Q7" s="487"/>
      <c r="R7" s="487"/>
      <c r="S7" s="489"/>
      <c r="T7" s="489"/>
      <c r="U7" s="489"/>
    </row>
    <row r="8" spans="1:24" s="67" customFormat="1" ht="15" x14ac:dyDescent="0.25">
      <c r="A8" s="248"/>
      <c r="B8" s="487"/>
      <c r="C8" s="487"/>
      <c r="D8" s="487"/>
      <c r="E8" s="487"/>
      <c r="F8" s="487"/>
      <c r="G8" s="487"/>
      <c r="H8" s="487"/>
      <c r="I8" s="487"/>
      <c r="J8" s="487"/>
      <c r="K8" s="487"/>
      <c r="L8" s="487"/>
      <c r="M8" s="487"/>
      <c r="N8" s="487"/>
      <c r="O8" s="487"/>
      <c r="P8" s="487"/>
      <c r="Q8" s="487"/>
      <c r="R8" s="487"/>
      <c r="S8" s="489"/>
      <c r="T8" s="489"/>
      <c r="U8" s="489"/>
    </row>
    <row r="9" spans="1:24" s="67" customFormat="1" ht="15" x14ac:dyDescent="0.25">
      <c r="A9" s="248"/>
      <c r="B9" s="487"/>
      <c r="C9" s="487"/>
      <c r="D9" s="487"/>
      <c r="E9" s="487"/>
      <c r="F9" s="487"/>
      <c r="G9" s="487"/>
      <c r="H9" s="487"/>
      <c r="I9" s="487"/>
      <c r="J9" s="487"/>
      <c r="K9" s="487"/>
      <c r="L9" s="487"/>
      <c r="M9" s="487"/>
      <c r="N9" s="487"/>
      <c r="O9" s="487"/>
      <c r="P9" s="487"/>
      <c r="Q9" s="487"/>
      <c r="R9" s="487"/>
      <c r="S9" s="489"/>
      <c r="T9" s="489"/>
      <c r="U9" s="489"/>
    </row>
    <row r="10" spans="1:24" s="67" customFormat="1" ht="15" x14ac:dyDescent="0.25">
      <c r="A10" s="2"/>
      <c r="B10" s="487"/>
      <c r="C10" s="487"/>
      <c r="D10" s="487"/>
      <c r="E10" s="487"/>
      <c r="F10" s="487"/>
      <c r="G10" s="487"/>
      <c r="H10" s="487"/>
      <c r="I10" s="487"/>
      <c r="J10" s="487"/>
      <c r="K10" s="487"/>
      <c r="L10" s="487"/>
      <c r="M10" s="487"/>
      <c r="N10" s="487"/>
      <c r="O10" s="487"/>
      <c r="P10" s="487"/>
      <c r="Q10" s="487"/>
      <c r="R10" s="487"/>
      <c r="S10" s="489"/>
      <c r="T10" s="489"/>
      <c r="U10" s="489"/>
    </row>
    <row r="11" spans="1:24" s="67" customFormat="1" ht="15" x14ac:dyDescent="0.25">
      <c r="A11" s="2"/>
      <c r="B11" s="487"/>
      <c r="C11" s="477"/>
      <c r="D11" s="477"/>
      <c r="E11" s="477"/>
      <c r="F11" s="477"/>
      <c r="G11" s="477"/>
      <c r="H11" s="477"/>
      <c r="I11" s="477"/>
      <c r="J11" s="477"/>
      <c r="K11" s="477"/>
      <c r="L11" s="477"/>
      <c r="M11" s="477"/>
      <c r="N11" s="477"/>
      <c r="O11" s="477"/>
      <c r="P11" s="477"/>
      <c r="Q11" s="477"/>
      <c r="R11" s="477"/>
      <c r="U11" s="489"/>
    </row>
    <row r="12" spans="1:24" s="67" customFormat="1" ht="33" customHeight="1" x14ac:dyDescent="0.25">
      <c r="A12" s="2"/>
      <c r="B12" s="487"/>
      <c r="C12" s="914"/>
      <c r="D12" s="914"/>
      <c r="E12" s="914"/>
      <c r="F12" s="914"/>
      <c r="G12" s="914"/>
      <c r="H12" s="914"/>
      <c r="I12" s="914"/>
      <c r="J12" s="914"/>
      <c r="K12" s="914"/>
      <c r="L12" s="914"/>
      <c r="M12" s="914"/>
      <c r="N12" s="914"/>
      <c r="O12" s="914"/>
      <c r="P12" s="914"/>
      <c r="Q12" s="914"/>
      <c r="R12" s="914"/>
      <c r="S12" s="914"/>
      <c r="T12" s="914"/>
      <c r="U12" s="489"/>
    </row>
    <row r="13" spans="1:24" s="67" customFormat="1" ht="33" customHeight="1" x14ac:dyDescent="0.25">
      <c r="A13" s="2"/>
      <c r="B13" s="487"/>
      <c r="C13" s="77"/>
      <c r="D13" s="77"/>
      <c r="E13" s="77"/>
      <c r="F13" s="77"/>
      <c r="G13" s="77"/>
      <c r="H13" s="77"/>
      <c r="I13" s="77"/>
      <c r="J13" s="77"/>
      <c r="K13" s="77"/>
      <c r="L13" s="77"/>
      <c r="M13" s="77"/>
      <c r="N13" s="77"/>
      <c r="O13" s="77"/>
      <c r="P13" s="77"/>
      <c r="Q13" s="77"/>
      <c r="R13" s="77"/>
      <c r="S13" s="77"/>
      <c r="T13" s="77"/>
      <c r="U13" s="489"/>
    </row>
    <row r="14" spans="1:24" s="67" customFormat="1" ht="15" x14ac:dyDescent="0.25">
      <c r="A14" s="2"/>
      <c r="B14" s="487"/>
      <c r="C14" s="1186"/>
      <c r="D14" s="1186"/>
      <c r="E14" s="1186"/>
      <c r="F14" s="1186"/>
      <c r="G14" s="1186"/>
      <c r="H14" s="1186"/>
      <c r="I14" s="1186"/>
      <c r="J14" s="1186"/>
      <c r="K14" s="1186"/>
      <c r="L14" s="1186"/>
      <c r="M14" s="1186"/>
      <c r="N14" s="1186"/>
      <c r="O14" s="1186"/>
      <c r="P14" s="1186"/>
      <c r="Q14" s="1186"/>
      <c r="R14" s="1186"/>
      <c r="S14" s="1186"/>
      <c r="T14" s="1186"/>
      <c r="U14" s="489"/>
    </row>
    <row r="15" spans="1:24" s="67" customFormat="1" ht="15" x14ac:dyDescent="0.25">
      <c r="A15" s="2"/>
      <c r="B15" s="487"/>
      <c r="C15" s="2"/>
      <c r="D15" s="2"/>
      <c r="E15" s="2"/>
      <c r="F15" s="2"/>
      <c r="G15" s="2"/>
      <c r="H15" s="2"/>
      <c r="I15" s="2"/>
      <c r="J15" s="2"/>
      <c r="K15" s="2"/>
      <c r="L15" s="2"/>
      <c r="M15" s="2"/>
      <c r="N15" s="2"/>
      <c r="O15" s="2"/>
      <c r="P15" s="2"/>
      <c r="Q15" s="2"/>
      <c r="R15" s="2"/>
      <c r="U15" s="489"/>
    </row>
    <row r="16" spans="1:24" s="67" customFormat="1" ht="15" x14ac:dyDescent="0.25">
      <c r="A16" s="2"/>
      <c r="B16" s="487"/>
      <c r="C16" s="2"/>
      <c r="D16" s="2"/>
      <c r="E16" s="2"/>
      <c r="F16" s="2"/>
      <c r="G16" s="2"/>
      <c r="H16" s="2"/>
      <c r="I16" s="2"/>
      <c r="J16" s="2"/>
      <c r="K16" s="2"/>
      <c r="L16" s="2"/>
      <c r="M16" s="2"/>
      <c r="N16" s="2"/>
      <c r="O16" s="2"/>
      <c r="P16" s="2"/>
      <c r="Q16" s="2"/>
      <c r="R16" s="2"/>
      <c r="U16" s="489"/>
    </row>
    <row r="17" spans="1:21" s="67" customFormat="1" ht="15" x14ac:dyDescent="0.25">
      <c r="A17" s="2"/>
      <c r="B17" s="487"/>
      <c r="C17" s="1285" t="s">
        <v>1135</v>
      </c>
      <c r="D17" s="1285"/>
      <c r="E17" s="1285"/>
      <c r="F17" s="1285"/>
      <c r="G17" s="1285"/>
      <c r="H17" s="1285"/>
      <c r="I17" s="1285"/>
      <c r="J17" s="1285"/>
      <c r="K17" s="1285"/>
      <c r="L17" s="1285"/>
      <c r="M17" s="1285"/>
      <c r="N17" s="1285"/>
      <c r="O17" s="1285"/>
      <c r="P17" s="1285"/>
      <c r="Q17" s="1285"/>
      <c r="R17" s="1285"/>
      <c r="S17" s="1285"/>
      <c r="U17" s="489"/>
    </row>
    <row r="18" spans="1:21" s="67" customFormat="1" ht="19.5" customHeight="1" x14ac:dyDescent="0.25">
      <c r="A18" s="2"/>
      <c r="B18" s="487"/>
      <c r="C18" s="1281"/>
      <c r="D18" s="1281"/>
      <c r="E18" s="1281"/>
      <c r="F18" s="1281"/>
      <c r="G18" s="1281"/>
      <c r="H18" s="1281"/>
      <c r="I18" s="1281"/>
      <c r="J18" s="1281"/>
      <c r="K18" s="1281"/>
      <c r="L18" s="1281"/>
      <c r="M18" s="1281"/>
      <c r="N18" s="1281"/>
      <c r="O18" s="1281"/>
      <c r="P18" s="1281"/>
      <c r="Q18" s="1281"/>
      <c r="R18" s="1281"/>
      <c r="S18" s="1281"/>
      <c r="U18" s="489"/>
    </row>
    <row r="19" spans="1:21" s="67" customFormat="1" ht="36.75" customHeight="1" x14ac:dyDescent="0.25">
      <c r="A19" s="2"/>
      <c r="B19" s="487"/>
      <c r="C19" s="1186"/>
      <c r="D19" s="1186"/>
      <c r="E19" s="1186"/>
      <c r="F19" s="1186"/>
      <c r="G19" s="1186"/>
      <c r="H19" s="1186"/>
      <c r="I19" s="1186"/>
      <c r="J19" s="1186"/>
      <c r="K19" s="1186"/>
      <c r="L19" s="1186"/>
      <c r="M19" s="1186"/>
      <c r="N19" s="1186"/>
      <c r="O19" s="1186"/>
      <c r="P19" s="1186"/>
      <c r="Q19" s="1186"/>
      <c r="R19" s="1186"/>
      <c r="S19" s="1186"/>
      <c r="U19" s="489"/>
    </row>
    <row r="20" spans="1:21" s="67" customFormat="1" ht="15" x14ac:dyDescent="0.25">
      <c r="A20" s="2"/>
      <c r="B20" s="487"/>
      <c r="C20" s="2"/>
      <c r="D20" s="2"/>
      <c r="E20" s="2"/>
      <c r="F20" s="2"/>
      <c r="G20" s="2"/>
      <c r="H20" s="2"/>
      <c r="I20" s="2"/>
      <c r="J20" s="2"/>
      <c r="K20" s="2"/>
      <c r="L20" s="2"/>
      <c r="M20" s="2"/>
      <c r="N20" s="2"/>
      <c r="O20" s="2"/>
      <c r="P20" s="2"/>
      <c r="Q20" s="2"/>
      <c r="R20" s="2"/>
      <c r="U20" s="489"/>
    </row>
    <row r="21" spans="1:21" s="67" customFormat="1" ht="15" x14ac:dyDescent="0.25">
      <c r="A21" s="711"/>
      <c r="B21" s="487"/>
      <c r="C21" s="711"/>
      <c r="D21" s="711"/>
      <c r="E21" s="711"/>
      <c r="F21" s="711"/>
      <c r="G21" s="711"/>
      <c r="H21" s="711"/>
      <c r="I21" s="711"/>
      <c r="J21" s="711"/>
      <c r="K21" s="711"/>
      <c r="L21" s="711"/>
      <c r="M21" s="711"/>
      <c r="N21" s="711"/>
      <c r="O21" s="711"/>
      <c r="P21" s="711"/>
      <c r="Q21" s="711"/>
      <c r="R21" s="711"/>
      <c r="U21" s="489"/>
    </row>
    <row r="22" spans="1:21" s="67" customFormat="1" ht="15" x14ac:dyDescent="0.25">
      <c r="A22" s="711"/>
      <c r="B22" s="487"/>
      <c r="C22" s="711"/>
      <c r="D22" s="711"/>
      <c r="E22" s="711"/>
      <c r="F22" s="711"/>
      <c r="G22" s="711"/>
      <c r="H22" s="711"/>
      <c r="I22" s="711"/>
      <c r="J22" s="711"/>
      <c r="K22" s="711"/>
      <c r="L22" s="711"/>
      <c r="M22" s="711"/>
      <c r="N22" s="711"/>
      <c r="O22" s="711"/>
      <c r="P22" s="711"/>
      <c r="Q22" s="711"/>
      <c r="R22" s="711"/>
      <c r="U22" s="489"/>
    </row>
    <row r="23" spans="1:21" s="67" customFormat="1" ht="15" x14ac:dyDescent="0.25">
      <c r="A23" s="711"/>
      <c r="B23" s="487"/>
      <c r="C23" s="711"/>
      <c r="D23" s="711"/>
      <c r="E23" s="711"/>
      <c r="F23" s="711"/>
      <c r="G23" s="711"/>
      <c r="H23" s="711"/>
      <c r="I23" s="711"/>
      <c r="J23" s="711"/>
      <c r="K23" s="711"/>
      <c r="L23" s="711"/>
      <c r="M23" s="711"/>
      <c r="N23" s="711"/>
      <c r="O23" s="711"/>
      <c r="P23" s="711"/>
      <c r="Q23" s="711"/>
      <c r="R23" s="711"/>
      <c r="U23" s="489"/>
    </row>
    <row r="24" spans="1:21" s="67" customFormat="1" ht="15" x14ac:dyDescent="0.25">
      <c r="A24" s="2"/>
      <c r="B24" s="487"/>
      <c r="C24" s="2"/>
      <c r="D24" s="2"/>
      <c r="E24" s="2"/>
      <c r="F24" s="2"/>
      <c r="G24" s="2"/>
      <c r="H24" s="2"/>
      <c r="I24" s="2"/>
      <c r="J24" s="2"/>
      <c r="K24" s="2"/>
      <c r="L24" s="2"/>
      <c r="M24" s="2"/>
      <c r="N24" s="2"/>
      <c r="O24" s="2"/>
      <c r="P24" s="2"/>
      <c r="Q24" s="2"/>
      <c r="R24" s="2"/>
      <c r="U24" s="489"/>
    </row>
    <row r="25" spans="1:21" s="67" customFormat="1" ht="15" x14ac:dyDescent="0.25">
      <c r="A25" s="711"/>
      <c r="B25" s="487"/>
      <c r="C25" s="711"/>
      <c r="D25" s="711"/>
      <c r="E25" s="711"/>
      <c r="F25" s="711"/>
      <c r="G25" s="711"/>
      <c r="H25" s="711"/>
      <c r="I25" s="711"/>
      <c r="J25" s="711"/>
      <c r="K25" s="711"/>
      <c r="L25" s="711"/>
      <c r="M25" s="711"/>
      <c r="N25" s="711"/>
      <c r="O25" s="711"/>
      <c r="P25" s="711"/>
      <c r="Q25" s="711"/>
      <c r="R25" s="711"/>
      <c r="U25" s="489"/>
    </row>
    <row r="26" spans="1:21" s="67" customFormat="1" ht="15" x14ac:dyDescent="0.25">
      <c r="A26" s="711"/>
      <c r="B26" s="487"/>
      <c r="C26" s="711"/>
      <c r="D26" s="711"/>
      <c r="E26" s="711"/>
      <c r="F26" s="711"/>
      <c r="G26" s="711"/>
      <c r="H26" s="711"/>
      <c r="I26" s="711"/>
      <c r="J26" s="711"/>
      <c r="K26" s="711"/>
      <c r="L26" s="711"/>
      <c r="M26" s="711"/>
      <c r="N26" s="711"/>
      <c r="O26" s="711"/>
      <c r="P26" s="711"/>
      <c r="Q26" s="711"/>
      <c r="R26" s="711"/>
      <c r="U26" s="489"/>
    </row>
    <row r="27" spans="1:21" s="67" customFormat="1" ht="15" x14ac:dyDescent="0.25">
      <c r="A27" s="711"/>
      <c r="B27" s="487"/>
      <c r="C27" s="711"/>
      <c r="D27" s="711"/>
      <c r="E27" s="711"/>
      <c r="F27" s="711"/>
      <c r="G27" s="711"/>
      <c r="H27" s="711"/>
      <c r="I27" s="711"/>
      <c r="J27" s="711"/>
      <c r="K27" s="711"/>
      <c r="L27" s="711"/>
      <c r="M27" s="711"/>
      <c r="N27" s="711"/>
      <c r="O27" s="711"/>
      <c r="P27" s="711"/>
      <c r="Q27" s="711"/>
      <c r="R27" s="711"/>
      <c r="U27" s="489"/>
    </row>
    <row r="28" spans="1:21" s="67" customFormat="1" ht="15" x14ac:dyDescent="0.25">
      <c r="A28" s="725"/>
      <c r="B28" s="487"/>
      <c r="C28" s="725"/>
      <c r="D28" s="725"/>
      <c r="E28" s="725"/>
      <c r="F28" s="725"/>
      <c r="G28" s="725"/>
      <c r="H28" s="725"/>
      <c r="I28" s="725"/>
      <c r="J28" s="725"/>
      <c r="K28" s="725"/>
      <c r="L28" s="725"/>
      <c r="M28" s="725"/>
      <c r="N28" s="725"/>
      <c r="O28" s="725"/>
      <c r="P28" s="725"/>
      <c r="Q28" s="725"/>
      <c r="R28" s="725"/>
      <c r="U28" s="489"/>
    </row>
    <row r="29" spans="1:21" s="67" customFormat="1" ht="15" customHeight="1" x14ac:dyDescent="0.25">
      <c r="A29" s="2"/>
      <c r="B29" s="487"/>
      <c r="C29" s="2"/>
      <c r="D29" s="35"/>
      <c r="E29" s="791" t="s">
        <v>464</v>
      </c>
      <c r="F29" s="797"/>
      <c r="G29" s="797"/>
      <c r="H29" s="975"/>
      <c r="I29" s="1011" t="str">
        <f>INDEX(Locations, selection)</f>
        <v>Angmering</v>
      </c>
      <c r="J29" s="1013"/>
      <c r="K29" s="779" t="str">
        <f>INDEX(Locations, selection2)</f>
        <v>Bewbush</v>
      </c>
      <c r="L29" s="779"/>
      <c r="M29" s="990" t="s">
        <v>291</v>
      </c>
      <c r="N29" s="990"/>
      <c r="U29" s="489"/>
    </row>
    <row r="30" spans="1:21" s="67" customFormat="1" ht="15" x14ac:dyDescent="0.25">
      <c r="A30" s="2"/>
      <c r="B30" s="487"/>
      <c r="C30" s="2"/>
      <c r="D30" s="106"/>
      <c r="E30" s="792"/>
      <c r="F30" s="798"/>
      <c r="G30" s="798"/>
      <c r="H30" s="976"/>
      <c r="I30" s="1014"/>
      <c r="J30" s="850"/>
      <c r="K30" s="779"/>
      <c r="L30" s="779"/>
      <c r="M30" s="990"/>
      <c r="N30" s="990"/>
      <c r="U30" s="489"/>
    </row>
    <row r="31" spans="1:21" s="67" customFormat="1" ht="15" x14ac:dyDescent="0.25">
      <c r="A31" s="2"/>
      <c r="B31" s="487"/>
      <c r="C31" s="2"/>
      <c r="D31" s="106"/>
      <c r="E31" s="793"/>
      <c r="F31" s="799"/>
      <c r="G31" s="799"/>
      <c r="H31" s="977"/>
      <c r="I31" s="1015"/>
      <c r="J31" s="1017"/>
      <c r="K31" s="779"/>
      <c r="L31" s="779"/>
      <c r="M31" s="990"/>
      <c r="N31" s="990"/>
      <c r="U31" s="489"/>
    </row>
    <row r="32" spans="1:21" s="67" customFormat="1" ht="18" customHeight="1" x14ac:dyDescent="0.25">
      <c r="A32" s="2"/>
      <c r="B32" s="487"/>
      <c r="C32" s="2"/>
      <c r="E32" s="1263" t="s">
        <v>456</v>
      </c>
      <c r="F32" s="1264"/>
      <c r="G32" s="1264"/>
      <c r="H32" s="1265"/>
      <c r="I32" s="1260">
        <f t="shared" ref="I32:I36" si="0">IF(HLOOKUP($E32, Births, selection+1, FALSE) = "", "", HLOOKUP($E32,Births, selection+1, FALSE))</f>
        <v>183</v>
      </c>
      <c r="J32" s="926"/>
      <c r="K32" s="1260">
        <f t="shared" ref="K32:K36" si="1">IF(HLOOKUP($E32, Births, selection2+1, FALSE) = "", "", HLOOKUP($E32,Births, selection2+1, FALSE))</f>
        <v>227</v>
      </c>
      <c r="L32" s="926"/>
      <c r="M32" s="1260">
        <f>'ONS births'!B11</f>
        <v>8927</v>
      </c>
      <c r="N32" s="926"/>
      <c r="U32" s="489"/>
    </row>
    <row r="33" spans="1:21" s="67" customFormat="1" ht="15" x14ac:dyDescent="0.25">
      <c r="A33" s="2"/>
      <c r="B33" s="487"/>
      <c r="C33" s="2"/>
      <c r="E33" s="1263" t="s">
        <v>457</v>
      </c>
      <c r="F33" s="1264"/>
      <c r="G33" s="1264"/>
      <c r="H33" s="1265"/>
      <c r="I33" s="1260">
        <f t="shared" si="0"/>
        <v>179</v>
      </c>
      <c r="J33" s="926"/>
      <c r="K33" s="1260">
        <f t="shared" si="1"/>
        <v>214</v>
      </c>
      <c r="L33" s="926"/>
      <c r="M33" s="1260">
        <f>'ONS births'!C11</f>
        <v>9024</v>
      </c>
      <c r="N33" s="926"/>
      <c r="U33" s="489"/>
    </row>
    <row r="34" spans="1:21" s="67" customFormat="1" ht="15" x14ac:dyDescent="0.25">
      <c r="A34" s="2"/>
      <c r="B34" s="487"/>
      <c r="C34" s="2"/>
      <c r="E34" s="1263" t="s">
        <v>458</v>
      </c>
      <c r="F34" s="1264"/>
      <c r="G34" s="1264"/>
      <c r="H34" s="1265"/>
      <c r="I34" s="1260">
        <f t="shared" si="0"/>
        <v>203</v>
      </c>
      <c r="J34" s="926"/>
      <c r="K34" s="1260">
        <f t="shared" si="1"/>
        <v>199</v>
      </c>
      <c r="L34" s="926"/>
      <c r="M34" s="1260">
        <f>'ONS births'!D11</f>
        <v>9198</v>
      </c>
      <c r="N34" s="926"/>
      <c r="U34" s="489"/>
    </row>
    <row r="35" spans="1:21" s="67" customFormat="1" ht="15" x14ac:dyDescent="0.25">
      <c r="A35" s="2"/>
      <c r="B35" s="487"/>
      <c r="C35" s="2"/>
      <c r="E35" s="1263" t="s">
        <v>459</v>
      </c>
      <c r="F35" s="1264"/>
      <c r="G35" s="1264"/>
      <c r="H35" s="1265"/>
      <c r="I35" s="1260">
        <f t="shared" si="0"/>
        <v>195</v>
      </c>
      <c r="J35" s="926"/>
      <c r="K35" s="1260">
        <f t="shared" si="1"/>
        <v>196</v>
      </c>
      <c r="L35" s="926"/>
      <c r="M35" s="1260">
        <f>'ONS births'!E11</f>
        <v>9207</v>
      </c>
      <c r="N35" s="926"/>
      <c r="U35" s="489"/>
    </row>
    <row r="36" spans="1:21" s="67" customFormat="1" ht="15" x14ac:dyDescent="0.25">
      <c r="A36" s="2"/>
      <c r="B36" s="487"/>
      <c r="C36" s="2"/>
      <c r="E36" s="1263" t="s">
        <v>460</v>
      </c>
      <c r="F36" s="1264"/>
      <c r="G36" s="1264"/>
      <c r="H36" s="1265"/>
      <c r="I36" s="1260">
        <f t="shared" si="0"/>
        <v>163</v>
      </c>
      <c r="J36" s="926"/>
      <c r="K36" s="1260">
        <f t="shared" si="1"/>
        <v>236</v>
      </c>
      <c r="L36" s="926"/>
      <c r="M36" s="1260">
        <f>'ONS births'!F11</f>
        <v>8835</v>
      </c>
      <c r="N36" s="926"/>
      <c r="U36" s="489"/>
    </row>
    <row r="37" spans="1:21" s="67" customFormat="1" ht="15" x14ac:dyDescent="0.25">
      <c r="A37" s="2"/>
      <c r="B37" s="487"/>
      <c r="C37" s="2"/>
      <c r="E37" s="1263" t="s">
        <v>461</v>
      </c>
      <c r="F37" s="1264"/>
      <c r="G37" s="1264"/>
      <c r="H37" s="1265"/>
      <c r="I37" s="1260" t="str">
        <f>IF(HLOOKUP($E37, Births, selection+1, FALSE) = "", "-", HLOOKUP($E37,Births, selection+1, FALSE))</f>
        <v>-</v>
      </c>
      <c r="J37" s="926"/>
      <c r="K37" s="1260" t="str">
        <f>IF(HLOOKUP($E37, Births, selection2+1, FALSE) = "", "=", HLOOKUP($E37,Births, selection2+1, FALSE))</f>
        <v>-</v>
      </c>
      <c r="L37" s="926"/>
      <c r="M37" s="1260">
        <f>'ONS births'!G11</f>
        <v>8719</v>
      </c>
      <c r="N37" s="926"/>
      <c r="U37" s="489"/>
    </row>
    <row r="38" spans="1:21" s="67" customFormat="1" ht="15" x14ac:dyDescent="0.25">
      <c r="A38" s="2"/>
      <c r="B38" s="487"/>
      <c r="C38" s="2"/>
      <c r="D38" s="2"/>
      <c r="E38" s="1263" t="s">
        <v>996</v>
      </c>
      <c r="F38" s="1264"/>
      <c r="G38" s="1264"/>
      <c r="H38" s="1265"/>
      <c r="I38" s="1260">
        <f>IF(HLOOKUP($E38, Births, selection+1, FALSE) = "", "-", HLOOKUP($E38,Births, selection+1, FALSE))</f>
        <v>183</v>
      </c>
      <c r="J38" s="926"/>
      <c r="K38" s="1260">
        <f>IF(HLOOKUP($E38, Births, selection2+1, FALSE) = "", "-", HLOOKUP($E38,Births, selection2+1, FALSE))</f>
        <v>177</v>
      </c>
      <c r="L38" s="926"/>
      <c r="M38" s="1260">
        <v>8974</v>
      </c>
      <c r="N38" s="926"/>
      <c r="O38" s="2"/>
      <c r="P38" s="2"/>
      <c r="Q38" s="2"/>
      <c r="R38" s="2"/>
      <c r="U38" s="489"/>
    </row>
    <row r="39" spans="1:21" s="67" customFormat="1" ht="15" x14ac:dyDescent="0.25">
      <c r="A39" s="524"/>
      <c r="B39" s="487"/>
      <c r="C39" s="524"/>
      <c r="D39" s="524"/>
      <c r="E39" s="524"/>
      <c r="F39" s="524"/>
      <c r="G39" s="524"/>
      <c r="H39" s="524"/>
      <c r="I39" s="524"/>
      <c r="J39" s="524"/>
      <c r="K39" s="524"/>
      <c r="L39" s="524"/>
      <c r="M39" s="524"/>
      <c r="N39" s="524"/>
      <c r="O39" s="524"/>
      <c r="P39" s="524"/>
      <c r="Q39" s="524"/>
      <c r="R39" s="524"/>
      <c r="U39" s="489"/>
    </row>
    <row r="40" spans="1:21" s="67" customFormat="1" ht="15" x14ac:dyDescent="0.25">
      <c r="A40" s="2"/>
      <c r="B40" s="487"/>
      <c r="C40" s="2"/>
      <c r="D40" s="2"/>
      <c r="E40" s="2"/>
      <c r="F40" s="2"/>
      <c r="G40" s="2"/>
      <c r="H40" s="2"/>
      <c r="I40" s="2"/>
      <c r="J40" s="2"/>
      <c r="K40" s="2"/>
      <c r="L40" s="2"/>
      <c r="M40" s="2"/>
      <c r="N40" s="2"/>
      <c r="O40" s="2"/>
      <c r="P40" s="2"/>
      <c r="Q40" s="2"/>
      <c r="R40" s="2"/>
      <c r="U40" s="489"/>
    </row>
    <row r="41" spans="1:21" s="67" customFormat="1" ht="15" x14ac:dyDescent="0.25">
      <c r="A41" s="2"/>
      <c r="B41" s="487"/>
      <c r="C41" s="487"/>
      <c r="D41" s="487"/>
      <c r="E41" s="487"/>
      <c r="F41" s="487"/>
      <c r="G41" s="487"/>
      <c r="H41" s="487"/>
      <c r="I41" s="487"/>
      <c r="J41" s="487"/>
      <c r="K41" s="487"/>
      <c r="L41" s="487"/>
      <c r="M41" s="487"/>
      <c r="N41" s="487"/>
      <c r="O41" s="487"/>
      <c r="P41" s="487"/>
      <c r="Q41" s="487"/>
      <c r="R41" s="487"/>
      <c r="S41" s="489"/>
      <c r="T41" s="489"/>
      <c r="U41" s="489"/>
    </row>
    <row r="42" spans="1:21" s="67" customFormat="1" ht="15" x14ac:dyDescent="0.25">
      <c r="A42" s="2"/>
      <c r="B42" s="487"/>
      <c r="C42" s="487"/>
      <c r="D42" s="487"/>
      <c r="E42" s="487"/>
      <c r="F42" s="487"/>
      <c r="G42" s="487"/>
      <c r="H42" s="487"/>
      <c r="I42" s="487"/>
      <c r="J42" s="487"/>
      <c r="K42" s="487"/>
      <c r="L42" s="487"/>
      <c r="M42" s="487"/>
      <c r="N42" s="487"/>
      <c r="O42" s="487"/>
      <c r="P42" s="487"/>
      <c r="Q42" s="487"/>
      <c r="R42" s="487"/>
      <c r="S42" s="489"/>
      <c r="T42" s="489"/>
      <c r="U42" s="489"/>
    </row>
    <row r="43" spans="1:21" s="67" customFormat="1" ht="15" x14ac:dyDescent="0.25">
      <c r="A43" s="2"/>
      <c r="B43" s="487"/>
      <c r="C43" s="487"/>
      <c r="D43" s="487"/>
      <c r="E43" s="487"/>
      <c r="F43" s="487"/>
      <c r="G43" s="487"/>
      <c r="H43" s="487"/>
      <c r="I43" s="487"/>
      <c r="J43" s="487"/>
      <c r="K43" s="487"/>
      <c r="L43" s="487"/>
      <c r="M43" s="487"/>
      <c r="N43" s="487"/>
      <c r="O43" s="487"/>
      <c r="P43" s="487"/>
      <c r="Q43" s="487"/>
      <c r="R43" s="487"/>
      <c r="S43" s="489"/>
      <c r="T43" s="489"/>
      <c r="U43" s="489"/>
    </row>
    <row r="44" spans="1:21" s="67" customFormat="1" ht="15" x14ac:dyDescent="0.25">
      <c r="A44" s="2"/>
      <c r="B44" s="487"/>
      <c r="C44" s="2"/>
      <c r="D44" s="2"/>
      <c r="E44" s="2"/>
      <c r="F44" s="2"/>
      <c r="G44" s="2"/>
      <c r="H44" s="2"/>
      <c r="I44" s="2"/>
      <c r="J44" s="2"/>
      <c r="K44" s="2"/>
      <c r="L44" s="2"/>
      <c r="M44" s="2"/>
      <c r="N44" s="2"/>
      <c r="O44" s="2"/>
      <c r="P44" s="2"/>
      <c r="Q44" s="2"/>
      <c r="R44" s="2"/>
      <c r="U44" s="489"/>
    </row>
    <row r="45" spans="1:21" s="67" customFormat="1" ht="15" x14ac:dyDescent="0.25">
      <c r="A45" s="2"/>
      <c r="B45" s="487"/>
      <c r="C45" s="2" t="s">
        <v>472</v>
      </c>
      <c r="D45" s="2"/>
      <c r="E45" s="2"/>
      <c r="F45" s="2"/>
      <c r="G45" s="2"/>
      <c r="H45" s="2"/>
      <c r="I45" s="2"/>
      <c r="J45" s="2"/>
      <c r="K45" s="2"/>
      <c r="L45" s="2"/>
      <c r="M45" s="2"/>
      <c r="N45" s="2"/>
      <c r="O45" s="2"/>
      <c r="P45" s="2"/>
      <c r="Q45" s="2"/>
      <c r="R45" s="2"/>
      <c r="U45" s="489"/>
    </row>
    <row r="46" spans="1:21" s="67" customFormat="1" ht="33.75" customHeight="1" x14ac:dyDescent="0.25">
      <c r="A46" s="2"/>
      <c r="B46" s="487"/>
      <c r="C46" s="1281" t="s">
        <v>473</v>
      </c>
      <c r="D46" s="1281"/>
      <c r="E46" s="1281"/>
      <c r="F46" s="1281"/>
      <c r="G46" s="1281"/>
      <c r="H46" s="1281"/>
      <c r="I46" s="1281"/>
      <c r="J46" s="1281"/>
      <c r="K46" s="1281"/>
      <c r="L46" s="1281"/>
      <c r="M46" s="1281"/>
      <c r="N46" s="1281"/>
      <c r="O46" s="1281"/>
      <c r="P46" s="1281"/>
      <c r="Q46" s="1281"/>
      <c r="R46" s="1281"/>
      <c r="S46" s="1281"/>
      <c r="U46" s="489"/>
    </row>
    <row r="47" spans="1:21" s="67" customFormat="1" ht="15" x14ac:dyDescent="0.25">
      <c r="A47" s="2"/>
      <c r="B47" s="487"/>
      <c r="C47" s="2"/>
      <c r="D47" s="2"/>
      <c r="E47" s="2"/>
      <c r="F47" s="2"/>
      <c r="G47" s="2"/>
      <c r="H47" s="2"/>
      <c r="I47" s="2"/>
      <c r="J47" s="2"/>
      <c r="K47" s="2"/>
      <c r="L47" s="2"/>
      <c r="M47" s="2"/>
      <c r="N47" s="2"/>
      <c r="O47" s="2"/>
      <c r="P47" s="2"/>
      <c r="Q47" s="2"/>
      <c r="R47" s="2"/>
      <c r="U47" s="489"/>
    </row>
    <row r="48" spans="1:21" s="67" customFormat="1" ht="15" x14ac:dyDescent="0.25">
      <c r="A48" s="2"/>
      <c r="B48" s="487"/>
      <c r="C48" s="2"/>
      <c r="D48" s="2"/>
      <c r="E48" s="2"/>
      <c r="F48" s="2"/>
      <c r="G48" s="2"/>
      <c r="H48" s="2"/>
      <c r="I48" s="2"/>
      <c r="J48" s="2"/>
      <c r="K48" s="2"/>
      <c r="L48" s="2"/>
      <c r="M48" s="2"/>
      <c r="N48" s="2"/>
      <c r="O48" s="2"/>
      <c r="P48" s="2"/>
      <c r="Q48" s="2"/>
      <c r="R48" s="2"/>
      <c r="U48" s="489"/>
    </row>
    <row r="49" spans="1:21" s="67" customFormat="1" ht="15" customHeight="1" x14ac:dyDescent="0.25">
      <c r="A49" s="2"/>
      <c r="B49" s="487"/>
      <c r="C49" s="2"/>
      <c r="D49" s="2"/>
      <c r="E49" s="844" t="s">
        <v>474</v>
      </c>
      <c r="F49" s="844"/>
      <c r="G49" s="844"/>
      <c r="H49" s="844"/>
      <c r="I49" s="880" t="str">
        <f>INDEX(Locations, selection)</f>
        <v>Angmering</v>
      </c>
      <c r="J49" s="880"/>
      <c r="K49" s="1115" t="str">
        <f>INDEX(Locations, selection2)</f>
        <v>Bewbush</v>
      </c>
      <c r="L49" s="1115"/>
      <c r="M49" s="1282" t="s">
        <v>291</v>
      </c>
      <c r="N49" s="1282"/>
      <c r="O49" s="2"/>
      <c r="P49" s="2"/>
      <c r="Q49" s="2"/>
      <c r="R49" s="2"/>
      <c r="U49" s="489"/>
    </row>
    <row r="50" spans="1:21" s="67" customFormat="1" ht="15" x14ac:dyDescent="0.25">
      <c r="A50" s="2"/>
      <c r="B50" s="487"/>
      <c r="C50" s="2"/>
      <c r="D50" s="2"/>
      <c r="E50" s="844"/>
      <c r="F50" s="844"/>
      <c r="G50" s="844"/>
      <c r="H50" s="844"/>
      <c r="I50" s="880"/>
      <c r="J50" s="880"/>
      <c r="K50" s="1115"/>
      <c r="L50" s="1115"/>
      <c r="M50" s="1282"/>
      <c r="N50" s="1282"/>
      <c r="O50" s="2"/>
      <c r="P50" s="2"/>
      <c r="Q50" s="2"/>
      <c r="R50" s="2"/>
      <c r="U50" s="489"/>
    </row>
    <row r="51" spans="1:21" s="67" customFormat="1" ht="15" x14ac:dyDescent="0.25">
      <c r="A51" s="2"/>
      <c r="B51" s="487"/>
      <c r="C51" s="2"/>
      <c r="D51" s="2"/>
      <c r="E51" s="844"/>
      <c r="F51" s="844"/>
      <c r="G51" s="844"/>
      <c r="H51" s="844"/>
      <c r="I51" s="880"/>
      <c r="J51" s="880"/>
      <c r="K51" s="1115"/>
      <c r="L51" s="1115"/>
      <c r="M51" s="1282"/>
      <c r="N51" s="1282"/>
      <c r="O51" s="2"/>
      <c r="P51" s="2"/>
      <c r="Q51" s="2"/>
      <c r="R51" s="2"/>
      <c r="U51" s="489"/>
    </row>
    <row r="52" spans="1:21" s="67" customFormat="1" ht="15" x14ac:dyDescent="0.25">
      <c r="A52" s="2"/>
      <c r="B52" s="487"/>
      <c r="C52" s="2"/>
      <c r="D52" s="2"/>
      <c r="E52" s="1283" t="s">
        <v>475</v>
      </c>
      <c r="F52" s="1283"/>
      <c r="G52" s="1283"/>
      <c r="H52" s="1283"/>
      <c r="I52" s="1284">
        <f t="shared" ref="I52:I58" si="2">IF(HLOOKUP($E52, YoungMums, selection+1, FALSE) = "", "", HLOOKUP($E52,YoungMums, selection+1, FALSE))</f>
        <v>7</v>
      </c>
      <c r="J52" s="1284"/>
      <c r="K52" s="1284">
        <f t="shared" ref="K52:K58" si="3">IF(HLOOKUP($E52, YoungMums, selection2+1, FALSE) = "", "", HLOOKUP($E52,YoungMums, selection2+1, FALSE))</f>
        <v>15</v>
      </c>
      <c r="L52" s="1284"/>
      <c r="M52" s="1284">
        <f>Data!CZ76</f>
        <v>456</v>
      </c>
      <c r="N52" s="1284"/>
      <c r="O52" s="2"/>
      <c r="P52" s="2"/>
      <c r="Q52" s="2"/>
      <c r="R52" s="2"/>
      <c r="U52" s="489"/>
    </row>
    <row r="53" spans="1:21" s="67" customFormat="1" ht="15" x14ac:dyDescent="0.25">
      <c r="A53" s="2"/>
      <c r="B53" s="487"/>
      <c r="C53" s="2"/>
      <c r="D53" s="2"/>
      <c r="E53" s="1283" t="s">
        <v>476</v>
      </c>
      <c r="F53" s="1283"/>
      <c r="G53" s="1283"/>
      <c r="H53" s="1283"/>
      <c r="I53" s="1284">
        <f t="shared" si="2"/>
        <v>4</v>
      </c>
      <c r="J53" s="1284"/>
      <c r="K53" s="1284">
        <f t="shared" si="3"/>
        <v>12</v>
      </c>
      <c r="L53" s="1284"/>
      <c r="M53" s="1284">
        <f>Data!DA76</f>
        <v>399</v>
      </c>
      <c r="N53" s="1284"/>
      <c r="O53" s="2"/>
      <c r="P53" s="2"/>
      <c r="Q53" s="2"/>
      <c r="R53" s="2"/>
      <c r="U53" s="489"/>
    </row>
    <row r="54" spans="1:21" s="67" customFormat="1" ht="15" x14ac:dyDescent="0.25">
      <c r="A54" s="2"/>
      <c r="B54" s="487"/>
      <c r="C54" s="2"/>
      <c r="D54" s="2"/>
      <c r="E54" s="1283" t="s">
        <v>477</v>
      </c>
      <c r="F54" s="1283"/>
      <c r="G54" s="1283"/>
      <c r="H54" s="1283"/>
      <c r="I54" s="1284">
        <f t="shared" si="2"/>
        <v>12</v>
      </c>
      <c r="J54" s="1284"/>
      <c r="K54" s="1284">
        <f t="shared" si="3"/>
        <v>8</v>
      </c>
      <c r="L54" s="1284"/>
      <c r="M54" s="1284">
        <f>Data!DB76</f>
        <v>367</v>
      </c>
      <c r="N54" s="1284"/>
      <c r="O54" s="2"/>
      <c r="P54" s="2"/>
      <c r="Q54" s="2"/>
      <c r="R54" s="2"/>
      <c r="U54" s="489"/>
    </row>
    <row r="55" spans="1:21" s="67" customFormat="1" ht="15" x14ac:dyDescent="0.25">
      <c r="A55" s="2"/>
      <c r="B55" s="487"/>
      <c r="C55" s="2"/>
      <c r="D55" s="2"/>
      <c r="E55" s="1283" t="s">
        <v>478</v>
      </c>
      <c r="F55" s="1283"/>
      <c r="G55" s="1283"/>
      <c r="H55" s="1283"/>
      <c r="I55" s="1284">
        <f t="shared" si="2"/>
        <v>8</v>
      </c>
      <c r="J55" s="1284"/>
      <c r="K55" s="1284">
        <f t="shared" si="3"/>
        <v>14</v>
      </c>
      <c r="L55" s="1284"/>
      <c r="M55" s="1284">
        <f>Data!DC76</f>
        <v>345</v>
      </c>
      <c r="N55" s="1284"/>
      <c r="O55" s="2"/>
      <c r="P55" s="2"/>
      <c r="Q55" s="2"/>
      <c r="R55" s="2"/>
      <c r="U55" s="489"/>
    </row>
    <row r="56" spans="1:21" s="67" customFormat="1" ht="15" x14ac:dyDescent="0.25">
      <c r="A56" s="2"/>
      <c r="B56" s="487"/>
      <c r="C56" s="2"/>
      <c r="D56" s="2"/>
      <c r="E56" s="1283" t="s">
        <v>479</v>
      </c>
      <c r="F56" s="1283"/>
      <c r="G56" s="1283"/>
      <c r="H56" s="1283"/>
      <c r="I56" s="1284">
        <f t="shared" si="2"/>
        <v>6</v>
      </c>
      <c r="J56" s="1284"/>
      <c r="K56" s="1284">
        <f t="shared" si="3"/>
        <v>15</v>
      </c>
      <c r="L56" s="1284"/>
      <c r="M56" s="1284">
        <f>Data!DD76</f>
        <v>331</v>
      </c>
      <c r="N56" s="1284"/>
      <c r="O56" s="2"/>
      <c r="P56" s="2"/>
      <c r="Q56" s="2"/>
      <c r="R56" s="2"/>
      <c r="U56" s="489"/>
    </row>
    <row r="57" spans="1:21" s="67" customFormat="1" ht="15" x14ac:dyDescent="0.25">
      <c r="A57" s="2"/>
      <c r="B57" s="487"/>
      <c r="C57" s="2"/>
      <c r="D57" s="2"/>
      <c r="E57" s="1283" t="s">
        <v>480</v>
      </c>
      <c r="F57" s="1283"/>
      <c r="G57" s="1283"/>
      <c r="H57" s="1283"/>
      <c r="I57" s="1284" t="str">
        <f t="shared" si="2"/>
        <v>-</v>
      </c>
      <c r="J57" s="1284"/>
      <c r="K57" s="1284" t="str">
        <f t="shared" si="3"/>
        <v>-</v>
      </c>
      <c r="L57" s="1284"/>
      <c r="M57" s="1284">
        <f>Data!DE76</f>
        <v>240</v>
      </c>
      <c r="N57" s="1284"/>
      <c r="O57" s="2"/>
      <c r="P57" s="2"/>
      <c r="Q57" s="2"/>
      <c r="R57" s="2"/>
      <c r="U57" s="489"/>
    </row>
    <row r="58" spans="1:21" s="67" customFormat="1" ht="15" x14ac:dyDescent="0.25">
      <c r="A58" s="627"/>
      <c r="B58" s="487"/>
      <c r="C58" s="627"/>
      <c r="D58" s="627"/>
      <c r="E58" s="1283" t="s">
        <v>1102</v>
      </c>
      <c r="F58" s="1283"/>
      <c r="G58" s="1283"/>
      <c r="H58" s="1283"/>
      <c r="I58" s="1284">
        <f t="shared" si="2"/>
        <v>4</v>
      </c>
      <c r="J58" s="1284"/>
      <c r="K58" s="1284">
        <f t="shared" si="3"/>
        <v>3</v>
      </c>
      <c r="L58" s="1284"/>
      <c r="M58" s="1284">
        <f>Data!DF76</f>
        <v>241</v>
      </c>
      <c r="N58" s="1284"/>
      <c r="O58" s="627"/>
      <c r="P58" s="627"/>
      <c r="Q58" s="627"/>
      <c r="R58" s="627"/>
      <c r="U58" s="489"/>
    </row>
    <row r="59" spans="1:21" s="67" customFormat="1" ht="15" x14ac:dyDescent="0.25">
      <c r="A59" s="92"/>
      <c r="B59" s="487"/>
      <c r="C59" s="92"/>
      <c r="D59" s="92"/>
      <c r="E59" s="111"/>
      <c r="F59" s="111"/>
      <c r="G59" s="111"/>
      <c r="H59" s="111"/>
      <c r="I59" s="112"/>
      <c r="J59" s="112"/>
      <c r="K59" s="1291"/>
      <c r="L59" s="1291"/>
      <c r="M59" s="113"/>
      <c r="N59" s="112"/>
      <c r="O59" s="92"/>
      <c r="P59" s="92"/>
      <c r="Q59" s="92"/>
      <c r="R59" s="92"/>
      <c r="U59" s="489"/>
    </row>
    <row r="60" spans="1:21" s="67" customFormat="1" ht="15" x14ac:dyDescent="0.25">
      <c r="A60" s="92"/>
      <c r="B60" s="487"/>
      <c r="C60" s="92"/>
      <c r="D60" s="92"/>
      <c r="E60" s="121"/>
      <c r="F60" s="121"/>
      <c r="G60" s="121"/>
      <c r="H60" s="121"/>
      <c r="I60" s="712"/>
      <c r="J60" s="712"/>
      <c r="K60" s="712"/>
      <c r="L60" s="112"/>
      <c r="M60" s="113"/>
      <c r="N60" s="112"/>
      <c r="O60" s="92"/>
      <c r="P60" s="92"/>
      <c r="Q60" s="92"/>
      <c r="R60" s="92"/>
      <c r="U60" s="489"/>
    </row>
    <row r="61" spans="1:21" s="67" customFormat="1" ht="15" x14ac:dyDescent="0.25">
      <c r="A61" s="92"/>
      <c r="B61" s="487"/>
      <c r="C61" s="92"/>
      <c r="D61" s="92"/>
      <c r="E61" s="121"/>
      <c r="F61" s="121"/>
      <c r="G61" s="121"/>
      <c r="H61" s="121"/>
      <c r="I61" s="712"/>
      <c r="J61" s="712"/>
      <c r="K61" s="712"/>
      <c r="L61" s="112"/>
      <c r="M61" s="113"/>
      <c r="N61" s="112"/>
      <c r="O61" s="92"/>
      <c r="P61" s="92"/>
      <c r="Q61" s="92"/>
      <c r="R61" s="92"/>
      <c r="U61" s="489"/>
    </row>
    <row r="62" spans="1:21" s="67" customFormat="1" ht="15" x14ac:dyDescent="0.25">
      <c r="A62" s="92"/>
      <c r="B62" s="487"/>
      <c r="C62" s="92"/>
      <c r="D62" s="92"/>
      <c r="E62" s="121"/>
      <c r="F62" s="121"/>
      <c r="G62" s="1290" t="str">
        <f>I49</f>
        <v>Angmering</v>
      </c>
      <c r="H62" s="1290"/>
      <c r="I62" s="1290" t="str">
        <f>K49</f>
        <v>Bewbush</v>
      </c>
      <c r="J62" s="1290"/>
      <c r="K62" s="712"/>
      <c r="L62" s="112"/>
      <c r="M62" s="113"/>
      <c r="N62" s="112"/>
      <c r="O62" s="92"/>
      <c r="P62" s="92"/>
      <c r="Q62" s="92"/>
      <c r="R62" s="92"/>
      <c r="U62" s="489"/>
    </row>
    <row r="63" spans="1:21" s="67" customFormat="1" ht="15" x14ac:dyDescent="0.25">
      <c r="A63" s="92"/>
      <c r="B63" s="487"/>
      <c r="C63" s="92"/>
      <c r="D63" s="92"/>
      <c r="E63" s="121"/>
      <c r="F63" s="121"/>
      <c r="G63" s="71" t="s">
        <v>484</v>
      </c>
      <c r="H63" s="71" t="s">
        <v>485</v>
      </c>
      <c r="I63" s="71" t="s">
        <v>484</v>
      </c>
      <c r="J63" s="71" t="s">
        <v>485</v>
      </c>
      <c r="K63" s="712"/>
      <c r="L63" s="112"/>
      <c r="M63" s="113"/>
      <c r="N63" s="112"/>
      <c r="O63" s="92"/>
      <c r="P63" s="92"/>
      <c r="Q63" s="92"/>
      <c r="R63" s="92"/>
      <c r="U63" s="489"/>
    </row>
    <row r="64" spans="1:21" s="67" customFormat="1" ht="15" x14ac:dyDescent="0.25">
      <c r="A64" s="92"/>
      <c r="B64" s="487"/>
      <c r="C64" s="92"/>
      <c r="D64" s="92"/>
      <c r="E64" s="121"/>
      <c r="F64" s="121">
        <v>2009</v>
      </c>
      <c r="G64" s="122">
        <f>I52/I32</f>
        <v>3.825136612021858E-2</v>
      </c>
      <c r="H64" s="123">
        <f>1-G64</f>
        <v>0.96174863387978138</v>
      </c>
      <c r="I64" s="124">
        <f>K52/K32</f>
        <v>6.6079295154185022E-2</v>
      </c>
      <c r="J64" s="125">
        <f>1-I64</f>
        <v>0.93392070484581502</v>
      </c>
      <c r="K64" s="712"/>
      <c r="L64" s="112"/>
      <c r="M64" s="113"/>
      <c r="N64" s="112"/>
      <c r="O64" s="92"/>
      <c r="P64" s="92"/>
      <c r="Q64" s="92"/>
      <c r="R64" s="92"/>
      <c r="U64" s="489"/>
    </row>
    <row r="65" spans="1:21" s="67" customFormat="1" ht="15" x14ac:dyDescent="0.25">
      <c r="A65" s="92"/>
      <c r="B65" s="487"/>
      <c r="C65" s="92"/>
      <c r="D65" s="92"/>
      <c r="E65" s="121"/>
      <c r="F65" s="121">
        <v>2010</v>
      </c>
      <c r="G65" s="122">
        <f>I53/I33</f>
        <v>2.23463687150838E-2</v>
      </c>
      <c r="H65" s="123">
        <f t="shared" ref="H65:H68" si="4">1-G65</f>
        <v>0.97765363128491622</v>
      </c>
      <c r="I65" s="124">
        <f>K53/K33</f>
        <v>5.6074766355140186E-2</v>
      </c>
      <c r="J65" s="125">
        <f t="shared" ref="J65:J68" si="5">1-I65</f>
        <v>0.94392523364485981</v>
      </c>
      <c r="K65" s="712"/>
      <c r="L65" s="112"/>
      <c r="M65" s="113"/>
      <c r="N65" s="112"/>
      <c r="O65" s="92"/>
      <c r="P65" s="92"/>
      <c r="Q65" s="92"/>
      <c r="R65" s="92"/>
      <c r="U65" s="489"/>
    </row>
    <row r="66" spans="1:21" s="67" customFormat="1" ht="15" x14ac:dyDescent="0.25">
      <c r="A66" s="92"/>
      <c r="B66" s="487"/>
      <c r="C66" s="92"/>
      <c r="D66" s="92"/>
      <c r="E66" s="121"/>
      <c r="F66" s="121">
        <v>2011</v>
      </c>
      <c r="G66" s="122">
        <f>I54/I34</f>
        <v>5.9113300492610835E-2</v>
      </c>
      <c r="H66" s="123">
        <f t="shared" si="4"/>
        <v>0.94088669950738912</v>
      </c>
      <c r="I66" s="124">
        <f>K54/K34</f>
        <v>4.0201005025125629E-2</v>
      </c>
      <c r="J66" s="125">
        <f t="shared" si="5"/>
        <v>0.95979899497487442</v>
      </c>
      <c r="K66" s="712"/>
      <c r="L66" s="112"/>
      <c r="M66" s="113"/>
      <c r="N66" s="112"/>
      <c r="O66" s="92"/>
      <c r="P66" s="92"/>
      <c r="Q66" s="92"/>
      <c r="R66" s="92"/>
      <c r="U66" s="489"/>
    </row>
    <row r="67" spans="1:21" s="67" customFormat="1" ht="15" x14ac:dyDescent="0.25">
      <c r="A67" s="92"/>
      <c r="B67" s="487"/>
      <c r="C67" s="92"/>
      <c r="D67" s="92"/>
      <c r="E67" s="121"/>
      <c r="F67" s="121">
        <v>2012</v>
      </c>
      <c r="G67" s="122">
        <f>I55/I35</f>
        <v>4.1025641025641026E-2</v>
      </c>
      <c r="H67" s="123">
        <f t="shared" si="4"/>
        <v>0.95897435897435901</v>
      </c>
      <c r="I67" s="124">
        <f>K55/K35</f>
        <v>7.1428571428571425E-2</v>
      </c>
      <c r="J67" s="125">
        <f t="shared" si="5"/>
        <v>0.9285714285714286</v>
      </c>
      <c r="K67" s="712"/>
      <c r="L67" s="112"/>
      <c r="M67" s="113"/>
      <c r="N67" s="112"/>
      <c r="O67" s="92"/>
      <c r="P67" s="92"/>
      <c r="Q67" s="92"/>
      <c r="R67" s="92"/>
      <c r="U67" s="489"/>
    </row>
    <row r="68" spans="1:21" s="67" customFormat="1" ht="15" x14ac:dyDescent="0.25">
      <c r="A68" s="92"/>
      <c r="B68" s="487"/>
      <c r="C68" s="92"/>
      <c r="D68" s="92"/>
      <c r="E68" s="121"/>
      <c r="F68" s="121">
        <v>2013</v>
      </c>
      <c r="G68" s="122">
        <f>I56/I36</f>
        <v>3.6809815950920248E-2</v>
      </c>
      <c r="H68" s="123">
        <f t="shared" si="4"/>
        <v>0.96319018404907975</v>
      </c>
      <c r="I68" s="124">
        <f>K56/K36</f>
        <v>6.3559322033898302E-2</v>
      </c>
      <c r="J68" s="125">
        <f t="shared" si="5"/>
        <v>0.93644067796610164</v>
      </c>
      <c r="K68" s="712"/>
      <c r="L68" s="112"/>
      <c r="M68" s="113"/>
      <c r="N68" s="112"/>
      <c r="O68" s="92"/>
      <c r="P68" s="92"/>
      <c r="Q68" s="92"/>
      <c r="R68" s="92"/>
      <c r="U68" s="489"/>
    </row>
    <row r="69" spans="1:21" s="67" customFormat="1" ht="15" x14ac:dyDescent="0.25">
      <c r="A69" s="92"/>
      <c r="B69" s="487"/>
      <c r="C69" s="92"/>
      <c r="D69" s="92"/>
      <c r="E69" s="121"/>
      <c r="F69" s="121">
        <v>2014</v>
      </c>
      <c r="G69" s="121"/>
      <c r="H69" s="121"/>
      <c r="I69" s="712"/>
      <c r="J69" s="712"/>
      <c r="K69" s="712"/>
      <c r="L69" s="112"/>
      <c r="M69" s="113"/>
      <c r="N69" s="112"/>
      <c r="O69" s="92"/>
      <c r="P69" s="92"/>
      <c r="Q69" s="92"/>
      <c r="R69" s="92"/>
      <c r="U69" s="489"/>
    </row>
    <row r="70" spans="1:21" s="67" customFormat="1" ht="15" x14ac:dyDescent="0.25">
      <c r="A70" s="92"/>
      <c r="B70" s="487"/>
      <c r="C70" s="92"/>
      <c r="D70" s="92"/>
      <c r="E70" s="121"/>
      <c r="F70" s="121">
        <v>2015</v>
      </c>
      <c r="G70" s="122">
        <f t="shared" ref="G70" si="6">I58/I38</f>
        <v>2.185792349726776E-2</v>
      </c>
      <c r="H70" s="122">
        <f t="shared" ref="H70" si="7">1-G70</f>
        <v>0.97814207650273222</v>
      </c>
      <c r="I70" s="124">
        <f t="shared" ref="I70" si="8">K58/K38</f>
        <v>1.6949152542372881E-2</v>
      </c>
      <c r="J70" s="124">
        <f t="shared" ref="J70" si="9">1-I70</f>
        <v>0.98305084745762716</v>
      </c>
      <c r="K70" s="712"/>
      <c r="L70" s="112"/>
      <c r="M70" s="113"/>
      <c r="N70" s="112"/>
      <c r="O70" s="92"/>
      <c r="P70" s="92"/>
      <c r="Q70" s="92"/>
      <c r="R70" s="92"/>
      <c r="U70" s="489"/>
    </row>
    <row r="71" spans="1:21" s="67" customFormat="1" ht="15" x14ac:dyDescent="0.25">
      <c r="A71" s="92"/>
      <c r="B71" s="487"/>
      <c r="C71" s="92"/>
      <c r="D71" s="92"/>
      <c r="E71" s="121"/>
      <c r="F71" s="121"/>
      <c r="G71" s="121"/>
      <c r="H71" s="121"/>
      <c r="I71" s="712"/>
      <c r="J71" s="712"/>
      <c r="K71" s="712"/>
      <c r="L71" s="112"/>
      <c r="M71" s="113"/>
      <c r="N71" s="112"/>
      <c r="O71" s="92"/>
      <c r="P71" s="92"/>
      <c r="Q71" s="92"/>
      <c r="R71" s="92"/>
      <c r="U71" s="489"/>
    </row>
    <row r="72" spans="1:21" s="67" customFormat="1" ht="15" x14ac:dyDescent="0.25">
      <c r="A72" s="92"/>
      <c r="B72" s="487"/>
      <c r="C72" s="92"/>
      <c r="D72" s="92"/>
      <c r="E72" s="121"/>
      <c r="F72" s="121"/>
      <c r="G72" s="121"/>
      <c r="H72" s="121"/>
      <c r="I72" s="712"/>
      <c r="J72" s="712"/>
      <c r="K72" s="712"/>
      <c r="L72" s="112"/>
      <c r="M72" s="113"/>
      <c r="N72" s="112"/>
      <c r="O72" s="92"/>
      <c r="P72" s="92"/>
      <c r="Q72" s="92"/>
      <c r="R72" s="92"/>
      <c r="U72" s="489"/>
    </row>
    <row r="73" spans="1:21" s="67" customFormat="1" ht="15" x14ac:dyDescent="0.25">
      <c r="A73" s="627"/>
      <c r="B73" s="487"/>
      <c r="C73" s="627"/>
      <c r="D73" s="627"/>
      <c r="E73" s="111"/>
      <c r="F73" s="111"/>
      <c r="G73" s="111"/>
      <c r="H73" s="111"/>
      <c r="I73" s="629"/>
      <c r="J73" s="629"/>
      <c r="K73" s="629"/>
      <c r="L73" s="629"/>
      <c r="M73" s="628"/>
      <c r="N73" s="629"/>
      <c r="O73" s="627"/>
      <c r="P73" s="627"/>
      <c r="Q73" s="627"/>
      <c r="R73" s="627"/>
      <c r="U73" s="489"/>
    </row>
    <row r="74" spans="1:21" s="67" customFormat="1" ht="15" x14ac:dyDescent="0.25">
      <c r="A74" s="92"/>
      <c r="B74" s="487"/>
      <c r="C74" s="92"/>
      <c r="D74" s="92"/>
      <c r="E74" s="111"/>
      <c r="F74" s="111"/>
      <c r="G74" s="111"/>
      <c r="H74" s="111"/>
      <c r="I74" s="112"/>
      <c r="J74" s="112"/>
      <c r="K74" s="112"/>
      <c r="L74" s="112"/>
      <c r="M74" s="113"/>
      <c r="N74" s="112"/>
      <c r="O74" s="92"/>
      <c r="P74" s="92"/>
      <c r="Q74" s="92"/>
      <c r="R74" s="92"/>
      <c r="U74" s="489"/>
    </row>
    <row r="75" spans="1:21" s="67" customFormat="1" ht="15" x14ac:dyDescent="0.25">
      <c r="A75" s="92"/>
      <c r="B75" s="487"/>
      <c r="C75" s="487"/>
      <c r="D75" s="487"/>
      <c r="E75" s="497"/>
      <c r="F75" s="497"/>
      <c r="G75" s="497"/>
      <c r="H75" s="497"/>
      <c r="I75" s="498"/>
      <c r="J75" s="498"/>
      <c r="K75" s="498"/>
      <c r="L75" s="498"/>
      <c r="M75" s="499"/>
      <c r="N75" s="498"/>
      <c r="O75" s="487"/>
      <c r="P75" s="487"/>
      <c r="Q75" s="487"/>
      <c r="R75" s="487"/>
      <c r="S75" s="489"/>
      <c r="T75" s="489"/>
      <c r="U75" s="489"/>
    </row>
    <row r="76" spans="1:21" s="67" customFormat="1" ht="15" x14ac:dyDescent="0.25">
      <c r="A76" s="92"/>
      <c r="B76" s="487"/>
      <c r="C76" s="487"/>
      <c r="D76" s="487"/>
      <c r="E76" s="497"/>
      <c r="F76" s="497"/>
      <c r="G76" s="497"/>
      <c r="H76" s="497"/>
      <c r="I76" s="498"/>
      <c r="J76" s="498"/>
      <c r="K76" s="498"/>
      <c r="L76" s="498"/>
      <c r="M76" s="499"/>
      <c r="N76" s="498"/>
      <c r="O76" s="487"/>
      <c r="P76" s="487"/>
      <c r="Q76" s="487"/>
      <c r="R76" s="487"/>
      <c r="S76" s="489"/>
      <c r="T76" s="489"/>
      <c r="U76" s="489"/>
    </row>
    <row r="77" spans="1:21" s="67" customFormat="1" ht="15" x14ac:dyDescent="0.25">
      <c r="A77" s="92"/>
      <c r="B77" s="487"/>
      <c r="C77" s="487"/>
      <c r="D77" s="487"/>
      <c r="E77" s="497"/>
      <c r="F77" s="497"/>
      <c r="G77" s="497"/>
      <c r="H77" s="497"/>
      <c r="I77" s="498"/>
      <c r="J77" s="498"/>
      <c r="K77" s="498"/>
      <c r="L77" s="498"/>
      <c r="M77" s="499"/>
      <c r="N77" s="498"/>
      <c r="O77" s="487"/>
      <c r="P77" s="487"/>
      <c r="Q77" s="487"/>
      <c r="R77" s="487"/>
      <c r="S77" s="489"/>
      <c r="T77" s="489"/>
      <c r="U77" s="489"/>
    </row>
    <row r="78" spans="1:21" s="67" customFormat="1" ht="15" x14ac:dyDescent="0.25">
      <c r="A78" s="92"/>
      <c r="B78" s="487"/>
      <c r="C78" s="92"/>
      <c r="D78" s="92"/>
      <c r="E78" s="111"/>
      <c r="F78" s="111"/>
      <c r="G78" s="111"/>
      <c r="H78" s="111"/>
      <c r="I78" s="112"/>
      <c r="J78" s="112"/>
      <c r="K78" s="112"/>
      <c r="L78" s="112"/>
      <c r="M78" s="113"/>
      <c r="N78" s="112"/>
      <c r="O78" s="92"/>
      <c r="P78" s="92"/>
      <c r="Q78" s="92"/>
      <c r="R78" s="92"/>
      <c r="U78" s="489"/>
    </row>
    <row r="79" spans="1:21" s="67" customFormat="1" ht="15" x14ac:dyDescent="0.25">
      <c r="A79" s="92"/>
      <c r="B79" s="487"/>
      <c r="C79" s="92" t="s">
        <v>486</v>
      </c>
      <c r="D79" s="92"/>
      <c r="E79" s="111"/>
      <c r="F79" s="111"/>
      <c r="G79" s="111"/>
      <c r="H79" s="111"/>
      <c r="I79" s="112"/>
      <c r="J79" s="112"/>
      <c r="K79" s="112"/>
      <c r="L79" s="112"/>
      <c r="M79" s="113"/>
      <c r="N79" s="112"/>
      <c r="O79" s="92"/>
      <c r="P79" s="92"/>
      <c r="Q79" s="92"/>
      <c r="R79" s="92"/>
      <c r="U79" s="489"/>
    </row>
    <row r="80" spans="1:21" s="67" customFormat="1" ht="15" x14ac:dyDescent="0.25">
      <c r="A80" s="92"/>
      <c r="B80" s="487"/>
      <c r="C80" s="92"/>
      <c r="D80" s="92"/>
      <c r="E80" s="111"/>
      <c r="F80" s="111"/>
      <c r="G80" s="111"/>
      <c r="H80" s="111"/>
      <c r="I80" s="112"/>
      <c r="J80" s="112"/>
      <c r="K80" s="112"/>
      <c r="L80" s="112"/>
      <c r="M80" s="113"/>
      <c r="N80" s="112"/>
      <c r="O80" s="92"/>
      <c r="P80" s="92"/>
      <c r="Q80" s="92"/>
      <c r="R80" s="92"/>
      <c r="U80" s="489"/>
    </row>
    <row r="81" spans="1:21" s="67" customFormat="1" ht="15" x14ac:dyDescent="0.25">
      <c r="A81" s="92"/>
      <c r="B81" s="487"/>
      <c r="C81" s="92"/>
      <c r="D81" s="92"/>
      <c r="E81" s="111"/>
      <c r="F81" s="111"/>
      <c r="G81" s="111"/>
      <c r="H81" s="111"/>
      <c r="I81" s="112"/>
      <c r="J81" s="112"/>
      <c r="K81" s="112"/>
      <c r="L81" s="112"/>
      <c r="M81" s="113"/>
      <c r="N81" s="112"/>
      <c r="O81" s="92"/>
      <c r="P81" s="92"/>
      <c r="Q81" s="92"/>
      <c r="R81" s="92"/>
      <c r="U81" s="489"/>
    </row>
    <row r="82" spans="1:21" s="67" customFormat="1" ht="15" x14ac:dyDescent="0.25">
      <c r="A82" s="92"/>
      <c r="B82" s="487"/>
      <c r="C82" s="92"/>
      <c r="D82" s="92"/>
      <c r="E82" s="111"/>
      <c r="F82" s="111"/>
      <c r="G82" s="111"/>
      <c r="H82" s="111"/>
      <c r="I82" s="112"/>
      <c r="J82" s="112"/>
      <c r="K82" s="112"/>
      <c r="L82" s="112"/>
      <c r="M82" s="113"/>
      <c r="N82" s="112"/>
      <c r="O82" s="92"/>
      <c r="P82" s="92"/>
      <c r="Q82" s="92"/>
      <c r="R82" s="92"/>
      <c r="U82" s="489"/>
    </row>
    <row r="83" spans="1:21" s="67" customFormat="1" ht="51" customHeight="1" x14ac:dyDescent="0.25">
      <c r="A83" s="92"/>
      <c r="B83" s="487"/>
      <c r="C83" s="1198" t="s">
        <v>1119</v>
      </c>
      <c r="D83" s="1198"/>
      <c r="E83" s="1198"/>
      <c r="F83" s="1198"/>
      <c r="G83" s="1198"/>
      <c r="H83" s="1198"/>
      <c r="I83" s="1198"/>
      <c r="J83" s="1198"/>
      <c r="K83" s="1198"/>
      <c r="L83" s="1198"/>
      <c r="M83" s="1198"/>
      <c r="N83" s="1198"/>
      <c r="O83" s="1198"/>
      <c r="P83" s="1198"/>
      <c r="Q83" s="1198"/>
      <c r="R83" s="1198"/>
      <c r="S83" s="1198"/>
      <c r="U83" s="489"/>
    </row>
    <row r="84" spans="1:21" s="67" customFormat="1" ht="14.25" customHeight="1" x14ac:dyDescent="0.25">
      <c r="A84" s="711"/>
      <c r="B84" s="487"/>
      <c r="C84" s="710"/>
      <c r="D84" s="710"/>
      <c r="E84" s="710"/>
      <c r="F84" s="710"/>
      <c r="G84" s="710"/>
      <c r="H84" s="710"/>
      <c r="I84" s="710"/>
      <c r="J84" s="710"/>
      <c r="K84" s="710"/>
      <c r="L84" s="710"/>
      <c r="M84" s="710"/>
      <c r="N84" s="710"/>
      <c r="O84" s="710"/>
      <c r="P84" s="710"/>
      <c r="Q84" s="710"/>
      <c r="R84" s="710"/>
      <c r="S84" s="710"/>
      <c r="U84" s="489"/>
    </row>
    <row r="85" spans="1:21" s="67" customFormat="1" ht="15" x14ac:dyDescent="0.25">
      <c r="A85" s="92"/>
      <c r="B85" s="487"/>
      <c r="C85" s="92"/>
      <c r="D85" s="92"/>
      <c r="E85" s="111"/>
      <c r="F85" s="111"/>
      <c r="G85" s="791" t="s">
        <v>489</v>
      </c>
      <c r="H85" s="797"/>
      <c r="I85" s="797"/>
      <c r="J85" s="975"/>
      <c r="K85" s="1011" t="str">
        <f>INDEX(Locations, selection)</f>
        <v>Angmering</v>
      </c>
      <c r="L85" s="1013"/>
      <c r="M85" s="779" t="str">
        <f>INDEX(Locations, selection2)</f>
        <v>Bewbush</v>
      </c>
      <c r="N85" s="779"/>
      <c r="O85" s="1287"/>
      <c r="P85" s="1287"/>
      <c r="Q85" s="92"/>
      <c r="R85" s="92"/>
      <c r="U85" s="489"/>
    </row>
    <row r="86" spans="1:21" s="67" customFormat="1" ht="15" x14ac:dyDescent="0.25">
      <c r="A86" s="92"/>
      <c r="B86" s="487"/>
      <c r="C86" s="92"/>
      <c r="D86" s="92"/>
      <c r="E86" s="111"/>
      <c r="F86" s="111"/>
      <c r="G86" s="792"/>
      <c r="H86" s="798"/>
      <c r="I86" s="798"/>
      <c r="J86" s="976"/>
      <c r="K86" s="1014"/>
      <c r="L86" s="850"/>
      <c r="M86" s="779"/>
      <c r="N86" s="779"/>
      <c r="O86" s="1287"/>
      <c r="P86" s="1287"/>
      <c r="Q86" s="92"/>
      <c r="R86" s="92"/>
      <c r="U86" s="489"/>
    </row>
    <row r="87" spans="1:21" s="67" customFormat="1" ht="15" x14ac:dyDescent="0.25">
      <c r="A87" s="92"/>
      <c r="B87" s="487"/>
      <c r="C87" s="92"/>
      <c r="D87" s="92"/>
      <c r="E87" s="111"/>
      <c r="F87" s="111"/>
      <c r="G87" s="793"/>
      <c r="H87" s="799"/>
      <c r="I87" s="799"/>
      <c r="J87" s="977"/>
      <c r="K87" s="1015"/>
      <c r="L87" s="1017"/>
      <c r="M87" s="779"/>
      <c r="N87" s="779"/>
      <c r="O87" s="1287"/>
      <c r="P87" s="1287"/>
      <c r="Q87" s="92"/>
      <c r="R87" s="92"/>
      <c r="U87" s="489"/>
    </row>
    <row r="88" spans="1:21" s="67" customFormat="1" ht="15" x14ac:dyDescent="0.25">
      <c r="A88" s="92"/>
      <c r="B88" s="487"/>
      <c r="C88" s="92"/>
      <c r="D88" s="92"/>
      <c r="E88" s="111"/>
      <c r="F88" s="111"/>
      <c r="G88" s="1263" t="s">
        <v>487</v>
      </c>
      <c r="H88" s="1264"/>
      <c r="I88" s="1264"/>
      <c r="J88" s="1265"/>
      <c r="K88" s="924">
        <f>IF(HLOOKUP($G88, TeenMums, selection+1, FALSE) = "", "", HLOOKUP($G88,TeenMums, selection+1, FALSE))</f>
        <v>13</v>
      </c>
      <c r="L88" s="926"/>
      <c r="M88" s="924">
        <f>IF(HLOOKUP($G88, TeenMums, selection2+1, FALSE) = "", "", HLOOKUP($G88,TeenMums, selection2+1, FALSE))</f>
        <v>26</v>
      </c>
      <c r="N88" s="926"/>
      <c r="O88" s="1288"/>
      <c r="P88" s="1289"/>
      <c r="Q88" s="92"/>
      <c r="R88" s="92"/>
      <c r="U88" s="489"/>
    </row>
    <row r="89" spans="1:21" s="67" customFormat="1" ht="15" x14ac:dyDescent="0.25">
      <c r="A89" s="2"/>
      <c r="B89" s="487"/>
      <c r="C89" s="92"/>
      <c r="D89" s="92"/>
      <c r="E89" s="92"/>
      <c r="F89" s="92"/>
      <c r="G89" s="92"/>
      <c r="H89" s="92"/>
      <c r="I89" s="92"/>
      <c r="J89" s="92"/>
      <c r="K89" s="92"/>
      <c r="L89" s="92"/>
      <c r="M89" s="92"/>
      <c r="N89" s="92"/>
      <c r="O89" s="92"/>
      <c r="P89" s="92"/>
      <c r="Q89" s="92"/>
      <c r="R89" s="92"/>
      <c r="U89" s="489"/>
    </row>
    <row r="90" spans="1:21" s="67" customFormat="1" ht="15" x14ac:dyDescent="0.25">
      <c r="A90" s="92"/>
      <c r="B90" s="487"/>
      <c r="C90" s="92"/>
      <c r="D90" s="92"/>
      <c r="E90" s="92"/>
      <c r="F90" s="92"/>
      <c r="G90" s="92"/>
      <c r="H90" s="92"/>
      <c r="I90" s="92"/>
      <c r="J90" s="92"/>
      <c r="K90" s="92"/>
      <c r="L90" s="92"/>
      <c r="M90" s="92"/>
      <c r="N90" s="92"/>
      <c r="O90" s="92"/>
      <c r="P90" s="92"/>
      <c r="Q90" s="92"/>
      <c r="R90" s="92"/>
      <c r="U90" s="489"/>
    </row>
    <row r="91" spans="1:21" s="67" customFormat="1" ht="15" x14ac:dyDescent="0.25">
      <c r="A91" s="92"/>
      <c r="B91" s="487"/>
      <c r="C91" s="487"/>
      <c r="D91" s="487"/>
      <c r="E91" s="487"/>
      <c r="F91" s="487"/>
      <c r="G91" s="487"/>
      <c r="H91" s="487"/>
      <c r="I91" s="487"/>
      <c r="J91" s="487"/>
      <c r="K91" s="487"/>
      <c r="L91" s="487"/>
      <c r="M91" s="487"/>
      <c r="N91" s="487"/>
      <c r="O91" s="487"/>
      <c r="P91" s="487"/>
      <c r="Q91" s="487"/>
      <c r="R91" s="487"/>
      <c r="S91" s="489"/>
      <c r="T91" s="489"/>
      <c r="U91" s="489"/>
    </row>
    <row r="92" spans="1:21" s="67" customFormat="1" ht="15" x14ac:dyDescent="0.25">
      <c r="A92" s="2"/>
      <c r="B92" s="487"/>
      <c r="C92" s="487"/>
      <c r="D92" s="487"/>
      <c r="E92" s="487"/>
      <c r="F92" s="487"/>
      <c r="G92" s="487"/>
      <c r="H92" s="487"/>
      <c r="I92" s="487"/>
      <c r="J92" s="487"/>
      <c r="K92" s="487"/>
      <c r="L92" s="487"/>
      <c r="M92" s="487"/>
      <c r="N92" s="487"/>
      <c r="O92" s="487"/>
      <c r="P92" s="487"/>
      <c r="Q92" s="487"/>
      <c r="R92" s="487"/>
      <c r="S92" s="489"/>
      <c r="T92" s="489"/>
      <c r="U92" s="489"/>
    </row>
    <row r="93" spans="1:21" ht="15" x14ac:dyDescent="0.25">
      <c r="A93" s="2"/>
      <c r="B93" s="487"/>
      <c r="C93" s="487"/>
      <c r="D93" s="487"/>
      <c r="E93" s="487"/>
      <c r="F93" s="487"/>
      <c r="G93" s="487"/>
      <c r="H93" s="487"/>
      <c r="I93" s="487"/>
      <c r="J93" s="487"/>
      <c r="K93" s="487"/>
      <c r="L93" s="487"/>
      <c r="M93" s="487"/>
      <c r="N93" s="487"/>
      <c r="O93" s="487"/>
      <c r="P93" s="487"/>
      <c r="Q93" s="487"/>
      <c r="R93" s="487"/>
      <c r="S93" s="489"/>
      <c r="T93" s="489"/>
      <c r="U93" s="489"/>
    </row>
    <row r="94" spans="1:21" ht="15" x14ac:dyDescent="0.25">
      <c r="A94" s="2"/>
      <c r="B94" s="487"/>
      <c r="C94" s="2"/>
      <c r="D94" s="2"/>
      <c r="E94" s="2"/>
      <c r="F94" s="2"/>
      <c r="G94" s="2"/>
      <c r="H94" s="2"/>
      <c r="I94" s="2"/>
      <c r="J94" s="2"/>
      <c r="K94" s="2"/>
      <c r="L94" s="2"/>
      <c r="M94" s="2"/>
      <c r="N94" s="2"/>
      <c r="O94" s="2"/>
      <c r="P94" s="2"/>
      <c r="Q94" s="2"/>
      <c r="R94" s="2"/>
      <c r="S94" s="67"/>
      <c r="T94" s="67"/>
      <c r="U94" s="489"/>
    </row>
    <row r="95" spans="1:21" ht="15" x14ac:dyDescent="0.25">
      <c r="A95" s="2"/>
      <c r="B95" s="487"/>
      <c r="C95" s="2"/>
      <c r="D95" s="2"/>
      <c r="E95" s="2"/>
      <c r="F95" s="2"/>
      <c r="G95" s="2"/>
      <c r="H95" s="2"/>
      <c r="I95" s="2"/>
      <c r="J95" s="2"/>
      <c r="K95" s="2"/>
      <c r="L95" s="2"/>
      <c r="M95" s="2"/>
      <c r="N95" s="2"/>
      <c r="O95" s="2"/>
      <c r="P95" s="2"/>
      <c r="Q95" s="2"/>
      <c r="R95" s="2"/>
      <c r="S95" s="67"/>
      <c r="T95" s="67"/>
      <c r="U95" s="489"/>
    </row>
    <row r="96" spans="1:21" ht="15" x14ac:dyDescent="0.25">
      <c r="A96" s="2"/>
      <c r="B96" s="487"/>
      <c r="C96" s="2"/>
      <c r="D96" s="2"/>
      <c r="E96" s="2"/>
      <c r="F96" s="2"/>
      <c r="G96" s="2"/>
      <c r="H96" s="2"/>
      <c r="I96" s="2"/>
      <c r="J96" s="2"/>
      <c r="K96" s="2"/>
      <c r="L96" s="2"/>
      <c r="M96" s="2"/>
      <c r="N96" s="2"/>
      <c r="O96" s="2"/>
      <c r="P96" s="2"/>
      <c r="Q96" s="2"/>
      <c r="R96" s="2"/>
      <c r="S96" s="67"/>
      <c r="T96" s="67"/>
      <c r="U96" s="489"/>
    </row>
    <row r="97" spans="1:21" ht="15" x14ac:dyDescent="0.25">
      <c r="A97" s="2"/>
      <c r="B97" s="487"/>
      <c r="C97" s="2"/>
      <c r="D97" s="2"/>
      <c r="E97" s="2"/>
      <c r="F97" s="2"/>
      <c r="G97" s="2"/>
      <c r="H97" s="2"/>
      <c r="I97" s="2"/>
      <c r="J97" s="2"/>
      <c r="K97" s="2"/>
      <c r="L97" s="2"/>
      <c r="M97" s="2"/>
      <c r="N97" s="2"/>
      <c r="O97" s="2"/>
      <c r="P97" s="2"/>
      <c r="Q97" s="2"/>
      <c r="R97" s="2"/>
      <c r="S97" s="67"/>
      <c r="T97" s="67"/>
      <c r="U97" s="489"/>
    </row>
    <row r="98" spans="1:21" ht="15" x14ac:dyDescent="0.25">
      <c r="A98" s="2"/>
      <c r="B98" s="487"/>
      <c r="C98" s="2"/>
      <c r="D98" s="2"/>
      <c r="E98" s="2"/>
      <c r="F98" s="2"/>
      <c r="G98" s="2"/>
      <c r="H98" s="2"/>
      <c r="I98" s="2"/>
      <c r="J98" s="2"/>
      <c r="K98" s="2"/>
      <c r="L98" s="2"/>
      <c r="M98" s="2"/>
      <c r="N98" s="2"/>
      <c r="O98" s="2"/>
      <c r="P98" s="2"/>
      <c r="Q98" s="2"/>
      <c r="R98" s="2"/>
      <c r="S98" s="67"/>
      <c r="T98" s="67"/>
      <c r="U98" s="489"/>
    </row>
    <row r="99" spans="1:21" ht="15" x14ac:dyDescent="0.25">
      <c r="A99" s="2"/>
      <c r="B99" s="487"/>
      <c r="C99" s="2"/>
      <c r="D99" s="2"/>
      <c r="E99" s="2"/>
      <c r="F99" s="2"/>
      <c r="G99" s="2"/>
      <c r="H99" s="2"/>
      <c r="I99" s="2"/>
      <c r="J99" s="2"/>
      <c r="K99" s="2"/>
      <c r="L99" s="2"/>
      <c r="M99" s="2"/>
      <c r="N99" s="2"/>
      <c r="O99" s="2"/>
      <c r="P99" s="2"/>
      <c r="Q99" s="2"/>
      <c r="R99" s="2"/>
      <c r="S99" s="67"/>
      <c r="T99" s="67"/>
      <c r="U99" s="489"/>
    </row>
    <row r="100" spans="1:21" ht="15" x14ac:dyDescent="0.25">
      <c r="A100" s="2"/>
      <c r="B100" s="487"/>
      <c r="C100" s="2"/>
      <c r="D100" s="2"/>
      <c r="E100" s="2"/>
      <c r="F100" s="2"/>
      <c r="G100" s="2"/>
      <c r="H100" s="2"/>
      <c r="I100" s="2"/>
      <c r="J100" s="2"/>
      <c r="K100" s="2"/>
      <c r="L100" s="2"/>
      <c r="M100" s="2"/>
      <c r="N100" s="2"/>
      <c r="O100" s="2"/>
      <c r="P100" s="2"/>
      <c r="Q100" s="2"/>
      <c r="R100" s="2"/>
      <c r="S100" s="67"/>
      <c r="T100" s="67"/>
      <c r="U100" s="489"/>
    </row>
    <row r="101" spans="1:21" ht="15" x14ac:dyDescent="0.25">
      <c r="A101" s="2"/>
      <c r="B101" s="487"/>
      <c r="C101" s="2"/>
      <c r="D101" s="2"/>
      <c r="E101" s="2"/>
      <c r="F101" s="2"/>
      <c r="G101" s="2"/>
      <c r="H101" s="2"/>
      <c r="I101" s="2"/>
      <c r="J101" s="2"/>
      <c r="K101" s="2"/>
      <c r="L101" s="2"/>
      <c r="M101" s="2"/>
      <c r="N101" s="2"/>
      <c r="O101" s="2"/>
      <c r="P101" s="2"/>
      <c r="Q101" s="2"/>
      <c r="R101" s="2"/>
      <c r="S101" s="67"/>
      <c r="T101" s="67"/>
      <c r="U101" s="489"/>
    </row>
    <row r="102" spans="1:21" ht="15" x14ac:dyDescent="0.25">
      <c r="A102" s="2"/>
      <c r="B102" s="487"/>
      <c r="C102" s="2"/>
      <c r="D102" s="2"/>
      <c r="E102" s="2"/>
      <c r="F102" s="2"/>
      <c r="G102" s="2"/>
      <c r="H102" s="2"/>
      <c r="I102" s="2"/>
      <c r="J102" s="2"/>
      <c r="K102" s="2"/>
      <c r="L102" s="2"/>
      <c r="M102" s="2"/>
      <c r="N102" s="2"/>
      <c r="O102" s="2"/>
      <c r="P102" s="2"/>
      <c r="Q102" s="2"/>
      <c r="R102" s="2"/>
      <c r="S102" s="67"/>
      <c r="T102" s="67"/>
      <c r="U102" s="489"/>
    </row>
    <row r="103" spans="1:21" ht="15" x14ac:dyDescent="0.25">
      <c r="A103" s="2"/>
      <c r="B103" s="487"/>
      <c r="C103" s="2"/>
      <c r="D103" s="2"/>
      <c r="E103" s="2"/>
      <c r="F103" s="2"/>
      <c r="G103" s="2"/>
      <c r="H103" s="2"/>
      <c r="I103" s="2"/>
      <c r="J103" s="2"/>
      <c r="K103" s="2"/>
      <c r="L103" s="2"/>
      <c r="M103" s="2"/>
      <c r="N103" s="2"/>
      <c r="O103" s="2"/>
      <c r="P103" s="2"/>
      <c r="Q103" s="2"/>
      <c r="R103" s="2"/>
      <c r="S103" s="67"/>
      <c r="T103" s="67"/>
      <c r="U103" s="489"/>
    </row>
    <row r="104" spans="1:21" ht="15" x14ac:dyDescent="0.25">
      <c r="A104" s="2"/>
      <c r="B104" s="487"/>
      <c r="C104" s="2"/>
      <c r="D104" s="2"/>
      <c r="E104" s="2"/>
      <c r="F104" s="2"/>
      <c r="G104" s="2"/>
      <c r="H104" s="2"/>
      <c r="I104" s="2"/>
      <c r="J104" s="2"/>
      <c r="K104" s="2"/>
      <c r="L104" s="2"/>
      <c r="M104" s="2"/>
      <c r="N104" s="2"/>
      <c r="O104" s="2"/>
      <c r="P104" s="2"/>
      <c r="Q104" s="2"/>
      <c r="R104" s="2"/>
      <c r="S104" s="67"/>
      <c r="T104" s="67"/>
      <c r="U104" s="489"/>
    </row>
    <row r="105" spans="1:21" ht="15" x14ac:dyDescent="0.25">
      <c r="A105" s="2"/>
      <c r="B105" s="487"/>
      <c r="C105" s="2"/>
      <c r="D105" s="2"/>
      <c r="E105" s="2"/>
      <c r="F105" s="2"/>
      <c r="G105" s="2"/>
      <c r="H105" s="2"/>
      <c r="I105" s="2"/>
      <c r="J105" s="2"/>
      <c r="K105" s="2"/>
      <c r="L105" s="2"/>
      <c r="M105" s="2"/>
      <c r="N105" s="2"/>
      <c r="O105" s="2"/>
      <c r="P105" s="2"/>
      <c r="Q105" s="2"/>
      <c r="R105" s="2"/>
      <c r="S105" s="67"/>
      <c r="T105" s="67"/>
      <c r="U105" s="489"/>
    </row>
    <row r="106" spans="1:21" ht="15" x14ac:dyDescent="0.25">
      <c r="A106" s="2"/>
      <c r="B106" s="487"/>
      <c r="C106" s="2"/>
      <c r="D106" s="2"/>
      <c r="E106" s="2"/>
      <c r="F106" s="2"/>
      <c r="G106" s="2"/>
      <c r="H106" s="2"/>
      <c r="I106" s="2"/>
      <c r="J106" s="2"/>
      <c r="K106" s="2"/>
      <c r="L106" s="2"/>
      <c r="M106" s="2"/>
      <c r="N106" s="2"/>
      <c r="O106" s="2"/>
      <c r="P106" s="2"/>
      <c r="Q106" s="2"/>
      <c r="R106" s="2"/>
      <c r="S106" s="67"/>
      <c r="T106" s="67"/>
      <c r="U106" s="489"/>
    </row>
    <row r="107" spans="1:21" ht="15" x14ac:dyDescent="0.25">
      <c r="A107" s="2"/>
      <c r="B107" s="487"/>
      <c r="C107" s="2"/>
      <c r="D107" s="2"/>
      <c r="E107" s="2"/>
      <c r="F107" s="2"/>
      <c r="G107" s="2"/>
      <c r="H107" s="2"/>
      <c r="I107" s="2"/>
      <c r="J107" s="2"/>
      <c r="K107" s="2"/>
      <c r="L107" s="2"/>
      <c r="M107" s="2"/>
      <c r="N107" s="2"/>
      <c r="O107" s="2"/>
      <c r="P107" s="2"/>
      <c r="Q107" s="2"/>
      <c r="R107" s="2"/>
      <c r="S107" s="67"/>
      <c r="T107" s="67"/>
      <c r="U107" s="489"/>
    </row>
    <row r="108" spans="1:21" ht="15" x14ac:dyDescent="0.25">
      <c r="A108" s="2"/>
      <c r="B108" s="487"/>
      <c r="C108" s="2"/>
      <c r="D108" s="2"/>
      <c r="E108" s="2"/>
      <c r="F108" s="2"/>
      <c r="G108" s="2"/>
      <c r="H108" s="2"/>
      <c r="I108" s="2"/>
      <c r="J108" s="2"/>
      <c r="K108" s="2"/>
      <c r="L108" s="2"/>
      <c r="M108" s="2"/>
      <c r="N108" s="2"/>
      <c r="O108" s="2"/>
      <c r="P108" s="2"/>
      <c r="Q108" s="2"/>
      <c r="R108" s="2"/>
      <c r="S108" s="67"/>
      <c r="T108" s="67"/>
      <c r="U108" s="489"/>
    </row>
    <row r="109" spans="1:21" ht="15" x14ac:dyDescent="0.25">
      <c r="A109" s="2"/>
      <c r="B109" s="487"/>
      <c r="C109" s="2"/>
      <c r="D109" s="2"/>
      <c r="E109" s="2"/>
      <c r="F109" s="2"/>
      <c r="G109" s="2"/>
      <c r="H109" s="2"/>
      <c r="I109" s="2"/>
      <c r="J109" s="2"/>
      <c r="K109" s="2"/>
      <c r="L109" s="2"/>
      <c r="M109" s="2"/>
      <c r="N109" s="2"/>
      <c r="O109" s="2"/>
      <c r="P109" s="2"/>
      <c r="Q109" s="2"/>
      <c r="R109" s="2"/>
      <c r="S109" s="67"/>
      <c r="T109" s="67"/>
      <c r="U109" s="489"/>
    </row>
    <row r="110" spans="1:21" ht="15" x14ac:dyDescent="0.25">
      <c r="A110" s="2"/>
      <c r="B110" s="487"/>
      <c r="C110" s="2"/>
      <c r="D110" s="2"/>
      <c r="E110" s="2"/>
      <c r="F110" s="2"/>
      <c r="G110" s="2"/>
      <c r="H110" s="2"/>
      <c r="I110" s="2"/>
      <c r="J110" s="2"/>
      <c r="K110" s="2"/>
      <c r="L110" s="2"/>
      <c r="M110" s="2"/>
      <c r="N110" s="2"/>
      <c r="O110" s="2"/>
      <c r="P110" s="2"/>
      <c r="Q110" s="2"/>
      <c r="R110" s="2"/>
      <c r="S110" s="67"/>
      <c r="T110" s="67"/>
      <c r="U110" s="489"/>
    </row>
    <row r="111" spans="1:21" ht="15" x14ac:dyDescent="0.25">
      <c r="A111" s="2"/>
      <c r="B111" s="487"/>
      <c r="C111" s="2"/>
      <c r="D111" s="2"/>
      <c r="E111" s="2"/>
      <c r="F111" s="2"/>
      <c r="G111" s="2"/>
      <c r="H111" s="2"/>
      <c r="I111" s="2"/>
      <c r="J111" s="2"/>
      <c r="K111" s="2"/>
      <c r="L111" s="2"/>
      <c r="M111" s="2"/>
      <c r="N111" s="2"/>
      <c r="O111" s="2"/>
      <c r="P111" s="2"/>
      <c r="Q111" s="2"/>
      <c r="R111" s="2"/>
      <c r="S111" s="67"/>
      <c r="T111" s="67"/>
      <c r="U111" s="489"/>
    </row>
    <row r="112" spans="1:21" ht="15" x14ac:dyDescent="0.25">
      <c r="A112" s="2"/>
      <c r="B112" s="487"/>
      <c r="C112" s="2"/>
      <c r="D112" s="2"/>
      <c r="E112" s="2"/>
      <c r="F112" s="2"/>
      <c r="G112" s="2"/>
      <c r="H112" s="2"/>
      <c r="I112" s="2"/>
      <c r="J112" s="2"/>
      <c r="K112" s="2"/>
      <c r="L112" s="2"/>
      <c r="M112" s="2"/>
      <c r="N112" s="2"/>
      <c r="O112" s="2"/>
      <c r="P112" s="2"/>
      <c r="Q112" s="2"/>
      <c r="R112" s="2"/>
      <c r="S112" s="67"/>
      <c r="T112" s="67"/>
      <c r="U112" s="489"/>
    </row>
    <row r="113" spans="1:21" ht="15" x14ac:dyDescent="0.25">
      <c r="A113" s="2"/>
      <c r="B113" s="487"/>
      <c r="C113" s="2"/>
      <c r="D113" s="2"/>
      <c r="E113" s="2"/>
      <c r="F113" s="2"/>
      <c r="G113" s="2"/>
      <c r="H113" s="2"/>
      <c r="I113" s="2"/>
      <c r="J113" s="2"/>
      <c r="K113" s="2"/>
      <c r="L113" s="2"/>
      <c r="M113" s="2"/>
      <c r="N113" s="2"/>
      <c r="O113" s="2"/>
      <c r="P113" s="2"/>
      <c r="Q113" s="2"/>
      <c r="R113" s="2"/>
      <c r="S113" s="67"/>
      <c r="T113" s="67"/>
      <c r="U113" s="489"/>
    </row>
    <row r="114" spans="1:21" ht="15" x14ac:dyDescent="0.25">
      <c r="A114" s="2"/>
      <c r="B114" s="487"/>
      <c r="D114" s="2"/>
      <c r="E114" s="2"/>
      <c r="F114" s="2"/>
      <c r="G114" s="2"/>
      <c r="H114" s="2"/>
      <c r="I114" s="2"/>
      <c r="J114" s="2"/>
      <c r="K114" s="2"/>
      <c r="L114" s="2"/>
      <c r="M114" s="2"/>
      <c r="N114" s="2"/>
      <c r="O114" s="2"/>
      <c r="P114" s="2"/>
      <c r="Q114" s="2"/>
      <c r="R114" s="2"/>
      <c r="S114" s="67"/>
      <c r="T114" s="67"/>
      <c r="U114" s="489"/>
    </row>
    <row r="115" spans="1:21" ht="15" x14ac:dyDescent="0.25">
      <c r="A115" s="2"/>
      <c r="B115" s="487"/>
      <c r="C115" s="2"/>
      <c r="D115" s="2"/>
      <c r="E115" s="2"/>
      <c r="F115" s="2"/>
      <c r="G115" s="2"/>
      <c r="H115" s="2"/>
      <c r="I115" s="2"/>
      <c r="J115" s="2"/>
      <c r="K115" s="2"/>
      <c r="L115" s="2"/>
      <c r="M115" s="2"/>
      <c r="N115" s="2"/>
      <c r="O115" s="2"/>
      <c r="P115" s="2"/>
      <c r="Q115" s="2"/>
      <c r="R115" s="2"/>
      <c r="S115" s="67"/>
      <c r="T115" s="67"/>
      <c r="U115" s="489"/>
    </row>
    <row r="116" spans="1:21" ht="15" x14ac:dyDescent="0.25">
      <c r="A116" s="2"/>
      <c r="B116" s="487"/>
      <c r="C116" s="2"/>
      <c r="D116" s="2"/>
      <c r="E116" s="2"/>
      <c r="F116" s="790"/>
      <c r="G116" s="790"/>
      <c r="H116" s="790"/>
      <c r="I116" s="790"/>
      <c r="J116" s="790"/>
      <c r="K116" s="2"/>
      <c r="L116" s="2"/>
      <c r="M116" s="2"/>
      <c r="N116" s="2"/>
      <c r="O116" s="2"/>
      <c r="P116" s="2"/>
      <c r="Q116" s="2"/>
      <c r="R116" s="2"/>
      <c r="S116" s="67"/>
      <c r="T116" s="67"/>
      <c r="U116" s="489"/>
    </row>
    <row r="117" spans="1:21" ht="22.5" customHeight="1" x14ac:dyDescent="0.25">
      <c r="A117" s="2"/>
      <c r="B117" s="487"/>
      <c r="C117" s="914" t="s">
        <v>490</v>
      </c>
      <c r="D117" s="914"/>
      <c r="E117" s="914"/>
      <c r="F117" s="914"/>
      <c r="G117" s="914"/>
      <c r="H117" s="914"/>
      <c r="I117" s="914"/>
      <c r="J117" s="914"/>
      <c r="K117" s="914"/>
      <c r="L117" s="914"/>
      <c r="M117" s="914"/>
      <c r="N117" s="914"/>
      <c r="O117" s="914"/>
      <c r="P117" s="914"/>
      <c r="Q117" s="914"/>
      <c r="R117" s="914"/>
      <c r="S117" s="914"/>
      <c r="T117" s="914"/>
      <c r="U117" s="489"/>
    </row>
    <row r="118" spans="1:21" s="67" customFormat="1" ht="30" customHeight="1" x14ac:dyDescent="0.25">
      <c r="A118" s="92"/>
      <c r="B118" s="487"/>
      <c r="C118" s="914" t="s">
        <v>491</v>
      </c>
      <c r="D118" s="914"/>
      <c r="E118" s="914"/>
      <c r="F118" s="914"/>
      <c r="G118" s="914"/>
      <c r="H118" s="914"/>
      <c r="I118" s="914"/>
      <c r="J118" s="914"/>
      <c r="K118" s="914"/>
      <c r="L118" s="914"/>
      <c r="M118" s="914"/>
      <c r="N118" s="914"/>
      <c r="O118" s="914"/>
      <c r="P118" s="914"/>
      <c r="Q118" s="914"/>
      <c r="R118" s="914"/>
      <c r="S118" s="914"/>
      <c r="T118" s="82"/>
      <c r="U118" s="489"/>
    </row>
    <row r="119" spans="1:21" ht="15" x14ac:dyDescent="0.25">
      <c r="A119" s="2"/>
      <c r="B119" s="487"/>
      <c r="C119" s="2"/>
      <c r="D119" s="1286"/>
      <c r="E119" s="1286"/>
      <c r="F119" s="1286"/>
      <c r="G119" s="1286"/>
      <c r="H119" s="1286"/>
      <c r="I119" s="1286"/>
      <c r="J119" s="2"/>
      <c r="K119" s="2"/>
      <c r="L119" s="2"/>
      <c r="M119" s="67"/>
      <c r="N119" s="2"/>
      <c r="O119" s="2"/>
      <c r="P119" s="2"/>
      <c r="Q119" s="2"/>
      <c r="R119" s="2"/>
      <c r="S119" s="67"/>
      <c r="T119" s="67"/>
      <c r="U119" s="489"/>
    </row>
    <row r="120" spans="1:21" s="67" customFormat="1" ht="22.5" customHeight="1" x14ac:dyDescent="0.25">
      <c r="A120" s="2"/>
      <c r="B120" s="487"/>
      <c r="C120" s="2"/>
      <c r="D120" s="950" t="s">
        <v>440</v>
      </c>
      <c r="E120" s="951"/>
      <c r="F120" s="1246" t="str">
        <f>INDEX(Locations, selection)</f>
        <v>Angmering</v>
      </c>
      <c r="G120" s="1247"/>
      <c r="H120" s="1247"/>
      <c r="I120" s="1247"/>
      <c r="J120" s="2"/>
      <c r="K120" s="2"/>
      <c r="L120" s="2"/>
      <c r="N120" s="2"/>
      <c r="O120" s="2"/>
      <c r="P120" s="2"/>
      <c r="Q120" s="2"/>
      <c r="R120" s="2"/>
      <c r="U120" s="489"/>
    </row>
    <row r="121" spans="1:21" ht="15" x14ac:dyDescent="0.25">
      <c r="A121" s="2"/>
      <c r="B121" s="487"/>
      <c r="C121" s="2"/>
      <c r="D121" s="2"/>
      <c r="E121" s="2"/>
      <c r="G121" s="2"/>
      <c r="H121" s="2"/>
      <c r="I121" s="2"/>
      <c r="J121" s="2"/>
      <c r="K121" s="2"/>
      <c r="L121" s="2"/>
      <c r="M121" s="2"/>
      <c r="N121" s="2"/>
      <c r="O121" s="2"/>
      <c r="P121" s="2"/>
      <c r="Q121" s="2"/>
      <c r="R121" s="2"/>
      <c r="S121" s="2"/>
      <c r="T121" s="2"/>
      <c r="U121" s="489"/>
    </row>
    <row r="122" spans="1:21" ht="29.25" customHeight="1" x14ac:dyDescent="0.25">
      <c r="B122" s="489"/>
      <c r="C122" s="790"/>
      <c r="D122" s="1253"/>
      <c r="E122" s="1254"/>
      <c r="F122" s="1238" t="str">
        <f>Population!F56</f>
        <v>Arun</v>
      </c>
      <c r="G122" s="1239"/>
      <c r="H122" s="1239"/>
      <c r="I122" s="1240"/>
      <c r="J122" s="1241" t="s">
        <v>291</v>
      </c>
      <c r="K122" s="1242"/>
      <c r="L122" s="1242"/>
      <c r="M122" s="1243"/>
      <c r="N122" s="1248" t="s">
        <v>293</v>
      </c>
      <c r="O122" s="1249"/>
      <c r="P122" s="1249"/>
      <c r="Q122" s="1250"/>
      <c r="R122" s="2"/>
      <c r="S122" s="2"/>
      <c r="T122" s="2"/>
      <c r="U122" s="489"/>
    </row>
    <row r="123" spans="1:21" ht="15.75" x14ac:dyDescent="0.25">
      <c r="B123" s="489"/>
      <c r="C123" s="790"/>
      <c r="D123" s="1255"/>
      <c r="E123" s="1256"/>
      <c r="F123" s="510" t="s">
        <v>438</v>
      </c>
      <c r="G123" s="500" t="s">
        <v>439</v>
      </c>
      <c r="H123" s="500" t="s">
        <v>418</v>
      </c>
      <c r="I123" s="509" t="s">
        <v>419</v>
      </c>
      <c r="J123" s="508" t="s">
        <v>438</v>
      </c>
      <c r="K123" s="501" t="s">
        <v>439</v>
      </c>
      <c r="L123" s="501" t="s">
        <v>418</v>
      </c>
      <c r="M123" s="505" t="s">
        <v>419</v>
      </c>
      <c r="N123" s="504" t="s">
        <v>438</v>
      </c>
      <c r="O123" s="502" t="s">
        <v>439</v>
      </c>
      <c r="P123" s="502" t="s">
        <v>418</v>
      </c>
      <c r="Q123" s="503" t="s">
        <v>419</v>
      </c>
      <c r="R123" s="2"/>
      <c r="S123" s="2"/>
      <c r="T123" s="2"/>
      <c r="U123" s="489"/>
    </row>
    <row r="124" spans="1:21" ht="20.25" customHeight="1" x14ac:dyDescent="0.25">
      <c r="B124" s="489"/>
      <c r="C124" s="2"/>
      <c r="D124" s="1274">
        <v>2004</v>
      </c>
      <c r="E124" s="1275"/>
      <c r="F124" s="88">
        <f>IF(F122 = "n/a", "n/a", VLOOKUP($F$122,TeenPregnancy,59, FALSE))</f>
        <v>73</v>
      </c>
      <c r="G124" s="87">
        <f>IF(F122="n/a","n/a",VLOOKUP($F$122,TeenPregnancy,8,FALSE))</f>
        <v>30.659386812263801</v>
      </c>
      <c r="H124" s="87">
        <f>IF(F122="n/a","n/a",VLOOKUP($F$122,TeenPregnancy,25,FALSE))</f>
        <v>24.032065066148299</v>
      </c>
      <c r="I124" s="506">
        <f>IF(F122="n/a","n/a",VLOOKUP($F$122,TeenPregnancy,42,FALSE))</f>
        <v>38.549575885334498</v>
      </c>
      <c r="J124" s="88">
        <f>VLOOKUP(J$122,TeenPregnancy,59, FALSE)</f>
        <v>405</v>
      </c>
      <c r="K124" s="87">
        <f>VLOOKUP(J$122, TeenPregnancy,8, FALSE)</f>
        <v>29.3286986747773</v>
      </c>
      <c r="L124" s="87">
        <f>VLOOKUP(J$122, TeenPregnancy,25, FALSE)</f>
        <v>26.541470188760002</v>
      </c>
      <c r="M124" s="506">
        <f>VLOOKUP(J$122, TeenPregnancy,42, FALSE)</f>
        <v>32.329010082246803</v>
      </c>
      <c r="N124" s="89">
        <f>VLOOKUP(N$122,TeenPregnancy,59, FALSE)</f>
        <v>39593</v>
      </c>
      <c r="O124" s="87">
        <f>VLOOKUP(N$122, TeenPregnancy,8, FALSE)</f>
        <v>41.595795980673401</v>
      </c>
      <c r="P124" s="87">
        <f>VLOOKUP(N$122, TeenPregnancy,25, FALSE)</f>
        <v>41.1870707737652</v>
      </c>
      <c r="Q124" s="506">
        <f>VLOOKUP(N$122, TeenPregnancy,42, FALSE)</f>
        <v>42.007567069314703</v>
      </c>
      <c r="R124" s="2"/>
      <c r="S124" s="2"/>
      <c r="T124" s="2"/>
      <c r="U124" s="489"/>
    </row>
    <row r="125" spans="1:21" ht="20.25" customHeight="1" x14ac:dyDescent="0.25">
      <c r="B125" s="489"/>
      <c r="C125" s="2"/>
      <c r="D125" s="1251">
        <v>2005</v>
      </c>
      <c r="E125" s="1252"/>
      <c r="F125" s="476">
        <f>IF(F122="n/a", "n/a",VLOOKUP($F$122,TeenPregnancy,60, FALSE))</f>
        <v>86</v>
      </c>
      <c r="G125" s="85">
        <f>IF(F122="n/a","n/a",VLOOKUP($F$122,TeenPregnancy,9,FALSE))</f>
        <v>35.173824130879296</v>
      </c>
      <c r="H125" s="85">
        <f>IF(F122="n/a","n/a",VLOOKUP($F$122,TeenPregnancy,26,FALSE))</f>
        <v>28.1345191182699</v>
      </c>
      <c r="I125" s="507">
        <f>IF(F122="n/a","n/a",VLOOKUP($F$122,TeenPregnancy,43,FALSE))</f>
        <v>43.439386659283102</v>
      </c>
      <c r="J125" s="476">
        <f>VLOOKUP(J$122,TeenPregnancy,60, FALSE)</f>
        <v>446</v>
      </c>
      <c r="K125" s="85">
        <f>VLOOKUP(J$122, TeenPregnancy,9, FALSE)</f>
        <v>31.2675266404936</v>
      </c>
      <c r="L125" s="85">
        <f>VLOOKUP(J$122, TeenPregnancy,26, FALSE)</f>
        <v>28.432586852626901</v>
      </c>
      <c r="M125" s="507">
        <f>VLOOKUP(J$122, TeenPregnancy,43, FALSE)</f>
        <v>34.3085951633281</v>
      </c>
      <c r="N125" s="90">
        <f>VLOOKUP(N$122,TeenPregnancy,60, FALSE)</f>
        <v>39804</v>
      </c>
      <c r="O125" s="85">
        <f>VLOOKUP(N$122, TeenPregnancy,9, FALSE)</f>
        <v>41.426295144139701</v>
      </c>
      <c r="P125" s="85">
        <f>VLOOKUP(N$122, TeenPregnancy,26, FALSE)</f>
        <v>41.020313185122497</v>
      </c>
      <c r="Q125" s="507">
        <f>VLOOKUP(N$122, TeenPregnancy,43, FALSE)</f>
        <v>41.8352944791488</v>
      </c>
      <c r="R125" s="2"/>
      <c r="S125" s="2"/>
      <c r="T125" s="2"/>
      <c r="U125" s="489"/>
    </row>
    <row r="126" spans="1:21" ht="20.25" customHeight="1" x14ac:dyDescent="0.25">
      <c r="B126" s="489"/>
      <c r="C126" s="2"/>
      <c r="D126" s="1251">
        <v>2006</v>
      </c>
      <c r="E126" s="1252"/>
      <c r="F126" s="476">
        <f>IF(F122 = "n/a", "n/a",VLOOKUP($F$122,TeenPregnancy,61, FALSE))</f>
        <v>83</v>
      </c>
      <c r="G126" s="85">
        <f>IF(F122="n/a","n/a",VLOOKUP($F$122,TeenPregnancy,10,FALSE))</f>
        <v>34.100246507806098</v>
      </c>
      <c r="H126" s="85">
        <f>IF(F122="n/a","n/a",VLOOKUP($F$122,TeenPregnancy,27,FALSE))</f>
        <v>27.160655997454</v>
      </c>
      <c r="I126" s="507">
        <f>IF(F122="n/a","n/a",VLOOKUP($F$122,TeenPregnancy,44,FALSE))</f>
        <v>42.272386112270397</v>
      </c>
      <c r="J126" s="476">
        <f>VLOOKUP(J$122,TeenPregnancy,61, FALSE)</f>
        <v>408</v>
      </c>
      <c r="K126" s="85">
        <f>VLOOKUP(J$122, TeenPregnancy,10, FALSE)</f>
        <v>28.445931813428199</v>
      </c>
      <c r="L126" s="85">
        <f>VLOOKUP(J$122, TeenPregnancy,27, FALSE)</f>
        <v>25.752305483250101</v>
      </c>
      <c r="M126" s="507">
        <f>VLOOKUP(J$122, TeenPregnancy,44, FALSE)</f>
        <v>31.344695614210099</v>
      </c>
      <c r="N126" s="90">
        <f>VLOOKUP(N$122,TeenPregnancy,61, FALSE)</f>
        <v>39170</v>
      </c>
      <c r="O126" s="85">
        <f>VLOOKUP(N$122, TeenPregnancy,10, FALSE)</f>
        <v>40.586425669437702</v>
      </c>
      <c r="P126" s="85">
        <f>VLOOKUP(N$122, TeenPregnancy,27, FALSE)</f>
        <v>40.185476327619597</v>
      </c>
      <c r="Q126" s="507">
        <f>VLOOKUP(N$122, TeenPregnancy,44, FALSE)</f>
        <v>40.990379103094</v>
      </c>
      <c r="R126" s="2"/>
      <c r="S126" s="2"/>
      <c r="T126" s="2"/>
      <c r="U126" s="489"/>
    </row>
    <row r="127" spans="1:21" ht="20.25" customHeight="1" x14ac:dyDescent="0.25">
      <c r="B127" s="489"/>
      <c r="C127" s="2"/>
      <c r="D127" s="1251">
        <v>2007</v>
      </c>
      <c r="E127" s="1252"/>
      <c r="F127" s="476">
        <f>IF(F122 = "n/a", "n/a",VLOOKUP($F$122,TeenPregnancy,62, FALSE))</f>
        <v>82</v>
      </c>
      <c r="G127" s="85">
        <f>IF(F122="n/a","n/a",VLOOKUP($F$122,TeenPregnancy,11,FALSE))</f>
        <v>33.9685169842585</v>
      </c>
      <c r="H127" s="85">
        <f>IF(F122="n/a","n/a",VLOOKUP($F$122,TeenPregnancy,28,FALSE))</f>
        <v>27.016169622164199</v>
      </c>
      <c r="I127" s="507">
        <f>IF(F122="n/a","n/a",VLOOKUP($F$122,TeenPregnancy,45,FALSE))</f>
        <v>42.163886137559302</v>
      </c>
      <c r="J127" s="476">
        <f>VLOOKUP(J$122,TeenPregnancy,62, FALSE)</f>
        <v>430</v>
      </c>
      <c r="K127" s="85">
        <f>VLOOKUP(J$122, TeenPregnancy, 11, FALSE)</f>
        <v>29.794900221729499</v>
      </c>
      <c r="L127" s="85">
        <f>VLOOKUP(J$122, TeenPregnancy,28, FALSE)</f>
        <v>27.0448852257746</v>
      </c>
      <c r="M127" s="507">
        <f>VLOOKUP(J$122, TeenPregnancy,45, FALSE)</f>
        <v>32.748702440135503</v>
      </c>
      <c r="N127" s="90">
        <f>VLOOKUP(N$122,TeenPregnancy,62, FALSE)</f>
        <v>40366</v>
      </c>
      <c r="O127" s="85">
        <f>VLOOKUP(N$122, TeenPregnancy, 11, FALSE)</f>
        <v>41.381035417762298</v>
      </c>
      <c r="P127" s="85">
        <f>VLOOKUP(N$122, TeenPregnancy,28, FALSE)</f>
        <v>40.978323138194902</v>
      </c>
      <c r="Q127" s="507">
        <f>VLOOKUP(N$122, TeenPregnancy,45, FALSE)</f>
        <v>41.786719777782402</v>
      </c>
      <c r="R127" s="2"/>
      <c r="S127" s="2"/>
      <c r="T127" s="2"/>
      <c r="U127" s="489"/>
    </row>
    <row r="128" spans="1:21" ht="20.25" customHeight="1" x14ac:dyDescent="0.25">
      <c r="B128" s="489"/>
      <c r="C128" s="2"/>
      <c r="D128" s="1251">
        <v>2008</v>
      </c>
      <c r="E128" s="1252"/>
      <c r="F128" s="476">
        <f>IF(F122 = "n/a", "n/a",VLOOKUP($F$122,TeenPregnancy,63, FALSE))</f>
        <v>110</v>
      </c>
      <c r="G128" s="85">
        <f>IF(F122="n/a","n/a",VLOOKUP($F$122,TeenPregnancy,12,FALSE))</f>
        <v>47.129391602399302</v>
      </c>
      <c r="H128" s="85">
        <f>IF(F122="n/a","n/a",VLOOKUP($F$122,TeenPregnancy,29,FALSE))</f>
        <v>38.734628145842201</v>
      </c>
      <c r="I128" s="507">
        <f>IF(F122="n/a","n/a",VLOOKUP($F$122,TeenPregnancy,46,FALSE))</f>
        <v>56.8036619652204</v>
      </c>
      <c r="J128" s="476">
        <f>VLOOKUP(J$122,TeenPregnancy,63, FALSE)</f>
        <v>499</v>
      </c>
      <c r="K128" s="85">
        <f>VLOOKUP(J$122, TeenPregnancy,12, FALSE)</f>
        <v>34.966014995445299</v>
      </c>
      <c r="L128" s="85">
        <f>VLOOKUP(J$122, TeenPregnancy,29, FALSE)</f>
        <v>31.964941164553601</v>
      </c>
      <c r="M128" s="507">
        <f>VLOOKUP(J$122, TeenPregnancy,46, FALSE)</f>
        <v>38.172942625250997</v>
      </c>
      <c r="N128" s="90">
        <f>VLOOKUP(N$122,TeenPregnancy,63, FALSE)</f>
        <v>38783</v>
      </c>
      <c r="O128" s="85">
        <f>VLOOKUP(N$122, TeenPregnancy,12, FALSE)</f>
        <v>39.667749484502302</v>
      </c>
      <c r="P128" s="85">
        <f>VLOOKUP(N$122, TeenPregnancy,29, FALSE)</f>
        <v>39.273930138117699</v>
      </c>
      <c r="Q128" s="507">
        <f>VLOOKUP(N$122, TeenPregnancy,46, FALSE)</f>
        <v>40.064534248180998</v>
      </c>
      <c r="R128" s="2"/>
      <c r="S128" s="2"/>
      <c r="T128" s="2"/>
      <c r="U128" s="489"/>
    </row>
    <row r="129" spans="2:21" ht="20.25" customHeight="1" x14ac:dyDescent="0.25">
      <c r="B129" s="489"/>
      <c r="C129" s="2"/>
      <c r="D129" s="1251">
        <v>2009</v>
      </c>
      <c r="E129" s="1252"/>
      <c r="F129" s="476">
        <f>IF(F122 = "n/a", "n/a", VLOOKUP($F$122,TeenPregnancy,64, FALSE))</f>
        <v>67</v>
      </c>
      <c r="G129" s="85">
        <f>IF(F122="n/a","n/a",VLOOKUP($F$122,TeenPregnancy,13,FALSE))</f>
        <v>29.5154185022026</v>
      </c>
      <c r="H129" s="85">
        <f>IF(F122="n/a","n/a",VLOOKUP($F$122,TeenPregnancy,30,FALSE))</f>
        <v>22.874043931806401</v>
      </c>
      <c r="I129" s="507">
        <f>IF(F122="n/a","n/a",VLOOKUP($F$122,TeenPregnancy,47,FALSE))</f>
        <v>37.4835381620248</v>
      </c>
      <c r="J129" s="476">
        <f>VLOOKUP(J$122,TeenPregnancy,64, FALSE)</f>
        <v>412</v>
      </c>
      <c r="K129" s="85">
        <f>VLOOKUP(J$122, TeenPregnancy,13, FALSE)</f>
        <v>29.434878902622</v>
      </c>
      <c r="L129" s="85">
        <f>VLOOKUP(J$122, TeenPregnancy,30, FALSE)</f>
        <v>26.660833773303299</v>
      </c>
      <c r="M129" s="507">
        <f>VLOOKUP(J$122, TeenPregnancy,47, FALSE)</f>
        <v>32.419115925952603</v>
      </c>
      <c r="N129" s="90">
        <f>VLOOKUP(N$122,TeenPregnancy,64, FALSE)</f>
        <v>35966</v>
      </c>
      <c r="O129" s="85">
        <f>VLOOKUP(N$122, TeenPregnancy,13, FALSE)</f>
        <v>37.113627592412598</v>
      </c>
      <c r="P129" s="85">
        <f>VLOOKUP(N$122, TeenPregnancy,30, FALSE)</f>
        <v>36.731043947885098</v>
      </c>
      <c r="Q129" s="507">
        <f>VLOOKUP(N$122, TeenPregnancy,47, FALSE)</f>
        <v>37.499203222521501</v>
      </c>
      <c r="R129" s="2"/>
      <c r="S129" s="2"/>
      <c r="T129" s="2"/>
      <c r="U129" s="489"/>
    </row>
    <row r="130" spans="2:21" ht="20.25" customHeight="1" x14ac:dyDescent="0.25">
      <c r="B130" s="489"/>
      <c r="C130" s="2"/>
      <c r="D130" s="1251">
        <v>2010</v>
      </c>
      <c r="E130" s="1252"/>
      <c r="F130" s="476">
        <f>IF(F122="n/a","n/a",VLOOKUP($F$122,TeenPregnancy,65,FALSE))</f>
        <v>90</v>
      </c>
      <c r="G130" s="85">
        <f>IF(F122="n/a","n/a",VLOOKUP($F$122,TeenPregnancy,14,FALSE))</f>
        <v>39.787798408488101</v>
      </c>
      <c r="H130" s="85">
        <f>IF(F122="n/a","n/a",VLOOKUP($F$122,TeenPregnancy,31,FALSE))</f>
        <v>31.994088475289999</v>
      </c>
      <c r="I130" s="507">
        <f>IF(F122="n/a","n/a",VLOOKUP($F$122,TeenPregnancy,48,FALSE))</f>
        <v>48.9059592351487</v>
      </c>
      <c r="J130" s="476">
        <f>VLOOKUP(J$122,TeenPregnancy,65, FALSE)</f>
        <v>370</v>
      </c>
      <c r="K130" s="85">
        <f>VLOOKUP(J$122, TeenPregnancy,14, FALSE)</f>
        <v>26.809651474530799</v>
      </c>
      <c r="L130" s="85">
        <f>VLOOKUP(J$122, TeenPregnancy,31, FALSE)</f>
        <v>24.1471809105057</v>
      </c>
      <c r="M130" s="507">
        <f>VLOOKUP(J$122, TeenPregnancy,48, FALSE)</f>
        <v>29.685502403238502</v>
      </c>
      <c r="N130" s="90">
        <f>VLOOKUP(N$122,TeenPregnancy,65, FALSE)</f>
        <v>32552</v>
      </c>
      <c r="O130" s="85">
        <f>VLOOKUP(N$122, TeenPregnancy,14, FALSE)</f>
        <v>34.172206843049501</v>
      </c>
      <c r="P130" s="85">
        <f>VLOOKUP(N$122, TeenPregnancy,31, FALSE)</f>
        <v>33.801981266709397</v>
      </c>
      <c r="Q130" s="507">
        <f>VLOOKUP(N$122, TeenPregnancy,48, FALSE)</f>
        <v>34.545476478362403</v>
      </c>
      <c r="R130" s="2"/>
      <c r="S130" s="2"/>
      <c r="T130" s="2"/>
      <c r="U130" s="489"/>
    </row>
    <row r="131" spans="2:21" ht="20.25" customHeight="1" x14ac:dyDescent="0.25">
      <c r="B131" s="489"/>
      <c r="C131" s="2"/>
      <c r="D131" s="1251">
        <v>2011</v>
      </c>
      <c r="E131" s="1252"/>
      <c r="F131" s="476">
        <f>IF(F122="n/a","n/a",VLOOKUP($F$122,TeenPregnancy,66,FALSE))</f>
        <v>75</v>
      </c>
      <c r="G131" s="85">
        <f>IF(F122="n/a","n/a",VLOOKUP($F$122,TeenPregnancy,15,FALSE))</f>
        <v>32.537960954446902</v>
      </c>
      <c r="H131" s="85">
        <f>IF(F122="n/a","n/a",VLOOKUP($F$122,TeenPregnancy,32,FALSE))</f>
        <v>25.593170369393299</v>
      </c>
      <c r="I131" s="507">
        <f>IF(F122="n/a","n/a",VLOOKUP($F$122,TeenPregnancy,49,FALSE))</f>
        <v>40.7866158129426</v>
      </c>
      <c r="J131" s="476">
        <f>VLOOKUP(J$122,TeenPregnancy,66, FALSE)</f>
        <v>338</v>
      </c>
      <c r="K131" s="85">
        <f>VLOOKUP(J$122, TeenPregnancy, 15, FALSE)</f>
        <v>24.5639534883721</v>
      </c>
      <c r="L131" s="85">
        <f>VLOOKUP(J$122, TeenPregnancy,32, FALSE)</f>
        <v>22.014738354504502</v>
      </c>
      <c r="M131" s="507">
        <f>VLOOKUP(J$122, TeenPregnancy,49, FALSE)</f>
        <v>27.3273533242543</v>
      </c>
      <c r="N131" s="90">
        <f>VLOOKUP(N$122,TeenPregnancy,66, FALSE)</f>
        <v>29166</v>
      </c>
      <c r="O131" s="85">
        <f>VLOOKUP(N$122, TeenPregnancy, 15, FALSE)</f>
        <v>30.703799813667501</v>
      </c>
      <c r="P131" s="85">
        <f>VLOOKUP(N$122, TeenPregnancy,32, FALSE)</f>
        <v>30.3524255518617</v>
      </c>
      <c r="Q131" s="507">
        <f>VLOOKUP(N$122, TeenPregnancy,49, FALSE)</f>
        <v>31.058227019034799</v>
      </c>
      <c r="R131" s="2"/>
      <c r="S131" s="2"/>
      <c r="T131" s="2"/>
      <c r="U131" s="489"/>
    </row>
    <row r="132" spans="2:21" ht="20.25" customHeight="1" x14ac:dyDescent="0.25">
      <c r="B132" s="489"/>
      <c r="C132" s="2"/>
      <c r="D132" s="1251">
        <v>2012</v>
      </c>
      <c r="E132" s="1252"/>
      <c r="F132" s="476">
        <f>IF(F122="n/a","n/a",VLOOKUP($F$122,TeenPregnancy,67,FALSE))</f>
        <v>55</v>
      </c>
      <c r="G132" s="85">
        <f>IF(F122="n/a","n/a",VLOOKUP($F$122,TeenPregnancy,16,FALSE))</f>
        <v>24.165202108963101</v>
      </c>
      <c r="H132" s="85">
        <f>IF(F122="n/a","n/a",VLOOKUP($F$122,TeenPregnancy,33,FALSE))</f>
        <v>18.204537333672398</v>
      </c>
      <c r="I132" s="507">
        <f>IF(F122="n/a","n/a",VLOOKUP($F$122,TeenPregnancy,50,FALSE))</f>
        <v>31.4543321511245</v>
      </c>
      <c r="J132" s="476">
        <f>VLOOKUP(J$122,TeenPregnancy,67, FALSE)</f>
        <v>308</v>
      </c>
      <c r="K132" s="85">
        <f>VLOOKUP(J$122, TeenPregnancy,16, FALSE)</f>
        <v>22.549234936671802</v>
      </c>
      <c r="L132" s="85">
        <f>VLOOKUP(J$122, TeenPregnancy,33, FALSE)</f>
        <v>20.100995336870099</v>
      </c>
      <c r="M132" s="507">
        <f>VLOOKUP(J$122, TeenPregnancy,50, FALSE)</f>
        <v>25.213425493401299</v>
      </c>
      <c r="N132" s="90">
        <f>VLOOKUP(N$122,TeenPregnancy,67, FALSE)</f>
        <v>26157</v>
      </c>
      <c r="O132" s="85">
        <f>VLOOKUP(N$122, TeenPregnancy,16, FALSE)</f>
        <v>27.746396850804601</v>
      </c>
      <c r="P132" s="85">
        <f>VLOOKUP(N$122, TeenPregnancy,33, FALSE)</f>
        <v>27.411153798826501</v>
      </c>
      <c r="Q132" s="507">
        <f>VLOOKUP(N$122, TeenPregnancy,50, FALSE)</f>
        <v>28.084716496413598</v>
      </c>
      <c r="R132" s="2"/>
      <c r="S132" s="2"/>
      <c r="T132" s="2"/>
      <c r="U132" s="489"/>
    </row>
    <row r="133" spans="2:21" ht="20.25" customHeight="1" x14ac:dyDescent="0.25">
      <c r="B133" s="489"/>
      <c r="C133" s="2"/>
      <c r="D133" s="1251">
        <v>2013</v>
      </c>
      <c r="E133" s="1252"/>
      <c r="F133" s="576">
        <f>IF(F122="n/a","n/a",VLOOKUP($F$122,TeenPregnancy,68,FALSE))</f>
        <v>57</v>
      </c>
      <c r="G133" s="85">
        <f>IF(F122="n/a","n/a",VLOOKUP($F$122,TeenPregnancy,17,FALSE))</f>
        <v>25.1433612704014</v>
      </c>
      <c r="H133" s="85">
        <f>IF(F122="n/a","n/a",VLOOKUP($F$122,TeenPregnancy,34,FALSE))</f>
        <v>19.043336287130501</v>
      </c>
      <c r="I133" s="507">
        <f>IF(F122="n/a","n/a",VLOOKUP($F$122,TeenPregnancy,51,FALSE))</f>
        <v>32.576140892352399</v>
      </c>
      <c r="J133" s="576">
        <f>VLOOKUP(J$122,TeenPregnancy,68, FALSE)</f>
        <v>260</v>
      </c>
      <c r="K133" s="85">
        <f>VLOOKUP(J$122, TeenPregnancy,17, FALSE)</f>
        <v>18.889857599534999</v>
      </c>
      <c r="L133" s="85">
        <f>VLOOKUP(J$122, TeenPregnancy,34, FALSE)</f>
        <v>16.6633302389641</v>
      </c>
      <c r="M133" s="507">
        <f>VLOOKUP(J$122, TeenPregnancy,51, FALSE)</f>
        <v>21.3310406053787</v>
      </c>
      <c r="N133" s="90">
        <f>VLOOKUP(N$122,TeenPregnancy,68, FALSE)</f>
        <v>22830</v>
      </c>
      <c r="O133" s="85">
        <f>VLOOKUP(N$122, TeenPregnancy,17, FALSE)</f>
        <v>24.346104996443501</v>
      </c>
      <c r="P133" s="85">
        <f>VLOOKUP(N$122, TeenPregnancy,34, FALSE)</f>
        <v>24.031307059552699</v>
      </c>
      <c r="Q133" s="507">
        <f>VLOOKUP(N$122, TeenPregnancy,51, FALSE)</f>
        <v>24.663996352247</v>
      </c>
      <c r="R133" s="2"/>
      <c r="S133" s="2"/>
      <c r="T133" s="2"/>
      <c r="U133" s="489"/>
    </row>
    <row r="134" spans="2:21" ht="21" customHeight="1" x14ac:dyDescent="0.25">
      <c r="B134" s="489"/>
      <c r="C134" s="2"/>
      <c r="D134" s="1276">
        <v>2014</v>
      </c>
      <c r="E134" s="1277"/>
      <c r="F134" s="511">
        <f>IF(F123="n/a","n/a",VLOOKUP($F$122,TeenPregnancy,69,FALSE))</f>
        <v>57</v>
      </c>
      <c r="G134" s="512">
        <f>IF(F122="n/a","n/a",VLOOKUP($F$122,TeenPregnancy,18,FALSE))</f>
        <v>25.412394115024519</v>
      </c>
      <c r="H134" s="512">
        <f>IF(F123="n/a","n/a",VLOOKUP($F$122,TeenPregnancy,35,FALSE))</f>
        <v>19.247099136390879</v>
      </c>
      <c r="I134" s="513">
        <f>IF(F123="n/a","n/a",VLOOKUP($F$122,TeenPregnancy,52,FALSE))</f>
        <v>32.924704147553634</v>
      </c>
      <c r="J134" s="511">
        <f>VLOOKUP(J$122,TeenPregnancy,69, FALSE)</f>
        <v>249</v>
      </c>
      <c r="K134" s="512">
        <f>VLOOKUP(J$122, TeenPregnancy,18, FALSE)</f>
        <v>18.227069760632457</v>
      </c>
      <c r="L134" s="512">
        <f>VLOOKUP(J$122, TeenPregnancy,35, FALSE)</f>
        <v>16.033237530579978</v>
      </c>
      <c r="M134" s="513">
        <f>VLOOKUP(J$122, TeenPregnancy,52, FALSE)</f>
        <v>20.637271405617639</v>
      </c>
      <c r="N134" s="514">
        <f>VLOOKUP(N$122,TeenPregnancy,69, FALSE)</f>
        <v>21282</v>
      </c>
      <c r="O134" s="512">
        <f>VLOOKUP(N$122, TeenPregnancy,18, FALSE)</f>
        <v>22.804472171086047</v>
      </c>
      <c r="P134" s="512">
        <f>VLOOKUP(N$122, TeenPregnancy,35, FALSE)</f>
        <v>22.499107179936512</v>
      </c>
      <c r="Q134" s="513">
        <f>VLOOKUP(N$122, TeenPregnancy,52, FALSE)</f>
        <v>23.112945708503545</v>
      </c>
      <c r="R134" s="2"/>
      <c r="S134" s="2"/>
      <c r="T134" s="2"/>
      <c r="U134" s="489"/>
    </row>
    <row r="135" spans="2:21" x14ac:dyDescent="0.2">
      <c r="B135" s="489"/>
      <c r="C135" s="67"/>
      <c r="D135" s="67"/>
      <c r="F135" s="74" t="str">
        <f>F122</f>
        <v>Arun</v>
      </c>
      <c r="G135" s="74" t="str">
        <f>J122</f>
        <v>West Sussex</v>
      </c>
      <c r="H135" s="74" t="str">
        <f>N122</f>
        <v>England</v>
      </c>
      <c r="I135" s="67"/>
      <c r="J135" s="67"/>
      <c r="K135" s="67"/>
      <c r="L135" s="67"/>
      <c r="M135" s="67"/>
      <c r="N135" s="67"/>
      <c r="S135" s="67"/>
      <c r="T135" s="67"/>
      <c r="U135" s="489"/>
    </row>
    <row r="136" spans="2:21" x14ac:dyDescent="0.2">
      <c r="B136" s="489"/>
      <c r="C136" s="67"/>
      <c r="D136" s="433"/>
      <c r="E136" s="433"/>
      <c r="F136" s="433"/>
      <c r="G136" s="433"/>
      <c r="H136" s="433"/>
      <c r="I136" s="433"/>
      <c r="J136" s="433"/>
      <c r="K136" s="433"/>
      <c r="L136" s="433"/>
      <c r="M136" s="433"/>
      <c r="N136" s="433"/>
      <c r="O136" s="433"/>
      <c r="P136" s="433"/>
      <c r="Q136" s="433"/>
      <c r="R136" s="433"/>
      <c r="S136" s="433"/>
      <c r="T136" s="67"/>
      <c r="U136" s="489"/>
    </row>
    <row r="137" spans="2:21" x14ac:dyDescent="0.2">
      <c r="B137" s="489"/>
      <c r="C137" s="67"/>
      <c r="D137" s="433"/>
      <c r="E137" s="433"/>
      <c r="F137" s="686"/>
      <c r="G137" s="433"/>
      <c r="H137" s="433"/>
      <c r="I137" s="433"/>
      <c r="J137" s="433"/>
      <c r="K137" s="433"/>
      <c r="L137" s="433"/>
      <c r="M137" s="433"/>
      <c r="N137" s="433"/>
      <c r="O137" s="433"/>
      <c r="P137" s="433"/>
      <c r="Q137" s="433"/>
      <c r="R137" s="433"/>
      <c r="S137" s="433"/>
      <c r="T137" s="67"/>
      <c r="U137" s="489"/>
    </row>
    <row r="138" spans="2:21" x14ac:dyDescent="0.2">
      <c r="B138" s="489"/>
      <c r="C138" s="67"/>
      <c r="D138" s="433"/>
      <c r="E138" s="433"/>
      <c r="F138" s="686"/>
      <c r="G138" s="433"/>
      <c r="H138" s="433"/>
      <c r="I138" s="433"/>
      <c r="J138" s="433"/>
      <c r="K138" s="433"/>
      <c r="L138" s="433"/>
      <c r="M138" s="433"/>
      <c r="N138" s="433"/>
      <c r="O138" s="433"/>
      <c r="P138" s="433"/>
      <c r="Q138" s="433"/>
      <c r="R138" s="433"/>
      <c r="S138" s="433"/>
      <c r="T138" s="67"/>
      <c r="U138" s="489"/>
    </row>
    <row r="139" spans="2:21" x14ac:dyDescent="0.2">
      <c r="B139" s="489"/>
      <c r="C139" s="67"/>
      <c r="D139" s="433"/>
      <c r="E139" s="433"/>
      <c r="F139" s="686"/>
      <c r="G139" s="433"/>
      <c r="H139" s="74"/>
      <c r="I139" s="74"/>
      <c r="J139" s="74"/>
      <c r="K139" s="74"/>
      <c r="L139" s="74"/>
      <c r="M139" s="74"/>
      <c r="N139" s="74"/>
      <c r="O139" s="74"/>
      <c r="P139" s="74"/>
      <c r="Q139" s="74"/>
      <c r="R139" s="433"/>
      <c r="S139" s="433"/>
      <c r="T139" s="67"/>
      <c r="U139" s="489"/>
    </row>
    <row r="140" spans="2:21" x14ac:dyDescent="0.2">
      <c r="B140" s="489"/>
      <c r="C140" s="67"/>
      <c r="D140" s="433"/>
      <c r="E140" s="433"/>
      <c r="F140" s="686"/>
      <c r="G140" s="433"/>
      <c r="H140" s="91">
        <f>G129-H129</f>
        <v>6.6413745703961986</v>
      </c>
      <c r="I140" s="91">
        <f t="shared" ref="I140:I145" si="10">I129-G129</f>
        <v>7.9681196598222002</v>
      </c>
      <c r="J140" s="74"/>
      <c r="K140" s="74"/>
      <c r="L140" s="91">
        <f>K129-L129</f>
        <v>2.7740451293187007</v>
      </c>
      <c r="M140" s="91">
        <f>M129-K129</f>
        <v>2.9842370233306035</v>
      </c>
      <c r="N140" s="74"/>
      <c r="O140" s="74"/>
      <c r="P140" s="91">
        <f>O129-P129</f>
        <v>0.38258364452750016</v>
      </c>
      <c r="Q140" s="91">
        <f>Q129-O129</f>
        <v>0.38557563010890306</v>
      </c>
      <c r="R140" s="433"/>
      <c r="S140" s="433"/>
      <c r="T140" s="67"/>
      <c r="U140" s="489"/>
    </row>
    <row r="141" spans="2:21" x14ac:dyDescent="0.2">
      <c r="B141" s="489"/>
      <c r="C141" s="67"/>
      <c r="D141" s="433"/>
      <c r="E141" s="433"/>
      <c r="F141" s="686"/>
      <c r="G141" s="433"/>
      <c r="H141" s="91">
        <f t="shared" ref="H141:H143" si="11">G130-H130</f>
        <v>7.7937099331981017</v>
      </c>
      <c r="I141" s="91">
        <f t="shared" si="10"/>
        <v>9.1181608266605991</v>
      </c>
      <c r="J141" s="74"/>
      <c r="K141" s="74"/>
      <c r="L141" s="91">
        <f t="shared" ref="L141:L144" si="12">K130-L130</f>
        <v>2.6624705640250994</v>
      </c>
      <c r="M141" s="91">
        <f t="shared" ref="M141:M144" si="13">M130-K130</f>
        <v>2.8758509287077025</v>
      </c>
      <c r="N141" s="74"/>
      <c r="O141" s="74"/>
      <c r="P141" s="91">
        <f t="shared" ref="P141:P144" si="14">O130-P130</f>
        <v>0.37022557634010411</v>
      </c>
      <c r="Q141" s="91">
        <f t="shared" ref="Q141:Q144" si="15">Q130-O130</f>
        <v>0.37326963531290147</v>
      </c>
      <c r="R141" s="433"/>
      <c r="S141" s="433"/>
      <c r="T141" s="67"/>
      <c r="U141" s="489"/>
    </row>
    <row r="142" spans="2:21" x14ac:dyDescent="0.2">
      <c r="B142" s="489"/>
      <c r="C142" s="67"/>
      <c r="D142" s="433"/>
      <c r="E142" s="433"/>
      <c r="F142" s="433"/>
      <c r="G142" s="433"/>
      <c r="H142" s="91">
        <f t="shared" si="11"/>
        <v>6.9447905850536031</v>
      </c>
      <c r="I142" s="91">
        <f t="shared" si="10"/>
        <v>8.2486548584956978</v>
      </c>
      <c r="J142" s="74"/>
      <c r="K142" s="74"/>
      <c r="L142" s="91">
        <f t="shared" si="12"/>
        <v>2.5492151338675981</v>
      </c>
      <c r="M142" s="91">
        <f t="shared" si="13"/>
        <v>2.7633998358822005</v>
      </c>
      <c r="N142" s="74"/>
      <c r="O142" s="74"/>
      <c r="P142" s="91">
        <f t="shared" si="14"/>
        <v>0.35137426180580178</v>
      </c>
      <c r="Q142" s="91">
        <f t="shared" si="15"/>
        <v>0.35442720536729766</v>
      </c>
      <c r="R142" s="433"/>
      <c r="S142" s="433"/>
      <c r="T142" s="67"/>
      <c r="U142" s="489"/>
    </row>
    <row r="143" spans="2:21" x14ac:dyDescent="0.2">
      <c r="B143" s="489"/>
      <c r="C143" s="67"/>
      <c r="D143" s="433"/>
      <c r="E143" s="433"/>
      <c r="F143" s="433"/>
      <c r="G143" s="433"/>
      <c r="H143" s="91">
        <f t="shared" si="11"/>
        <v>5.9606647752907023</v>
      </c>
      <c r="I143" s="91">
        <f t="shared" si="10"/>
        <v>7.2891300421613998</v>
      </c>
      <c r="J143" s="74"/>
      <c r="K143" s="74"/>
      <c r="L143" s="91">
        <f t="shared" si="12"/>
        <v>2.4482395998017026</v>
      </c>
      <c r="M143" s="91">
        <f t="shared" si="13"/>
        <v>2.6641905567294977</v>
      </c>
      <c r="N143" s="74"/>
      <c r="O143" s="74"/>
      <c r="P143" s="91">
        <f t="shared" si="14"/>
        <v>0.33524305197810023</v>
      </c>
      <c r="Q143" s="91">
        <f t="shared" si="15"/>
        <v>0.33831964560899763</v>
      </c>
      <c r="R143" s="433"/>
      <c r="S143" s="433"/>
      <c r="T143" s="67"/>
      <c r="U143" s="489"/>
    </row>
    <row r="144" spans="2:21" x14ac:dyDescent="0.2">
      <c r="B144" s="489"/>
      <c r="C144" s="67"/>
      <c r="D144" s="433"/>
      <c r="E144" s="433"/>
      <c r="F144" s="433"/>
      <c r="G144" s="433"/>
      <c r="H144" s="91">
        <f>G133-H133</f>
        <v>6.1000249832708988</v>
      </c>
      <c r="I144" s="91">
        <f t="shared" si="10"/>
        <v>7.4327796219509992</v>
      </c>
      <c r="J144" s="74"/>
      <c r="K144" s="74"/>
      <c r="L144" s="91">
        <f t="shared" si="12"/>
        <v>2.2265273605708984</v>
      </c>
      <c r="M144" s="91">
        <f t="shared" si="13"/>
        <v>2.4411830058437012</v>
      </c>
      <c r="N144" s="74"/>
      <c r="O144" s="74"/>
      <c r="P144" s="91">
        <f t="shared" si="14"/>
        <v>0.31479793689080182</v>
      </c>
      <c r="Q144" s="91">
        <f t="shared" si="15"/>
        <v>0.31789135580349992</v>
      </c>
      <c r="R144" s="433"/>
      <c r="S144" s="433"/>
      <c r="T144" s="67"/>
      <c r="U144" s="489"/>
    </row>
    <row r="145" spans="2:21" x14ac:dyDescent="0.2">
      <c r="B145" s="489"/>
      <c r="C145" s="67"/>
      <c r="D145" s="433"/>
      <c r="E145" s="433"/>
      <c r="F145" s="433"/>
      <c r="G145" s="433"/>
      <c r="H145" s="91">
        <f>G134-H134</f>
        <v>6.1652949786336393</v>
      </c>
      <c r="I145" s="91">
        <f t="shared" si="10"/>
        <v>7.5123100325291148</v>
      </c>
      <c r="J145" s="74"/>
      <c r="K145" s="74"/>
      <c r="L145" s="91">
        <f t="shared" ref="L145" si="16">K134-L134</f>
        <v>2.1938322300524788</v>
      </c>
      <c r="M145" s="91">
        <f t="shared" ref="M145" si="17">M134-K134</f>
        <v>2.4102016449851824</v>
      </c>
      <c r="N145" s="74"/>
      <c r="O145" s="74"/>
      <c r="P145" s="91">
        <f t="shared" ref="P145" si="18">O134-P134</f>
        <v>0.30536499114953486</v>
      </c>
      <c r="Q145" s="91">
        <f t="shared" ref="Q145" si="19">Q134-O134</f>
        <v>0.30847353741749828</v>
      </c>
      <c r="R145" s="433"/>
      <c r="S145" s="433"/>
      <c r="T145" s="67"/>
      <c r="U145" s="489"/>
    </row>
    <row r="146" spans="2:21" x14ac:dyDescent="0.2">
      <c r="B146" s="489"/>
      <c r="C146" s="67"/>
      <c r="D146" s="433"/>
      <c r="E146" s="433"/>
      <c r="F146" s="433"/>
      <c r="G146" s="433"/>
      <c r="H146" s="74"/>
      <c r="I146" s="74"/>
      <c r="J146" s="74"/>
      <c r="K146" s="74"/>
      <c r="L146" s="74"/>
      <c r="M146" s="74"/>
      <c r="N146" s="74"/>
      <c r="O146" s="74"/>
      <c r="P146" s="74"/>
      <c r="Q146" s="74"/>
      <c r="R146" s="433"/>
      <c r="S146" s="433"/>
      <c r="T146" s="67"/>
      <c r="U146" s="489"/>
    </row>
    <row r="147" spans="2:21" x14ac:dyDescent="0.2">
      <c r="B147" s="489"/>
      <c r="C147" s="67"/>
      <c r="D147" s="433"/>
      <c r="E147" s="433"/>
      <c r="F147" s="686"/>
      <c r="G147" s="433"/>
      <c r="H147" s="433"/>
      <c r="I147" s="433"/>
      <c r="J147" s="433"/>
      <c r="K147" s="433"/>
      <c r="L147" s="433"/>
      <c r="M147" s="433"/>
      <c r="N147" s="433"/>
      <c r="O147" s="433"/>
      <c r="P147" s="433"/>
      <c r="Q147" s="433"/>
      <c r="R147" s="433"/>
      <c r="S147" s="433"/>
      <c r="T147" s="67"/>
      <c r="U147" s="489"/>
    </row>
    <row r="148" spans="2:21" x14ac:dyDescent="0.2">
      <c r="B148" s="489"/>
      <c r="C148" s="67"/>
      <c r="D148" s="433"/>
      <c r="E148" s="433"/>
      <c r="F148" s="686"/>
      <c r="G148" s="433"/>
      <c r="H148" s="433"/>
      <c r="I148" s="433"/>
      <c r="J148" s="433"/>
      <c r="K148" s="433"/>
      <c r="L148" s="433"/>
      <c r="M148" s="433"/>
      <c r="N148" s="433"/>
      <c r="O148" s="433"/>
      <c r="P148" s="433"/>
      <c r="Q148" s="433"/>
      <c r="R148" s="433"/>
      <c r="S148" s="433"/>
      <c r="T148" s="67"/>
      <c r="U148" s="489"/>
    </row>
    <row r="149" spans="2:21" x14ac:dyDescent="0.2">
      <c r="B149" s="489"/>
      <c r="C149" s="67"/>
      <c r="D149" s="433"/>
      <c r="E149" s="433"/>
      <c r="F149" s="433"/>
      <c r="G149" s="433"/>
      <c r="H149" s="433"/>
      <c r="I149" s="433"/>
      <c r="J149" s="433"/>
      <c r="K149" s="433"/>
      <c r="L149" s="433"/>
      <c r="M149" s="433"/>
      <c r="N149" s="433"/>
      <c r="O149" s="433"/>
      <c r="P149" s="433"/>
      <c r="Q149" s="433"/>
      <c r="R149" s="433"/>
      <c r="S149" s="433"/>
      <c r="T149" s="67"/>
      <c r="U149" s="489"/>
    </row>
    <row r="150" spans="2:21" s="67" customFormat="1" x14ac:dyDescent="0.2">
      <c r="B150" s="489"/>
      <c r="D150" s="433"/>
      <c r="E150" s="433"/>
      <c r="F150" s="433"/>
      <c r="G150" s="433"/>
      <c r="H150" s="433"/>
      <c r="I150" s="433"/>
      <c r="J150" s="433"/>
      <c r="K150" s="433"/>
      <c r="L150" s="433"/>
      <c r="M150" s="433"/>
      <c r="N150" s="433"/>
      <c r="O150" s="433"/>
      <c r="P150" s="433"/>
      <c r="Q150" s="433"/>
      <c r="R150" s="433"/>
      <c r="S150" s="433"/>
      <c r="U150" s="489"/>
    </row>
    <row r="151" spans="2:21" s="67" customFormat="1" x14ac:dyDescent="0.2">
      <c r="B151" s="489"/>
      <c r="U151" s="489"/>
    </row>
    <row r="152" spans="2:21" x14ac:dyDescent="0.2">
      <c r="B152" s="489"/>
      <c r="C152" s="67"/>
      <c r="D152" s="67"/>
      <c r="F152" s="67"/>
      <c r="I152" s="67"/>
      <c r="J152" s="67"/>
      <c r="K152" s="67"/>
      <c r="L152" s="67"/>
      <c r="M152" s="67"/>
      <c r="N152" s="67"/>
      <c r="S152" s="67"/>
      <c r="T152" s="67"/>
      <c r="U152" s="489"/>
    </row>
    <row r="153" spans="2:21" x14ac:dyDescent="0.2">
      <c r="B153" s="489"/>
      <c r="C153" s="489"/>
      <c r="D153" s="489"/>
      <c r="E153" s="489"/>
      <c r="F153" s="489"/>
      <c r="G153" s="489"/>
      <c r="H153" s="489"/>
      <c r="I153" s="489"/>
      <c r="J153" s="489"/>
      <c r="K153" s="489"/>
      <c r="L153" s="489"/>
      <c r="M153" s="489"/>
      <c r="N153" s="489"/>
      <c r="O153" s="489"/>
      <c r="P153" s="489"/>
      <c r="Q153" s="489"/>
      <c r="R153" s="489"/>
      <c r="S153" s="489"/>
      <c r="T153" s="489"/>
      <c r="U153" s="489"/>
    </row>
    <row r="154" spans="2:21" x14ac:dyDescent="0.2">
      <c r="B154" s="489"/>
      <c r="C154" s="489"/>
      <c r="D154" s="489"/>
      <c r="E154" s="489"/>
      <c r="F154" s="489"/>
      <c r="G154" s="489"/>
      <c r="H154" s="489"/>
      <c r="I154" s="489"/>
      <c r="J154" s="489"/>
      <c r="K154" s="489"/>
      <c r="L154" s="489"/>
      <c r="M154" s="489"/>
      <c r="N154" s="489"/>
      <c r="O154" s="489"/>
      <c r="P154" s="489"/>
      <c r="Q154" s="489"/>
      <c r="R154" s="489"/>
      <c r="S154" s="489"/>
      <c r="T154" s="489"/>
      <c r="U154" s="489"/>
    </row>
    <row r="155" spans="2:21" s="67" customFormat="1" x14ac:dyDescent="0.2">
      <c r="B155" s="489"/>
      <c r="C155" s="489"/>
      <c r="D155" s="489"/>
      <c r="E155" s="489"/>
      <c r="F155" s="489"/>
      <c r="G155" s="489"/>
      <c r="H155" s="489"/>
      <c r="I155" s="489"/>
      <c r="J155" s="489"/>
      <c r="K155" s="489"/>
      <c r="L155" s="489"/>
      <c r="M155" s="489"/>
      <c r="N155" s="489"/>
      <c r="O155" s="489"/>
      <c r="P155" s="489"/>
      <c r="Q155" s="489"/>
      <c r="R155" s="489"/>
      <c r="S155" s="489"/>
      <c r="T155" s="489"/>
      <c r="U155" s="489"/>
    </row>
    <row r="156" spans="2:21" s="67" customFormat="1" x14ac:dyDescent="0.2">
      <c r="B156" s="489"/>
      <c r="U156" s="489"/>
    </row>
    <row r="157" spans="2:21" s="67" customFormat="1" ht="21" customHeight="1" x14ac:dyDescent="0.25">
      <c r="B157" s="489"/>
      <c r="C157" s="127" t="s">
        <v>1136</v>
      </c>
      <c r="D157" s="128"/>
      <c r="E157" s="128"/>
      <c r="F157" s="128"/>
      <c r="G157" s="128"/>
      <c r="H157" s="128"/>
      <c r="I157" s="128"/>
      <c r="J157" s="128"/>
      <c r="K157" s="128"/>
      <c r="L157" s="128"/>
      <c r="M157" s="128"/>
      <c r="N157" s="128"/>
      <c r="O157" s="128"/>
      <c r="P157" s="128"/>
      <c r="Q157" s="128"/>
      <c r="R157" s="128"/>
      <c r="S157" s="128"/>
      <c r="T157" s="92"/>
      <c r="U157" s="489"/>
    </row>
    <row r="158" spans="2:21" s="67" customFormat="1" ht="30" customHeight="1" x14ac:dyDescent="0.25">
      <c r="B158" s="489"/>
      <c r="C158" s="914" t="s">
        <v>1137</v>
      </c>
      <c r="D158" s="914"/>
      <c r="E158" s="914"/>
      <c r="F158" s="914"/>
      <c r="G158" s="914"/>
      <c r="H158" s="914"/>
      <c r="I158" s="914"/>
      <c r="J158" s="914"/>
      <c r="K158" s="914"/>
      <c r="L158" s="914"/>
      <c r="M158" s="914"/>
      <c r="N158" s="914"/>
      <c r="O158" s="914"/>
      <c r="P158" s="914"/>
      <c r="Q158" s="914"/>
      <c r="R158" s="914"/>
      <c r="S158" s="914"/>
      <c r="T158" s="92"/>
      <c r="U158" s="489"/>
    </row>
    <row r="159" spans="2:21" s="67" customFormat="1" ht="15" x14ac:dyDescent="0.25">
      <c r="B159" s="489"/>
      <c r="C159" s="92"/>
      <c r="D159" s="92"/>
      <c r="E159" s="92"/>
      <c r="F159" s="92"/>
      <c r="G159" s="92"/>
      <c r="H159" s="92"/>
      <c r="I159" s="92"/>
      <c r="J159" s="92"/>
      <c r="K159" s="92"/>
      <c r="L159" s="92"/>
      <c r="M159" s="92"/>
      <c r="N159" s="92"/>
      <c r="O159" s="92"/>
      <c r="P159" s="92"/>
      <c r="Q159" s="92"/>
      <c r="R159" s="92"/>
      <c r="S159" s="92"/>
      <c r="T159" s="92"/>
      <c r="U159" s="489"/>
    </row>
    <row r="160" spans="2:21" s="67" customFormat="1" ht="15" x14ac:dyDescent="0.25">
      <c r="B160" s="489"/>
      <c r="C160" s="92"/>
      <c r="D160" s="92"/>
      <c r="E160" s="92"/>
      <c r="F160" s="92"/>
      <c r="G160" s="92"/>
      <c r="H160" s="92"/>
      <c r="I160" s="92"/>
      <c r="J160" s="92"/>
      <c r="K160" s="92"/>
      <c r="L160" s="92"/>
      <c r="M160" s="70"/>
      <c r="N160" s="70"/>
      <c r="O160" s="468"/>
      <c r="P160" s="70"/>
      <c r="Q160" s="70"/>
      <c r="R160" s="70"/>
      <c r="S160" s="70"/>
      <c r="T160" s="92"/>
      <c r="U160" s="489"/>
    </row>
    <row r="161" spans="2:21" ht="15" customHeight="1" x14ac:dyDescent="0.25">
      <c r="B161" s="489"/>
      <c r="C161" s="92"/>
      <c r="D161" s="1268">
        <v>2013</v>
      </c>
      <c r="E161" s="1269"/>
      <c r="F161" s="1269"/>
      <c r="G161" s="1269"/>
      <c r="H161" s="1269"/>
      <c r="I161" s="880" t="str">
        <f>INDEX(Locations, selection)</f>
        <v>Angmering</v>
      </c>
      <c r="J161" s="880"/>
      <c r="K161" s="880"/>
      <c r="L161" s="1115" t="str">
        <f>INDEX(Locations, selection2)</f>
        <v>Bewbush</v>
      </c>
      <c r="M161" s="1115"/>
      <c r="N161" s="1115"/>
      <c r="O161" s="634"/>
      <c r="Q161" s="70"/>
      <c r="R161" s="70"/>
      <c r="S161" s="70"/>
      <c r="T161" s="92"/>
      <c r="U161" s="489"/>
    </row>
    <row r="162" spans="2:21" ht="15" x14ac:dyDescent="0.25">
      <c r="B162" s="489"/>
      <c r="C162" s="92"/>
      <c r="D162" s="1270"/>
      <c r="E162" s="1271"/>
      <c r="F162" s="1271"/>
      <c r="G162" s="1271"/>
      <c r="H162" s="1271"/>
      <c r="I162" s="880"/>
      <c r="J162" s="880"/>
      <c r="K162" s="880"/>
      <c r="L162" s="1115"/>
      <c r="M162" s="1115"/>
      <c r="N162" s="1115"/>
      <c r="O162" s="634"/>
      <c r="S162" s="70"/>
      <c r="T162" s="92"/>
      <c r="U162" s="489"/>
    </row>
    <row r="163" spans="2:21" ht="15" x14ac:dyDescent="0.25">
      <c r="B163" s="489"/>
      <c r="C163" s="92"/>
      <c r="D163" s="1272"/>
      <c r="E163" s="1273"/>
      <c r="F163" s="1273"/>
      <c r="G163" s="1273"/>
      <c r="H163" s="1273"/>
      <c r="I163" s="880"/>
      <c r="J163" s="880"/>
      <c r="K163" s="880"/>
      <c r="L163" s="1115"/>
      <c r="M163" s="1115"/>
      <c r="N163" s="1115"/>
      <c r="O163" s="634"/>
      <c r="P163" s="1"/>
      <c r="S163" s="70"/>
      <c r="T163" s="92"/>
      <c r="U163" s="489"/>
    </row>
    <row r="164" spans="2:21" s="67" customFormat="1" ht="15" x14ac:dyDescent="0.25">
      <c r="B164" s="489"/>
      <c r="C164" s="581" t="s">
        <v>998</v>
      </c>
      <c r="D164" s="1279" t="s">
        <v>1101</v>
      </c>
      <c r="E164" s="1280"/>
      <c r="F164" s="1280"/>
      <c r="G164" s="1280"/>
      <c r="H164" s="1280"/>
      <c r="I164" s="1244">
        <f>IF(HLOOKUP(C164, Birthweight, selection+1, FALSE) = "", "", HLOOKUP(C164,Birthweight, selection+1, FALSE))</f>
        <v>11</v>
      </c>
      <c r="J164" s="1244"/>
      <c r="K164" s="1244"/>
      <c r="L164" s="1244">
        <f>IF(HLOOKUP(C164, Birthweight, selection2+1, FALSE) = "", "", HLOOKUP(C164,Birthweight, selection2+1, FALSE))</f>
        <v>22</v>
      </c>
      <c r="M164" s="1244"/>
      <c r="N164" s="1244"/>
      <c r="O164" s="35"/>
      <c r="S164" s="70"/>
      <c r="T164" s="627"/>
      <c r="U164" s="489"/>
    </row>
    <row r="165" spans="2:21" ht="15" x14ac:dyDescent="0.25">
      <c r="B165" s="489"/>
      <c r="C165" s="581" t="s">
        <v>999</v>
      </c>
      <c r="D165" s="812" t="s">
        <v>492</v>
      </c>
      <c r="E165" s="812"/>
      <c r="F165" s="812"/>
      <c r="G165" s="812"/>
      <c r="H165" s="812"/>
      <c r="I165" s="1245">
        <f>IF(HLOOKUP(C165, Birthweight, selection+1, FALSE) = "", "", HLOOKUP(C165,Birthweight, selection+1, FALSE))</f>
        <v>6.7484662576687116E-2</v>
      </c>
      <c r="J165" s="1245"/>
      <c r="K165" s="1245"/>
      <c r="L165" s="1245">
        <f>IF(HLOOKUP(C165, Birthweight, selection2+1, FALSE) = "", "", HLOOKUP(C165,Birthweight, selection2+1, FALSE))</f>
        <v>9.3220338983050849E-2</v>
      </c>
      <c r="M165" s="1245"/>
      <c r="N165" s="1245"/>
      <c r="P165" s="1"/>
      <c r="Q165" s="1"/>
      <c r="R165" s="1"/>
      <c r="S165" s="70"/>
      <c r="T165" s="92"/>
      <c r="U165" s="489"/>
    </row>
    <row r="166" spans="2:21" ht="15" x14ac:dyDescent="0.25">
      <c r="B166" s="489"/>
      <c r="C166" s="581" t="s">
        <v>1000</v>
      </c>
      <c r="D166" s="812" t="s">
        <v>1100</v>
      </c>
      <c r="E166" s="812"/>
      <c r="F166" s="812"/>
      <c r="G166" s="812"/>
      <c r="H166" s="812"/>
      <c r="I166" s="633">
        <f>IF(HLOOKUP(C166, Birthweight, selection+1, FALSE) = "", "", HLOOKUP(C166,Birthweight, selection+1, FALSE))</f>
        <v>3.8096986536392215E-2</v>
      </c>
      <c r="J166" s="633" t="s">
        <v>744</v>
      </c>
      <c r="K166" s="633">
        <f>IF(HLOOKUP(C167, Birthweight, selection+1, FALSE) = "", "", HLOOKUP(C167,Birthweight, selection+1, FALSE))</f>
        <v>0.1167893289115334</v>
      </c>
      <c r="L166" s="633">
        <f>IF(HLOOKUP(C166, Birthweight, selection2+1, FALSE) = "", "", HLOOKUP(C166,Birthweight, selection2+1, FALSE))</f>
        <v>6.2367935694190454E-2</v>
      </c>
      <c r="M166" s="633" t="s">
        <v>744</v>
      </c>
      <c r="N166" s="633">
        <f>IF(HLOOKUP(C167, Birthweight, selection2+1, FALSE) = "", "", HLOOKUP(C167,Birthweight, selection2+1, FALSE))</f>
        <v>0.13710324437589275</v>
      </c>
      <c r="O166" s="70"/>
      <c r="P166" s="1"/>
      <c r="Q166" s="70"/>
      <c r="R166" s="70"/>
      <c r="S166" s="70"/>
      <c r="T166" s="92"/>
      <c r="U166" s="489"/>
    </row>
    <row r="167" spans="2:21" s="67" customFormat="1" ht="15" x14ac:dyDescent="0.25">
      <c r="B167" s="489"/>
      <c r="C167" s="581" t="s">
        <v>1001</v>
      </c>
      <c r="D167" s="1268">
        <v>2015</v>
      </c>
      <c r="E167" s="1269"/>
      <c r="F167" s="1269"/>
      <c r="G167" s="1269"/>
      <c r="H167" s="1269"/>
      <c r="I167" s="880" t="str">
        <f>INDEX(Locations, selection)</f>
        <v>Angmering</v>
      </c>
      <c r="J167" s="880"/>
      <c r="K167" s="880"/>
      <c r="L167" s="1115" t="str">
        <f>INDEX(Locations, selection2)</f>
        <v>Bewbush</v>
      </c>
      <c r="M167" s="1115"/>
      <c r="N167" s="1115"/>
      <c r="O167" s="70"/>
      <c r="Q167" s="70"/>
      <c r="R167" s="70"/>
      <c r="S167" s="70"/>
      <c r="T167" s="627"/>
      <c r="U167" s="489"/>
    </row>
    <row r="168" spans="2:21" s="67" customFormat="1" ht="15" x14ac:dyDescent="0.25">
      <c r="B168" s="489"/>
      <c r="C168" s="652"/>
      <c r="D168" s="1270"/>
      <c r="E168" s="1271"/>
      <c r="F168" s="1271"/>
      <c r="G168" s="1271"/>
      <c r="H168" s="1271"/>
      <c r="I168" s="880"/>
      <c r="J168" s="880"/>
      <c r="K168" s="880"/>
      <c r="L168" s="1115"/>
      <c r="M168" s="1115"/>
      <c r="N168" s="1115"/>
      <c r="O168" s="70"/>
      <c r="Q168" s="70"/>
      <c r="R168" s="70"/>
      <c r="S168" s="70"/>
      <c r="T168" s="627"/>
      <c r="U168" s="489"/>
    </row>
    <row r="169" spans="2:21" s="67" customFormat="1" ht="15" x14ac:dyDescent="0.25">
      <c r="B169" s="489"/>
      <c r="C169" s="652"/>
      <c r="D169" s="1272"/>
      <c r="E169" s="1273"/>
      <c r="F169" s="1273"/>
      <c r="G169" s="1273"/>
      <c r="H169" s="1273"/>
      <c r="I169" s="880"/>
      <c r="J169" s="880"/>
      <c r="K169" s="880"/>
      <c r="L169" s="1115"/>
      <c r="M169" s="1115"/>
      <c r="N169" s="1115"/>
      <c r="O169" s="70"/>
      <c r="Q169" s="70"/>
      <c r="R169" s="70"/>
      <c r="S169" s="70"/>
      <c r="T169" s="627"/>
      <c r="U169" s="489"/>
    </row>
    <row r="170" spans="2:21" s="67" customFormat="1" ht="15" x14ac:dyDescent="0.25">
      <c r="B170" s="489"/>
      <c r="C170" s="581" t="s">
        <v>1006</v>
      </c>
      <c r="D170" s="1279" t="s">
        <v>1101</v>
      </c>
      <c r="E170" s="1280"/>
      <c r="F170" s="1280"/>
      <c r="G170" s="1280"/>
      <c r="H170" s="1280"/>
      <c r="I170" s="1244">
        <f>IF(HLOOKUP(C170, Birthweight, selection+1, FALSE) = "", "", HLOOKUP(C170,Birthweight, selection+1, FALSE))</f>
        <v>14</v>
      </c>
      <c r="J170" s="1244"/>
      <c r="K170" s="1244"/>
      <c r="L170" s="1244">
        <f>IF(HLOOKUP(C170, Birthweight, selection2+1, FALSE) = "", "", HLOOKUP(C170,Birthweight, selection2+1, FALSE))</f>
        <v>12</v>
      </c>
      <c r="M170" s="1244"/>
      <c r="N170" s="1244"/>
      <c r="O170" s="70"/>
      <c r="Q170" s="70"/>
      <c r="R170" s="70"/>
      <c r="S170" s="70"/>
      <c r="T170" s="627"/>
      <c r="U170" s="489"/>
    </row>
    <row r="171" spans="2:21" ht="15" x14ac:dyDescent="0.25">
      <c r="B171" s="489"/>
      <c r="C171" s="581" t="s">
        <v>1007</v>
      </c>
      <c r="D171" s="1262" t="s">
        <v>492</v>
      </c>
      <c r="E171" s="1262"/>
      <c r="F171" s="1262"/>
      <c r="G171" s="1262"/>
      <c r="H171" s="1262"/>
      <c r="I171" s="1245">
        <f>IF(HLOOKUP(C171, Birthweight, selection+1, FALSE) = "", "", HLOOKUP(C171,Birthweight, selection+1, FALSE))</f>
        <v>7.650273224043716E-2</v>
      </c>
      <c r="J171" s="1245"/>
      <c r="K171" s="1245"/>
      <c r="L171" s="1245">
        <f>IF(HLOOKUP(C171, Birthweight, selection2+1, FALSE) = "", "", HLOOKUP(C171,Birthweight, selection2+1, FALSE))</f>
        <v>6.7796610169491525E-2</v>
      </c>
      <c r="M171" s="1245"/>
      <c r="N171" s="1245"/>
      <c r="O171" s="92"/>
      <c r="P171" s="92"/>
      <c r="Q171" s="92"/>
      <c r="R171" s="92"/>
      <c r="S171" s="92"/>
      <c r="T171" s="92"/>
      <c r="U171" s="489"/>
    </row>
    <row r="172" spans="2:21" s="67" customFormat="1" ht="15" x14ac:dyDescent="0.25">
      <c r="B172" s="489"/>
      <c r="C172" s="581" t="s">
        <v>1008</v>
      </c>
      <c r="D172" s="1261" t="s">
        <v>1100</v>
      </c>
      <c r="E172" s="1261"/>
      <c r="F172" s="1261"/>
      <c r="G172" s="1261"/>
      <c r="H172" s="1261"/>
      <c r="I172" s="633">
        <f>IF(HLOOKUP(C172, Birthweight, selection+1, FALSE) = "", "", HLOOKUP(C172,Birthweight, selection+1, FALSE))</f>
        <v>4.6115353092286537E-2</v>
      </c>
      <c r="J172" s="633" t="s">
        <v>744</v>
      </c>
      <c r="K172" s="633">
        <f>IF(HLOOKUP(C173, Birthweight, selection+1, FALSE) = "", "", HLOOKUP(C173,Birthweight, selection+1, FALSE))</f>
        <v>0.12430431190964095</v>
      </c>
      <c r="L172" s="633">
        <f>IF(HLOOKUP(C172, Birthweight, selection2+1, FALSE) = "", "", HLOOKUP(C172,Birthweight, selection2+1, FALSE))</f>
        <v>3.9204563937825572E-2</v>
      </c>
      <c r="M172" s="633" t="s">
        <v>744</v>
      </c>
      <c r="N172" s="633">
        <f>IF(HLOOKUP(C173, Birthweight, selection2+1, FALSE) = "", "", HLOOKUP(C173,Birthweight, selection2+1, FALSE))</f>
        <v>0.11475050257321805</v>
      </c>
      <c r="O172" s="627"/>
      <c r="P172" s="627"/>
      <c r="Q172" s="627"/>
      <c r="R172" s="627"/>
      <c r="S172" s="627"/>
      <c r="T172" s="627"/>
      <c r="U172" s="489"/>
    </row>
    <row r="173" spans="2:21" s="67" customFormat="1" ht="15" x14ac:dyDescent="0.25">
      <c r="B173" s="489"/>
      <c r="C173" s="652" t="s">
        <v>1009</v>
      </c>
      <c r="D173" s="66"/>
      <c r="E173" s="627"/>
      <c r="F173" s="627"/>
      <c r="G173" s="627"/>
      <c r="H173" s="627"/>
      <c r="I173" s="627"/>
      <c r="J173" s="627"/>
      <c r="K173" s="627"/>
      <c r="L173" s="627"/>
      <c r="M173" s="627"/>
      <c r="N173" s="627"/>
      <c r="O173" s="627"/>
      <c r="P173" s="627"/>
      <c r="Q173" s="627"/>
      <c r="R173" s="627"/>
      <c r="S173" s="627"/>
      <c r="T173" s="627"/>
      <c r="U173" s="489"/>
    </row>
    <row r="174" spans="2:21" s="67" customFormat="1" ht="15" x14ac:dyDescent="0.25">
      <c r="B174" s="489"/>
      <c r="C174" s="652"/>
      <c r="D174" s="66"/>
      <c r="E174" s="627"/>
      <c r="F174" s="627"/>
      <c r="G174" s="627"/>
      <c r="H174" s="627"/>
      <c r="I174" s="627"/>
      <c r="J174" s="627"/>
      <c r="K174" s="627"/>
      <c r="L174" s="627"/>
      <c r="M174" s="627"/>
      <c r="N174" s="627"/>
      <c r="O174" s="627"/>
      <c r="P174" s="627"/>
      <c r="Q174" s="627"/>
      <c r="R174" s="627"/>
      <c r="S174" s="627"/>
      <c r="T174" s="627"/>
      <c r="U174" s="489"/>
    </row>
    <row r="175" spans="2:21" s="67" customFormat="1" ht="15" x14ac:dyDescent="0.25">
      <c r="B175" s="489"/>
      <c r="C175" s="627"/>
      <c r="D175" s="627"/>
      <c r="E175" s="627"/>
      <c r="F175" s="71"/>
      <c r="G175" s="71"/>
      <c r="H175" s="71"/>
      <c r="I175" s="71"/>
      <c r="J175" s="71"/>
      <c r="K175" s="71"/>
      <c r="L175" s="627"/>
      <c r="M175" s="627"/>
      <c r="N175" s="627"/>
      <c r="O175" s="627"/>
      <c r="P175" s="627"/>
      <c r="Q175" s="627"/>
      <c r="R175" s="627"/>
      <c r="S175" s="627"/>
      <c r="T175" s="627"/>
      <c r="U175" s="489"/>
    </row>
    <row r="176" spans="2:21" s="67" customFormat="1" ht="15" x14ac:dyDescent="0.25">
      <c r="B176" s="489"/>
      <c r="C176" s="627"/>
      <c r="D176" s="627"/>
      <c r="E176" s="627"/>
      <c r="F176" s="71"/>
      <c r="G176" s="71"/>
      <c r="H176" s="71"/>
      <c r="I176" s="71"/>
      <c r="J176" s="71"/>
      <c r="K176" s="71"/>
      <c r="L176" s="627"/>
      <c r="M176" s="627"/>
      <c r="N176" s="627"/>
      <c r="O176" s="627"/>
      <c r="P176" s="627"/>
      <c r="Q176" s="627"/>
      <c r="R176" s="627"/>
      <c r="S176" s="627"/>
      <c r="T176" s="627"/>
      <c r="U176" s="489"/>
    </row>
    <row r="177" spans="2:21" s="67" customFormat="1" ht="15" x14ac:dyDescent="0.25">
      <c r="B177" s="489"/>
      <c r="C177" s="627"/>
      <c r="D177" s="627"/>
      <c r="E177" s="627"/>
      <c r="F177" s="71"/>
      <c r="G177" s="71"/>
      <c r="H177" s="71"/>
      <c r="I177" s="129" t="str">
        <f>I161</f>
        <v>Angmering</v>
      </c>
      <c r="J177" s="129" t="str">
        <f>L161</f>
        <v>Bewbush</v>
      </c>
      <c r="K177" s="71"/>
      <c r="L177" s="627"/>
      <c r="M177" s="627"/>
      <c r="N177" s="627"/>
      <c r="O177" s="627"/>
      <c r="P177" s="627"/>
      <c r="Q177" s="627"/>
      <c r="R177" s="627"/>
      <c r="S177" s="627"/>
      <c r="T177" s="627"/>
      <c r="U177" s="489"/>
    </row>
    <row r="178" spans="2:21" s="67" customFormat="1" ht="15" x14ac:dyDescent="0.25">
      <c r="B178" s="489"/>
      <c r="C178" s="627"/>
      <c r="D178" s="627"/>
      <c r="E178" s="627"/>
      <c r="F178" s="71"/>
      <c r="G178" s="71"/>
      <c r="H178" s="71">
        <v>2013</v>
      </c>
      <c r="I178" s="130">
        <f>I165</f>
        <v>6.7484662576687116E-2</v>
      </c>
      <c r="J178" s="130">
        <f>L165</f>
        <v>9.3220338983050849E-2</v>
      </c>
      <c r="K178" s="71"/>
      <c r="L178" s="627"/>
      <c r="M178" s="627"/>
      <c r="N178" s="627"/>
      <c r="O178" s="627"/>
      <c r="P178" s="627"/>
      <c r="Q178" s="627"/>
      <c r="R178" s="627"/>
      <c r="S178" s="627"/>
      <c r="T178" s="627"/>
      <c r="U178" s="489"/>
    </row>
    <row r="179" spans="2:21" s="67" customFormat="1" ht="15" x14ac:dyDescent="0.25">
      <c r="B179" s="489"/>
      <c r="C179" s="627"/>
      <c r="D179" s="627"/>
      <c r="E179" s="627"/>
      <c r="F179" s="71"/>
      <c r="G179" s="71"/>
      <c r="H179" s="129" t="s">
        <v>419</v>
      </c>
      <c r="I179" s="130">
        <f>K166-I178</f>
        <v>4.9304666334846287E-2</v>
      </c>
      <c r="J179" s="130">
        <f>N166-J178</f>
        <v>4.3882905392841898E-2</v>
      </c>
      <c r="K179" s="71"/>
      <c r="L179" s="627"/>
      <c r="M179" s="627"/>
      <c r="N179" s="627"/>
      <c r="O179" s="627"/>
      <c r="P179" s="627"/>
      <c r="Q179" s="627"/>
      <c r="R179" s="627"/>
      <c r="S179" s="627"/>
      <c r="T179" s="627"/>
      <c r="U179" s="489"/>
    </row>
    <row r="180" spans="2:21" s="67" customFormat="1" ht="15" x14ac:dyDescent="0.25">
      <c r="B180" s="489"/>
      <c r="C180" s="627"/>
      <c r="D180" s="627"/>
      <c r="E180" s="627"/>
      <c r="F180" s="71"/>
      <c r="G180" s="71"/>
      <c r="H180" s="129" t="s">
        <v>418</v>
      </c>
      <c r="I180" s="130">
        <f>I165-I166</f>
        <v>2.9387676040294901E-2</v>
      </c>
      <c r="J180" s="130">
        <f>L165-L166</f>
        <v>3.0852403288860394E-2</v>
      </c>
      <c r="K180" s="71"/>
      <c r="L180" s="627"/>
      <c r="M180" s="627"/>
      <c r="N180" s="627"/>
      <c r="O180" s="627"/>
      <c r="P180" s="627"/>
      <c r="Q180" s="627"/>
      <c r="R180" s="627"/>
      <c r="S180" s="627"/>
      <c r="T180" s="627"/>
      <c r="U180" s="489"/>
    </row>
    <row r="181" spans="2:21" s="67" customFormat="1" ht="15" x14ac:dyDescent="0.25">
      <c r="B181" s="489"/>
      <c r="C181" s="627"/>
      <c r="D181" s="627"/>
      <c r="E181" s="627"/>
      <c r="F181" s="71"/>
      <c r="G181" s="71"/>
      <c r="H181" s="71">
        <v>2015</v>
      </c>
      <c r="I181" s="130">
        <f>I171</f>
        <v>7.650273224043716E-2</v>
      </c>
      <c r="J181" s="130">
        <f>L171</f>
        <v>6.7796610169491525E-2</v>
      </c>
      <c r="K181" s="71"/>
      <c r="L181" s="627"/>
      <c r="M181" s="627"/>
      <c r="N181" s="627"/>
      <c r="O181" s="627"/>
      <c r="P181" s="627"/>
      <c r="Q181" s="627"/>
      <c r="R181" s="627"/>
      <c r="S181" s="627"/>
      <c r="T181" s="627"/>
      <c r="U181" s="489"/>
    </row>
    <row r="182" spans="2:21" s="67" customFormat="1" ht="15" x14ac:dyDescent="0.25">
      <c r="B182" s="489"/>
      <c r="C182" s="627"/>
      <c r="D182" s="627"/>
      <c r="E182" s="627"/>
      <c r="F182" s="71"/>
      <c r="G182" s="71"/>
      <c r="H182" s="129" t="s">
        <v>419</v>
      </c>
      <c r="I182" s="130">
        <f>K172-I171</f>
        <v>4.7801579669203786E-2</v>
      </c>
      <c r="J182" s="130">
        <f>N172-L171</f>
        <v>4.6953892403726522E-2</v>
      </c>
      <c r="K182" s="71"/>
      <c r="L182" s="627"/>
      <c r="M182" s="627"/>
      <c r="N182" s="627"/>
      <c r="O182" s="627"/>
      <c r="P182" s="627"/>
      <c r="Q182" s="627"/>
      <c r="R182" s="627"/>
      <c r="S182" s="627"/>
      <c r="T182" s="627"/>
      <c r="U182" s="489"/>
    </row>
    <row r="183" spans="2:21" s="67" customFormat="1" ht="15" x14ac:dyDescent="0.25">
      <c r="B183" s="489"/>
      <c r="C183" s="627"/>
      <c r="D183" s="627"/>
      <c r="E183" s="627"/>
      <c r="F183" s="71"/>
      <c r="G183" s="71"/>
      <c r="H183" s="129" t="s">
        <v>418</v>
      </c>
      <c r="I183" s="130">
        <f>I171-I172</f>
        <v>3.0387379148150623E-2</v>
      </c>
      <c r="J183" s="130">
        <f>L171-L172</f>
        <v>2.8592046231665953E-2</v>
      </c>
      <c r="K183" s="71"/>
      <c r="L183" s="627"/>
      <c r="M183" s="627"/>
      <c r="N183" s="627"/>
      <c r="O183" s="627"/>
      <c r="P183" s="627"/>
      <c r="Q183" s="627"/>
      <c r="R183" s="627"/>
      <c r="S183" s="627"/>
      <c r="T183" s="627"/>
      <c r="U183" s="489"/>
    </row>
    <row r="184" spans="2:21" s="67" customFormat="1" ht="15" x14ac:dyDescent="0.25">
      <c r="B184" s="489"/>
      <c r="C184" s="627"/>
      <c r="D184" s="627"/>
      <c r="E184" s="627"/>
      <c r="F184" s="627"/>
      <c r="G184" s="70"/>
      <c r="K184" s="70"/>
      <c r="L184" s="627"/>
      <c r="M184" s="627"/>
      <c r="N184" s="627"/>
      <c r="O184" s="627"/>
      <c r="P184" s="627"/>
      <c r="Q184" s="627"/>
      <c r="R184" s="627"/>
      <c r="S184" s="627"/>
      <c r="T184" s="627"/>
      <c r="U184" s="489"/>
    </row>
    <row r="185" spans="2:21" ht="15" x14ac:dyDescent="0.25">
      <c r="B185" s="489"/>
      <c r="C185" s="92"/>
      <c r="D185" s="92"/>
      <c r="E185" s="92"/>
      <c r="F185" s="92"/>
      <c r="G185" s="70"/>
      <c r="K185" s="70"/>
      <c r="L185" s="92"/>
      <c r="M185" s="92"/>
      <c r="N185" s="92"/>
      <c r="O185" s="92"/>
      <c r="P185" s="92"/>
      <c r="Q185" s="92"/>
      <c r="R185" s="92"/>
      <c r="S185" s="92"/>
      <c r="T185" s="92"/>
      <c r="U185" s="489"/>
    </row>
    <row r="186" spans="2:21" ht="15" x14ac:dyDescent="0.25">
      <c r="B186" s="489"/>
      <c r="C186" s="92"/>
      <c r="D186" s="92"/>
      <c r="E186" s="92"/>
      <c r="F186" s="92"/>
      <c r="G186" s="70"/>
      <c r="K186" s="70"/>
      <c r="L186" s="92"/>
      <c r="M186" s="92"/>
      <c r="N186" s="92"/>
      <c r="O186" s="92"/>
      <c r="P186" s="92"/>
      <c r="Q186" s="92"/>
      <c r="R186" s="92"/>
      <c r="S186" s="92"/>
      <c r="T186" s="92"/>
      <c r="U186" s="489"/>
    </row>
    <row r="187" spans="2:21" ht="15" x14ac:dyDescent="0.25">
      <c r="B187" s="489"/>
      <c r="C187" s="92"/>
      <c r="D187" s="92"/>
      <c r="E187" s="92"/>
      <c r="F187" s="92"/>
      <c r="G187" s="92"/>
      <c r="H187" s="92"/>
      <c r="I187" s="92"/>
      <c r="J187" s="92"/>
      <c r="K187" s="92"/>
      <c r="L187" s="92"/>
      <c r="M187" s="92"/>
      <c r="N187" s="92"/>
      <c r="O187" s="92"/>
      <c r="P187" s="92"/>
      <c r="Q187" s="92"/>
      <c r="R187" s="92"/>
      <c r="S187" s="92"/>
      <c r="T187" s="92"/>
      <c r="U187" s="489"/>
    </row>
    <row r="188" spans="2:21" x14ac:dyDescent="0.2">
      <c r="B188" s="489"/>
      <c r="C188" s="489"/>
      <c r="D188" s="489"/>
      <c r="E188" s="489"/>
      <c r="F188" s="489"/>
      <c r="G188" s="489"/>
      <c r="H188" s="489"/>
      <c r="I188" s="489"/>
      <c r="J188" s="489"/>
      <c r="K188" s="489"/>
      <c r="L188" s="489"/>
      <c r="M188" s="489"/>
      <c r="N188" s="489"/>
      <c r="O188" s="489"/>
      <c r="P188" s="489"/>
      <c r="Q188" s="489"/>
      <c r="R188" s="489"/>
      <c r="S188" s="489"/>
      <c r="T188" s="489"/>
      <c r="U188" s="489"/>
    </row>
    <row r="189" spans="2:21" x14ac:dyDescent="0.2">
      <c r="B189" s="489"/>
      <c r="C189" s="489"/>
      <c r="D189" s="489"/>
      <c r="E189" s="489"/>
      <c r="F189" s="489"/>
      <c r="G189" s="489"/>
      <c r="H189" s="489"/>
      <c r="I189" s="489"/>
      <c r="J189" s="489"/>
      <c r="K189" s="489"/>
      <c r="L189" s="489"/>
      <c r="M189" s="489"/>
      <c r="N189" s="489"/>
      <c r="O189" s="489"/>
      <c r="P189" s="489"/>
      <c r="Q189" s="489"/>
      <c r="R189" s="489"/>
      <c r="S189" s="489"/>
      <c r="T189" s="489"/>
      <c r="U189" s="489"/>
    </row>
    <row r="190" spans="2:21" x14ac:dyDescent="0.2">
      <c r="B190" s="489"/>
      <c r="C190" s="489"/>
      <c r="D190" s="489"/>
      <c r="E190" s="489"/>
      <c r="F190" s="489"/>
      <c r="G190" s="489"/>
      <c r="H190" s="489"/>
      <c r="I190" s="489"/>
      <c r="J190" s="489"/>
      <c r="K190" s="489"/>
      <c r="L190" s="489"/>
      <c r="M190" s="489"/>
      <c r="N190" s="489"/>
      <c r="O190" s="489"/>
      <c r="P190" s="489"/>
      <c r="Q190" s="489"/>
      <c r="R190" s="489"/>
      <c r="S190" s="489"/>
      <c r="T190" s="489"/>
      <c r="U190" s="489"/>
    </row>
    <row r="191" spans="2:21" x14ac:dyDescent="0.2">
      <c r="B191" s="489"/>
      <c r="C191" s="67"/>
      <c r="D191" s="67"/>
      <c r="F191" s="67"/>
      <c r="I191" s="67"/>
      <c r="J191" s="67"/>
      <c r="K191" s="67"/>
      <c r="L191" s="67"/>
      <c r="M191" s="67"/>
      <c r="N191" s="67"/>
      <c r="S191" s="67"/>
      <c r="T191" s="67"/>
      <c r="U191" s="489"/>
    </row>
    <row r="192" spans="2:21" ht="31.5" customHeight="1" x14ac:dyDescent="0.2">
      <c r="B192" s="489"/>
      <c r="C192" s="1278" t="s">
        <v>603</v>
      </c>
      <c r="D192" s="1278"/>
      <c r="E192" s="1278"/>
      <c r="F192" s="1278"/>
      <c r="G192" s="1278"/>
      <c r="H192" s="1278"/>
      <c r="I192" s="1278"/>
      <c r="J192" s="1278"/>
      <c r="K192" s="1278"/>
      <c r="L192" s="1278"/>
      <c r="M192" s="1278"/>
      <c r="N192" s="1278"/>
      <c r="O192" s="1278"/>
      <c r="P192" s="1278"/>
      <c r="Q192" s="1278"/>
      <c r="R192" s="1278"/>
      <c r="S192" s="1278"/>
      <c r="T192" s="67"/>
      <c r="U192" s="489"/>
    </row>
    <row r="193" spans="2:21" ht="15" x14ac:dyDescent="0.25">
      <c r="B193" s="489"/>
      <c r="C193" s="147" t="s">
        <v>604</v>
      </c>
      <c r="D193" s="137"/>
      <c r="E193" s="137"/>
      <c r="F193" s="137"/>
      <c r="G193" s="137"/>
      <c r="H193" s="137"/>
      <c r="I193" s="137"/>
      <c r="J193" s="137"/>
      <c r="K193" s="137"/>
      <c r="L193" s="137"/>
      <c r="M193" s="137"/>
      <c r="N193" s="137"/>
      <c r="O193" s="137"/>
      <c r="P193" s="137"/>
      <c r="Q193" s="137"/>
      <c r="R193" s="137"/>
      <c r="S193" s="137"/>
      <c r="T193" s="67"/>
      <c r="U193" s="489"/>
    </row>
    <row r="194" spans="2:21" ht="15" x14ac:dyDescent="0.25">
      <c r="B194" s="489"/>
      <c r="C194" s="147"/>
      <c r="D194" s="137"/>
      <c r="E194" s="137"/>
      <c r="F194" s="137"/>
      <c r="G194" s="137"/>
      <c r="H194" s="137"/>
      <c r="I194" s="137"/>
      <c r="J194" s="137"/>
      <c r="K194" s="137"/>
      <c r="L194" s="137"/>
      <c r="M194" s="137"/>
      <c r="N194" s="137"/>
      <c r="O194" s="137"/>
      <c r="P194" s="137"/>
      <c r="Q194" s="137"/>
      <c r="R194" s="137"/>
      <c r="S194" s="137"/>
      <c r="T194" s="67"/>
      <c r="U194" s="489"/>
    </row>
    <row r="195" spans="2:21" ht="15" x14ac:dyDescent="0.25">
      <c r="B195" s="489"/>
      <c r="C195" s="137"/>
      <c r="D195" s="137"/>
      <c r="E195" s="137"/>
      <c r="F195" s="791" t="s">
        <v>305</v>
      </c>
      <c r="G195" s="797"/>
      <c r="H195" s="797"/>
      <c r="I195" s="975"/>
      <c r="J195" s="1011" t="str">
        <f>INDEX(Locations, selection)</f>
        <v>Angmering</v>
      </c>
      <c r="K195" s="1013"/>
      <c r="L195" s="779" t="str">
        <f>INDEX(Locations, selection2)</f>
        <v>Bewbush</v>
      </c>
      <c r="M195" s="779"/>
      <c r="N195" s="990" t="s">
        <v>291</v>
      </c>
      <c r="O195" s="990"/>
      <c r="P195" s="137"/>
      <c r="Q195" s="137"/>
      <c r="R195" s="137"/>
      <c r="S195" s="137"/>
      <c r="T195" s="67"/>
      <c r="U195" s="489"/>
    </row>
    <row r="196" spans="2:21" ht="15" x14ac:dyDescent="0.25">
      <c r="B196" s="489"/>
      <c r="C196" s="137"/>
      <c r="D196" s="137"/>
      <c r="E196" s="137"/>
      <c r="F196" s="792"/>
      <c r="G196" s="798"/>
      <c r="H196" s="798"/>
      <c r="I196" s="976"/>
      <c r="J196" s="1014"/>
      <c r="K196" s="850"/>
      <c r="L196" s="779"/>
      <c r="M196" s="779"/>
      <c r="N196" s="990"/>
      <c r="O196" s="990"/>
      <c r="P196" s="137"/>
      <c r="Q196" s="137"/>
      <c r="R196" s="137"/>
      <c r="S196" s="137"/>
      <c r="T196" s="67"/>
      <c r="U196" s="489"/>
    </row>
    <row r="197" spans="2:21" ht="15" x14ac:dyDescent="0.25">
      <c r="B197" s="489"/>
      <c r="C197" s="137"/>
      <c r="D197" s="137"/>
      <c r="E197" s="137"/>
      <c r="F197" s="793"/>
      <c r="G197" s="799"/>
      <c r="H197" s="799"/>
      <c r="I197" s="977"/>
      <c r="J197" s="1015"/>
      <c r="K197" s="1017"/>
      <c r="L197" s="779"/>
      <c r="M197" s="779"/>
      <c r="N197" s="990"/>
      <c r="O197" s="990"/>
      <c r="P197" s="137"/>
      <c r="Q197" s="137"/>
      <c r="R197" s="137"/>
      <c r="S197" s="137"/>
      <c r="T197" s="67"/>
      <c r="U197" s="489"/>
    </row>
    <row r="198" spans="2:21" ht="30.75" customHeight="1" x14ac:dyDescent="0.25">
      <c r="B198" s="489"/>
      <c r="C198" s="137"/>
      <c r="D198" s="137"/>
      <c r="E198" s="137"/>
      <c r="F198" s="1257" t="s">
        <v>605</v>
      </c>
      <c r="G198" s="1258"/>
      <c r="H198" s="1258"/>
      <c r="I198" s="1259"/>
      <c r="J198" s="924">
        <f>IF(HLOOKUP($F$198, LTLI, selection+1, FALSE) = "", "", HLOOKUP($F$198,LTLI, selection+1, FALSE))</f>
        <v>19</v>
      </c>
      <c r="K198" s="926"/>
      <c r="L198" s="924">
        <f>IF(HLOOKUP($F$198, LTLI, selection2+1, FALSE) = "", "", HLOOKUP($F$198,LTLI, selection2+1, FALSE))</f>
        <v>24</v>
      </c>
      <c r="M198" s="926"/>
      <c r="N198" s="1260">
        <v>853</v>
      </c>
      <c r="O198" s="926"/>
      <c r="P198" s="137"/>
      <c r="Q198" s="137"/>
      <c r="R198" s="137"/>
      <c r="S198" s="137"/>
      <c r="T198" s="67"/>
      <c r="U198" s="489"/>
    </row>
    <row r="199" spans="2:21" ht="30.75" customHeight="1" x14ac:dyDescent="0.25">
      <c r="B199" s="489"/>
      <c r="C199" s="137"/>
      <c r="D199" s="137"/>
      <c r="E199" s="137"/>
      <c r="F199" s="1263" t="s">
        <v>606</v>
      </c>
      <c r="G199" s="1264"/>
      <c r="H199" s="1264"/>
      <c r="I199" s="1265"/>
      <c r="J199" s="1266">
        <f>IF(HLOOKUP(F199, LTLI, selection+1, FALSE) = "", "", HLOOKUP(F199,LTLI, selection+1, FALSE))</f>
        <v>1.9348268839103868E-2</v>
      </c>
      <c r="K199" s="1267"/>
      <c r="L199" s="1266">
        <f>IF(HLOOKUP(F199, LTLI, selection2+1, FALSE) = "", "", HLOOKUP(F199,LTLI, selection2+1, FALSE))</f>
        <v>2.2058823529411766E-2</v>
      </c>
      <c r="M199" s="1267"/>
      <c r="N199" s="1266">
        <v>1.7999999999999999E-2</v>
      </c>
      <c r="O199" s="1267"/>
      <c r="P199" s="137"/>
      <c r="Q199" s="137"/>
      <c r="R199" s="137"/>
      <c r="S199" s="137"/>
      <c r="T199" s="67"/>
      <c r="U199" s="489"/>
    </row>
    <row r="200" spans="2:21" ht="15" x14ac:dyDescent="0.25">
      <c r="B200" s="489"/>
      <c r="C200" s="137"/>
      <c r="D200" s="137"/>
      <c r="E200" s="137"/>
      <c r="F200" s="137"/>
      <c r="G200" s="137"/>
      <c r="H200" s="137"/>
      <c r="I200" s="137"/>
      <c r="J200" s="137"/>
      <c r="K200" s="137"/>
      <c r="L200" s="137"/>
      <c r="M200" s="137"/>
      <c r="N200" s="137"/>
      <c r="O200" s="137"/>
      <c r="P200" s="137"/>
      <c r="Q200" s="137"/>
      <c r="R200" s="137"/>
      <c r="S200" s="137"/>
      <c r="T200" s="67"/>
      <c r="U200" s="489"/>
    </row>
    <row r="201" spans="2:21" ht="15" x14ac:dyDescent="0.25">
      <c r="B201" s="489"/>
      <c r="C201" s="137"/>
      <c r="D201" s="137"/>
      <c r="E201" s="137"/>
      <c r="F201" s="137"/>
      <c r="G201" s="137"/>
      <c r="H201" s="137"/>
      <c r="I201" s="137"/>
      <c r="J201" s="137"/>
      <c r="K201" s="137"/>
      <c r="L201" s="137"/>
      <c r="M201" s="137"/>
      <c r="N201" s="137"/>
      <c r="O201" s="137"/>
      <c r="P201" s="137"/>
      <c r="Q201" s="137"/>
      <c r="R201" s="137"/>
      <c r="S201" s="137"/>
      <c r="T201" s="67"/>
      <c r="U201" s="489"/>
    </row>
    <row r="202" spans="2:21" x14ac:dyDescent="0.2">
      <c r="B202" s="489"/>
      <c r="C202" s="489"/>
      <c r="D202" s="489"/>
      <c r="E202" s="489"/>
      <c r="F202" s="489"/>
      <c r="G202" s="489"/>
      <c r="H202" s="489"/>
      <c r="I202" s="489"/>
      <c r="J202" s="489"/>
      <c r="K202" s="489"/>
      <c r="L202" s="489"/>
      <c r="M202" s="489"/>
      <c r="N202" s="489"/>
      <c r="O202" s="489"/>
      <c r="P202" s="489"/>
      <c r="Q202" s="489"/>
      <c r="R202" s="489"/>
      <c r="S202" s="489"/>
      <c r="T202" s="489"/>
      <c r="U202" s="489"/>
    </row>
    <row r="203" spans="2:21" x14ac:dyDescent="0.2">
      <c r="B203" s="489"/>
      <c r="C203" s="489"/>
      <c r="D203" s="489"/>
      <c r="E203" s="489"/>
      <c r="F203" s="489"/>
      <c r="G203" s="489"/>
      <c r="H203" s="489"/>
      <c r="I203" s="489"/>
      <c r="J203" s="489"/>
      <c r="K203" s="489"/>
      <c r="L203" s="489"/>
      <c r="M203" s="489"/>
      <c r="N203" s="489"/>
      <c r="O203" s="489"/>
      <c r="P203" s="489"/>
      <c r="Q203" s="489"/>
      <c r="R203" s="489"/>
      <c r="S203" s="489"/>
      <c r="T203" s="489"/>
      <c r="U203" s="489"/>
    </row>
  </sheetData>
  <sheetProtection sheet="1" objects="1" scenarios="1"/>
  <mergeCells count="140">
    <mergeCell ref="M38:N38"/>
    <mergeCell ref="K56:L56"/>
    <mergeCell ref="M56:N56"/>
    <mergeCell ref="E57:H57"/>
    <mergeCell ref="M57:N57"/>
    <mergeCell ref="M54:N54"/>
    <mergeCell ref="E55:H55"/>
    <mergeCell ref="I55:J55"/>
    <mergeCell ref="K55:L55"/>
    <mergeCell ref="M55:N55"/>
    <mergeCell ref="M53:N53"/>
    <mergeCell ref="E54:H54"/>
    <mergeCell ref="I54:J54"/>
    <mergeCell ref="K54:L54"/>
    <mergeCell ref="K88:L88"/>
    <mergeCell ref="M88:N88"/>
    <mergeCell ref="I57:J57"/>
    <mergeCell ref="K57:L57"/>
    <mergeCell ref="C118:S118"/>
    <mergeCell ref="O85:P87"/>
    <mergeCell ref="G88:J88"/>
    <mergeCell ref="O88:P88"/>
    <mergeCell ref="I62:J62"/>
    <mergeCell ref="G62:H62"/>
    <mergeCell ref="G85:J87"/>
    <mergeCell ref="E56:H56"/>
    <mergeCell ref="I56:J56"/>
    <mergeCell ref="K85:L87"/>
    <mergeCell ref="M85:N87"/>
    <mergeCell ref="C83:S83"/>
    <mergeCell ref="E58:H58"/>
    <mergeCell ref="I58:J58"/>
    <mergeCell ref="K58:L58"/>
    <mergeCell ref="M58:N58"/>
    <mergeCell ref="E32:H32"/>
    <mergeCell ref="E33:H33"/>
    <mergeCell ref="E34:H34"/>
    <mergeCell ref="E35:H35"/>
    <mergeCell ref="E36:H36"/>
    <mergeCell ref="I36:J36"/>
    <mergeCell ref="D119:E119"/>
    <mergeCell ref="F119:I119"/>
    <mergeCell ref="K53:L53"/>
    <mergeCell ref="K59:L59"/>
    <mergeCell ref="E38:H38"/>
    <mergeCell ref="I38:J38"/>
    <mergeCell ref="K38:L38"/>
    <mergeCell ref="I37:J37"/>
    <mergeCell ref="E37:H37"/>
    <mergeCell ref="M35:N35"/>
    <mergeCell ref="M36:N36"/>
    <mergeCell ref="K35:L35"/>
    <mergeCell ref="K36:L36"/>
    <mergeCell ref="I32:J32"/>
    <mergeCell ref="I33:J33"/>
    <mergeCell ref="I34:J34"/>
    <mergeCell ref="K37:L37"/>
    <mergeCell ref="M32:N32"/>
    <mergeCell ref="M33:N33"/>
    <mergeCell ref="M34:N34"/>
    <mergeCell ref="K32:L32"/>
    <mergeCell ref="K33:L33"/>
    <mergeCell ref="K34:L34"/>
    <mergeCell ref="M37:N37"/>
    <mergeCell ref="A2:N2"/>
    <mergeCell ref="F116:J116"/>
    <mergeCell ref="C117:T117"/>
    <mergeCell ref="I29:J31"/>
    <mergeCell ref="E29:H31"/>
    <mergeCell ref="C46:S46"/>
    <mergeCell ref="E49:H51"/>
    <mergeCell ref="I49:J51"/>
    <mergeCell ref="K49:L51"/>
    <mergeCell ref="M49:N51"/>
    <mergeCell ref="E52:H52"/>
    <mergeCell ref="I52:J52"/>
    <mergeCell ref="K52:L52"/>
    <mergeCell ref="M52:N52"/>
    <mergeCell ref="E53:H53"/>
    <mergeCell ref="I53:J53"/>
    <mergeCell ref="I35:J35"/>
    <mergeCell ref="C12:T12"/>
    <mergeCell ref="C14:T14"/>
    <mergeCell ref="C17:S17"/>
    <mergeCell ref="C18:S18"/>
    <mergeCell ref="C19:S19"/>
    <mergeCell ref="K29:L31"/>
    <mergeCell ref="M29:N31"/>
    <mergeCell ref="F199:I199"/>
    <mergeCell ref="J199:K199"/>
    <mergeCell ref="L199:M199"/>
    <mergeCell ref="D161:H163"/>
    <mergeCell ref="D165:H165"/>
    <mergeCell ref="D124:E124"/>
    <mergeCell ref="D125:E125"/>
    <mergeCell ref="D126:E126"/>
    <mergeCell ref="D127:E127"/>
    <mergeCell ref="C158:S158"/>
    <mergeCell ref="D133:E133"/>
    <mergeCell ref="D134:E134"/>
    <mergeCell ref="N199:O199"/>
    <mergeCell ref="C192:S192"/>
    <mergeCell ref="F195:I197"/>
    <mergeCell ref="J195:K197"/>
    <mergeCell ref="L195:M197"/>
    <mergeCell ref="D167:H169"/>
    <mergeCell ref="I167:K169"/>
    <mergeCell ref="L167:N169"/>
    <mergeCell ref="D170:H170"/>
    <mergeCell ref="I170:K170"/>
    <mergeCell ref="L170:N170"/>
    <mergeCell ref="D164:H164"/>
    <mergeCell ref="N195:O197"/>
    <mergeCell ref="F198:I198"/>
    <mergeCell ref="J198:K198"/>
    <mergeCell ref="L198:M198"/>
    <mergeCell ref="N198:O198"/>
    <mergeCell ref="D172:H172"/>
    <mergeCell ref="D171:H171"/>
    <mergeCell ref="I171:K171"/>
    <mergeCell ref="L171:N171"/>
    <mergeCell ref="C122:C123"/>
    <mergeCell ref="F122:I122"/>
    <mergeCell ref="J122:M122"/>
    <mergeCell ref="I164:K164"/>
    <mergeCell ref="I165:K165"/>
    <mergeCell ref="I161:K163"/>
    <mergeCell ref="D166:H166"/>
    <mergeCell ref="F120:I120"/>
    <mergeCell ref="D120:E120"/>
    <mergeCell ref="L161:N163"/>
    <mergeCell ref="L164:N164"/>
    <mergeCell ref="L165:N165"/>
    <mergeCell ref="N122:Q122"/>
    <mergeCell ref="D128:E128"/>
    <mergeCell ref="D129:E129"/>
    <mergeCell ref="D130:E130"/>
    <mergeCell ref="D131:E131"/>
    <mergeCell ref="D132:E132"/>
    <mergeCell ref="D122:E123"/>
  </mergeCells>
  <pageMargins left="0.25" right="0.25" top="0.75" bottom="0.75" header="0.3" footer="0.3"/>
  <pageSetup paperSize="9" scale="65" fitToHeight="5" orientation="portrait" r:id="rId1"/>
  <rowBreaks count="4" manualBreakCount="4">
    <brk id="42" max="21" man="1"/>
    <brk id="76" max="21" man="1"/>
    <brk id="114" max="21" man="1"/>
    <brk id="152" max="21" man="1"/>
  </rowBreaks>
  <ignoredErrors>
    <ignoredError sqref="H64:H68 I64:I68" 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6148" r:id="rId4" name="Drop Down 4">
              <controlPr defaultSize="0" autoLine="0" autoPict="0">
                <anchor moveWithCells="1">
                  <from>
                    <xdr:col>6</xdr:col>
                    <xdr:colOff>200025</xdr:colOff>
                    <xdr:row>5</xdr:row>
                    <xdr:rowOff>0</xdr:rowOff>
                  </from>
                  <to>
                    <xdr:col>11</xdr:col>
                    <xdr:colOff>152400</xdr:colOff>
                    <xdr:row>6</xdr:row>
                    <xdr:rowOff>76200</xdr:rowOff>
                  </to>
                </anchor>
              </controlPr>
            </control>
          </mc:Choice>
        </mc:AlternateContent>
        <mc:AlternateContent xmlns:mc="http://schemas.openxmlformats.org/markup-compatibility/2006">
          <mc:Choice Requires="x14">
            <control shapeId="6149" r:id="rId5" name="Drop Down 5">
              <controlPr defaultSize="0" autoLine="0" autoPict="0">
                <anchor moveWithCells="1">
                  <from>
                    <xdr:col>6</xdr:col>
                    <xdr:colOff>200025</xdr:colOff>
                    <xdr:row>6</xdr:row>
                    <xdr:rowOff>161925</xdr:rowOff>
                  </from>
                  <to>
                    <xdr:col>11</xdr:col>
                    <xdr:colOff>152400</xdr:colOff>
                    <xdr:row>8</xdr:row>
                    <xdr:rowOff>47625</xdr:rowOff>
                  </to>
                </anchor>
              </controlPr>
            </control>
          </mc:Choice>
        </mc:AlternateContent>
      </controls>
    </mc:Choice>
  </mc:AlternateConten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tabColor theme="4"/>
  </sheetPr>
  <dimension ref="A1:T150"/>
  <sheetViews>
    <sheetView zoomScaleNormal="100" zoomScaleSheetLayoutView="80" zoomScalePageLayoutView="60" workbookViewId="0">
      <selection activeCell="U66" sqref="U66"/>
    </sheetView>
  </sheetViews>
  <sheetFormatPr defaultColWidth="8.796875" defaultRowHeight="15" x14ac:dyDescent="0.25"/>
  <cols>
    <col min="1" max="1" width="1" style="137" customWidth="1"/>
    <col min="2" max="2" width="1.19921875" style="137" customWidth="1"/>
    <col min="3" max="17" width="6.8984375" style="137" customWidth="1"/>
    <col min="18" max="18" width="7.59765625" style="137" customWidth="1"/>
    <col min="19" max="19" width="1.19921875" style="137" customWidth="1"/>
    <col min="20" max="20" width="1" style="172" customWidth="1"/>
    <col min="21" max="16384" width="8.796875" style="137"/>
  </cols>
  <sheetData>
    <row r="1" spans="1:19" x14ac:dyDescent="0.25">
      <c r="R1" s="21">
        <f ca="1">NOW()</f>
        <v>42740.35657314815</v>
      </c>
    </row>
    <row r="2" spans="1:19" ht="17.25" customHeight="1" x14ac:dyDescent="0.25">
      <c r="A2" s="732"/>
      <c r="B2" s="733"/>
      <c r="C2" s="733"/>
      <c r="D2" s="733"/>
      <c r="E2" s="733"/>
      <c r="F2" s="733"/>
      <c r="G2" s="733"/>
      <c r="H2" s="733"/>
      <c r="I2" s="733"/>
      <c r="J2" s="733"/>
      <c r="K2" s="733"/>
      <c r="L2" s="733"/>
    </row>
    <row r="5" spans="1:19" s="248" customFormat="1" x14ac:dyDescent="0.25">
      <c r="B5" s="487"/>
      <c r="C5" s="487"/>
      <c r="D5" s="487"/>
      <c r="E5" s="487"/>
      <c r="F5" s="487"/>
      <c r="G5" s="487"/>
      <c r="H5" s="487"/>
      <c r="I5" s="487"/>
      <c r="J5" s="487"/>
      <c r="K5" s="487"/>
      <c r="L5" s="487"/>
      <c r="M5" s="487"/>
      <c r="N5" s="487"/>
      <c r="O5" s="487"/>
      <c r="P5" s="487"/>
      <c r="Q5" s="487"/>
      <c r="R5" s="487"/>
      <c r="S5" s="487"/>
    </row>
    <row r="6" spans="1:19" s="248" customFormat="1" x14ac:dyDescent="0.25">
      <c r="B6" s="487"/>
      <c r="C6" s="487"/>
      <c r="D6" s="487"/>
      <c r="E6" s="487"/>
      <c r="F6" s="487"/>
      <c r="G6" s="487"/>
      <c r="H6" s="487"/>
      <c r="I6" s="487"/>
      <c r="J6" s="487"/>
      <c r="K6" s="487"/>
      <c r="L6" s="487"/>
      <c r="M6" s="487"/>
      <c r="N6" s="487"/>
      <c r="O6" s="487"/>
      <c r="P6" s="487"/>
      <c r="Q6" s="487"/>
      <c r="R6" s="487"/>
      <c r="S6" s="487"/>
    </row>
    <row r="7" spans="1:19" s="248" customFormat="1" x14ac:dyDescent="0.25">
      <c r="B7" s="487"/>
      <c r="C7" s="487"/>
      <c r="D7" s="487"/>
      <c r="E7" s="487"/>
      <c r="F7" s="487"/>
      <c r="G7" s="487"/>
      <c r="H7" s="487"/>
      <c r="I7" s="487"/>
      <c r="J7" s="487"/>
      <c r="K7" s="487"/>
      <c r="L7" s="487"/>
      <c r="M7" s="487"/>
      <c r="N7" s="487"/>
      <c r="O7" s="487"/>
      <c r="P7" s="487"/>
      <c r="Q7" s="487"/>
      <c r="R7" s="487"/>
      <c r="S7" s="487"/>
    </row>
    <row r="8" spans="1:19" s="248" customFormat="1" x14ac:dyDescent="0.25">
      <c r="B8" s="487"/>
      <c r="C8" s="487"/>
      <c r="D8" s="487"/>
      <c r="E8" s="487"/>
      <c r="F8" s="487"/>
      <c r="G8" s="487"/>
      <c r="H8" s="487"/>
      <c r="I8" s="487"/>
      <c r="J8" s="487"/>
      <c r="K8" s="487"/>
      <c r="L8" s="487"/>
      <c r="M8" s="487"/>
      <c r="N8" s="487"/>
      <c r="O8" s="487"/>
      <c r="P8" s="487"/>
      <c r="Q8" s="487"/>
      <c r="R8" s="487"/>
      <c r="S8" s="487"/>
    </row>
    <row r="9" spans="1:19" x14ac:dyDescent="0.25">
      <c r="B9" s="487"/>
      <c r="C9" s="487"/>
      <c r="D9" s="487"/>
      <c r="E9" s="487"/>
      <c r="F9" s="487"/>
      <c r="G9" s="487"/>
      <c r="H9" s="487"/>
      <c r="I9" s="487"/>
      <c r="J9" s="487"/>
      <c r="K9" s="487"/>
      <c r="L9" s="487"/>
      <c r="M9" s="487"/>
      <c r="N9" s="487"/>
      <c r="O9" s="487"/>
      <c r="P9" s="487"/>
      <c r="Q9" s="487"/>
      <c r="R9" s="487"/>
      <c r="S9" s="487"/>
    </row>
    <row r="10" spans="1:19" x14ac:dyDescent="0.25">
      <c r="B10" s="487"/>
      <c r="C10" s="487"/>
      <c r="D10" s="487"/>
      <c r="E10" s="487"/>
      <c r="F10" s="487"/>
      <c r="G10" s="487"/>
      <c r="H10" s="487"/>
      <c r="I10" s="487"/>
      <c r="J10" s="487"/>
      <c r="K10" s="487"/>
      <c r="L10" s="487"/>
      <c r="M10" s="487"/>
      <c r="N10" s="487"/>
      <c r="O10" s="487"/>
      <c r="P10" s="487"/>
      <c r="Q10" s="487"/>
      <c r="R10" s="487"/>
      <c r="S10" s="487"/>
    </row>
    <row r="11" spans="1:19" x14ac:dyDescent="0.25">
      <c r="B11" s="487"/>
      <c r="C11" s="487"/>
      <c r="D11" s="487"/>
      <c r="E11" s="487"/>
      <c r="F11" s="487"/>
      <c r="G11" s="487"/>
      <c r="H11" s="487"/>
      <c r="I11" s="487"/>
      <c r="J11" s="487"/>
      <c r="K11" s="487"/>
      <c r="L11" s="487"/>
      <c r="M11" s="487"/>
      <c r="N11" s="487"/>
      <c r="O11" s="487"/>
      <c r="P11" s="487"/>
      <c r="Q11" s="487"/>
      <c r="R11" s="487"/>
      <c r="S11" s="487"/>
    </row>
    <row r="12" spans="1:19" x14ac:dyDescent="0.25">
      <c r="B12" s="487"/>
      <c r="C12" s="487"/>
      <c r="D12" s="487"/>
      <c r="E12" s="487"/>
      <c r="F12" s="487"/>
      <c r="G12" s="487"/>
      <c r="H12" s="487"/>
      <c r="I12" s="487"/>
      <c r="J12" s="487"/>
      <c r="K12" s="487"/>
      <c r="L12" s="487"/>
      <c r="M12" s="487"/>
      <c r="N12" s="487"/>
      <c r="O12" s="487"/>
      <c r="P12" s="487"/>
      <c r="Q12" s="487"/>
      <c r="R12" s="487"/>
      <c r="S12" s="487"/>
    </row>
    <row r="13" spans="1:19" x14ac:dyDescent="0.25">
      <c r="B13" s="487"/>
      <c r="C13" s="487"/>
      <c r="D13" s="487"/>
      <c r="E13" s="487"/>
      <c r="F13" s="487"/>
      <c r="G13" s="487"/>
      <c r="H13" s="487"/>
      <c r="I13" s="487"/>
      <c r="J13" s="487"/>
      <c r="K13" s="487"/>
      <c r="L13" s="487"/>
      <c r="M13" s="487"/>
      <c r="N13" s="487"/>
      <c r="O13" s="487"/>
      <c r="P13" s="487"/>
      <c r="Q13" s="487"/>
      <c r="R13" s="487"/>
      <c r="S13" s="487"/>
    </row>
    <row r="14" spans="1:19" s="322" customFormat="1" x14ac:dyDescent="0.25">
      <c r="B14" s="487"/>
      <c r="C14" s="487"/>
      <c r="D14" s="487"/>
      <c r="E14" s="487"/>
      <c r="F14" s="487"/>
      <c r="G14" s="487"/>
      <c r="H14" s="487"/>
      <c r="I14" s="487"/>
      <c r="J14" s="487"/>
      <c r="K14" s="487"/>
      <c r="L14" s="487"/>
      <c r="M14" s="487"/>
      <c r="N14" s="487"/>
      <c r="O14" s="487"/>
      <c r="P14" s="487"/>
      <c r="Q14" s="487"/>
      <c r="R14" s="487"/>
      <c r="S14" s="487"/>
    </row>
    <row r="15" spans="1:19" x14ac:dyDescent="0.25">
      <c r="B15" s="487"/>
      <c r="C15" s="487"/>
      <c r="D15" s="487"/>
      <c r="E15" s="487"/>
      <c r="F15" s="487"/>
      <c r="G15" s="487"/>
      <c r="H15" s="487"/>
      <c r="I15" s="487"/>
      <c r="J15" s="487"/>
      <c r="K15" s="487"/>
      <c r="L15" s="487"/>
      <c r="M15" s="487"/>
      <c r="N15" s="487"/>
      <c r="O15" s="487"/>
      <c r="P15" s="487"/>
      <c r="Q15" s="487"/>
      <c r="R15" s="487"/>
      <c r="S15" s="487"/>
    </row>
    <row r="16" spans="1:19" s="322" customFormat="1" x14ac:dyDescent="0.25">
      <c r="B16" s="487"/>
      <c r="C16" s="487"/>
      <c r="D16" s="487"/>
      <c r="E16" s="487"/>
      <c r="F16" s="487"/>
      <c r="G16" s="487"/>
      <c r="H16" s="487"/>
      <c r="I16" s="487"/>
      <c r="J16" s="487"/>
      <c r="K16" s="487"/>
      <c r="L16" s="487"/>
      <c r="M16" s="487"/>
      <c r="N16" s="487"/>
      <c r="O16" s="487"/>
      <c r="P16" s="487"/>
      <c r="Q16" s="487"/>
      <c r="R16" s="487"/>
      <c r="S16" s="487"/>
    </row>
    <row r="17" spans="2:19" s="322" customFormat="1" x14ac:dyDescent="0.25">
      <c r="B17" s="487"/>
      <c r="S17" s="487"/>
    </row>
    <row r="18" spans="2:19" x14ac:dyDescent="0.25">
      <c r="B18" s="487"/>
      <c r="C18" s="172"/>
      <c r="D18" s="172"/>
      <c r="E18" s="172"/>
      <c r="F18" s="172"/>
      <c r="G18" s="1083" t="s">
        <v>827</v>
      </c>
      <c r="H18" s="1085"/>
      <c r="I18" s="777" t="str">
        <f>INDEX(Locations, selection)</f>
        <v>Angmering</v>
      </c>
      <c r="J18" s="777"/>
      <c r="K18" s="779" t="str">
        <f>INDEX(Locations,selection2)</f>
        <v>Bewbush</v>
      </c>
      <c r="L18" s="779"/>
      <c r="Q18" s="172"/>
      <c r="R18" s="172"/>
      <c r="S18" s="487"/>
    </row>
    <row r="19" spans="2:19" x14ac:dyDescent="0.25">
      <c r="B19" s="487"/>
      <c r="C19" s="172"/>
      <c r="D19" s="172"/>
      <c r="E19" s="172"/>
      <c r="F19" s="172"/>
      <c r="G19" s="1086"/>
      <c r="H19" s="1088"/>
      <c r="I19" s="777"/>
      <c r="J19" s="777"/>
      <c r="K19" s="779"/>
      <c r="L19" s="779"/>
      <c r="Q19" s="172"/>
      <c r="R19" s="172"/>
      <c r="S19" s="487"/>
    </row>
    <row r="20" spans="2:19" x14ac:dyDescent="0.25">
      <c r="B20" s="487"/>
      <c r="C20" s="172"/>
      <c r="D20" s="172"/>
      <c r="E20" s="172"/>
      <c r="F20" s="172"/>
      <c r="G20" s="1089"/>
      <c r="H20" s="1091"/>
      <c r="I20" s="777"/>
      <c r="J20" s="777"/>
      <c r="K20" s="779"/>
      <c r="L20" s="779"/>
      <c r="Q20" s="172"/>
      <c r="R20" s="172"/>
      <c r="S20" s="487"/>
    </row>
    <row r="21" spans="2:19" x14ac:dyDescent="0.25">
      <c r="B21" s="487"/>
      <c r="C21" s="172"/>
      <c r="D21" s="172"/>
      <c r="E21" s="172"/>
      <c r="F21" s="172"/>
      <c r="G21" s="984" t="s">
        <v>828</v>
      </c>
      <c r="H21" s="986"/>
      <c r="I21" s="1305">
        <f>IF(HLOOKUP(G21,IMD,selection+1, FALSE) = "", "n/a", HLOOKUP(G21,IMD,selection+1, FALSE))</f>
        <v>5</v>
      </c>
      <c r="J21" s="1305"/>
      <c r="K21" s="1305">
        <f>IF(HLOOKUP($G21,IMD,selection2+1,FALSE) = "", "n/a", HLOOKUP($G21,IMD,selection2+1,FALSE))</f>
        <v>2</v>
      </c>
      <c r="L21" s="1305"/>
      <c r="M21" s="172"/>
      <c r="N21" s="172"/>
      <c r="O21" s="172"/>
      <c r="P21" s="172"/>
      <c r="Q21" s="172"/>
      <c r="R21" s="172"/>
      <c r="S21" s="487"/>
    </row>
    <row r="22" spans="2:19" s="172" customFormat="1" x14ac:dyDescent="0.25">
      <c r="B22" s="487"/>
      <c r="G22" s="1303"/>
      <c r="H22" s="1304"/>
      <c r="I22" s="1305"/>
      <c r="J22" s="1305"/>
      <c r="K22" s="1305"/>
      <c r="L22" s="1305"/>
      <c r="S22" s="487"/>
    </row>
    <row r="23" spans="2:19" s="172" customFormat="1" x14ac:dyDescent="0.25">
      <c r="B23" s="487"/>
      <c r="G23" s="1303"/>
      <c r="H23" s="1304"/>
      <c r="I23" s="1342"/>
      <c r="J23" s="1342"/>
      <c r="K23" s="1342"/>
      <c r="L23" s="1342"/>
      <c r="S23" s="487"/>
    </row>
    <row r="24" spans="2:19" s="172" customFormat="1" x14ac:dyDescent="0.25">
      <c r="B24" s="487"/>
      <c r="G24" s="984" t="s">
        <v>831</v>
      </c>
      <c r="H24" s="986"/>
      <c r="I24" s="1305">
        <f>IF(HLOOKUP(G24,IMD,selection+1, FALSE) = "", "n/a", HLOOKUP(G24,IMD,selection+1, FALSE))</f>
        <v>5</v>
      </c>
      <c r="J24" s="1305"/>
      <c r="K24" s="1305">
        <f>IF(HLOOKUP($G24,IMD,selection2+1,FALSE) = "", "n/a", HLOOKUP($G24,IMD,selection2+1,FALSE))</f>
        <v>2</v>
      </c>
      <c r="L24" s="1305"/>
      <c r="S24" s="487"/>
    </row>
    <row r="25" spans="2:19" s="322" customFormat="1" x14ac:dyDescent="0.25">
      <c r="B25" s="487"/>
      <c r="G25" s="1303"/>
      <c r="H25" s="1304"/>
      <c r="I25" s="1305"/>
      <c r="J25" s="1305"/>
      <c r="K25" s="1305"/>
      <c r="L25" s="1305"/>
      <c r="S25" s="487"/>
    </row>
    <row r="26" spans="2:19" s="322" customFormat="1" x14ac:dyDescent="0.25">
      <c r="B26" s="487"/>
      <c r="G26" s="987"/>
      <c r="H26" s="989"/>
      <c r="I26" s="1305"/>
      <c r="J26" s="1305"/>
      <c r="K26" s="1305"/>
      <c r="L26" s="1305"/>
      <c r="S26" s="487"/>
    </row>
    <row r="27" spans="2:19" s="617" customFormat="1" x14ac:dyDescent="0.25">
      <c r="B27" s="487"/>
      <c r="G27" s="616"/>
      <c r="H27" s="616"/>
      <c r="I27" s="616"/>
      <c r="J27" s="616"/>
      <c r="K27" s="616"/>
      <c r="L27" s="616"/>
      <c r="S27" s="487"/>
    </row>
    <row r="28" spans="2:19" s="617" customFormat="1" x14ac:dyDescent="0.25">
      <c r="B28" s="487"/>
      <c r="G28" s="616"/>
      <c r="H28" s="616"/>
      <c r="I28" s="616"/>
      <c r="J28" s="616"/>
      <c r="K28" s="616"/>
      <c r="L28" s="616"/>
      <c r="S28" s="487"/>
    </row>
    <row r="29" spans="2:19" s="617" customFormat="1" x14ac:dyDescent="0.25">
      <c r="B29" s="487"/>
      <c r="G29" s="616"/>
      <c r="H29" s="616"/>
      <c r="I29" s="616"/>
      <c r="J29" s="616"/>
      <c r="K29" s="616"/>
      <c r="L29" s="616"/>
      <c r="S29" s="487"/>
    </row>
    <row r="30" spans="2:19" s="617" customFormat="1" x14ac:dyDescent="0.25">
      <c r="B30" s="487"/>
      <c r="C30" s="1125" t="s">
        <v>1090</v>
      </c>
      <c r="D30" s="1125"/>
      <c r="E30" s="1125"/>
      <c r="F30" s="1125"/>
      <c r="G30" s="1125"/>
      <c r="H30" s="1125"/>
      <c r="I30" s="1125"/>
      <c r="J30" s="1125"/>
      <c r="K30" s="1125"/>
      <c r="L30" s="1125"/>
      <c r="M30" s="1125"/>
      <c r="N30" s="1125"/>
      <c r="O30" s="1125"/>
      <c r="P30" s="1125"/>
      <c r="Q30" s="1125"/>
      <c r="R30" s="1125"/>
      <c r="S30" s="487"/>
    </row>
    <row r="31" spans="2:19" s="617" customFormat="1" ht="145.5" customHeight="1" x14ac:dyDescent="0.25">
      <c r="B31" s="487"/>
      <c r="C31" s="914" t="s">
        <v>1093</v>
      </c>
      <c r="D31" s="974"/>
      <c r="E31" s="974"/>
      <c r="F31" s="974"/>
      <c r="G31" s="974"/>
      <c r="H31" s="974"/>
      <c r="I31" s="974"/>
      <c r="J31" s="974"/>
      <c r="K31" s="974"/>
      <c r="L31" s="974"/>
      <c r="M31" s="974"/>
      <c r="N31" s="974"/>
      <c r="O31" s="974"/>
      <c r="P31" s="974"/>
      <c r="Q31" s="974"/>
      <c r="R31" s="974"/>
      <c r="S31" s="487"/>
    </row>
    <row r="32" spans="2:19" s="617" customFormat="1" x14ac:dyDescent="0.25">
      <c r="B32" s="487"/>
      <c r="C32" s="1285"/>
      <c r="D32" s="1285"/>
      <c r="E32" s="1285"/>
      <c r="F32" s="1285"/>
      <c r="G32" s="1285"/>
      <c r="H32" s="1285"/>
      <c r="I32" s="1285"/>
      <c r="J32" s="1285"/>
      <c r="K32" s="1285"/>
      <c r="L32" s="1285"/>
      <c r="M32" s="1285"/>
      <c r="N32" s="1285"/>
      <c r="O32" s="1285"/>
      <c r="P32" s="1285"/>
      <c r="Q32" s="1285"/>
      <c r="R32" s="1285"/>
      <c r="S32" s="487"/>
    </row>
    <row r="33" spans="2:19" s="617" customFormat="1" ht="15" customHeight="1" x14ac:dyDescent="0.25">
      <c r="B33" s="487"/>
      <c r="G33" s="1306" t="s">
        <v>1089</v>
      </c>
      <c r="H33" s="1307"/>
      <c r="I33" s="1350" t="str">
        <f>INDEX(Locations, selection)</f>
        <v>Angmering</v>
      </c>
      <c r="J33" s="1351"/>
      <c r="K33" s="1115" t="str">
        <f>INDEX(Locations,selection2)</f>
        <v>Bewbush</v>
      </c>
      <c r="L33" s="1115"/>
      <c r="M33" s="66"/>
      <c r="N33" s="634"/>
      <c r="O33" s="634"/>
      <c r="P33" s="634"/>
      <c r="Q33" s="66"/>
      <c r="S33" s="487"/>
    </row>
    <row r="34" spans="2:19" s="617" customFormat="1" x14ac:dyDescent="0.25">
      <c r="B34" s="487"/>
      <c r="G34" s="1308"/>
      <c r="H34" s="1087"/>
      <c r="I34" s="848"/>
      <c r="J34" s="849"/>
      <c r="K34" s="1115"/>
      <c r="L34" s="1115"/>
      <c r="M34" s="634"/>
      <c r="N34" s="634"/>
      <c r="O34" s="634"/>
      <c r="P34" s="634"/>
      <c r="Q34" s="66"/>
      <c r="S34" s="487"/>
    </row>
    <row r="35" spans="2:19" s="617" customFormat="1" x14ac:dyDescent="0.25">
      <c r="B35" s="487"/>
      <c r="G35" s="1309"/>
      <c r="H35" s="1090"/>
      <c r="I35" s="1352"/>
      <c r="J35" s="1353"/>
      <c r="K35" s="1115"/>
      <c r="L35" s="1115"/>
      <c r="M35" s="634"/>
      <c r="N35" s="634"/>
      <c r="O35" s="634"/>
      <c r="P35" s="634"/>
      <c r="Q35" s="66"/>
      <c r="S35" s="487"/>
    </row>
    <row r="36" spans="2:19" s="617" customFormat="1" x14ac:dyDescent="0.25">
      <c r="B36" s="487"/>
      <c r="G36" s="1310" t="s">
        <v>1087</v>
      </c>
      <c r="H36" s="985"/>
      <c r="I36" s="1244">
        <f>IF(HLOOKUP(G36,IDACI,selection+1, FALSE) = "", "n/a", HLOOKUP(G36,IDACI,selection+1, FALSE))</f>
        <v>5</v>
      </c>
      <c r="J36" s="1244"/>
      <c r="K36" s="1244">
        <f>IF(HLOOKUP($G36,IDACI,selection2+1,FALSE) = "", "n/a", HLOOKUP($G36,IDACI,selection2+1,FALSE))</f>
        <v>2</v>
      </c>
      <c r="L36" s="1244"/>
      <c r="M36" s="66"/>
      <c r="N36" s="66"/>
      <c r="O36" s="66"/>
      <c r="P36" s="66"/>
      <c r="Q36" s="66"/>
      <c r="S36" s="487"/>
    </row>
    <row r="37" spans="2:19" s="617" customFormat="1" x14ac:dyDescent="0.25">
      <c r="B37" s="487"/>
      <c r="F37" s="71"/>
      <c r="G37" s="1311"/>
      <c r="H37" s="1289"/>
      <c r="I37" s="1244"/>
      <c r="J37" s="1244"/>
      <c r="K37" s="1244"/>
      <c r="L37" s="1244"/>
      <c r="S37" s="487"/>
    </row>
    <row r="38" spans="2:19" s="617" customFormat="1" x14ac:dyDescent="0.25">
      <c r="B38" s="487"/>
      <c r="F38" s="71"/>
      <c r="G38" s="1311"/>
      <c r="H38" s="1289"/>
      <c r="I38" s="1244"/>
      <c r="J38" s="1244"/>
      <c r="K38" s="1244"/>
      <c r="L38" s="1244"/>
      <c r="S38" s="487"/>
    </row>
    <row r="39" spans="2:19" s="617" customFormat="1" x14ac:dyDescent="0.25">
      <c r="B39" s="487"/>
      <c r="G39" s="1310" t="s">
        <v>1088</v>
      </c>
      <c r="H39" s="985"/>
      <c r="I39" s="1244">
        <f>IF(HLOOKUP(G39,IDACI,selection+1, FALSE) = "", "n/a", HLOOKUP(G39,IDACI,selection+1, FALSE))</f>
        <v>5</v>
      </c>
      <c r="J39" s="1244"/>
      <c r="K39" s="1244">
        <f>IF(HLOOKUP($G39,IDACI,selection2+1,FALSE) = "", "n/a", HLOOKUP($G39,IDACI,selection2+1,FALSE))</f>
        <v>1</v>
      </c>
      <c r="L39" s="1244"/>
      <c r="S39" s="487"/>
    </row>
    <row r="40" spans="2:19" s="617" customFormat="1" x14ac:dyDescent="0.25">
      <c r="B40" s="487"/>
      <c r="G40" s="1311"/>
      <c r="H40" s="1289"/>
      <c r="I40" s="1244"/>
      <c r="J40" s="1244"/>
      <c r="K40" s="1244"/>
      <c r="L40" s="1244"/>
      <c r="S40" s="487"/>
    </row>
    <row r="41" spans="2:19" s="617" customFormat="1" x14ac:dyDescent="0.25">
      <c r="B41" s="487"/>
      <c r="G41" s="1312"/>
      <c r="H41" s="1313"/>
      <c r="I41" s="1244"/>
      <c r="J41" s="1244"/>
      <c r="K41" s="1244"/>
      <c r="L41" s="1244"/>
      <c r="S41" s="487"/>
    </row>
    <row r="42" spans="2:19" s="617" customFormat="1" x14ac:dyDescent="0.25">
      <c r="B42" s="487"/>
      <c r="G42" s="616"/>
      <c r="H42" s="616"/>
      <c r="I42" s="616"/>
      <c r="J42" s="616"/>
      <c r="K42" s="464"/>
      <c r="L42" s="464"/>
      <c r="M42" s="616"/>
      <c r="N42" s="616"/>
      <c r="O42" s="464"/>
      <c r="P42" s="464"/>
      <c r="S42" s="487"/>
    </row>
    <row r="43" spans="2:19" s="617" customFormat="1" x14ac:dyDescent="0.25">
      <c r="B43" s="487"/>
      <c r="G43" s="616"/>
      <c r="H43" s="616"/>
      <c r="I43" s="616"/>
      <c r="J43" s="616"/>
      <c r="K43" s="464"/>
      <c r="L43" s="464"/>
      <c r="M43" s="616"/>
      <c r="N43" s="616"/>
      <c r="O43" s="464"/>
      <c r="P43" s="464"/>
      <c r="S43" s="487"/>
    </row>
    <row r="44" spans="2:19" s="617" customFormat="1" x14ac:dyDescent="0.25">
      <c r="B44" s="487"/>
      <c r="G44" s="1306" t="s">
        <v>1089</v>
      </c>
      <c r="H44" s="1307"/>
      <c r="I44" s="1350" t="str">
        <f>INDEX(Locations, selection)</f>
        <v>Angmering</v>
      </c>
      <c r="J44" s="1351"/>
      <c r="K44" s="1115" t="str">
        <f>INDEX(Locations,selection2)</f>
        <v>Bewbush</v>
      </c>
      <c r="L44" s="1115"/>
      <c r="M44" s="616"/>
      <c r="N44" s="616"/>
      <c r="O44" s="464"/>
      <c r="P44" s="464"/>
      <c r="S44" s="487"/>
    </row>
    <row r="45" spans="2:19" s="617" customFormat="1" x14ac:dyDescent="0.25">
      <c r="B45" s="487"/>
      <c r="G45" s="1308"/>
      <c r="H45" s="1087"/>
      <c r="I45" s="848"/>
      <c r="J45" s="849"/>
      <c r="K45" s="1115"/>
      <c r="L45" s="1115"/>
      <c r="M45" s="616"/>
      <c r="N45" s="616"/>
      <c r="O45" s="464"/>
      <c r="P45" s="464"/>
      <c r="S45" s="487"/>
    </row>
    <row r="46" spans="2:19" s="617" customFormat="1" x14ac:dyDescent="0.25">
      <c r="B46" s="487"/>
      <c r="G46" s="1308"/>
      <c r="H46" s="1087"/>
      <c r="I46" s="1352"/>
      <c r="J46" s="1353"/>
      <c r="K46" s="1115"/>
      <c r="L46" s="1115"/>
      <c r="M46" s="616"/>
      <c r="N46" s="616"/>
      <c r="O46" s="464"/>
      <c r="P46" s="464"/>
      <c r="S46" s="487"/>
    </row>
    <row r="47" spans="2:19" s="617" customFormat="1" ht="15" customHeight="1" x14ac:dyDescent="0.25">
      <c r="B47" s="487"/>
      <c r="F47" s="635" t="s">
        <v>1085</v>
      </c>
      <c r="G47" s="1343" t="s">
        <v>1091</v>
      </c>
      <c r="H47" s="1343"/>
      <c r="I47" s="1314">
        <f>IF(HLOOKUP(F47,IDACI,selection+1, FALSE) = "", "n/a", HLOOKUP(F47,IDACI,selection+1, FALSE))</f>
        <v>0.128898182867032</v>
      </c>
      <c r="J47" s="1245"/>
      <c r="K47" s="1315">
        <f>IF(HLOOKUP($F47,IDACI,selection2+1,FALSE) = "", "n/a", HLOOKUP($F47,IDACI,selection2+1,FALSE))</f>
        <v>0.22450417362270453</v>
      </c>
      <c r="L47" s="1316"/>
      <c r="M47" s="616"/>
      <c r="N47" s="616"/>
      <c r="O47" s="464"/>
      <c r="P47" s="464"/>
      <c r="S47" s="487"/>
    </row>
    <row r="48" spans="2:19" s="617" customFormat="1" x14ac:dyDescent="0.25">
      <c r="B48" s="487"/>
      <c r="F48" s="71"/>
      <c r="G48" s="1343"/>
      <c r="H48" s="1343"/>
      <c r="I48" s="1314"/>
      <c r="J48" s="1245"/>
      <c r="K48" s="1317"/>
      <c r="L48" s="1318"/>
      <c r="M48" s="616"/>
      <c r="N48" s="616"/>
      <c r="O48" s="464"/>
      <c r="P48" s="464"/>
      <c r="S48" s="487"/>
    </row>
    <row r="49" spans="2:19" s="617" customFormat="1" x14ac:dyDescent="0.25">
      <c r="B49" s="487"/>
      <c r="F49" s="71"/>
      <c r="G49" s="1343"/>
      <c r="H49" s="1343"/>
      <c r="I49" s="1314"/>
      <c r="J49" s="1245"/>
      <c r="K49" s="1319"/>
      <c r="L49" s="1320"/>
      <c r="M49" s="616"/>
      <c r="N49" s="616"/>
      <c r="O49" s="464"/>
      <c r="P49" s="464"/>
      <c r="S49" s="487"/>
    </row>
    <row r="50" spans="2:19" s="617" customFormat="1" x14ac:dyDescent="0.25">
      <c r="B50" s="487"/>
      <c r="F50" s="467" t="s">
        <v>1086</v>
      </c>
      <c r="G50" s="1344" t="s">
        <v>1092</v>
      </c>
      <c r="H50" s="1345"/>
      <c r="I50" s="1314">
        <f>IF(HLOOKUP(F50,IDACI,selection+1, FALSE) = "", "n/a", HLOOKUP(F50,IDACI,selection+1, FALSE))</f>
        <v>0.11922366479787547</v>
      </c>
      <c r="J50" s="1245"/>
      <c r="K50" s="1321">
        <f>IF(HLOOKUP($F50,IDACI,selection2+1,FALSE) = "", "n/a", HLOOKUP($F50,IDACI,selection2+1,FALSE))</f>
        <v>0.22842705995511384</v>
      </c>
      <c r="L50" s="1322"/>
      <c r="M50" s="616"/>
      <c r="N50" s="616"/>
      <c r="O50" s="464"/>
      <c r="P50" s="464"/>
      <c r="S50" s="487"/>
    </row>
    <row r="51" spans="2:19" s="617" customFormat="1" x14ac:dyDescent="0.25">
      <c r="B51" s="487"/>
      <c r="G51" s="1346"/>
      <c r="H51" s="1347"/>
      <c r="I51" s="1314"/>
      <c r="J51" s="1245"/>
      <c r="K51" s="1317"/>
      <c r="L51" s="1318"/>
      <c r="M51" s="616"/>
      <c r="N51" s="616"/>
      <c r="O51" s="464"/>
      <c r="P51" s="464"/>
      <c r="S51" s="487"/>
    </row>
    <row r="52" spans="2:19" s="617" customFormat="1" x14ac:dyDescent="0.25">
      <c r="B52" s="487"/>
      <c r="G52" s="1348"/>
      <c r="H52" s="1349"/>
      <c r="I52" s="1314"/>
      <c r="J52" s="1245"/>
      <c r="K52" s="1319"/>
      <c r="L52" s="1320"/>
      <c r="M52" s="616"/>
      <c r="N52" s="616"/>
      <c r="O52" s="464"/>
      <c r="P52" s="464"/>
      <c r="S52" s="487"/>
    </row>
    <row r="53" spans="2:19" s="617" customFormat="1" x14ac:dyDescent="0.25">
      <c r="B53" s="487"/>
      <c r="G53" s="616"/>
      <c r="H53" s="616"/>
      <c r="I53" s="616"/>
      <c r="J53" s="616"/>
      <c r="K53" s="464"/>
      <c r="L53" s="464"/>
      <c r="M53" s="616"/>
      <c r="N53" s="616"/>
      <c r="O53" s="464"/>
      <c r="P53" s="464"/>
      <c r="S53" s="487"/>
    </row>
    <row r="54" spans="2:19" s="322" customFormat="1" x14ac:dyDescent="0.25">
      <c r="B54" s="487"/>
      <c r="S54" s="487"/>
    </row>
    <row r="55" spans="2:19" s="172" customFormat="1" x14ac:dyDescent="0.25">
      <c r="B55" s="487"/>
      <c r="C55" s="487"/>
      <c r="D55" s="487"/>
      <c r="E55" s="487"/>
      <c r="F55" s="487"/>
      <c r="G55" s="487"/>
      <c r="H55" s="487"/>
      <c r="I55" s="487"/>
      <c r="J55" s="487"/>
      <c r="K55" s="487"/>
      <c r="L55" s="487"/>
      <c r="M55" s="487"/>
      <c r="N55" s="487"/>
      <c r="O55" s="487"/>
      <c r="P55" s="487"/>
      <c r="Q55" s="487"/>
      <c r="R55" s="487"/>
      <c r="S55" s="487"/>
    </row>
    <row r="56" spans="2:19" s="172" customFormat="1" x14ac:dyDescent="0.25">
      <c r="B56" s="487"/>
      <c r="C56" s="487"/>
      <c r="D56" s="487"/>
      <c r="E56" s="487"/>
      <c r="F56" s="487"/>
      <c r="G56" s="487"/>
      <c r="H56" s="487"/>
      <c r="I56" s="487"/>
      <c r="J56" s="487"/>
      <c r="K56" s="487"/>
      <c r="L56" s="487"/>
      <c r="M56" s="487"/>
      <c r="N56" s="487"/>
      <c r="O56" s="487"/>
      <c r="P56" s="487"/>
      <c r="Q56" s="487"/>
      <c r="R56" s="487"/>
      <c r="S56" s="487"/>
    </row>
    <row r="57" spans="2:19" x14ac:dyDescent="0.25">
      <c r="B57" s="487"/>
      <c r="C57" s="487"/>
      <c r="D57" s="487"/>
      <c r="E57" s="487"/>
      <c r="F57" s="487"/>
      <c r="G57" s="487"/>
      <c r="H57" s="487"/>
      <c r="I57" s="487"/>
      <c r="J57" s="487"/>
      <c r="K57" s="487"/>
      <c r="L57" s="487"/>
      <c r="M57" s="487"/>
      <c r="N57" s="487"/>
      <c r="O57" s="487"/>
      <c r="P57" s="487"/>
      <c r="Q57" s="487"/>
      <c r="R57" s="487"/>
      <c r="S57" s="487"/>
    </row>
    <row r="58" spans="2:19" x14ac:dyDescent="0.25">
      <c r="B58" s="487"/>
      <c r="C58" s="487"/>
      <c r="D58" s="487"/>
      <c r="E58" s="487"/>
      <c r="F58" s="487"/>
      <c r="G58" s="487"/>
      <c r="H58" s="487"/>
      <c r="I58" s="487"/>
      <c r="J58" s="487"/>
      <c r="K58" s="487"/>
      <c r="L58" s="487"/>
      <c r="M58" s="487"/>
      <c r="N58" s="487"/>
      <c r="O58" s="487"/>
      <c r="P58" s="487"/>
      <c r="Q58" s="487"/>
      <c r="R58" s="487"/>
      <c r="S58" s="487"/>
    </row>
    <row r="59" spans="2:19" x14ac:dyDescent="0.25">
      <c r="B59" s="487"/>
      <c r="C59" s="487"/>
      <c r="D59" s="487"/>
      <c r="E59" s="487"/>
      <c r="F59" s="487"/>
      <c r="G59" s="487"/>
      <c r="H59" s="487"/>
      <c r="I59" s="487"/>
      <c r="J59" s="487"/>
      <c r="K59" s="487"/>
      <c r="L59" s="487"/>
      <c r="M59" s="487"/>
      <c r="N59" s="487"/>
      <c r="O59" s="487"/>
      <c r="P59" s="487"/>
      <c r="Q59" s="487"/>
      <c r="R59" s="487"/>
      <c r="S59" s="487"/>
    </row>
    <row r="60" spans="2:19" x14ac:dyDescent="0.25">
      <c r="B60" s="487"/>
      <c r="C60" s="487"/>
      <c r="D60" s="487"/>
      <c r="E60" s="487"/>
      <c r="F60" s="487"/>
      <c r="G60" s="487"/>
      <c r="H60" s="487"/>
      <c r="I60" s="487"/>
      <c r="J60" s="487"/>
      <c r="K60" s="487"/>
      <c r="L60" s="487"/>
      <c r="M60" s="487"/>
      <c r="N60" s="487"/>
      <c r="O60" s="487"/>
      <c r="P60" s="487"/>
      <c r="Q60" s="487"/>
      <c r="R60" s="487"/>
      <c r="S60" s="487"/>
    </row>
    <row r="61" spans="2:19" x14ac:dyDescent="0.25">
      <c r="B61" s="487"/>
      <c r="C61" s="487"/>
      <c r="D61" s="487"/>
      <c r="E61" s="487"/>
      <c r="F61" s="487"/>
      <c r="G61" s="487"/>
      <c r="H61" s="487"/>
      <c r="I61" s="487"/>
      <c r="J61" s="487"/>
      <c r="K61" s="487"/>
      <c r="L61" s="487"/>
      <c r="M61" s="487"/>
      <c r="N61" s="487"/>
      <c r="O61" s="487"/>
      <c r="P61" s="487"/>
      <c r="Q61" s="487"/>
      <c r="R61" s="487"/>
      <c r="S61" s="487"/>
    </row>
    <row r="62" spans="2:19" x14ac:dyDescent="0.25">
      <c r="B62" s="487"/>
      <c r="C62" s="487"/>
      <c r="D62" s="487"/>
      <c r="E62" s="487"/>
      <c r="F62" s="487"/>
      <c r="G62" s="487"/>
      <c r="H62" s="487"/>
      <c r="I62" s="487"/>
      <c r="J62" s="487"/>
      <c r="K62" s="487"/>
      <c r="L62" s="487"/>
      <c r="M62" s="487"/>
      <c r="N62" s="487"/>
      <c r="O62" s="487"/>
      <c r="P62" s="487"/>
      <c r="Q62" s="487"/>
      <c r="R62" s="487"/>
      <c r="S62" s="487"/>
    </row>
    <row r="63" spans="2:19" x14ac:dyDescent="0.25">
      <c r="B63" s="487"/>
      <c r="C63" s="487"/>
      <c r="D63" s="487"/>
      <c r="E63" s="487"/>
      <c r="F63" s="487"/>
      <c r="G63" s="487"/>
      <c r="H63" s="487"/>
      <c r="I63" s="487"/>
      <c r="J63" s="487"/>
      <c r="K63" s="487"/>
      <c r="L63" s="487"/>
      <c r="M63" s="487"/>
      <c r="N63" s="487"/>
      <c r="O63" s="487"/>
      <c r="P63" s="487"/>
      <c r="Q63" s="487"/>
      <c r="R63" s="487"/>
      <c r="S63" s="487"/>
    </row>
    <row r="64" spans="2:19" x14ac:dyDescent="0.25">
      <c r="B64" s="487"/>
      <c r="C64" s="487"/>
      <c r="D64" s="487"/>
      <c r="E64" s="487"/>
      <c r="F64" s="487"/>
      <c r="G64" s="487"/>
      <c r="H64" s="487"/>
      <c r="I64" s="487"/>
      <c r="J64" s="487"/>
      <c r="K64" s="487"/>
      <c r="L64" s="487"/>
      <c r="M64" s="487"/>
      <c r="N64" s="487"/>
      <c r="O64" s="487"/>
      <c r="P64" s="487"/>
      <c r="Q64" s="487"/>
      <c r="R64" s="487"/>
      <c r="S64" s="487"/>
    </row>
    <row r="65" spans="2:19" x14ac:dyDescent="0.25">
      <c r="B65" s="487"/>
      <c r="C65" s="487"/>
      <c r="D65" s="487"/>
      <c r="E65" s="487"/>
      <c r="F65" s="487"/>
      <c r="G65" s="487"/>
      <c r="H65" s="487"/>
      <c r="I65" s="487"/>
      <c r="J65" s="487"/>
      <c r="K65" s="487"/>
      <c r="L65" s="487"/>
      <c r="M65" s="487"/>
      <c r="N65" s="487"/>
      <c r="O65" s="487"/>
      <c r="P65" s="487"/>
      <c r="Q65" s="487"/>
      <c r="R65" s="487"/>
      <c r="S65" s="487"/>
    </row>
    <row r="66" spans="2:19" x14ac:dyDescent="0.25">
      <c r="B66" s="487"/>
      <c r="N66" s="172"/>
      <c r="O66" s="172"/>
      <c r="P66" s="172"/>
      <c r="Q66" s="172"/>
      <c r="R66" s="172"/>
      <c r="S66" s="487"/>
    </row>
    <row r="67" spans="2:19" x14ac:dyDescent="0.25">
      <c r="B67" s="487"/>
      <c r="C67" s="147" t="s">
        <v>627</v>
      </c>
      <c r="N67" s="172"/>
      <c r="O67" s="172"/>
      <c r="P67" s="172"/>
      <c r="Q67" s="172"/>
      <c r="R67" s="172"/>
      <c r="S67" s="487"/>
    </row>
    <row r="68" spans="2:19" x14ac:dyDescent="0.25">
      <c r="B68" s="487"/>
      <c r="C68" s="126" t="s">
        <v>640</v>
      </c>
      <c r="N68" s="172"/>
      <c r="O68" s="172"/>
      <c r="P68" s="172"/>
      <c r="Q68" s="172"/>
      <c r="R68" s="172"/>
      <c r="S68" s="487"/>
    </row>
    <row r="69" spans="2:19" x14ac:dyDescent="0.25">
      <c r="B69" s="487"/>
      <c r="N69" s="172"/>
      <c r="O69" s="172"/>
      <c r="P69" s="172"/>
      <c r="Q69" s="172"/>
      <c r="R69" s="172"/>
      <c r="S69" s="487"/>
    </row>
    <row r="70" spans="2:19" s="172" customFormat="1" x14ac:dyDescent="0.25">
      <c r="B70" s="487"/>
      <c r="C70" s="171" t="s">
        <v>641</v>
      </c>
      <c r="S70" s="487"/>
    </row>
    <row r="71" spans="2:19" ht="15" customHeight="1" x14ac:dyDescent="0.25">
      <c r="B71" s="487"/>
      <c r="N71" s="172"/>
      <c r="O71" s="172"/>
      <c r="P71" s="172"/>
      <c r="Q71" s="172"/>
      <c r="R71" s="172"/>
      <c r="S71" s="487"/>
    </row>
    <row r="72" spans="2:19" ht="45" customHeight="1" x14ac:dyDescent="0.25">
      <c r="B72" s="487"/>
      <c r="E72" s="1325" t="s">
        <v>305</v>
      </c>
      <c r="F72" s="1325"/>
      <c r="G72" s="1325"/>
      <c r="H72" s="1335" t="str">
        <f>INDEX(Locations, selection)</f>
        <v>Angmering</v>
      </c>
      <c r="I72" s="1336"/>
      <c r="J72" s="1333" t="str">
        <f>INDEX(Locations, selection2)</f>
        <v>Bewbush</v>
      </c>
      <c r="K72" s="1334"/>
      <c r="L72" s="1331" t="s">
        <v>291</v>
      </c>
      <c r="M72" s="1332"/>
      <c r="N72" s="1329" t="s">
        <v>292</v>
      </c>
      <c r="O72" s="1330"/>
      <c r="P72" s="1329" t="s">
        <v>293</v>
      </c>
      <c r="Q72" s="1330"/>
      <c r="R72" s="172"/>
      <c r="S72" s="487"/>
    </row>
    <row r="73" spans="2:19" ht="31.5" customHeight="1" x14ac:dyDescent="0.25">
      <c r="B73" s="487"/>
      <c r="E73" s="1326" t="s">
        <v>637</v>
      </c>
      <c r="F73" s="1326"/>
      <c r="G73" s="1326"/>
      <c r="H73" s="1327">
        <f>HLOOKUP($E73,deprivation,selection+1,FALSE)</f>
        <v>230</v>
      </c>
      <c r="I73" s="1328"/>
      <c r="J73" s="1327">
        <f>HLOOKUP($E73,deprivation,selection2+1,FALSE)</f>
        <v>287</v>
      </c>
      <c r="K73" s="1328"/>
      <c r="L73" s="1323">
        <v>12972</v>
      </c>
      <c r="M73" s="1324"/>
      <c r="N73" s="1323">
        <v>143982</v>
      </c>
      <c r="O73" s="1324"/>
      <c r="P73" s="1323">
        <v>1249557</v>
      </c>
      <c r="Q73" s="1324"/>
      <c r="R73" s="172"/>
      <c r="S73" s="487"/>
    </row>
    <row r="74" spans="2:19" ht="31.5" customHeight="1" x14ac:dyDescent="0.25">
      <c r="B74" s="487"/>
      <c r="E74" s="1326" t="s">
        <v>639</v>
      </c>
      <c r="F74" s="1326"/>
      <c r="G74" s="1326"/>
      <c r="H74" s="1266">
        <f>HLOOKUP($E74,deprivation,selection+1,FALSE)</f>
        <v>3.0006523157208087E-2</v>
      </c>
      <c r="I74" s="1267"/>
      <c r="J74" s="1266">
        <f>HLOOKUP($E74,deprivation,selection2+1,FALSE)</f>
        <v>5.3524804177545689E-2</v>
      </c>
      <c r="K74" s="1267"/>
      <c r="L74" s="1266">
        <v>3.7533201780020488E-2</v>
      </c>
      <c r="M74" s="1267"/>
      <c r="N74" s="1266">
        <v>4.0495991661282933E-2</v>
      </c>
      <c r="O74" s="1267"/>
      <c r="P74" s="1266">
        <v>5.6634916301083318E-2</v>
      </c>
      <c r="Q74" s="1267"/>
      <c r="R74" s="172"/>
      <c r="S74" s="487"/>
    </row>
    <row r="75" spans="2:19" x14ac:dyDescent="0.25">
      <c r="B75" s="487"/>
      <c r="N75" s="172"/>
      <c r="O75" s="172"/>
      <c r="P75" s="172"/>
      <c r="Q75" s="172"/>
      <c r="R75" s="172"/>
      <c r="S75" s="487"/>
    </row>
    <row r="76" spans="2:19" x14ac:dyDescent="0.25">
      <c r="B76" s="487"/>
      <c r="J76" s="18"/>
      <c r="K76" s="18"/>
      <c r="L76" s="18"/>
      <c r="N76" s="172"/>
      <c r="O76" s="172"/>
      <c r="P76" s="172"/>
      <c r="Q76" s="172"/>
      <c r="R76" s="172"/>
      <c r="S76" s="487"/>
    </row>
    <row r="77" spans="2:19" x14ac:dyDescent="0.25">
      <c r="B77" s="487"/>
      <c r="C77" s="487"/>
      <c r="D77" s="487"/>
      <c r="E77" s="487"/>
      <c r="F77" s="487"/>
      <c r="G77" s="487"/>
      <c r="H77" s="487"/>
      <c r="I77" s="487"/>
      <c r="J77" s="487"/>
      <c r="K77" s="487"/>
      <c r="L77" s="515"/>
      <c r="M77" s="515"/>
      <c r="N77" s="515"/>
      <c r="O77" s="487"/>
      <c r="P77" s="487"/>
      <c r="Q77" s="487"/>
      <c r="R77" s="487"/>
      <c r="S77" s="487"/>
    </row>
    <row r="78" spans="2:19" x14ac:dyDescent="0.25">
      <c r="B78" s="487"/>
      <c r="C78" s="487"/>
      <c r="D78" s="487"/>
      <c r="E78" s="487"/>
      <c r="F78" s="487"/>
      <c r="G78" s="487"/>
      <c r="H78" s="487"/>
      <c r="I78" s="487"/>
      <c r="J78" s="487"/>
      <c r="K78" s="487"/>
      <c r="L78" s="487"/>
      <c r="M78" s="487"/>
      <c r="N78" s="487"/>
      <c r="O78" s="487"/>
      <c r="P78" s="487"/>
      <c r="Q78" s="487"/>
      <c r="R78" s="487"/>
      <c r="S78" s="487"/>
    </row>
    <row r="79" spans="2:19" x14ac:dyDescent="0.25">
      <c r="B79" s="487"/>
      <c r="C79" s="487"/>
      <c r="D79" s="487"/>
      <c r="E79" s="487"/>
      <c r="F79" s="487"/>
      <c r="G79" s="487"/>
      <c r="H79" s="487"/>
      <c r="I79" s="487"/>
      <c r="J79" s="487"/>
      <c r="K79" s="487"/>
      <c r="L79" s="487"/>
      <c r="M79" s="487"/>
      <c r="N79" s="487"/>
      <c r="O79" s="487"/>
      <c r="P79" s="487"/>
      <c r="Q79" s="487"/>
      <c r="R79" s="487"/>
      <c r="S79" s="487"/>
    </row>
    <row r="80" spans="2:19" x14ac:dyDescent="0.25">
      <c r="B80" s="487"/>
      <c r="N80" s="172"/>
      <c r="O80" s="172"/>
      <c r="P80" s="172"/>
      <c r="Q80" s="172"/>
      <c r="R80" s="172"/>
      <c r="S80" s="487"/>
    </row>
    <row r="81" spans="2:19" x14ac:dyDescent="0.25">
      <c r="B81" s="487"/>
      <c r="N81" s="172"/>
      <c r="O81" s="172"/>
      <c r="P81" s="172"/>
      <c r="Q81" s="172"/>
      <c r="R81" s="172"/>
      <c r="S81" s="487"/>
    </row>
    <row r="82" spans="2:19" x14ac:dyDescent="0.25">
      <c r="B82" s="487"/>
      <c r="N82" s="172"/>
      <c r="O82" s="172"/>
      <c r="P82" s="172"/>
      <c r="Q82" s="172"/>
      <c r="R82" s="172"/>
      <c r="S82" s="487"/>
    </row>
    <row r="83" spans="2:19" x14ac:dyDescent="0.25">
      <c r="B83" s="487"/>
      <c r="N83" s="172"/>
      <c r="O83" s="172"/>
      <c r="P83" s="172"/>
      <c r="Q83" s="172"/>
      <c r="R83" s="172"/>
      <c r="S83" s="487"/>
    </row>
    <row r="84" spans="2:19" x14ac:dyDescent="0.25">
      <c r="B84" s="487"/>
      <c r="N84" s="172"/>
      <c r="O84" s="172"/>
      <c r="P84" s="172"/>
      <c r="Q84" s="172"/>
      <c r="R84" s="172"/>
      <c r="S84" s="487"/>
    </row>
    <row r="85" spans="2:19" x14ac:dyDescent="0.25">
      <c r="B85" s="487"/>
      <c r="N85" s="172"/>
      <c r="O85" s="172"/>
      <c r="P85" s="172"/>
      <c r="Q85" s="172"/>
      <c r="R85" s="172"/>
      <c r="S85" s="487"/>
    </row>
    <row r="86" spans="2:19" s="319" customFormat="1" x14ac:dyDescent="0.25">
      <c r="B86" s="487"/>
      <c r="S86" s="487"/>
    </row>
    <row r="87" spans="2:19" s="322" customFormat="1" x14ac:dyDescent="0.25">
      <c r="B87" s="487"/>
      <c r="S87" s="487"/>
    </row>
    <row r="88" spans="2:19" s="319" customFormat="1" x14ac:dyDescent="0.25">
      <c r="B88" s="487"/>
      <c r="S88" s="487"/>
    </row>
    <row r="89" spans="2:19" x14ac:dyDescent="0.25">
      <c r="B89" s="487"/>
      <c r="C89" s="147" t="s">
        <v>642</v>
      </c>
      <c r="N89" s="172"/>
      <c r="O89" s="172"/>
      <c r="P89" s="172"/>
      <c r="Q89" s="172"/>
      <c r="R89" s="172"/>
      <c r="S89" s="487"/>
    </row>
    <row r="90" spans="2:19" x14ac:dyDescent="0.25">
      <c r="B90" s="487"/>
      <c r="N90" s="172"/>
      <c r="O90" s="172"/>
      <c r="P90" s="172"/>
      <c r="Q90" s="172"/>
      <c r="R90" s="172"/>
      <c r="S90" s="487"/>
    </row>
    <row r="91" spans="2:19" x14ac:dyDescent="0.25">
      <c r="B91" s="487"/>
      <c r="N91" s="172"/>
      <c r="O91" s="172"/>
      <c r="P91" s="172"/>
      <c r="Q91" s="172"/>
      <c r="R91" s="172"/>
      <c r="S91" s="487"/>
    </row>
    <row r="92" spans="2:19" ht="15" customHeight="1" x14ac:dyDescent="0.25">
      <c r="B92" s="487"/>
      <c r="C92" s="172"/>
      <c r="D92" s="837" t="s">
        <v>643</v>
      </c>
      <c r="E92" s="837"/>
      <c r="F92" s="837"/>
      <c r="G92" s="837"/>
      <c r="H92" s="777" t="str">
        <f>INDEX(Locations, selection)</f>
        <v>Angmering</v>
      </c>
      <c r="I92" s="777"/>
      <c r="J92" s="779" t="str">
        <f>INDEX(Locations, selection2)</f>
        <v>Bewbush</v>
      </c>
      <c r="K92" s="779"/>
      <c r="L92" s="172"/>
      <c r="M92" s="172"/>
      <c r="N92" s="172"/>
      <c r="O92" s="172"/>
      <c r="P92" s="172"/>
      <c r="Q92" s="172"/>
      <c r="R92" s="172"/>
      <c r="S92" s="487"/>
    </row>
    <row r="93" spans="2:19" ht="15" customHeight="1" x14ac:dyDescent="0.25">
      <c r="B93" s="487"/>
      <c r="C93" s="172"/>
      <c r="D93" s="837"/>
      <c r="E93" s="837"/>
      <c r="F93" s="837"/>
      <c r="G93" s="837"/>
      <c r="H93" s="777"/>
      <c r="I93" s="777"/>
      <c r="J93" s="779"/>
      <c r="K93" s="779"/>
      <c r="L93" s="172"/>
      <c r="M93" s="172"/>
      <c r="N93" s="172"/>
      <c r="O93" s="172"/>
      <c r="P93" s="172"/>
      <c r="Q93" s="172"/>
      <c r="R93" s="172"/>
      <c r="S93" s="487"/>
    </row>
    <row r="94" spans="2:19" ht="15" customHeight="1" x14ac:dyDescent="0.25">
      <c r="B94" s="487"/>
      <c r="C94" s="172"/>
      <c r="D94" s="837"/>
      <c r="E94" s="837"/>
      <c r="F94" s="837"/>
      <c r="G94" s="837"/>
      <c r="H94" s="777"/>
      <c r="I94" s="777"/>
      <c r="J94" s="779"/>
      <c r="K94" s="779"/>
      <c r="L94" s="71"/>
      <c r="M94" s="71" t="str">
        <f>H92</f>
        <v>Angmering</v>
      </c>
      <c r="N94" s="71" t="str">
        <f>J92</f>
        <v>Bewbush</v>
      </c>
      <c r="O94" s="172"/>
      <c r="P94" s="172"/>
      <c r="Q94" s="172"/>
      <c r="R94" s="172"/>
      <c r="S94" s="487"/>
    </row>
    <row r="95" spans="2:19" ht="28.5" customHeight="1" x14ac:dyDescent="0.25">
      <c r="B95" s="487"/>
      <c r="C95" s="172"/>
      <c r="D95" s="1302" t="s">
        <v>644</v>
      </c>
      <c r="E95" s="1302"/>
      <c r="F95" s="1302"/>
      <c r="G95" s="1302"/>
      <c r="H95" s="1018">
        <f t="shared" ref="H95:H100" si="0">HLOOKUP(D95,OutofWork, selection+1,FALSE)</f>
        <v>140</v>
      </c>
      <c r="I95" s="1020"/>
      <c r="J95" s="1301">
        <f t="shared" ref="J95:J100" si="1">HLOOKUP(D95,OutofWork, selection2+1, FALSE)</f>
        <v>260</v>
      </c>
      <c r="K95" s="1301"/>
      <c r="L95" s="71">
        <v>2010</v>
      </c>
      <c r="M95" s="71">
        <f t="shared" ref="M95:M100" si="2">H95</f>
        <v>140</v>
      </c>
      <c r="N95" s="71">
        <f t="shared" ref="N95:N100" si="3">J95</f>
        <v>260</v>
      </c>
      <c r="O95" s="172"/>
      <c r="P95" s="172"/>
      <c r="Q95" s="172"/>
      <c r="R95" s="172"/>
      <c r="S95" s="487"/>
    </row>
    <row r="96" spans="2:19" ht="28.5" customHeight="1" x14ac:dyDescent="0.25">
      <c r="B96" s="487"/>
      <c r="C96" s="172"/>
      <c r="D96" s="1302" t="s">
        <v>645</v>
      </c>
      <c r="E96" s="1302"/>
      <c r="F96" s="1302"/>
      <c r="G96" s="1302"/>
      <c r="H96" s="1018">
        <f t="shared" si="0"/>
        <v>115</v>
      </c>
      <c r="I96" s="1020"/>
      <c r="J96" s="1301">
        <f t="shared" si="1"/>
        <v>265</v>
      </c>
      <c r="K96" s="1301"/>
      <c r="L96" s="71">
        <v>2011</v>
      </c>
      <c r="M96" s="71">
        <f t="shared" si="2"/>
        <v>115</v>
      </c>
      <c r="N96" s="71">
        <f t="shared" si="3"/>
        <v>265</v>
      </c>
      <c r="O96" s="172"/>
      <c r="P96" s="172"/>
      <c r="Q96" s="172"/>
      <c r="R96" s="172"/>
      <c r="S96" s="487"/>
    </row>
    <row r="97" spans="2:19" ht="28.5" customHeight="1" x14ac:dyDescent="0.25">
      <c r="B97" s="487"/>
      <c r="C97" s="172"/>
      <c r="D97" s="1302" t="s">
        <v>646</v>
      </c>
      <c r="E97" s="1302"/>
      <c r="F97" s="1302"/>
      <c r="G97" s="1302"/>
      <c r="H97" s="1018">
        <f t="shared" si="0"/>
        <v>130</v>
      </c>
      <c r="I97" s="1020"/>
      <c r="J97" s="1301">
        <f t="shared" si="1"/>
        <v>285</v>
      </c>
      <c r="K97" s="1301"/>
      <c r="L97" s="71">
        <v>2012</v>
      </c>
      <c r="M97" s="71">
        <f t="shared" si="2"/>
        <v>130</v>
      </c>
      <c r="N97" s="71">
        <f t="shared" si="3"/>
        <v>285</v>
      </c>
      <c r="O97" s="172"/>
      <c r="P97" s="172"/>
      <c r="Q97" s="172"/>
      <c r="R97" s="172"/>
      <c r="S97" s="487"/>
    </row>
    <row r="98" spans="2:19" ht="28.5" customHeight="1" x14ac:dyDescent="0.25">
      <c r="B98" s="487"/>
      <c r="C98" s="172"/>
      <c r="D98" s="1302" t="s">
        <v>647</v>
      </c>
      <c r="E98" s="1302"/>
      <c r="F98" s="1302"/>
      <c r="G98" s="1302"/>
      <c r="H98" s="1018">
        <f t="shared" si="0"/>
        <v>145</v>
      </c>
      <c r="I98" s="1020"/>
      <c r="J98" s="1301">
        <f t="shared" si="1"/>
        <v>265</v>
      </c>
      <c r="K98" s="1301"/>
      <c r="L98" s="71">
        <v>2013</v>
      </c>
      <c r="M98" s="71">
        <f t="shared" si="2"/>
        <v>145</v>
      </c>
      <c r="N98" s="71">
        <f t="shared" si="3"/>
        <v>265</v>
      </c>
      <c r="O98" s="172"/>
      <c r="P98" s="172"/>
      <c r="Q98" s="172"/>
      <c r="R98" s="172"/>
      <c r="S98" s="487"/>
    </row>
    <row r="99" spans="2:19" ht="28.5" customHeight="1" x14ac:dyDescent="0.25">
      <c r="B99" s="487"/>
      <c r="C99" s="172"/>
      <c r="D99" s="1302" t="s">
        <v>648</v>
      </c>
      <c r="E99" s="1302"/>
      <c r="F99" s="1302"/>
      <c r="G99" s="1302"/>
      <c r="H99" s="1018">
        <f t="shared" si="0"/>
        <v>110</v>
      </c>
      <c r="I99" s="1020"/>
      <c r="J99" s="1301">
        <f t="shared" si="1"/>
        <v>245</v>
      </c>
      <c r="K99" s="1301"/>
      <c r="L99" s="71">
        <v>2014</v>
      </c>
      <c r="M99" s="71">
        <f t="shared" si="2"/>
        <v>110</v>
      </c>
      <c r="N99" s="71">
        <f t="shared" si="3"/>
        <v>245</v>
      </c>
      <c r="O99" s="172"/>
      <c r="P99" s="172"/>
      <c r="Q99" s="172"/>
      <c r="R99" s="172"/>
      <c r="S99" s="487"/>
    </row>
    <row r="100" spans="2:19" ht="28.5" customHeight="1" x14ac:dyDescent="0.25">
      <c r="B100" s="487"/>
      <c r="C100" s="172"/>
      <c r="D100" s="1339" t="s">
        <v>1010</v>
      </c>
      <c r="E100" s="1340"/>
      <c r="F100" s="1340"/>
      <c r="G100" s="1341"/>
      <c r="H100" s="1018">
        <f t="shared" si="0"/>
        <v>110</v>
      </c>
      <c r="I100" s="1020"/>
      <c r="J100" s="1301">
        <f t="shared" si="1"/>
        <v>220</v>
      </c>
      <c r="K100" s="1301"/>
      <c r="L100" s="71">
        <v>2015</v>
      </c>
      <c r="M100" s="72">
        <f t="shared" si="2"/>
        <v>110</v>
      </c>
      <c r="N100" s="72">
        <f t="shared" si="3"/>
        <v>220</v>
      </c>
      <c r="O100" s="172"/>
      <c r="P100" s="172"/>
      <c r="Q100" s="172"/>
      <c r="R100" s="172"/>
      <c r="S100" s="487"/>
    </row>
    <row r="101" spans="2:19" s="577" customFormat="1" x14ac:dyDescent="0.25">
      <c r="B101" s="487"/>
      <c r="S101" s="487"/>
    </row>
    <row r="102" spans="2:19" s="577" customFormat="1" x14ac:dyDescent="0.25">
      <c r="B102" s="487"/>
      <c r="S102" s="487"/>
    </row>
    <row r="103" spans="2:19" x14ac:dyDescent="0.25">
      <c r="B103" s="487"/>
      <c r="C103" s="172"/>
      <c r="D103" s="172"/>
      <c r="E103" s="172"/>
      <c r="F103" s="172"/>
      <c r="G103" s="172"/>
      <c r="H103" s="172"/>
      <c r="I103" s="172"/>
      <c r="J103" s="172"/>
      <c r="K103" s="172"/>
      <c r="L103" s="172"/>
      <c r="M103" s="172"/>
      <c r="N103" s="172"/>
      <c r="O103" s="172"/>
      <c r="P103" s="172"/>
      <c r="Q103" s="172"/>
      <c r="R103" s="172"/>
      <c r="S103" s="487"/>
    </row>
    <row r="104" spans="2:19" x14ac:dyDescent="0.25">
      <c r="B104" s="487"/>
      <c r="C104" s="487"/>
      <c r="D104" s="487"/>
      <c r="E104" s="487"/>
      <c r="F104" s="487"/>
      <c r="G104" s="487"/>
      <c r="H104" s="487"/>
      <c r="I104" s="487"/>
      <c r="J104" s="487"/>
      <c r="K104" s="487"/>
      <c r="L104" s="487"/>
      <c r="M104" s="487"/>
      <c r="N104" s="487"/>
      <c r="O104" s="487"/>
      <c r="P104" s="487"/>
      <c r="Q104" s="487"/>
      <c r="R104" s="487"/>
      <c r="S104" s="487"/>
    </row>
    <row r="105" spans="2:19" x14ac:dyDescent="0.25">
      <c r="B105" s="487"/>
      <c r="C105" s="487"/>
      <c r="D105" s="487"/>
      <c r="E105" s="487"/>
      <c r="F105" s="487"/>
      <c r="G105" s="487"/>
      <c r="H105" s="487"/>
      <c r="I105" s="487"/>
      <c r="J105" s="487"/>
      <c r="K105" s="487"/>
      <c r="L105" s="487"/>
      <c r="M105" s="487"/>
      <c r="N105" s="487"/>
      <c r="O105" s="487"/>
      <c r="P105" s="487"/>
      <c r="Q105" s="487"/>
      <c r="R105" s="487"/>
      <c r="S105" s="487"/>
    </row>
    <row r="106" spans="2:19" x14ac:dyDescent="0.25">
      <c r="B106" s="487"/>
      <c r="C106" s="487"/>
      <c r="D106" s="487"/>
      <c r="E106" s="487"/>
      <c r="F106" s="487"/>
      <c r="G106" s="487"/>
      <c r="H106" s="487"/>
      <c r="I106" s="487"/>
      <c r="J106" s="487"/>
      <c r="K106" s="487"/>
      <c r="L106" s="487"/>
      <c r="M106" s="487"/>
      <c r="N106" s="487"/>
      <c r="O106" s="487"/>
      <c r="P106" s="487"/>
      <c r="Q106" s="487"/>
      <c r="R106" s="487"/>
      <c r="S106" s="487"/>
    </row>
    <row r="107" spans="2:19" x14ac:dyDescent="0.25">
      <c r="B107" s="487"/>
      <c r="C107" s="487"/>
      <c r="D107" s="487"/>
      <c r="E107" s="487"/>
      <c r="F107" s="487"/>
      <c r="G107" s="487"/>
      <c r="H107" s="487"/>
      <c r="I107" s="487"/>
      <c r="J107" s="487"/>
      <c r="K107" s="487"/>
      <c r="L107" s="487"/>
      <c r="M107" s="487"/>
      <c r="N107" s="487"/>
      <c r="O107" s="487"/>
      <c r="P107" s="487"/>
      <c r="Q107" s="487"/>
      <c r="R107" s="487"/>
      <c r="S107" s="487"/>
    </row>
    <row r="108" spans="2:19" x14ac:dyDescent="0.25">
      <c r="B108" s="487"/>
      <c r="C108" s="487"/>
      <c r="D108" s="487"/>
      <c r="E108" s="487"/>
      <c r="F108" s="487"/>
      <c r="G108" s="487"/>
      <c r="H108" s="487"/>
      <c r="I108" s="487"/>
      <c r="J108" s="487"/>
      <c r="K108" s="487"/>
      <c r="L108" s="487"/>
      <c r="M108" s="487"/>
      <c r="N108" s="487"/>
      <c r="O108" s="487"/>
      <c r="P108" s="487"/>
      <c r="Q108" s="487"/>
      <c r="R108" s="487"/>
      <c r="S108" s="487"/>
    </row>
    <row r="109" spans="2:19" x14ac:dyDescent="0.25">
      <c r="B109" s="487"/>
      <c r="C109" s="487"/>
      <c r="D109" s="487"/>
      <c r="E109" s="487"/>
      <c r="F109" s="487"/>
      <c r="G109" s="487"/>
      <c r="H109" s="487"/>
      <c r="I109" s="487"/>
      <c r="J109" s="487"/>
      <c r="K109" s="487"/>
      <c r="L109" s="487"/>
      <c r="M109" s="487"/>
      <c r="N109" s="487"/>
      <c r="O109" s="487"/>
      <c r="P109" s="487"/>
      <c r="Q109" s="487"/>
      <c r="R109" s="487"/>
      <c r="S109" s="487"/>
    </row>
    <row r="110" spans="2:19" x14ac:dyDescent="0.25">
      <c r="B110" s="487"/>
      <c r="C110" s="487"/>
      <c r="D110" s="487"/>
      <c r="E110" s="487"/>
      <c r="F110" s="487"/>
      <c r="G110" s="487"/>
      <c r="H110" s="487"/>
      <c r="I110" s="487"/>
      <c r="J110" s="487"/>
      <c r="K110" s="487"/>
      <c r="L110" s="487"/>
      <c r="M110" s="487"/>
      <c r="N110" s="487"/>
      <c r="O110" s="487"/>
      <c r="P110" s="487"/>
      <c r="Q110" s="487"/>
      <c r="R110" s="487"/>
      <c r="S110" s="487"/>
    </row>
    <row r="111" spans="2:19" x14ac:dyDescent="0.25">
      <c r="B111" s="487"/>
      <c r="C111" s="487"/>
      <c r="D111" s="487"/>
      <c r="E111" s="487"/>
      <c r="F111" s="487"/>
      <c r="G111" s="487"/>
      <c r="H111" s="487"/>
      <c r="I111" s="487"/>
      <c r="J111" s="487"/>
      <c r="K111" s="487"/>
      <c r="L111" s="487"/>
      <c r="M111" s="487"/>
      <c r="N111" s="487"/>
      <c r="O111" s="487"/>
      <c r="P111" s="487"/>
      <c r="Q111" s="487"/>
      <c r="R111" s="487"/>
      <c r="S111" s="487"/>
    </row>
    <row r="112" spans="2:19" x14ac:dyDescent="0.25">
      <c r="B112" s="487"/>
      <c r="C112" s="487"/>
      <c r="D112" s="487"/>
      <c r="E112" s="487"/>
      <c r="F112" s="487"/>
      <c r="G112" s="487"/>
      <c r="H112" s="487"/>
      <c r="I112" s="487"/>
      <c r="J112" s="487"/>
      <c r="K112" s="487"/>
      <c r="L112" s="487"/>
      <c r="M112" s="487"/>
      <c r="N112" s="487"/>
      <c r="O112" s="487"/>
      <c r="P112" s="487"/>
      <c r="Q112" s="487"/>
      <c r="R112" s="487"/>
      <c r="S112" s="487"/>
    </row>
    <row r="113" spans="2:19" x14ac:dyDescent="0.25">
      <c r="B113" s="487"/>
      <c r="C113" s="487"/>
      <c r="D113" s="487"/>
      <c r="E113" s="487"/>
      <c r="F113" s="487"/>
      <c r="G113" s="487"/>
      <c r="H113" s="487"/>
      <c r="I113" s="487"/>
      <c r="J113" s="487"/>
      <c r="K113" s="487"/>
      <c r="L113" s="487"/>
      <c r="M113" s="487"/>
      <c r="N113" s="487"/>
      <c r="O113" s="487"/>
      <c r="P113" s="487"/>
      <c r="Q113" s="487"/>
      <c r="R113" s="487"/>
      <c r="S113" s="487"/>
    </row>
    <row r="114" spans="2:19" x14ac:dyDescent="0.25">
      <c r="B114" s="487"/>
      <c r="C114" s="487"/>
      <c r="D114" s="487"/>
      <c r="E114" s="487"/>
      <c r="F114" s="487"/>
      <c r="G114" s="487"/>
      <c r="H114" s="487"/>
      <c r="I114" s="487"/>
      <c r="J114" s="487"/>
      <c r="K114" s="487"/>
      <c r="L114" s="487"/>
      <c r="M114" s="487"/>
      <c r="N114" s="487"/>
      <c r="O114" s="487"/>
      <c r="P114" s="487"/>
      <c r="Q114" s="487"/>
      <c r="R114" s="487"/>
      <c r="S114" s="487"/>
    </row>
    <row r="115" spans="2:19" s="319" customFormat="1" x14ac:dyDescent="0.25">
      <c r="B115" s="487"/>
      <c r="S115" s="487"/>
    </row>
    <row r="116" spans="2:19" x14ac:dyDescent="0.25">
      <c r="B116" s="487"/>
      <c r="C116" s="172"/>
      <c r="D116" s="172"/>
      <c r="E116" s="172"/>
      <c r="F116" s="172"/>
      <c r="G116" s="172"/>
      <c r="H116" s="172"/>
      <c r="I116" s="172"/>
      <c r="J116" s="172"/>
      <c r="K116" s="172"/>
      <c r="L116" s="172"/>
      <c r="M116" s="172"/>
      <c r="N116" s="172"/>
      <c r="O116" s="172"/>
      <c r="P116" s="172"/>
      <c r="Q116" s="172"/>
      <c r="R116" s="172"/>
      <c r="S116" s="487"/>
    </row>
    <row r="117" spans="2:19" x14ac:dyDescent="0.25">
      <c r="B117" s="487"/>
      <c r="C117" s="1125" t="s">
        <v>717</v>
      </c>
      <c r="D117" s="1125"/>
      <c r="E117" s="1125"/>
      <c r="F117" s="1125"/>
      <c r="G117" s="1125"/>
      <c r="H117" s="1125"/>
      <c r="I117" s="1125"/>
      <c r="J117" s="1125"/>
      <c r="K117" s="1125"/>
      <c r="L117" s="1125"/>
      <c r="M117" s="1125"/>
      <c r="N117" s="1125"/>
      <c r="O117" s="1125"/>
      <c r="P117" s="1125"/>
      <c r="Q117" s="1125"/>
      <c r="R117" s="172"/>
      <c r="S117" s="487"/>
    </row>
    <row r="118" spans="2:19" ht="175.5" customHeight="1" x14ac:dyDescent="0.25">
      <c r="B118" s="487"/>
      <c r="C118" s="1300" t="s">
        <v>1094</v>
      </c>
      <c r="D118" s="1300"/>
      <c r="E118" s="1300"/>
      <c r="F118" s="1300"/>
      <c r="G118" s="1300"/>
      <c r="H118" s="1300"/>
      <c r="I118" s="1300"/>
      <c r="J118" s="1300"/>
      <c r="K118" s="1300"/>
      <c r="L118" s="1300"/>
      <c r="M118" s="1300"/>
      <c r="N118" s="1300"/>
      <c r="O118" s="1300"/>
      <c r="P118" s="1300"/>
      <c r="Q118" s="1300"/>
      <c r="R118" s="1300"/>
      <c r="S118" s="487"/>
    </row>
    <row r="119" spans="2:19" x14ac:dyDescent="0.25">
      <c r="B119" s="487"/>
      <c r="C119" s="172"/>
      <c r="D119" s="172"/>
      <c r="E119" s="172"/>
      <c r="F119" s="172"/>
      <c r="G119" s="172"/>
      <c r="H119" s="172"/>
      <c r="I119" s="172"/>
      <c r="J119" s="172"/>
      <c r="K119" s="172"/>
      <c r="L119" s="172"/>
      <c r="M119" s="172"/>
      <c r="N119" s="172"/>
      <c r="O119" s="172"/>
      <c r="P119" s="172"/>
      <c r="Q119" s="172"/>
      <c r="R119" s="172"/>
      <c r="S119" s="487"/>
    </row>
    <row r="120" spans="2:19" x14ac:dyDescent="0.25">
      <c r="B120" s="487"/>
      <c r="C120" s="172"/>
      <c r="D120" s="172"/>
      <c r="R120" s="172"/>
      <c r="S120" s="487"/>
    </row>
    <row r="121" spans="2:19" ht="15" customHeight="1" x14ac:dyDescent="0.25">
      <c r="B121" s="487"/>
      <c r="C121" s="172"/>
      <c r="D121" s="1296" t="s">
        <v>716</v>
      </c>
      <c r="E121" s="1296"/>
      <c r="F121" s="1296"/>
      <c r="G121" s="1296"/>
      <c r="H121" s="880" t="str">
        <f>INDEX(Locations, selection)</f>
        <v>Angmering</v>
      </c>
      <c r="I121" s="880"/>
      <c r="J121" s="1115" t="str">
        <f>INDEX(Locations, selection2)</f>
        <v>Bewbush</v>
      </c>
      <c r="K121" s="1115"/>
      <c r="L121" s="1294" t="s">
        <v>291</v>
      </c>
      <c r="M121" s="1294"/>
      <c r="N121" s="1295" t="s">
        <v>292</v>
      </c>
      <c r="O121" s="1295"/>
      <c r="P121" s="1295" t="s">
        <v>293</v>
      </c>
      <c r="Q121" s="1295"/>
      <c r="R121" s="172"/>
      <c r="S121" s="487"/>
    </row>
    <row r="122" spans="2:19" ht="15" customHeight="1" x14ac:dyDescent="0.25">
      <c r="B122" s="487"/>
      <c r="C122" s="172"/>
      <c r="D122" s="1296"/>
      <c r="E122" s="1296"/>
      <c r="F122" s="1296"/>
      <c r="G122" s="1296"/>
      <c r="H122" s="880"/>
      <c r="I122" s="880"/>
      <c r="J122" s="1115"/>
      <c r="K122" s="1115"/>
      <c r="L122" s="1294"/>
      <c r="M122" s="1294"/>
      <c r="N122" s="1295"/>
      <c r="O122" s="1295"/>
      <c r="P122" s="1295"/>
      <c r="Q122" s="1295"/>
      <c r="R122" s="172"/>
      <c r="S122" s="487"/>
    </row>
    <row r="123" spans="2:19" s="204" customFormat="1" ht="15" customHeight="1" x14ac:dyDescent="0.25">
      <c r="B123" s="487"/>
      <c r="D123" s="1296"/>
      <c r="E123" s="1296"/>
      <c r="F123" s="1296"/>
      <c r="G123" s="1297"/>
      <c r="H123" s="582" t="s">
        <v>723</v>
      </c>
      <c r="I123" s="582" t="s">
        <v>724</v>
      </c>
      <c r="J123" s="583" t="s">
        <v>723</v>
      </c>
      <c r="K123" s="583" t="s">
        <v>724</v>
      </c>
      <c r="L123" s="584" t="s">
        <v>723</v>
      </c>
      <c r="M123" s="584" t="s">
        <v>724</v>
      </c>
      <c r="N123" s="585" t="s">
        <v>723</v>
      </c>
      <c r="O123" s="585" t="s">
        <v>724</v>
      </c>
      <c r="P123" s="585" t="s">
        <v>723</v>
      </c>
      <c r="Q123" s="585" t="s">
        <v>724</v>
      </c>
      <c r="S123" s="487"/>
    </row>
    <row r="124" spans="2:19" ht="21.75" customHeight="1" x14ac:dyDescent="0.25">
      <c r="B124" s="487"/>
      <c r="C124" s="172"/>
      <c r="D124" s="1298" t="s">
        <v>718</v>
      </c>
      <c r="E124" s="1298"/>
      <c r="F124" s="1299"/>
      <c r="G124" s="591" t="s">
        <v>654</v>
      </c>
      <c r="H124" s="590">
        <f t="shared" ref="H124:H128" si="4">HLOOKUP($D124,Childpoverty,selection+1, FALSE)</f>
        <v>0.12376237623762376</v>
      </c>
      <c r="I124" s="587">
        <f t="shared" ref="I124:I129" si="5">HLOOKUP($G124,Childpoverty,selection+1,FALSE)</f>
        <v>125</v>
      </c>
      <c r="J124" s="586">
        <f t="shared" ref="J124:J129" si="6">HLOOKUP($D124, Childpoverty, selection2+1, FALSE)</f>
        <v>0.20967741935483872</v>
      </c>
      <c r="K124" s="587">
        <f t="shared" ref="K124:K129" si="7">HLOOKUP($G124,Childpoverty,selection2+1,FALSE)</f>
        <v>195</v>
      </c>
      <c r="L124" s="586">
        <f>Data!EK76</f>
        <v>0.14502729646332779</v>
      </c>
      <c r="M124" s="588">
        <f>Data!EJ76</f>
        <v>6110</v>
      </c>
      <c r="N124" s="586">
        <f>Data!EK77</f>
        <v>0.16714880332986473</v>
      </c>
      <c r="O124" s="589">
        <f>Data!EJ77</f>
        <v>80315</v>
      </c>
      <c r="P124" s="586">
        <f>Data!EK78</f>
        <v>0.23214288650065187</v>
      </c>
      <c r="Q124" s="589">
        <f>Data!EJ78</f>
        <v>706015</v>
      </c>
      <c r="R124" s="172"/>
      <c r="S124" s="487"/>
    </row>
    <row r="125" spans="2:19" ht="21.75" customHeight="1" x14ac:dyDescent="0.25">
      <c r="B125" s="487"/>
      <c r="C125" s="172"/>
      <c r="D125" s="1298" t="s">
        <v>719</v>
      </c>
      <c r="E125" s="1298"/>
      <c r="F125" s="1299"/>
      <c r="G125" s="591" t="s">
        <v>655</v>
      </c>
      <c r="H125" s="590">
        <f t="shared" si="4"/>
        <v>0.12182741116751269</v>
      </c>
      <c r="I125" s="587">
        <f t="shared" si="5"/>
        <v>120</v>
      </c>
      <c r="J125" s="586">
        <f t="shared" si="6"/>
        <v>0.21761658031088082</v>
      </c>
      <c r="K125" s="587">
        <f t="shared" si="7"/>
        <v>210</v>
      </c>
      <c r="L125" s="586">
        <f>Data!EO76</f>
        <v>0.16019473745218499</v>
      </c>
      <c r="M125" s="588">
        <f>Data!EN76</f>
        <v>6940</v>
      </c>
      <c r="N125" s="586">
        <f>Data!EO77</f>
        <v>0.18006356017974981</v>
      </c>
      <c r="O125" s="589">
        <f>Data!EN77</f>
        <v>88955</v>
      </c>
      <c r="P125" s="586">
        <f>Data!EO78</f>
        <v>0.23928108580877047</v>
      </c>
      <c r="Q125" s="589">
        <f>Data!EN78</f>
        <v>749615</v>
      </c>
      <c r="R125" s="172"/>
      <c r="S125" s="487"/>
    </row>
    <row r="126" spans="2:19" ht="21.75" customHeight="1" x14ac:dyDescent="0.25">
      <c r="B126" s="487"/>
      <c r="C126" s="172"/>
      <c r="D126" s="1292" t="s">
        <v>720</v>
      </c>
      <c r="E126" s="1292"/>
      <c r="F126" s="1293"/>
      <c r="G126" s="593" t="s">
        <v>656</v>
      </c>
      <c r="H126" s="590">
        <f t="shared" si="4"/>
        <v>0.1326530612244898</v>
      </c>
      <c r="I126" s="587">
        <f t="shared" si="5"/>
        <v>130</v>
      </c>
      <c r="J126" s="586">
        <f t="shared" si="6"/>
        <v>0.24378109452736318</v>
      </c>
      <c r="K126" s="587">
        <f t="shared" si="7"/>
        <v>245</v>
      </c>
      <c r="L126" s="586">
        <f>Data!ES76</f>
        <v>0.15725121702705763</v>
      </c>
      <c r="M126" s="588">
        <f>Data!ER76</f>
        <v>6955</v>
      </c>
      <c r="N126" s="586">
        <f>Data!ES77</f>
        <v>0.17398834205864597</v>
      </c>
      <c r="O126" s="589">
        <f>Data!ER77</f>
        <v>87905</v>
      </c>
      <c r="P126" s="586">
        <f>Data!ES78</f>
        <v>0.22961623757049512</v>
      </c>
      <c r="Q126" s="589">
        <f>Data!ER78</f>
        <v>734090</v>
      </c>
      <c r="R126" s="172"/>
      <c r="S126" s="487"/>
    </row>
    <row r="127" spans="2:19" ht="21.75" customHeight="1" x14ac:dyDescent="0.25">
      <c r="B127" s="487"/>
      <c r="C127" s="172"/>
      <c r="D127" s="1292" t="s">
        <v>721</v>
      </c>
      <c r="E127" s="1292"/>
      <c r="F127" s="1293"/>
      <c r="G127" s="592" t="s">
        <v>657</v>
      </c>
      <c r="H127" s="590">
        <f t="shared" si="4"/>
        <v>0.12886597938144329</v>
      </c>
      <c r="I127" s="587">
        <f t="shared" si="5"/>
        <v>125</v>
      </c>
      <c r="J127" s="586">
        <f t="shared" si="6"/>
        <v>0.25118483412322273</v>
      </c>
      <c r="K127" s="587">
        <f t="shared" si="7"/>
        <v>265</v>
      </c>
      <c r="L127" s="586">
        <f>Data!EW76</f>
        <v>0.15680604982206406</v>
      </c>
      <c r="M127" s="588">
        <f>Data!EV76</f>
        <v>7065</v>
      </c>
      <c r="N127" s="586">
        <f>Data!EW77</f>
        <v>0.17238127643027268</v>
      </c>
      <c r="O127" s="589">
        <f>Data!EV77</f>
        <v>88660</v>
      </c>
      <c r="P127" s="586">
        <f>Data!EW78</f>
        <v>0.2265069406586773</v>
      </c>
      <c r="Q127" s="589">
        <f>Data!EV78</f>
        <v>735425</v>
      </c>
      <c r="R127" s="172"/>
      <c r="S127" s="487"/>
    </row>
    <row r="128" spans="2:19" ht="21.75" customHeight="1" x14ac:dyDescent="0.25">
      <c r="B128" s="487"/>
      <c r="C128" s="172"/>
      <c r="D128" s="1292" t="s">
        <v>722</v>
      </c>
      <c r="E128" s="1292"/>
      <c r="F128" s="1293"/>
      <c r="G128" s="593" t="s">
        <v>658</v>
      </c>
      <c r="H128" s="590">
        <f t="shared" si="4"/>
        <v>0.13775510204081631</v>
      </c>
      <c r="I128" s="587">
        <f t="shared" si="5"/>
        <v>135</v>
      </c>
      <c r="J128" s="586">
        <f t="shared" si="6"/>
        <v>0.23364485981308411</v>
      </c>
      <c r="K128" s="587">
        <f t="shared" si="7"/>
        <v>250</v>
      </c>
      <c r="L128" s="586">
        <f>Data!FA76</f>
        <v>0.14665936473165389</v>
      </c>
      <c r="M128" s="588">
        <f>Data!EZ76</f>
        <v>6685</v>
      </c>
      <c r="N128" s="586">
        <f>Data!FA77</f>
        <v>0.16435249690109446</v>
      </c>
      <c r="O128" s="589">
        <f>Data!EZ77</f>
        <v>85520</v>
      </c>
      <c r="P128" s="586">
        <f>Data!FA78</f>
        <v>0.21546519008053139</v>
      </c>
      <c r="Q128" s="589">
        <f>Data!EZ78</f>
        <v>707815</v>
      </c>
      <c r="R128" s="172"/>
      <c r="S128" s="487"/>
    </row>
    <row r="129" spans="2:19" ht="22.5" customHeight="1" x14ac:dyDescent="0.25">
      <c r="B129" s="487"/>
      <c r="C129" s="172"/>
      <c r="D129" s="1292" t="s">
        <v>837</v>
      </c>
      <c r="E129" s="1292"/>
      <c r="F129" s="1293"/>
      <c r="G129" s="593" t="s">
        <v>838</v>
      </c>
      <c r="H129" s="590">
        <f>HLOOKUP($D129,Childpoverty,selection+1, FALSE)</f>
        <v>0.13333333333333333</v>
      </c>
      <c r="I129" s="587">
        <f t="shared" si="5"/>
        <v>130</v>
      </c>
      <c r="J129" s="586">
        <f t="shared" si="6"/>
        <v>0.23809523809523808</v>
      </c>
      <c r="K129" s="587">
        <f t="shared" si="7"/>
        <v>250</v>
      </c>
      <c r="L129" s="586">
        <f>Data!FE76</f>
        <v>0.15426411528466807</v>
      </c>
      <c r="M129" s="588">
        <f>Data!FD76</f>
        <v>6530</v>
      </c>
      <c r="N129" s="586">
        <f>Data!FE77</f>
        <v>0.17539109823544904</v>
      </c>
      <c r="O129" s="589">
        <f>Data!FD77</f>
        <v>83245</v>
      </c>
      <c r="P129" s="586">
        <f>Data!FE78</f>
        <v>0.22145456531025867</v>
      </c>
      <c r="Q129" s="589">
        <f>Data!FD78</f>
        <v>689470</v>
      </c>
      <c r="R129" s="172"/>
      <c r="S129" s="487"/>
    </row>
    <row r="130" spans="2:19" ht="23.25" customHeight="1" x14ac:dyDescent="0.25">
      <c r="B130" s="487"/>
      <c r="C130" s="204"/>
      <c r="D130" s="1337" t="s">
        <v>1012</v>
      </c>
      <c r="E130" s="1338"/>
      <c r="F130" s="1338"/>
      <c r="G130" s="593" t="s">
        <v>1011</v>
      </c>
      <c r="H130" s="586" t="str">
        <f>HLOOKUP($D130,Childpoverty,selection+1, FALSE)</f>
        <v>n/a</v>
      </c>
      <c r="I130" s="587" t="str">
        <f>HLOOKUP($G130,Childpoverty,selection+1,FALSE)</f>
        <v>n/a</v>
      </c>
      <c r="J130" s="586" t="str">
        <f>HLOOKUP($D130, Childpoverty, selection2+1, FALSE)</f>
        <v>n/a</v>
      </c>
      <c r="K130" s="587" t="str">
        <f>HLOOKUP($G130,Childpoverty,selection2+1,FALSE)</f>
        <v>n/a</v>
      </c>
      <c r="L130" s="586">
        <f>Data!FI76</f>
        <v>0.154</v>
      </c>
      <c r="M130" s="589">
        <f>Data!FH76</f>
        <v>6765</v>
      </c>
      <c r="N130" s="586">
        <f>Data!FI77</f>
        <v>0.17100000000000001</v>
      </c>
      <c r="O130" s="589">
        <f>Data!FH77</f>
        <v>85210</v>
      </c>
      <c r="P130" s="586">
        <f>Data!FI78</f>
        <v>0.223</v>
      </c>
      <c r="Q130" s="589">
        <f>Data!FH78</f>
        <v>709935</v>
      </c>
      <c r="R130" s="204"/>
      <c r="S130" s="487"/>
    </row>
    <row r="131" spans="2:19" s="577" customFormat="1" x14ac:dyDescent="0.25">
      <c r="B131" s="487"/>
      <c r="S131" s="487"/>
    </row>
    <row r="132" spans="2:19" s="577" customFormat="1" x14ac:dyDescent="0.25">
      <c r="B132" s="487"/>
      <c r="S132" s="487"/>
    </row>
    <row r="133" spans="2:19" x14ac:dyDescent="0.25">
      <c r="B133" s="487"/>
      <c r="C133" s="204"/>
      <c r="D133" s="71" t="s">
        <v>839</v>
      </c>
      <c r="E133" s="71"/>
      <c r="F133" s="71"/>
      <c r="G133" s="71"/>
      <c r="H133" s="346">
        <f t="shared" ref="H133:H144" si="8">HLOOKUP($D133,Childpoverty,selection+1, FALSE)</f>
        <v>0.10486719883753579</v>
      </c>
      <c r="I133" s="347">
        <f>$H$124-H133</f>
        <v>1.8895177400087976E-2</v>
      </c>
      <c r="J133" s="346">
        <f t="shared" ref="J133:J144" si="9">HLOOKUP($D133, Childpoverty, selection2+1, FALSE)</f>
        <v>0.18473543493235009</v>
      </c>
      <c r="K133" s="347">
        <f>J124-J133</f>
        <v>2.4941984422488628E-2</v>
      </c>
      <c r="L133" s="348">
        <f>Data!EL76</f>
        <v>0.14169722698358567</v>
      </c>
      <c r="M133" s="347">
        <f>L124-L133</f>
        <v>3.330069479742126E-3</v>
      </c>
      <c r="N133" s="348">
        <f>Data!EL77</f>
        <v>0.16609650340974497</v>
      </c>
      <c r="O133" s="349">
        <f>N124-N133</f>
        <v>1.0522999201197647E-3</v>
      </c>
      <c r="P133" s="348">
        <f>Data!EL78</f>
        <v>0.2316687244671867</v>
      </c>
      <c r="Q133" s="345">
        <f>P124-P133</f>
        <v>4.7416203346517527E-4</v>
      </c>
      <c r="R133" s="204"/>
      <c r="S133" s="487"/>
    </row>
    <row r="134" spans="2:19" x14ac:dyDescent="0.25">
      <c r="B134" s="487"/>
      <c r="C134" s="204"/>
      <c r="D134" s="71" t="s">
        <v>840</v>
      </c>
      <c r="E134" s="71"/>
      <c r="F134" s="71"/>
      <c r="G134" s="71"/>
      <c r="H134" s="346">
        <f t="shared" si="8"/>
        <v>0.14550869239496902</v>
      </c>
      <c r="I134" s="347">
        <f>H134-H124</f>
        <v>2.1746316157345263E-2</v>
      </c>
      <c r="J134" s="346">
        <f t="shared" si="9"/>
        <v>0.23700795105745012</v>
      </c>
      <c r="K134" s="347">
        <f>J134-J124</f>
        <v>2.7330531702611405E-2</v>
      </c>
      <c r="L134" s="348">
        <f>Data!EM76</f>
        <v>0.14842209362874459</v>
      </c>
      <c r="M134" s="347">
        <f>L134-L124</f>
        <v>3.3947971654167963E-3</v>
      </c>
      <c r="N134" s="348">
        <f>Data!EM77</f>
        <v>0.16820642530593949</v>
      </c>
      <c r="O134" s="349">
        <f>N134-N124</f>
        <v>1.0576219760747574E-3</v>
      </c>
      <c r="P134" s="348">
        <f>Data!EM78</f>
        <v>0.23261772519374502</v>
      </c>
      <c r="Q134" s="345">
        <f>P134-P124</f>
        <v>4.7483869309314364E-4</v>
      </c>
      <c r="R134" s="204"/>
      <c r="S134" s="487"/>
    </row>
    <row r="135" spans="2:19" x14ac:dyDescent="0.25">
      <c r="B135" s="487"/>
      <c r="C135" s="204"/>
      <c r="D135" s="71" t="s">
        <v>841</v>
      </c>
      <c r="E135" s="71"/>
      <c r="F135" s="71"/>
      <c r="G135" s="71"/>
      <c r="H135" s="346">
        <f t="shared" si="8"/>
        <v>0.1028569598232156</v>
      </c>
      <c r="I135" s="347">
        <f>H125-H135</f>
        <v>1.897045134429709E-2</v>
      </c>
      <c r="J135" s="346">
        <f t="shared" si="9"/>
        <v>0.1927298209654176</v>
      </c>
      <c r="K135" s="347">
        <f>J125-J135</f>
        <v>2.4886759345463222E-2</v>
      </c>
      <c r="L135" s="348">
        <f>Data!EP76</f>
        <v>0.15676365982333609</v>
      </c>
      <c r="M135" s="347">
        <f>L125-L135</f>
        <v>3.4310776288488942E-3</v>
      </c>
      <c r="N135" s="348">
        <f>Data!EP77</f>
        <v>0.17899458214908345</v>
      </c>
      <c r="O135" s="349">
        <f>N125-N135</f>
        <v>1.0689780306663565E-3</v>
      </c>
      <c r="P135" s="348">
        <f>Data!EP78</f>
        <v>0.23880896266935656</v>
      </c>
      <c r="Q135" s="345">
        <f>P125-P135</f>
        <v>4.7212313941391582E-4</v>
      </c>
      <c r="R135" s="204"/>
      <c r="S135" s="487"/>
    </row>
    <row r="136" spans="2:19" x14ac:dyDescent="0.25">
      <c r="B136" s="487"/>
      <c r="C136" s="204"/>
      <c r="D136" s="71" t="s">
        <v>842</v>
      </c>
      <c r="E136" s="71"/>
      <c r="F136" s="71"/>
      <c r="G136" s="71"/>
      <c r="H136" s="346">
        <f t="shared" si="8"/>
        <v>0.14373611801102368</v>
      </c>
      <c r="I136" s="347">
        <f>H136-H125</f>
        <v>2.1908706843510983E-2</v>
      </c>
      <c r="J136" s="346">
        <f t="shared" si="9"/>
        <v>0.24474264159477049</v>
      </c>
      <c r="K136" s="347">
        <f>J136-J125</f>
        <v>2.7126061283889669E-2</v>
      </c>
      <c r="L136" s="348">
        <f>Data!EQ76</f>
        <v>0.16368633353164547</v>
      </c>
      <c r="M136" s="347">
        <f>L136-L125</f>
        <v>3.4915960794604795E-3</v>
      </c>
      <c r="N136" s="348">
        <f>Data!EQ77</f>
        <v>0.18113751377052345</v>
      </c>
      <c r="O136" s="349">
        <f>N136-N125</f>
        <v>1.0739535907736408E-3</v>
      </c>
      <c r="P136" s="348">
        <f>Data!EQ78</f>
        <v>0.23975384834178659</v>
      </c>
      <c r="Q136" s="345">
        <f>P136-P125</f>
        <v>4.7276253301611892E-4</v>
      </c>
      <c r="R136" s="204"/>
      <c r="S136" s="487"/>
    </row>
    <row r="137" spans="2:19" x14ac:dyDescent="0.25">
      <c r="B137" s="487"/>
      <c r="C137" s="204"/>
      <c r="D137" s="71" t="s">
        <v>843</v>
      </c>
      <c r="E137" s="71"/>
      <c r="F137" s="71"/>
      <c r="G137" s="71"/>
      <c r="H137" s="346">
        <f t="shared" si="8"/>
        <v>0.11284355972000057</v>
      </c>
      <c r="I137" s="347">
        <f>H126-H137</f>
        <v>1.9809501504489235E-2</v>
      </c>
      <c r="J137" s="346">
        <f t="shared" si="9"/>
        <v>0.21824398058625152</v>
      </c>
      <c r="K137" s="347">
        <f>J126-J137</f>
        <v>2.5537113941111661E-2</v>
      </c>
      <c r="L137" s="348">
        <f>Data!ET76</f>
        <v>0.15388592402837381</v>
      </c>
      <c r="M137" s="347">
        <f>L126-L137</f>
        <v>3.365292998683822E-3</v>
      </c>
      <c r="N137" s="348">
        <f>Data!ET77</f>
        <v>0.17294548913366911</v>
      </c>
      <c r="O137" s="349">
        <f>N126-N137</f>
        <v>1.0428529249768559E-3</v>
      </c>
      <c r="P137" s="348">
        <f>Data!ET78</f>
        <v>0.22915553218576157</v>
      </c>
      <c r="Q137" s="345">
        <f>P126-P137</f>
        <v>4.6070538473355627E-4</v>
      </c>
      <c r="R137" s="204"/>
      <c r="S137" s="487"/>
    </row>
    <row r="138" spans="2:19" x14ac:dyDescent="0.25">
      <c r="B138" s="487"/>
      <c r="C138" s="204"/>
      <c r="D138" s="71" t="s">
        <v>844</v>
      </c>
      <c r="E138" s="71"/>
      <c r="F138" s="71"/>
      <c r="G138" s="71"/>
      <c r="H138" s="346">
        <f t="shared" si="8"/>
        <v>0.15533121219594839</v>
      </c>
      <c r="I138" s="347">
        <f>H138-H126</f>
        <v>2.2678150971458588E-2</v>
      </c>
      <c r="J138" s="346">
        <f t="shared" si="9"/>
        <v>0.27126946526080975</v>
      </c>
      <c r="K138" s="347">
        <f>J138-J126</f>
        <v>2.7488370733446565E-2</v>
      </c>
      <c r="L138" s="348">
        <f>Data!EU76</f>
        <v>0.16067612921846403</v>
      </c>
      <c r="M138" s="347">
        <f>L138-L126</f>
        <v>3.4249121914063929E-3</v>
      </c>
      <c r="N138" s="348">
        <f>Data!EU77</f>
        <v>0.17503615248196333</v>
      </c>
      <c r="O138" s="349">
        <f>N138-N126</f>
        <v>1.0478104233173635E-3</v>
      </c>
      <c r="P138" s="348">
        <f>Data!EU78</f>
        <v>0.230077592725072</v>
      </c>
      <c r="Q138" s="345">
        <f>P138-P126</f>
        <v>4.613551545768757E-4</v>
      </c>
      <c r="R138" s="204"/>
      <c r="S138" s="487"/>
    </row>
    <row r="139" spans="2:19" x14ac:dyDescent="0.25">
      <c r="B139" s="487"/>
      <c r="C139" s="204"/>
      <c r="D139" s="71" t="s">
        <v>845</v>
      </c>
      <c r="E139" s="71"/>
      <c r="F139" s="71"/>
      <c r="G139" s="71"/>
      <c r="H139" s="346">
        <f t="shared" si="8"/>
        <v>0.10923572334279229</v>
      </c>
      <c r="I139" s="347">
        <f>H127-H139</f>
        <v>1.9630256038650998E-2</v>
      </c>
      <c r="J139" s="346">
        <f t="shared" si="9"/>
        <v>0.22594932437469986</v>
      </c>
      <c r="K139" s="347">
        <f>J127-J139</f>
        <v>2.5235509748522872E-2</v>
      </c>
      <c r="L139" s="348">
        <f>Data!EX76</f>
        <v>0.15347429649501526</v>
      </c>
      <c r="M139" s="347">
        <f>L127-L139</f>
        <v>3.3317533270487976E-3</v>
      </c>
      <c r="N139" s="348">
        <f>Data!EX77</f>
        <v>0.17135146343848351</v>
      </c>
      <c r="O139" s="349">
        <f>N127-N139</f>
        <v>1.0298129917891696E-3</v>
      </c>
      <c r="P139" s="348">
        <f>Data!EX78</f>
        <v>0.2260519738612651</v>
      </c>
      <c r="Q139" s="345">
        <f>P127-P139</f>
        <v>4.5496679741219292E-4</v>
      </c>
      <c r="R139" s="204"/>
      <c r="S139" s="487"/>
    </row>
    <row r="140" spans="2:19" x14ac:dyDescent="0.25">
      <c r="B140" s="487"/>
      <c r="C140" s="204"/>
      <c r="D140" s="71" t="s">
        <v>846</v>
      </c>
      <c r="E140" s="71"/>
      <c r="F140" s="71"/>
      <c r="G140" s="71"/>
      <c r="H140" s="346">
        <f t="shared" si="8"/>
        <v>0.15142421932189148</v>
      </c>
      <c r="I140" s="347">
        <f>H140-H127</f>
        <v>2.2558239940448199E-2</v>
      </c>
      <c r="J140" s="346">
        <f t="shared" si="9"/>
        <v>0.27822573825957853</v>
      </c>
      <c r="K140" s="347">
        <f>J140-J127</f>
        <v>2.7040904136355792E-2</v>
      </c>
      <c r="L140" s="348">
        <f>Data!EY76</f>
        <v>0.16019644428760754</v>
      </c>
      <c r="M140" s="347">
        <f>L140-L127</f>
        <v>3.3903944655434837E-3</v>
      </c>
      <c r="N140" s="348">
        <f>Data!EY77</f>
        <v>0.17341598330991739</v>
      </c>
      <c r="O140" s="349">
        <f>N140-N127</f>
        <v>1.0347068796447145E-3</v>
      </c>
      <c r="P140" s="348">
        <f>Data!EY78</f>
        <v>0.22696255462120365</v>
      </c>
      <c r="Q140" s="345">
        <f>P140-P127</f>
        <v>4.5561396252635777E-4</v>
      </c>
      <c r="R140" s="204"/>
      <c r="S140" s="487"/>
    </row>
    <row r="141" spans="2:19" x14ac:dyDescent="0.25">
      <c r="B141" s="487"/>
      <c r="C141" s="204"/>
      <c r="D141" s="71" t="s">
        <v>847</v>
      </c>
      <c r="E141" s="71"/>
      <c r="F141" s="71"/>
      <c r="G141" s="71"/>
      <c r="H141" s="346">
        <f t="shared" si="8"/>
        <v>0.11758762126776107</v>
      </c>
      <c r="I141" s="347">
        <f>H128-H141</f>
        <v>2.0167480773055246E-2</v>
      </c>
      <c r="J141" s="346">
        <f t="shared" si="9"/>
        <v>0.20927098646746681</v>
      </c>
      <c r="K141" s="347">
        <f>J128-J141</f>
        <v>2.4373873345617303E-2</v>
      </c>
      <c r="L141" s="348">
        <f>Data!FB76</f>
        <v>0.14344387874183293</v>
      </c>
      <c r="M141" s="347">
        <f>L128-L141</f>
        <v>3.2154859898209653E-3</v>
      </c>
      <c r="N141" s="348">
        <f>Data!FB77</f>
        <v>0.16334803891218105</v>
      </c>
      <c r="O141" s="349">
        <f>N128-N141</f>
        <v>1.0044579889134098E-3</v>
      </c>
      <c r="P141" s="348">
        <f>Data!FB78</f>
        <v>0.21502092091881381</v>
      </c>
      <c r="Q141" s="345">
        <f>P128-P141</f>
        <v>4.4426916171758091E-4</v>
      </c>
      <c r="R141" s="204"/>
      <c r="S141" s="487"/>
    </row>
    <row r="142" spans="2:19" x14ac:dyDescent="0.25">
      <c r="B142" s="487"/>
      <c r="C142" s="204"/>
      <c r="D142" s="71" t="s">
        <v>848</v>
      </c>
      <c r="E142" s="71"/>
      <c r="F142" s="71"/>
      <c r="G142" s="71"/>
      <c r="H142" s="346">
        <f t="shared" si="8"/>
        <v>0.16075138992713303</v>
      </c>
      <c r="I142" s="347">
        <f>H142-H128</f>
        <v>2.2996287886316719E-2</v>
      </c>
      <c r="J142" s="346">
        <f t="shared" si="9"/>
        <v>0.25992440050708626</v>
      </c>
      <c r="K142" s="347">
        <f>J142-J128</f>
        <v>2.6279540694002151E-2</v>
      </c>
      <c r="L142" s="348">
        <f>Data!FC76</f>
        <v>0.14993431312186389</v>
      </c>
      <c r="M142" s="347">
        <f>L142-L128</f>
        <v>3.2749483902100029E-3</v>
      </c>
      <c r="N142" s="348">
        <f>Data!FC77</f>
        <v>0.16536191070410292</v>
      </c>
      <c r="O142" s="349">
        <f>N142-N128</f>
        <v>1.0094138030084521E-3</v>
      </c>
      <c r="P142" s="348">
        <f>Data!FC78</f>
        <v>0.21591012469684692</v>
      </c>
      <c r="Q142" s="345">
        <f>P142-P128</f>
        <v>4.4493461631553433E-4</v>
      </c>
      <c r="R142" s="204"/>
      <c r="S142" s="487"/>
    </row>
    <row r="143" spans="2:19" x14ac:dyDescent="0.25">
      <c r="B143" s="487"/>
      <c r="C143" s="204"/>
      <c r="D143" s="71" t="s">
        <v>849</v>
      </c>
      <c r="E143" s="71"/>
      <c r="F143" s="71"/>
      <c r="G143" s="71"/>
      <c r="H143" s="346">
        <f t="shared" si="8"/>
        <v>0.11342827796070107</v>
      </c>
      <c r="I143" s="347">
        <f>H129-H143</f>
        <v>1.9905055372632263E-2</v>
      </c>
      <c r="J143" s="346">
        <f t="shared" si="9"/>
        <v>0.2133172388709024</v>
      </c>
      <c r="K143" s="347">
        <f>J129-J143</f>
        <v>2.4777999224335684E-2</v>
      </c>
      <c r="L143" s="348">
        <f>Data!FF76</f>
        <v>0.1508545873636733</v>
      </c>
      <c r="M143" s="347">
        <f>L129-L143</f>
        <v>3.409527920994776E-3</v>
      </c>
      <c r="N143" s="348">
        <f>Data!FF77</f>
        <v>0.17431179317805806</v>
      </c>
      <c r="O143" s="349">
        <f>N129-N143</f>
        <v>1.0793050573909835E-3</v>
      </c>
      <c r="P143" s="348">
        <f>Data!FF78</f>
        <v>0.2209936797092171</v>
      </c>
      <c r="Q143" s="345">
        <f>P129-P143</f>
        <v>4.6088560104157184E-4</v>
      </c>
      <c r="R143" s="204"/>
      <c r="S143" s="487"/>
    </row>
    <row r="144" spans="2:19" x14ac:dyDescent="0.25">
      <c r="B144" s="487"/>
      <c r="C144" s="204"/>
      <c r="D144" s="71" t="s">
        <v>850</v>
      </c>
      <c r="E144" s="71"/>
      <c r="F144" s="71"/>
      <c r="G144" s="71"/>
      <c r="H144" s="346">
        <f t="shared" si="8"/>
        <v>0.15611635201295135</v>
      </c>
      <c r="I144" s="347">
        <f>H144-H129</f>
        <v>2.2783018679618017E-2</v>
      </c>
      <c r="J144" s="346">
        <f t="shared" si="9"/>
        <v>0.26478262577526568</v>
      </c>
      <c r="K144" s="347">
        <f>J144-J129</f>
        <v>2.6687387680027597E-2</v>
      </c>
      <c r="L144" s="348">
        <f>Data!FG76</f>
        <v>0.15773638875948945</v>
      </c>
      <c r="M144" s="347">
        <f>L144-L129</f>
        <v>3.4722734748213746E-3</v>
      </c>
      <c r="N144" s="348">
        <f>Data!FG77</f>
        <v>0.17647565780592492</v>
      </c>
      <c r="O144" s="349">
        <f>N144-N129</f>
        <v>1.0845595704758737E-3</v>
      </c>
      <c r="P144" s="348">
        <f>Data!FG78</f>
        <v>0.2219161382818966</v>
      </c>
      <c r="Q144" s="345">
        <f>P144-P129</f>
        <v>4.6157297163793021E-4</v>
      </c>
      <c r="R144" s="204"/>
      <c r="S144" s="487"/>
    </row>
    <row r="145" spans="2:19" x14ac:dyDescent="0.25">
      <c r="B145" s="487"/>
      <c r="C145" s="204"/>
      <c r="D145" s="204"/>
      <c r="E145" s="204"/>
      <c r="F145" s="204"/>
      <c r="G145" s="204"/>
      <c r="H145" s="204"/>
      <c r="I145" s="204"/>
      <c r="J145" s="204"/>
      <c r="K145" s="204"/>
      <c r="L145" s="204"/>
      <c r="M145" s="204"/>
      <c r="N145" s="204"/>
      <c r="O145" s="204"/>
      <c r="P145" s="204"/>
      <c r="Q145" s="204"/>
      <c r="R145" s="204"/>
      <c r="S145" s="487"/>
    </row>
    <row r="146" spans="2:19" x14ac:dyDescent="0.25">
      <c r="B146" s="487"/>
      <c r="C146" s="204"/>
      <c r="D146" s="204"/>
      <c r="E146" s="204"/>
      <c r="F146" s="204"/>
      <c r="G146" s="204"/>
      <c r="H146" s="204"/>
      <c r="I146" s="204"/>
      <c r="J146" s="204"/>
      <c r="K146" s="204"/>
      <c r="L146" s="204"/>
      <c r="M146" s="204"/>
      <c r="N146" s="204"/>
      <c r="O146" s="204"/>
      <c r="P146" s="204"/>
      <c r="Q146" s="204"/>
      <c r="R146" s="204"/>
      <c r="S146" s="487"/>
    </row>
    <row r="147" spans="2:19" x14ac:dyDescent="0.25">
      <c r="B147" s="487"/>
      <c r="C147" s="204"/>
      <c r="D147" s="204"/>
      <c r="E147" s="204"/>
      <c r="F147" s="204"/>
      <c r="G147" s="204"/>
      <c r="H147" s="204"/>
      <c r="I147" s="204"/>
      <c r="J147" s="204"/>
      <c r="K147" s="204"/>
      <c r="L147" s="204"/>
      <c r="M147" s="204"/>
      <c r="N147" s="204"/>
      <c r="O147" s="204"/>
      <c r="P147" s="204"/>
      <c r="Q147" s="204"/>
      <c r="R147" s="204"/>
      <c r="S147" s="487"/>
    </row>
    <row r="148" spans="2:19" x14ac:dyDescent="0.25">
      <c r="B148" s="487"/>
      <c r="C148" s="487"/>
      <c r="D148" s="487"/>
      <c r="E148" s="487"/>
      <c r="F148" s="487"/>
      <c r="G148" s="487"/>
      <c r="H148" s="487"/>
      <c r="I148" s="487"/>
      <c r="J148" s="487"/>
      <c r="K148" s="487"/>
      <c r="L148" s="487"/>
      <c r="M148" s="487"/>
      <c r="N148" s="487"/>
      <c r="O148" s="487"/>
      <c r="P148" s="487"/>
      <c r="Q148" s="487"/>
      <c r="R148" s="487"/>
      <c r="S148" s="487"/>
    </row>
    <row r="149" spans="2:19" x14ac:dyDescent="0.25">
      <c r="B149" s="487"/>
      <c r="C149" s="487"/>
      <c r="D149" s="487"/>
      <c r="E149" s="487"/>
      <c r="F149" s="487"/>
      <c r="G149" s="487"/>
      <c r="H149" s="487"/>
      <c r="I149" s="487"/>
      <c r="J149" s="487"/>
      <c r="K149" s="487"/>
      <c r="L149" s="487"/>
      <c r="M149" s="487"/>
      <c r="N149" s="487"/>
      <c r="O149" s="487"/>
      <c r="P149" s="487"/>
      <c r="Q149" s="487"/>
      <c r="R149" s="487"/>
      <c r="S149" s="487"/>
    </row>
    <row r="150" spans="2:19" x14ac:dyDescent="0.25">
      <c r="B150" s="487"/>
      <c r="C150" s="487"/>
      <c r="D150" s="487"/>
      <c r="E150" s="487"/>
      <c r="F150" s="487"/>
      <c r="G150" s="487"/>
      <c r="H150" s="487"/>
      <c r="I150" s="487"/>
      <c r="J150" s="487"/>
      <c r="K150" s="487"/>
      <c r="L150" s="487"/>
      <c r="M150" s="487"/>
      <c r="N150" s="487"/>
      <c r="O150" s="487"/>
      <c r="P150" s="487"/>
      <c r="Q150" s="487"/>
      <c r="R150" s="487"/>
      <c r="S150" s="487"/>
    </row>
  </sheetData>
  <sheetProtection sheet="1" objects="1" scenarios="1"/>
  <mergeCells count="85">
    <mergeCell ref="G47:H49"/>
    <mergeCell ref="G50:H52"/>
    <mergeCell ref="C31:R31"/>
    <mergeCell ref="C32:R32"/>
    <mergeCell ref="I33:J35"/>
    <mergeCell ref="K33:L35"/>
    <mergeCell ref="G44:H46"/>
    <mergeCell ref="I44:J46"/>
    <mergeCell ref="K44:L46"/>
    <mergeCell ref="D130:F130"/>
    <mergeCell ref="D100:G100"/>
    <mergeCell ref="H100:I100"/>
    <mergeCell ref="J100:K100"/>
    <mergeCell ref="A2:L2"/>
    <mergeCell ref="H74:I74"/>
    <mergeCell ref="J74:K74"/>
    <mergeCell ref="L74:M74"/>
    <mergeCell ref="D99:G99"/>
    <mergeCell ref="D92:G94"/>
    <mergeCell ref="I18:J20"/>
    <mergeCell ref="K18:L20"/>
    <mergeCell ref="I21:J23"/>
    <mergeCell ref="K21:L23"/>
    <mergeCell ref="G21:H23"/>
    <mergeCell ref="G18:H20"/>
    <mergeCell ref="P73:Q73"/>
    <mergeCell ref="P74:Q74"/>
    <mergeCell ref="E72:G72"/>
    <mergeCell ref="E73:G73"/>
    <mergeCell ref="E74:G74"/>
    <mergeCell ref="H73:I73"/>
    <mergeCell ref="J73:K73"/>
    <mergeCell ref="L73:M73"/>
    <mergeCell ref="N73:O73"/>
    <mergeCell ref="N74:O74"/>
    <mergeCell ref="P72:Q72"/>
    <mergeCell ref="N72:O72"/>
    <mergeCell ref="L72:M72"/>
    <mergeCell ref="J72:K72"/>
    <mergeCell ref="H72:I72"/>
    <mergeCell ref="J92:K94"/>
    <mergeCell ref="G24:H26"/>
    <mergeCell ref="I24:J26"/>
    <mergeCell ref="K24:L26"/>
    <mergeCell ref="G33:H35"/>
    <mergeCell ref="G36:H38"/>
    <mergeCell ref="I36:J38"/>
    <mergeCell ref="K36:L38"/>
    <mergeCell ref="G39:H41"/>
    <mergeCell ref="I39:J41"/>
    <mergeCell ref="K39:L41"/>
    <mergeCell ref="I47:J49"/>
    <mergeCell ref="I50:J52"/>
    <mergeCell ref="K47:L49"/>
    <mergeCell ref="K50:L52"/>
    <mergeCell ref="C30:R30"/>
    <mergeCell ref="D95:G95"/>
    <mergeCell ref="D96:G96"/>
    <mergeCell ref="D97:G97"/>
    <mergeCell ref="D98:G98"/>
    <mergeCell ref="H92:I94"/>
    <mergeCell ref="H95:I95"/>
    <mergeCell ref="H96:I96"/>
    <mergeCell ref="H97:I97"/>
    <mergeCell ref="H98:I98"/>
    <mergeCell ref="H99:I99"/>
    <mergeCell ref="J95:K95"/>
    <mergeCell ref="J96:K96"/>
    <mergeCell ref="J97:K97"/>
    <mergeCell ref="J98:K98"/>
    <mergeCell ref="J99:K99"/>
    <mergeCell ref="C117:Q117"/>
    <mergeCell ref="D129:F129"/>
    <mergeCell ref="D128:F128"/>
    <mergeCell ref="H121:I122"/>
    <mergeCell ref="J121:K122"/>
    <mergeCell ref="L121:M122"/>
    <mergeCell ref="D127:F127"/>
    <mergeCell ref="N121:O122"/>
    <mergeCell ref="D121:G123"/>
    <mergeCell ref="D124:F124"/>
    <mergeCell ref="D125:F125"/>
    <mergeCell ref="D126:F126"/>
    <mergeCell ref="P121:Q122"/>
    <mergeCell ref="C118:R118"/>
  </mergeCells>
  <pageMargins left="0.25" right="0.25" top="0.75" bottom="0.75" header="0.3" footer="0.3"/>
  <pageSetup paperSize="9" scale="65" fitToHeight="3" orientation="portrait" r:id="rId1"/>
  <rowBreaks count="2" manualBreakCount="2">
    <brk id="76" max="19" man="1"/>
    <brk id="105" max="19" man="1"/>
  </rowBreaks>
  <ignoredErrors>
    <ignoredError sqref="J133:P143 J144:P144" 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7172" r:id="rId4" name="Drop Down 4">
              <controlPr defaultSize="0" autoLine="0" autoPict="0">
                <anchor moveWithCells="1">
                  <from>
                    <xdr:col>5</xdr:col>
                    <xdr:colOff>561975</xdr:colOff>
                    <xdr:row>4</xdr:row>
                    <xdr:rowOff>180975</xdr:rowOff>
                  </from>
                  <to>
                    <xdr:col>10</xdr:col>
                    <xdr:colOff>447675</xdr:colOff>
                    <xdr:row>6</xdr:row>
                    <xdr:rowOff>66675</xdr:rowOff>
                  </to>
                </anchor>
              </controlPr>
            </control>
          </mc:Choice>
        </mc:AlternateContent>
        <mc:AlternateContent xmlns:mc="http://schemas.openxmlformats.org/markup-compatibility/2006">
          <mc:Choice Requires="x14">
            <control shapeId="14" r:id="rId5" name="Drop Down 5">
              <controlPr defaultSize="0" autoLine="0" autoPict="0">
                <anchor moveWithCells="1">
                  <from>
                    <xdr:col>5</xdr:col>
                    <xdr:colOff>561975</xdr:colOff>
                    <xdr:row>6</xdr:row>
                    <xdr:rowOff>161925</xdr:rowOff>
                  </from>
                  <to>
                    <xdr:col>10</xdr:col>
                    <xdr:colOff>447675</xdr:colOff>
                    <xdr:row>8</xdr:row>
                    <xdr:rowOff>47625</xdr:rowOff>
                  </to>
                </anchor>
              </controlPr>
            </control>
          </mc:Choice>
        </mc:AlternateContent>
      </controls>
    </mc:Choice>
  </mc:AlternateConten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tabColor theme="4"/>
  </sheetPr>
  <dimension ref="A1:AD114"/>
  <sheetViews>
    <sheetView zoomScaleNormal="100" zoomScaleSheetLayoutView="80" zoomScalePageLayoutView="30" workbookViewId="0"/>
  </sheetViews>
  <sheetFormatPr defaultColWidth="8.796875" defaultRowHeight="14.25" x14ac:dyDescent="0.2"/>
  <cols>
    <col min="1" max="1" width="1" style="1" customWidth="1"/>
    <col min="2" max="2" width="1.19921875" style="1" customWidth="1"/>
    <col min="3" max="18" width="6.69921875" style="1" customWidth="1"/>
    <col min="19" max="19" width="3.8984375" style="1" customWidth="1"/>
    <col min="20" max="20" width="1.19921875" style="1" customWidth="1"/>
    <col min="21" max="21" width="1.09765625" style="1" customWidth="1"/>
    <col min="22" max="16384" width="8.796875" style="1"/>
  </cols>
  <sheetData>
    <row r="1" spans="1:20" ht="15" x14ac:dyDescent="0.25">
      <c r="R1" s="21">
        <f ca="1">NOW()</f>
        <v>42740.35657314815</v>
      </c>
    </row>
    <row r="2" spans="1:20" ht="17.25" customHeight="1" x14ac:dyDescent="0.2">
      <c r="A2" s="732"/>
      <c r="B2" s="733"/>
      <c r="C2" s="733"/>
      <c r="D2" s="733"/>
      <c r="E2" s="733"/>
      <c r="F2" s="733"/>
      <c r="G2" s="733"/>
      <c r="H2" s="733"/>
      <c r="I2" s="733"/>
      <c r="J2" s="733"/>
      <c r="K2" s="733"/>
      <c r="L2" s="733"/>
    </row>
    <row r="3" spans="1:20" ht="15" x14ac:dyDescent="0.25">
      <c r="A3" s="2"/>
      <c r="B3" s="2"/>
      <c r="C3" s="2"/>
      <c r="D3" s="2"/>
      <c r="E3" s="2"/>
      <c r="F3" s="2"/>
      <c r="G3" s="2"/>
      <c r="H3" s="2"/>
      <c r="I3" s="2"/>
      <c r="J3" s="2"/>
      <c r="K3" s="2"/>
      <c r="L3" s="2"/>
    </row>
    <row r="4" spans="1:20" ht="15" x14ac:dyDescent="0.25">
      <c r="A4" s="2"/>
      <c r="B4" s="2"/>
      <c r="C4" s="2"/>
      <c r="D4" s="2"/>
      <c r="E4" s="2"/>
      <c r="F4" s="2"/>
      <c r="G4" s="2"/>
      <c r="H4" s="2"/>
      <c r="I4" s="2"/>
      <c r="J4" s="2"/>
      <c r="K4" s="2"/>
      <c r="L4" s="2"/>
    </row>
    <row r="5" spans="1:20" s="67" customFormat="1" ht="15" x14ac:dyDescent="0.25">
      <c r="A5" s="248"/>
      <c r="B5" s="487"/>
      <c r="C5" s="487"/>
      <c r="D5" s="487"/>
      <c r="E5" s="487"/>
      <c r="F5" s="487"/>
      <c r="G5" s="487"/>
      <c r="H5" s="487"/>
      <c r="I5" s="487"/>
      <c r="J5" s="487"/>
      <c r="K5" s="487"/>
      <c r="L5" s="487"/>
      <c r="M5" s="489"/>
      <c r="N5" s="489"/>
      <c r="O5" s="489"/>
      <c r="P5" s="489"/>
      <c r="Q5" s="489"/>
      <c r="R5" s="489"/>
      <c r="S5" s="489"/>
      <c r="T5" s="489"/>
    </row>
    <row r="6" spans="1:20" s="67" customFormat="1" ht="15" x14ac:dyDescent="0.25">
      <c r="A6" s="248"/>
      <c r="B6" s="487"/>
      <c r="C6" s="487"/>
      <c r="D6" s="487"/>
      <c r="E6" s="487"/>
      <c r="F6" s="487"/>
      <c r="G6" s="487"/>
      <c r="H6" s="487"/>
      <c r="I6" s="487"/>
      <c r="J6" s="487"/>
      <c r="K6" s="487"/>
      <c r="L6" s="487"/>
      <c r="M6" s="489"/>
      <c r="N6" s="489"/>
      <c r="O6" s="489"/>
      <c r="P6" s="489"/>
      <c r="Q6" s="489"/>
      <c r="R6" s="489"/>
      <c r="S6" s="489"/>
      <c r="T6" s="489"/>
    </row>
    <row r="7" spans="1:20" s="67" customFormat="1" ht="15" x14ac:dyDescent="0.25">
      <c r="A7" s="248"/>
      <c r="B7" s="487"/>
      <c r="C7" s="487"/>
      <c r="D7" s="487"/>
      <c r="E7" s="487"/>
      <c r="F7" s="487"/>
      <c r="G7" s="487"/>
      <c r="H7" s="487"/>
      <c r="I7" s="487"/>
      <c r="J7" s="487"/>
      <c r="K7" s="487"/>
      <c r="L7" s="487"/>
      <c r="M7" s="489"/>
      <c r="N7" s="489"/>
      <c r="O7" s="489"/>
      <c r="P7" s="489"/>
      <c r="Q7" s="489"/>
      <c r="R7" s="489"/>
      <c r="S7" s="489"/>
      <c r="T7" s="489"/>
    </row>
    <row r="8" spans="1:20" s="67" customFormat="1" ht="15" x14ac:dyDescent="0.25">
      <c r="A8" s="248"/>
      <c r="B8" s="487"/>
      <c r="C8" s="487"/>
      <c r="D8" s="487"/>
      <c r="E8" s="487"/>
      <c r="F8" s="487"/>
      <c r="G8" s="487"/>
      <c r="H8" s="487"/>
      <c r="I8" s="487"/>
      <c r="J8" s="487"/>
      <c r="K8" s="487"/>
      <c r="L8" s="487"/>
      <c r="M8" s="489"/>
      <c r="N8" s="489"/>
      <c r="O8" s="489"/>
      <c r="P8" s="489"/>
      <c r="Q8" s="489"/>
      <c r="R8" s="489"/>
      <c r="S8" s="489"/>
      <c r="T8" s="489"/>
    </row>
    <row r="9" spans="1:20" ht="15" x14ac:dyDescent="0.25">
      <c r="A9" s="2"/>
      <c r="B9" s="487"/>
      <c r="C9" s="487"/>
      <c r="D9" s="487"/>
      <c r="E9" s="487"/>
      <c r="F9" s="487"/>
      <c r="G9" s="487"/>
      <c r="H9" s="487"/>
      <c r="I9" s="487"/>
      <c r="J9" s="487"/>
      <c r="K9" s="487"/>
      <c r="L9" s="487"/>
      <c r="M9" s="489"/>
      <c r="N9" s="489"/>
      <c r="O9" s="489"/>
      <c r="P9" s="489"/>
      <c r="Q9" s="489"/>
      <c r="R9" s="489"/>
      <c r="S9" s="489"/>
      <c r="T9" s="489"/>
    </row>
    <row r="10" spans="1:20" ht="15" x14ac:dyDescent="0.25">
      <c r="A10" s="2"/>
      <c r="B10" s="487"/>
      <c r="C10" s="487"/>
      <c r="D10" s="487"/>
      <c r="E10" s="487"/>
      <c r="F10" s="487"/>
      <c r="G10" s="487"/>
      <c r="H10" s="487"/>
      <c r="I10" s="487"/>
      <c r="J10" s="487"/>
      <c r="K10" s="487"/>
      <c r="L10" s="487"/>
      <c r="M10" s="489"/>
      <c r="N10" s="489"/>
      <c r="O10" s="489"/>
      <c r="P10" s="489"/>
      <c r="Q10" s="489"/>
      <c r="R10" s="489"/>
      <c r="S10" s="489"/>
      <c r="T10" s="489"/>
    </row>
    <row r="11" spans="1:20" ht="15" x14ac:dyDescent="0.25">
      <c r="A11" s="2"/>
      <c r="B11" s="487"/>
      <c r="C11" s="487"/>
      <c r="D11" s="487"/>
      <c r="E11" s="487"/>
      <c r="F11" s="487"/>
      <c r="G11" s="487"/>
      <c r="H11" s="487"/>
      <c r="I11" s="487"/>
      <c r="J11" s="487"/>
      <c r="K11" s="487"/>
      <c r="L11" s="487"/>
      <c r="M11" s="489"/>
      <c r="N11" s="489"/>
      <c r="O11" s="489"/>
      <c r="P11" s="489"/>
      <c r="Q11" s="489"/>
      <c r="R11" s="489"/>
      <c r="S11" s="489"/>
      <c r="T11" s="489"/>
    </row>
    <row r="12" spans="1:20" ht="15" x14ac:dyDescent="0.25">
      <c r="A12" s="2"/>
      <c r="B12" s="487"/>
      <c r="C12" s="487"/>
      <c r="D12" s="487"/>
      <c r="E12" s="487"/>
      <c r="F12" s="487"/>
      <c r="G12" s="487"/>
      <c r="H12" s="487"/>
      <c r="I12" s="487"/>
      <c r="J12" s="487"/>
      <c r="K12" s="487"/>
      <c r="L12" s="487"/>
      <c r="M12" s="489"/>
      <c r="N12" s="489"/>
      <c r="O12" s="489"/>
      <c r="P12" s="489"/>
      <c r="Q12" s="489"/>
      <c r="R12" s="489"/>
      <c r="S12" s="489"/>
      <c r="T12" s="489"/>
    </row>
    <row r="13" spans="1:20" ht="15" x14ac:dyDescent="0.25">
      <c r="A13" s="2"/>
      <c r="B13" s="487"/>
      <c r="C13" s="487"/>
      <c r="D13" s="487"/>
      <c r="E13" s="487"/>
      <c r="F13" s="487"/>
      <c r="G13" s="487"/>
      <c r="H13" s="487"/>
      <c r="I13" s="487"/>
      <c r="J13" s="487"/>
      <c r="K13" s="487"/>
      <c r="L13" s="487"/>
      <c r="M13" s="489"/>
      <c r="N13" s="489"/>
      <c r="O13" s="489"/>
      <c r="P13" s="489"/>
      <c r="Q13" s="489"/>
      <c r="R13" s="489"/>
      <c r="S13" s="489"/>
      <c r="T13" s="489"/>
    </row>
    <row r="14" spans="1:20" ht="15" x14ac:dyDescent="0.25">
      <c r="A14" s="2"/>
      <c r="B14" s="487"/>
      <c r="C14" s="487"/>
      <c r="D14" s="487"/>
      <c r="E14" s="487"/>
      <c r="F14" s="487"/>
      <c r="G14" s="487"/>
      <c r="H14" s="487"/>
      <c r="I14" s="487"/>
      <c r="J14" s="487"/>
      <c r="K14" s="487"/>
      <c r="L14" s="487"/>
      <c r="M14" s="489"/>
      <c r="N14" s="489"/>
      <c r="O14" s="489"/>
      <c r="P14" s="489"/>
      <c r="Q14" s="489"/>
      <c r="R14" s="489"/>
      <c r="S14" s="489"/>
      <c r="T14" s="489"/>
    </row>
    <row r="15" spans="1:20" ht="15" x14ac:dyDescent="0.25">
      <c r="A15" s="2"/>
      <c r="B15" s="487"/>
      <c r="C15" s="137"/>
      <c r="D15" s="137"/>
      <c r="E15" s="137"/>
      <c r="F15" s="137"/>
      <c r="G15" s="137"/>
      <c r="H15" s="137"/>
      <c r="I15" s="137"/>
      <c r="J15" s="137"/>
      <c r="K15" s="137"/>
      <c r="L15" s="137"/>
      <c r="M15" s="67"/>
      <c r="N15" s="67"/>
      <c r="O15" s="67"/>
      <c r="P15" s="67"/>
      <c r="Q15" s="67"/>
      <c r="R15" s="67"/>
      <c r="S15" s="67"/>
      <c r="T15" s="489"/>
    </row>
    <row r="16" spans="1:20" ht="15" x14ac:dyDescent="0.25">
      <c r="A16" s="2"/>
      <c r="B16" s="487"/>
      <c r="C16" s="137"/>
      <c r="D16" s="137"/>
      <c r="E16" s="137"/>
      <c r="F16" s="137"/>
      <c r="G16" s="137"/>
      <c r="H16" s="137"/>
      <c r="I16" s="137"/>
      <c r="J16" s="137"/>
      <c r="K16" s="137"/>
      <c r="L16" s="137"/>
      <c r="M16" s="67"/>
      <c r="N16" s="67"/>
      <c r="O16" s="67"/>
      <c r="P16" s="67"/>
      <c r="Q16" s="67"/>
      <c r="R16" s="67"/>
      <c r="S16" s="67"/>
      <c r="T16" s="489"/>
    </row>
    <row r="17" spans="1:20" ht="15" x14ac:dyDescent="0.25">
      <c r="A17" s="2"/>
      <c r="B17" s="487"/>
      <c r="C17" s="137"/>
      <c r="D17" s="137"/>
      <c r="E17" s="137"/>
      <c r="F17" s="137"/>
      <c r="G17" s="137"/>
      <c r="H17" s="137"/>
      <c r="I17" s="137"/>
      <c r="J17" s="137"/>
      <c r="K17" s="137"/>
      <c r="L17" s="137"/>
      <c r="M17" s="67"/>
      <c r="N17" s="67"/>
      <c r="O17" s="67"/>
      <c r="P17" s="67"/>
      <c r="Q17" s="67"/>
      <c r="R17" s="67"/>
      <c r="S17" s="67"/>
      <c r="T17" s="489"/>
    </row>
    <row r="18" spans="1:20" ht="15" x14ac:dyDescent="0.25">
      <c r="A18" s="2"/>
      <c r="B18" s="487"/>
      <c r="C18" s="137"/>
      <c r="D18" s="137"/>
      <c r="E18" s="137"/>
      <c r="F18" s="137"/>
      <c r="G18" s="137"/>
      <c r="H18" s="137"/>
      <c r="I18" s="137"/>
      <c r="J18" s="137"/>
      <c r="K18" s="137"/>
      <c r="L18" s="137"/>
      <c r="M18" s="67"/>
      <c r="N18" s="67"/>
      <c r="O18" s="67"/>
      <c r="P18" s="67"/>
      <c r="Q18" s="67"/>
      <c r="R18" s="67"/>
      <c r="S18" s="67"/>
      <c r="T18" s="489"/>
    </row>
    <row r="19" spans="1:20" ht="15" x14ac:dyDescent="0.25">
      <c r="A19" s="2"/>
      <c r="B19" s="487"/>
      <c r="C19" s="137"/>
      <c r="D19" s="137"/>
      <c r="E19" s="137"/>
      <c r="F19" s="137"/>
      <c r="G19" s="137"/>
      <c r="H19" s="137"/>
      <c r="I19" s="137"/>
      <c r="J19" s="137"/>
      <c r="K19" s="137"/>
      <c r="L19" s="137"/>
      <c r="M19" s="67"/>
      <c r="N19" s="67"/>
      <c r="O19" s="67"/>
      <c r="P19" s="67"/>
      <c r="Q19" s="67"/>
      <c r="R19" s="67"/>
      <c r="S19" s="67"/>
      <c r="T19" s="489"/>
    </row>
    <row r="20" spans="1:20" ht="15" x14ac:dyDescent="0.25">
      <c r="A20" s="2"/>
      <c r="B20" s="487"/>
      <c r="C20" s="137"/>
      <c r="D20" s="137"/>
      <c r="E20" s="137"/>
      <c r="F20" s="137"/>
      <c r="G20" s="137"/>
      <c r="H20" s="137"/>
      <c r="I20" s="137"/>
      <c r="J20" s="137"/>
      <c r="K20" s="137"/>
      <c r="L20" s="137"/>
      <c r="M20" s="67"/>
      <c r="N20" s="67"/>
      <c r="O20" s="67"/>
      <c r="P20" s="67"/>
      <c r="Q20" s="67"/>
      <c r="R20" s="67"/>
      <c r="S20" s="67"/>
      <c r="T20" s="489"/>
    </row>
    <row r="21" spans="1:20" ht="15" x14ac:dyDescent="0.25">
      <c r="A21" s="2"/>
      <c r="B21" s="487"/>
      <c r="C21" s="137"/>
      <c r="D21" s="137"/>
      <c r="E21" s="137"/>
      <c r="F21" s="137"/>
      <c r="G21" s="137"/>
      <c r="H21" s="137"/>
      <c r="I21" s="137"/>
      <c r="J21" s="137"/>
      <c r="K21" s="137"/>
      <c r="L21" s="137"/>
      <c r="M21" s="67"/>
      <c r="N21" s="67"/>
      <c r="O21" s="67"/>
      <c r="P21" s="67"/>
      <c r="Q21" s="67"/>
      <c r="R21" s="67"/>
      <c r="S21" s="67"/>
      <c r="T21" s="489"/>
    </row>
    <row r="22" spans="1:20" ht="15" x14ac:dyDescent="0.25">
      <c r="A22" s="2"/>
      <c r="B22" s="487"/>
      <c r="C22" s="137"/>
      <c r="D22" s="137"/>
      <c r="E22" s="137"/>
      <c r="F22" s="137"/>
      <c r="G22" s="137"/>
      <c r="H22" s="137"/>
      <c r="I22" s="137"/>
      <c r="J22" s="137"/>
      <c r="K22" s="137"/>
      <c r="L22" s="137"/>
      <c r="M22" s="67"/>
      <c r="N22" s="67"/>
      <c r="O22" s="67"/>
      <c r="P22" s="67"/>
      <c r="Q22" s="67"/>
      <c r="R22" s="67"/>
      <c r="S22" s="67"/>
      <c r="T22" s="489"/>
    </row>
    <row r="23" spans="1:20" ht="15" x14ac:dyDescent="0.25">
      <c r="A23" s="2"/>
      <c r="B23" s="487"/>
      <c r="C23" s="137"/>
      <c r="D23" s="137"/>
      <c r="E23" s="137"/>
      <c r="F23" s="137"/>
      <c r="G23" s="137"/>
      <c r="H23" s="137"/>
      <c r="I23" s="137"/>
      <c r="J23" s="137"/>
      <c r="K23" s="137"/>
      <c r="L23" s="137"/>
      <c r="M23" s="67"/>
      <c r="N23" s="67"/>
      <c r="O23" s="67"/>
      <c r="P23" s="67"/>
      <c r="Q23" s="67"/>
      <c r="R23" s="67"/>
      <c r="S23" s="67"/>
      <c r="T23" s="489"/>
    </row>
    <row r="24" spans="1:20" ht="15" x14ac:dyDescent="0.25">
      <c r="A24" s="2"/>
      <c r="B24" s="487"/>
      <c r="C24" s="137"/>
      <c r="D24" s="137"/>
      <c r="E24" s="137"/>
      <c r="F24" s="137"/>
      <c r="G24" s="137"/>
      <c r="H24" s="137"/>
      <c r="I24" s="137"/>
      <c r="J24" s="137"/>
      <c r="K24" s="137"/>
      <c r="L24" s="137"/>
      <c r="M24" s="67"/>
      <c r="N24" s="67"/>
      <c r="O24" s="67"/>
      <c r="P24" s="67"/>
      <c r="Q24" s="67"/>
      <c r="R24" s="67"/>
      <c r="S24" s="67"/>
      <c r="T24" s="489"/>
    </row>
    <row r="25" spans="1:20" ht="15" x14ac:dyDescent="0.25">
      <c r="A25" s="2"/>
      <c r="B25" s="487"/>
      <c r="C25" s="137"/>
      <c r="D25" s="137"/>
      <c r="E25" s="137"/>
      <c r="F25" s="137"/>
      <c r="G25" s="137"/>
      <c r="H25" s="137"/>
      <c r="I25" s="137"/>
      <c r="J25" s="137"/>
      <c r="K25" s="137"/>
      <c r="L25" s="137"/>
      <c r="M25" s="67"/>
      <c r="N25" s="67"/>
      <c r="O25" s="67"/>
      <c r="P25" s="67"/>
      <c r="Q25" s="67"/>
      <c r="R25" s="67"/>
      <c r="S25" s="67"/>
      <c r="T25" s="489"/>
    </row>
    <row r="26" spans="1:20" s="67" customFormat="1" ht="15" x14ac:dyDescent="0.25">
      <c r="A26" s="314"/>
      <c r="B26" s="487"/>
      <c r="C26" s="314"/>
      <c r="D26" s="314"/>
      <c r="E26" s="314"/>
      <c r="F26" s="314"/>
      <c r="G26" s="314"/>
      <c r="H26" s="314"/>
      <c r="I26" s="314"/>
      <c r="J26" s="314"/>
      <c r="K26" s="314"/>
      <c r="L26" s="314"/>
      <c r="T26" s="489"/>
    </row>
    <row r="27" spans="1:20" s="67" customFormat="1" ht="15" x14ac:dyDescent="0.25">
      <c r="A27" s="314"/>
      <c r="B27" s="487"/>
      <c r="C27" s="314"/>
      <c r="D27" s="314"/>
      <c r="E27" s="314"/>
      <c r="F27" s="314"/>
      <c r="G27" s="314"/>
      <c r="H27" s="314"/>
      <c r="I27" s="314"/>
      <c r="J27" s="314"/>
      <c r="K27" s="314"/>
      <c r="L27" s="314"/>
      <c r="T27" s="489"/>
    </row>
    <row r="28" spans="1:20" s="67" customFormat="1" ht="15" x14ac:dyDescent="0.25">
      <c r="A28" s="322"/>
      <c r="B28" s="487"/>
      <c r="C28" s="322"/>
      <c r="D28" s="322"/>
      <c r="E28" s="322"/>
      <c r="F28" s="322"/>
      <c r="G28" s="322"/>
      <c r="H28" s="322"/>
      <c r="I28" s="322"/>
      <c r="J28" s="322"/>
      <c r="K28" s="322"/>
      <c r="L28" s="322"/>
      <c r="T28" s="489"/>
    </row>
    <row r="29" spans="1:20" s="67" customFormat="1" ht="15" x14ac:dyDescent="0.25">
      <c r="A29" s="322"/>
      <c r="B29" s="487"/>
      <c r="C29" s="322"/>
      <c r="D29" s="322"/>
      <c r="E29" s="322"/>
      <c r="F29" s="322"/>
      <c r="G29" s="322"/>
      <c r="H29" s="322"/>
      <c r="I29" s="322"/>
      <c r="J29" s="322"/>
      <c r="K29" s="322"/>
      <c r="L29" s="322"/>
      <c r="T29" s="489"/>
    </row>
    <row r="30" spans="1:20" s="67" customFormat="1" ht="15" x14ac:dyDescent="0.25">
      <c r="A30" s="322"/>
      <c r="B30" s="487"/>
      <c r="C30" s="322"/>
      <c r="D30" s="322"/>
      <c r="E30" s="322"/>
      <c r="F30" s="322"/>
      <c r="G30" s="322"/>
      <c r="H30" s="322"/>
      <c r="I30" s="322"/>
      <c r="J30" s="322"/>
      <c r="K30" s="322"/>
      <c r="L30" s="322"/>
      <c r="T30" s="489"/>
    </row>
    <row r="31" spans="1:20" ht="15" x14ac:dyDescent="0.25">
      <c r="A31" s="2"/>
      <c r="B31" s="487"/>
      <c r="C31" s="137"/>
      <c r="D31" s="137"/>
      <c r="E31" s="137"/>
      <c r="F31" s="137"/>
      <c r="G31" s="137"/>
      <c r="H31" s="137"/>
      <c r="I31" s="137"/>
      <c r="J31" s="137"/>
      <c r="K31" s="137"/>
      <c r="L31" s="137"/>
      <c r="M31" s="67"/>
      <c r="N31" s="67"/>
      <c r="O31" s="67"/>
      <c r="P31" s="67"/>
      <c r="Q31" s="67"/>
      <c r="R31" s="67"/>
      <c r="S31" s="67"/>
      <c r="T31" s="489"/>
    </row>
    <row r="32" spans="1:20" ht="19.5" customHeight="1" x14ac:dyDescent="0.25">
      <c r="A32" s="2"/>
      <c r="B32" s="487"/>
      <c r="C32" s="137"/>
      <c r="D32" s="1403" t="s">
        <v>747</v>
      </c>
      <c r="E32" s="1403"/>
      <c r="F32" s="1403"/>
      <c r="G32" s="1403"/>
      <c r="H32" s="1403"/>
      <c r="I32" s="1350" t="str">
        <f>INDEX(Locations, selection)</f>
        <v>Angmering</v>
      </c>
      <c r="J32" s="1398"/>
      <c r="K32" s="1106" t="str">
        <f>INDEX(Locations, selection2)</f>
        <v>Bewbush</v>
      </c>
      <c r="L32" s="1108"/>
      <c r="M32" s="1294" t="s">
        <v>291</v>
      </c>
      <c r="N32" s="1294"/>
      <c r="O32" s="1295" t="s">
        <v>293</v>
      </c>
      <c r="P32" s="1295"/>
      <c r="Q32" s="67"/>
      <c r="R32" s="67"/>
      <c r="S32" s="67"/>
      <c r="T32" s="489"/>
    </row>
    <row r="33" spans="1:20" ht="19.5" customHeight="1" x14ac:dyDescent="0.25">
      <c r="A33" s="2"/>
      <c r="B33" s="487"/>
      <c r="C33" s="137"/>
      <c r="D33" s="1403"/>
      <c r="E33" s="1403"/>
      <c r="F33" s="1403"/>
      <c r="G33" s="1403"/>
      <c r="H33" s="1403"/>
      <c r="I33" s="1352"/>
      <c r="J33" s="1399"/>
      <c r="K33" s="1111"/>
      <c r="L33" s="1113"/>
      <c r="M33" s="1294"/>
      <c r="N33" s="1294"/>
      <c r="O33" s="1295"/>
      <c r="P33" s="1295"/>
      <c r="Q33" s="67"/>
      <c r="R33" s="67"/>
      <c r="S33" s="67"/>
      <c r="T33" s="489"/>
    </row>
    <row r="34" spans="1:20" ht="15" customHeight="1" x14ac:dyDescent="0.25">
      <c r="A34" s="2"/>
      <c r="B34" s="487"/>
      <c r="C34" s="137"/>
      <c r="D34" s="1396" t="s">
        <v>748</v>
      </c>
      <c r="E34" s="1397"/>
      <c r="F34" s="1397"/>
      <c r="G34" s="1397"/>
      <c r="H34" s="1397"/>
      <c r="I34" s="1393"/>
      <c r="J34" s="1394"/>
      <c r="K34" s="225"/>
      <c r="L34" s="226"/>
      <c r="M34" s="227"/>
      <c r="N34" s="228"/>
      <c r="O34" s="227"/>
      <c r="P34" s="228"/>
      <c r="Q34" s="67"/>
      <c r="R34" s="67"/>
      <c r="S34" s="67"/>
      <c r="T34" s="489"/>
    </row>
    <row r="35" spans="1:20" s="223" customFormat="1" ht="28.5" customHeight="1" x14ac:dyDescent="0.25">
      <c r="A35" s="207"/>
      <c r="B35" s="518"/>
      <c r="C35" s="207"/>
      <c r="D35" s="1373" t="s">
        <v>751</v>
      </c>
      <c r="E35" s="1373"/>
      <c r="F35" s="1373"/>
      <c r="G35" s="1373"/>
      <c r="H35" s="1373"/>
      <c r="I35" s="1395">
        <f>HLOOKUP($D35,EYFS2013,selection+1, FALSE)</f>
        <v>180</v>
      </c>
      <c r="J35" s="1384"/>
      <c r="K35" s="1383">
        <f>HLOOKUP($D35,EYFS2013, selection2+1, FALSE)</f>
        <v>212</v>
      </c>
      <c r="L35" s="1384"/>
      <c r="M35" s="1389"/>
      <c r="N35" s="1390"/>
      <c r="O35" s="1389"/>
      <c r="P35" s="1390"/>
      <c r="T35" s="516"/>
    </row>
    <row r="36" spans="1:20" s="223" customFormat="1" ht="28.5" customHeight="1" x14ac:dyDescent="0.25">
      <c r="A36" s="207"/>
      <c r="B36" s="518"/>
      <c r="C36" s="207"/>
      <c r="D36" s="1373" t="s">
        <v>752</v>
      </c>
      <c r="E36" s="1373"/>
      <c r="F36" s="1373"/>
      <c r="G36" s="1373"/>
      <c r="H36" s="1373"/>
      <c r="I36" s="1395">
        <f>HLOOKUP($D36,EYFS2013,selection+1, FALSE)</f>
        <v>99</v>
      </c>
      <c r="J36" s="1384"/>
      <c r="K36" s="1383">
        <f>HLOOKUP($D36,EYFS2013, selection2+1, FALSE)</f>
        <v>105</v>
      </c>
      <c r="L36" s="1384"/>
      <c r="M36" s="1385"/>
      <c r="N36" s="1386"/>
      <c r="O36" s="1385"/>
      <c r="P36" s="1386"/>
      <c r="T36" s="516"/>
    </row>
    <row r="37" spans="1:20" s="223" customFormat="1" ht="28.5" customHeight="1" x14ac:dyDescent="0.25">
      <c r="A37" s="207"/>
      <c r="B37" s="518"/>
      <c r="C37" s="207"/>
      <c r="D37" s="1373" t="s">
        <v>750</v>
      </c>
      <c r="E37" s="1373"/>
      <c r="F37" s="1373"/>
      <c r="G37" s="1373"/>
      <c r="H37" s="1373"/>
      <c r="I37" s="1405">
        <f>HLOOKUP($D37,EYFS2013,selection+1, FALSE)</f>
        <v>0.55000000000000004</v>
      </c>
      <c r="J37" s="1388"/>
      <c r="K37" s="1387">
        <f>HLOOKUP($D37,EYFS2013, selection2+1, FALSE)</f>
        <v>0.49528301886792453</v>
      </c>
      <c r="L37" s="1388"/>
      <c r="M37" s="1387">
        <f>Data!LD76</f>
        <v>0.52</v>
      </c>
      <c r="N37" s="1388"/>
      <c r="O37" s="1387">
        <f>Data!LD78</f>
        <v>0.52</v>
      </c>
      <c r="P37" s="1388"/>
      <c r="T37" s="516"/>
    </row>
    <row r="38" spans="1:20" s="67" customFormat="1" ht="15" customHeight="1" x14ac:dyDescent="0.25">
      <c r="A38" s="208"/>
      <c r="B38" s="487"/>
      <c r="C38" s="208"/>
      <c r="D38" s="1381" t="s">
        <v>749</v>
      </c>
      <c r="E38" s="1381"/>
      <c r="F38" s="1381"/>
      <c r="G38" s="1381"/>
      <c r="H38" s="1381"/>
      <c r="I38" s="1406"/>
      <c r="J38" s="1407"/>
      <c r="K38" s="229"/>
      <c r="L38" s="230"/>
      <c r="M38" s="229"/>
      <c r="N38" s="230"/>
      <c r="O38" s="229"/>
      <c r="P38" s="230"/>
      <c r="T38" s="489"/>
    </row>
    <row r="39" spans="1:20" s="224" customFormat="1" ht="30" customHeight="1" x14ac:dyDescent="0.2">
      <c r="A39" s="206"/>
      <c r="B39" s="519"/>
      <c r="C39" s="206"/>
      <c r="D39" s="1373" t="s">
        <v>751</v>
      </c>
      <c r="E39" s="1373"/>
      <c r="F39" s="1373"/>
      <c r="G39" s="1373"/>
      <c r="H39" s="1373"/>
      <c r="I39" s="1395">
        <f>HLOOKUP($D39, EYFS2014, selection+1, FALSE)</f>
        <v>219</v>
      </c>
      <c r="J39" s="1384"/>
      <c r="K39" s="1383">
        <f>HLOOKUP($D39, EYFS2014, selection2+1, FALSE)</f>
        <v>193</v>
      </c>
      <c r="L39" s="1384"/>
      <c r="M39" s="1389"/>
      <c r="N39" s="1390"/>
      <c r="O39" s="1389"/>
      <c r="P39" s="1390"/>
      <c r="T39" s="517"/>
    </row>
    <row r="40" spans="1:20" s="224" customFormat="1" ht="30" customHeight="1" x14ac:dyDescent="0.2">
      <c r="A40" s="206"/>
      <c r="B40" s="519"/>
      <c r="C40" s="206"/>
      <c r="D40" s="1373" t="s">
        <v>752</v>
      </c>
      <c r="E40" s="1373"/>
      <c r="F40" s="1373"/>
      <c r="G40" s="1373"/>
      <c r="H40" s="1373"/>
      <c r="I40" s="1395">
        <f>HLOOKUP($D40, EYFS2014, selection+1, FALSE)</f>
        <v>132</v>
      </c>
      <c r="J40" s="1384"/>
      <c r="K40" s="1383">
        <f>HLOOKUP($D40, EYFS2014, selection2+1, FALSE)</f>
        <v>109</v>
      </c>
      <c r="L40" s="1384"/>
      <c r="M40" s="1391"/>
      <c r="N40" s="1392"/>
      <c r="O40" s="1391"/>
      <c r="P40" s="1392"/>
      <c r="T40" s="517"/>
    </row>
    <row r="41" spans="1:20" s="224" customFormat="1" ht="30" customHeight="1" x14ac:dyDescent="0.2">
      <c r="A41" s="206"/>
      <c r="B41" s="519"/>
      <c r="C41" s="206"/>
      <c r="D41" s="1382" t="s">
        <v>750</v>
      </c>
      <c r="E41" s="1382"/>
      <c r="F41" s="1382"/>
      <c r="G41" s="1382"/>
      <c r="H41" s="1382"/>
      <c r="I41" s="1404">
        <f>HLOOKUP($D41, EYFS2014, selection+1, FALSE)</f>
        <v>0.60273972602739723</v>
      </c>
      <c r="J41" s="1379"/>
      <c r="K41" s="1378">
        <f>HLOOKUP($D41, EYFS2014, selection2+1, FALSE)</f>
        <v>0.56476683937823835</v>
      </c>
      <c r="L41" s="1379"/>
      <c r="M41" s="1378">
        <f>Data!LN76</f>
        <v>0.59</v>
      </c>
      <c r="N41" s="1379"/>
      <c r="O41" s="1378">
        <f>Data!LN78</f>
        <v>0.6</v>
      </c>
      <c r="P41" s="1379"/>
      <c r="T41" s="517"/>
    </row>
    <row r="42" spans="1:20" s="224" customFormat="1" ht="15.75" customHeight="1" x14ac:dyDescent="0.2">
      <c r="A42" s="321"/>
      <c r="B42" s="519"/>
      <c r="C42" s="321"/>
      <c r="D42" s="1381" t="s">
        <v>834</v>
      </c>
      <c r="E42" s="1381"/>
      <c r="F42" s="1381"/>
      <c r="G42" s="1381"/>
      <c r="H42" s="1381"/>
      <c r="I42" s="1385"/>
      <c r="J42" s="1386"/>
      <c r="K42" s="1385"/>
      <c r="L42" s="1386"/>
      <c r="M42" s="1385"/>
      <c r="N42" s="1386"/>
      <c r="O42" s="1385"/>
      <c r="P42" s="1386"/>
      <c r="T42" s="517"/>
    </row>
    <row r="43" spans="1:20" s="224" customFormat="1" ht="30" customHeight="1" x14ac:dyDescent="0.2">
      <c r="A43" s="321"/>
      <c r="B43" s="519"/>
      <c r="C43" s="387" t="s">
        <v>876</v>
      </c>
      <c r="D43" s="1373" t="s">
        <v>751</v>
      </c>
      <c r="E43" s="1373"/>
      <c r="F43" s="1373"/>
      <c r="G43" s="1373"/>
      <c r="H43" s="1373"/>
      <c r="I43" s="1383">
        <f>IF(HLOOKUP($C43,EYFS2015,selection+1,FALSE)="","n/a",(HLOOKUP($C43,EYFS2015,selection+1,FALSE)))</f>
        <v>219</v>
      </c>
      <c r="J43" s="1384"/>
      <c r="K43" s="1383">
        <f>IF(HLOOKUP($C43,EYFS2015,selection2+1,FALSE)="","n/a",(HLOOKUP($C43,EYFS2015,selection2+1,FALSE)))</f>
        <v>254</v>
      </c>
      <c r="L43" s="1384"/>
      <c r="M43" s="1389"/>
      <c r="N43" s="1390"/>
      <c r="O43" s="1389"/>
      <c r="P43" s="1390"/>
      <c r="T43" s="517"/>
    </row>
    <row r="44" spans="1:20" s="224" customFormat="1" ht="30" customHeight="1" x14ac:dyDescent="0.2">
      <c r="A44" s="321"/>
      <c r="B44" s="519"/>
      <c r="C44" s="321"/>
      <c r="D44" s="1373" t="s">
        <v>752</v>
      </c>
      <c r="E44" s="1373"/>
      <c r="F44" s="1373"/>
      <c r="G44" s="1373"/>
      <c r="H44" s="1373"/>
      <c r="I44" s="1383">
        <f>IF(HLOOKUP($D44,EYFS2015,selection+1,FALSE)="","n/a",(HLOOKUP($D44,EYFS2015,selection+1,FALSE)))</f>
        <v>128</v>
      </c>
      <c r="J44" s="1384"/>
      <c r="K44" s="1383">
        <f>IF(HLOOKUP($D44,EYFS2015,selection2+1,FALSE)="","n/a",(HLOOKUP($D44,EYFS2015,selection2+1,FALSE)))</f>
        <v>153</v>
      </c>
      <c r="L44" s="1384"/>
      <c r="M44" s="1389"/>
      <c r="N44" s="1390"/>
      <c r="O44" s="1389"/>
      <c r="P44" s="1390"/>
      <c r="T44" s="517"/>
    </row>
    <row r="45" spans="1:20" s="224" customFormat="1" ht="30" customHeight="1" x14ac:dyDescent="0.2">
      <c r="A45" s="321"/>
      <c r="B45" s="519"/>
      <c r="C45" s="321"/>
      <c r="D45" s="1382" t="s">
        <v>750</v>
      </c>
      <c r="E45" s="1382"/>
      <c r="F45" s="1382"/>
      <c r="G45" s="1382"/>
      <c r="H45" s="1382"/>
      <c r="I45" s="1378">
        <f>IF(HLOOKUP($D45,EYFS2015,selection+1,FALSE)="","n/a",(HLOOKUP($D45,EYFS2015,selection+1,FALSE)))</f>
        <v>0.58447488584474883</v>
      </c>
      <c r="J45" s="1379"/>
      <c r="K45" s="1378">
        <f>IF(HLOOKUP($D45,EYFS2015,selection2+1,FALSE)="","n/a",(HLOOKUP($D45,EYFS2015,selection2+1,FALSE)))</f>
        <v>0.60236220472440949</v>
      </c>
      <c r="L45" s="1379"/>
      <c r="M45" s="1378">
        <f>Data!LX76</f>
        <v>0.63500000000000001</v>
      </c>
      <c r="N45" s="1379"/>
      <c r="O45" s="1380">
        <f>Data!LX78</f>
        <v>0.66300000000000003</v>
      </c>
      <c r="P45" s="1380"/>
      <c r="T45" s="517"/>
    </row>
    <row r="46" spans="1:20" s="224" customFormat="1" ht="15.75" customHeight="1" x14ac:dyDescent="0.2">
      <c r="A46" s="615"/>
      <c r="B46" s="519"/>
      <c r="C46" s="615"/>
      <c r="D46" s="1366" t="s">
        <v>1098</v>
      </c>
      <c r="E46" s="1367"/>
      <c r="F46" s="1367"/>
      <c r="G46" s="1367"/>
      <c r="H46" s="1368"/>
      <c r="I46" s="1416"/>
      <c r="J46" s="1417"/>
      <c r="K46" s="1416"/>
      <c r="L46" s="1417"/>
      <c r="M46" s="1416"/>
      <c r="N46" s="1417"/>
      <c r="O46" s="1416"/>
      <c r="P46" s="1417"/>
      <c r="T46" s="517"/>
    </row>
    <row r="47" spans="1:20" s="224" customFormat="1" ht="30" customHeight="1" x14ac:dyDescent="0.2">
      <c r="A47" s="615"/>
      <c r="B47" s="519"/>
      <c r="C47" s="387" t="s">
        <v>1095</v>
      </c>
      <c r="D47" s="1374" t="s">
        <v>751</v>
      </c>
      <c r="E47" s="1375"/>
      <c r="F47" s="1375"/>
      <c r="G47" s="1375"/>
      <c r="H47" s="1409"/>
      <c r="I47" s="1383">
        <f>IF(HLOOKUP($C47,EYFS2016,selection+1,FALSE)="","n/a",(HLOOKUP($C47,EYFS2016,selection+1,FALSE)))</f>
        <v>226</v>
      </c>
      <c r="J47" s="1384"/>
      <c r="K47" s="1383">
        <f>IF(HLOOKUP($C47,EYFS2016,selection2+1,FALSE)="","n/a",(HLOOKUP($C47,EYFS2016,selection2+1,FALSE)))</f>
        <v>217</v>
      </c>
      <c r="L47" s="1384"/>
      <c r="M47" s="1418"/>
      <c r="N47" s="1419"/>
      <c r="O47" s="1418"/>
      <c r="P47" s="1419"/>
      <c r="T47" s="517"/>
    </row>
    <row r="48" spans="1:20" s="224" customFormat="1" ht="30" customHeight="1" x14ac:dyDescent="0.2">
      <c r="A48" s="615"/>
      <c r="B48" s="519"/>
      <c r="C48" s="615"/>
      <c r="D48" s="1374" t="s">
        <v>752</v>
      </c>
      <c r="E48" s="1375"/>
      <c r="F48" s="1375"/>
      <c r="G48" s="1375"/>
      <c r="H48" s="1409"/>
      <c r="I48" s="1383">
        <f>IF(HLOOKUP($D48,EYFS2016,selection+1,FALSE)="","n/a",(HLOOKUP($D48,EYFS2016,selection+1,FALSE)))</f>
        <v>158</v>
      </c>
      <c r="J48" s="1384"/>
      <c r="K48" s="1383">
        <f>IF(HLOOKUP($D48,EYFS2016,selection2+1,FALSE)="","n/a",(HLOOKUP($D48,EYFS2016,selection2+1,FALSE)))</f>
        <v>146</v>
      </c>
      <c r="L48" s="1384"/>
      <c r="M48" s="1418"/>
      <c r="N48" s="1419"/>
      <c r="O48" s="1418"/>
      <c r="P48" s="1419"/>
      <c r="T48" s="517"/>
    </row>
    <row r="49" spans="1:20" s="224" customFormat="1" ht="30" customHeight="1" x14ac:dyDescent="0.2">
      <c r="A49" s="615"/>
      <c r="B49" s="519"/>
      <c r="C49" s="615"/>
      <c r="D49" s="1374" t="s">
        <v>750</v>
      </c>
      <c r="E49" s="1375"/>
      <c r="F49" s="1375"/>
      <c r="G49" s="1375"/>
      <c r="H49" s="1409"/>
      <c r="I49" s="1387">
        <f>IF(HLOOKUP($D49,EYFS2016,selection+1,FALSE)="","n/a",(HLOOKUP($D49,EYFS2016,selection+1,FALSE)))</f>
        <v>0.69911504424778803</v>
      </c>
      <c r="J49" s="1388"/>
      <c r="K49" s="1387">
        <f>IF(HLOOKUP($D49,EYFS2016,selection2+1,FALSE)="","n/a",(HLOOKUP($D49,EYFS2016,selection2+1,FALSE)))</f>
        <v>0.67281105990783407</v>
      </c>
      <c r="L49" s="1388"/>
      <c r="M49" s="1358">
        <f>IF(Data!MG76 = "", "TBC", Data!MG76)</f>
        <v>0.68300000000000005</v>
      </c>
      <c r="N49" s="1359"/>
      <c r="O49" s="1358">
        <f>IF(Data!MG78 = "", "TBC", Data!MG78)</f>
        <v>0.69299999999999995</v>
      </c>
      <c r="P49" s="1359"/>
      <c r="T49" s="517"/>
    </row>
    <row r="50" spans="1:20" ht="15" x14ac:dyDescent="0.25">
      <c r="A50" s="2"/>
      <c r="B50" s="487"/>
      <c r="C50" s="137"/>
      <c r="D50" s="544"/>
      <c r="E50" s="544"/>
      <c r="F50" s="544"/>
      <c r="G50" s="544"/>
      <c r="H50" s="544"/>
      <c r="I50" s="544"/>
      <c r="J50" s="544"/>
      <c r="K50" s="544"/>
      <c r="L50" s="544"/>
      <c r="M50" s="433"/>
      <c r="N50" s="433"/>
      <c r="O50" s="433"/>
      <c r="P50" s="433"/>
      <c r="Q50" s="433"/>
      <c r="R50" s="67"/>
      <c r="S50" s="67"/>
      <c r="T50" s="489"/>
    </row>
    <row r="51" spans="1:20" ht="15" x14ac:dyDescent="0.25">
      <c r="A51" s="2"/>
      <c r="B51" s="487"/>
      <c r="C51" s="137"/>
      <c r="D51" s="74"/>
      <c r="E51" s="74"/>
      <c r="F51" s="74"/>
      <c r="G51" s="74"/>
      <c r="H51" s="74"/>
      <c r="I51" s="74"/>
      <c r="J51" s="74"/>
      <c r="K51" s="71"/>
      <c r="L51" s="71"/>
      <c r="M51" s="74"/>
      <c r="N51" s="74"/>
      <c r="O51" s="74"/>
      <c r="P51" s="74"/>
      <c r="Q51" s="74"/>
      <c r="R51" s="74"/>
      <c r="S51" s="67"/>
      <c r="T51" s="489"/>
    </row>
    <row r="52" spans="1:20" ht="25.5" x14ac:dyDescent="0.25">
      <c r="A52" s="2"/>
      <c r="B52" s="487"/>
      <c r="C52" s="137"/>
      <c r="D52" s="231"/>
      <c r="E52" s="232">
        <v>2013</v>
      </c>
      <c r="F52" s="232" t="s">
        <v>665</v>
      </c>
      <c r="G52" s="232" t="s">
        <v>666</v>
      </c>
      <c r="H52" s="232">
        <v>2014</v>
      </c>
      <c r="I52" s="232" t="s">
        <v>668</v>
      </c>
      <c r="J52" s="232" t="s">
        <v>669</v>
      </c>
      <c r="K52" s="71">
        <v>2015</v>
      </c>
      <c r="L52" s="74" t="s">
        <v>833</v>
      </c>
      <c r="M52" s="74" t="s">
        <v>832</v>
      </c>
      <c r="N52" s="74"/>
      <c r="O52" s="71">
        <v>2016</v>
      </c>
      <c r="P52" s="74" t="s">
        <v>1096</v>
      </c>
      <c r="Q52" s="74" t="s">
        <v>1097</v>
      </c>
      <c r="R52" s="74"/>
      <c r="S52" s="67"/>
      <c r="T52" s="489"/>
    </row>
    <row r="53" spans="1:20" ht="15" x14ac:dyDescent="0.25">
      <c r="A53" s="2"/>
      <c r="B53" s="487"/>
      <c r="C53" s="137"/>
      <c r="D53" s="233" t="str">
        <f>I32</f>
        <v>Angmering</v>
      </c>
      <c r="E53" s="234">
        <f>I37</f>
        <v>0.55000000000000004</v>
      </c>
      <c r="F53" s="234">
        <f>HLOOKUP(F52,EYFS2013, selection+1, FALSE)</f>
        <v>0.4770335504141382</v>
      </c>
      <c r="G53" s="234">
        <f>HLOOKUP(G52,EYFS2013, selection+1, FALSE)</f>
        <v>0.62087689979370053</v>
      </c>
      <c r="H53" s="234">
        <f>I41</f>
        <v>0.60273972602739723</v>
      </c>
      <c r="I53" s="234">
        <f>HLOOKUP(I52,EYFS2014, selection+1, FALSE)</f>
        <v>0.53669727911714793</v>
      </c>
      <c r="J53" s="234">
        <f>HLOOKUP(J52,EYFS2014, selection+1, FALSE)</f>
        <v>0.66524000956398821</v>
      </c>
      <c r="K53" s="210">
        <f>I45</f>
        <v>0.58447488584474883</v>
      </c>
      <c r="L53" s="242">
        <f>HLOOKUP(L52,EYFS2015, selection+1, FALSE)</f>
        <v>0.51829819927284948</v>
      </c>
      <c r="M53" s="242">
        <f>HLOOKUP(M52,EYFS2015, selection+1, FALSE)</f>
        <v>0.6477391269760846</v>
      </c>
      <c r="N53" s="74"/>
      <c r="O53" s="211">
        <f>I49</f>
        <v>0.69911504424778803</v>
      </c>
      <c r="P53" s="242">
        <f>HLOOKUP(P52,EYFS2016, selection+1, FALSE)</f>
        <v>0.63640012577932381</v>
      </c>
      <c r="Q53" s="242">
        <f>HLOOKUP(Q52,EYFS2016, selection+1, FALSE)</f>
        <v>0.75517413789697652</v>
      </c>
      <c r="R53" s="74"/>
      <c r="S53" s="67"/>
      <c r="T53" s="489"/>
    </row>
    <row r="54" spans="1:20" ht="15" x14ac:dyDescent="0.25">
      <c r="A54" s="2"/>
      <c r="B54" s="487"/>
      <c r="C54" s="208"/>
      <c r="D54" s="235" t="str">
        <f>K32</f>
        <v>Bewbush</v>
      </c>
      <c r="E54" s="236">
        <f>K37</f>
        <v>0.49528301886792453</v>
      </c>
      <c r="F54" s="236">
        <f>HLOOKUP(F52,EYFS2013, selection2+1, FALSE)</f>
        <v>0.42866607213368668</v>
      </c>
      <c r="G54" s="236">
        <f>HLOOKUP(G52,EYFS2013, selection2+1, FALSE)</f>
        <v>0.56206786743970427</v>
      </c>
      <c r="H54" s="236">
        <f>K41</f>
        <v>0.56476683937823835</v>
      </c>
      <c r="I54" s="236">
        <f>HLOOKUP(I52,EYFS2014, selection2+1, FALSE)</f>
        <v>0.4942308877461517</v>
      </c>
      <c r="J54" s="236">
        <f>HLOOKUP(J52,EYFS2014, selection2+1, FALSE)</f>
        <v>0.63277487694274381</v>
      </c>
      <c r="K54" s="210">
        <f>K45</f>
        <v>0.60236220472440949</v>
      </c>
      <c r="L54" s="242">
        <f>HLOOKUP(L52,EYFS2015, selection2+1, FALSE)</f>
        <v>0.54108055816186873</v>
      </c>
      <c r="M54" s="242">
        <f>HLOOKUP(M52,EYFS2015, selection2+1, FALSE)</f>
        <v>0.66059375844274437</v>
      </c>
      <c r="N54" s="74"/>
      <c r="O54" s="211">
        <f>K49</f>
        <v>0.67281105990783407</v>
      </c>
      <c r="P54" s="242">
        <f>HLOOKUP(P52,EYFS2016, selection2+1, FALSE)</f>
        <v>0.60785162704638585</v>
      </c>
      <c r="Q54" s="242">
        <f>HLOOKUP(Q52,EYFS2016, selection2+1, FALSE)</f>
        <v>0.73175851862329155</v>
      </c>
      <c r="R54" s="74"/>
      <c r="S54" s="67"/>
      <c r="T54" s="489"/>
    </row>
    <row r="55" spans="1:20" ht="25.5" x14ac:dyDescent="0.25">
      <c r="A55" s="2"/>
      <c r="B55" s="487"/>
      <c r="C55" s="208"/>
      <c r="D55" s="235" t="s">
        <v>291</v>
      </c>
      <c r="E55" s="236">
        <f>M37</f>
        <v>0.52</v>
      </c>
      <c r="F55" s="236"/>
      <c r="G55" s="236"/>
      <c r="H55" s="236">
        <f>M41</f>
        <v>0.59</v>
      </c>
      <c r="I55" s="236"/>
      <c r="J55" s="236"/>
      <c r="K55" s="211">
        <f>M45</f>
        <v>0.63500000000000001</v>
      </c>
      <c r="L55" s="71"/>
      <c r="M55" s="74"/>
      <c r="N55" s="74"/>
      <c r="O55" s="211">
        <f>M49</f>
        <v>0.68300000000000005</v>
      </c>
      <c r="P55" s="74"/>
      <c r="Q55" s="74"/>
      <c r="R55" s="74"/>
      <c r="S55" s="67"/>
      <c r="T55" s="489"/>
    </row>
    <row r="56" spans="1:20" ht="15" x14ac:dyDescent="0.25">
      <c r="A56" s="2"/>
      <c r="B56" s="487"/>
      <c r="C56" s="208"/>
      <c r="D56" s="71" t="str">
        <f>O32</f>
        <v>England</v>
      </c>
      <c r="E56" s="210">
        <f>O37</f>
        <v>0.52</v>
      </c>
      <c r="F56" s="71"/>
      <c r="G56" s="71"/>
      <c r="H56" s="210">
        <f>O41</f>
        <v>0.6</v>
      </c>
      <c r="I56" s="71"/>
      <c r="J56" s="71"/>
      <c r="K56" s="210">
        <f>O45</f>
        <v>0.66300000000000003</v>
      </c>
      <c r="L56" s="71"/>
      <c r="M56" s="74"/>
      <c r="N56" s="74"/>
      <c r="O56" s="211">
        <f>O49</f>
        <v>0.69299999999999995</v>
      </c>
      <c r="P56" s="74"/>
      <c r="Q56" s="74"/>
      <c r="R56" s="74"/>
      <c r="S56" s="67"/>
      <c r="T56" s="489"/>
    </row>
    <row r="57" spans="1:20" x14ac:dyDescent="0.2">
      <c r="B57" s="489"/>
      <c r="C57" s="67"/>
      <c r="D57" s="74"/>
      <c r="E57" s="74"/>
      <c r="F57" s="74"/>
      <c r="G57" s="74"/>
      <c r="H57" s="74"/>
      <c r="I57" s="74"/>
      <c r="J57" s="74"/>
      <c r="K57" s="74"/>
      <c r="L57" s="74"/>
      <c r="M57" s="74"/>
      <c r="N57" s="74"/>
      <c r="O57" s="74"/>
      <c r="P57" s="74"/>
      <c r="Q57" s="74"/>
      <c r="R57" s="74"/>
      <c r="S57" s="67"/>
      <c r="T57" s="489"/>
    </row>
    <row r="58" spans="1:20" x14ac:dyDescent="0.2">
      <c r="B58" s="489"/>
      <c r="C58" s="67"/>
      <c r="D58" s="74"/>
      <c r="E58" s="74"/>
      <c r="F58" s="74"/>
      <c r="G58" s="74"/>
      <c r="H58" s="74"/>
      <c r="I58" s="74"/>
      <c r="J58" s="74"/>
      <c r="K58" s="74"/>
      <c r="L58" s="74"/>
      <c r="M58" s="74"/>
      <c r="N58" s="74"/>
      <c r="O58" s="74"/>
      <c r="P58" s="74"/>
      <c r="Q58" s="74"/>
      <c r="R58" s="74"/>
      <c r="S58" s="67"/>
      <c r="T58" s="489"/>
    </row>
    <row r="59" spans="1:20" ht="15" x14ac:dyDescent="0.25">
      <c r="B59" s="489"/>
      <c r="C59" s="67"/>
      <c r="D59" s="74"/>
      <c r="E59" s="71" t="s">
        <v>754</v>
      </c>
      <c r="F59" s="74" t="s">
        <v>753</v>
      </c>
      <c r="G59" s="74"/>
      <c r="H59" s="74" t="s">
        <v>754</v>
      </c>
      <c r="I59" s="74" t="s">
        <v>753</v>
      </c>
      <c r="J59" s="74"/>
      <c r="K59" s="74" t="s">
        <v>754</v>
      </c>
      <c r="L59" s="74" t="s">
        <v>753</v>
      </c>
      <c r="M59" s="74"/>
      <c r="N59" s="74"/>
      <c r="O59" s="74" t="s">
        <v>754</v>
      </c>
      <c r="P59" s="74" t="s">
        <v>753</v>
      </c>
      <c r="Q59" s="74"/>
      <c r="R59" s="74"/>
      <c r="S59" s="67"/>
      <c r="T59" s="489"/>
    </row>
    <row r="60" spans="1:20" ht="15" x14ac:dyDescent="0.25">
      <c r="B60" s="489"/>
      <c r="C60" s="67"/>
      <c r="D60" s="74"/>
      <c r="E60" s="210">
        <f>E53-F53</f>
        <v>7.2966449585861848E-2</v>
      </c>
      <c r="F60" s="211">
        <f>G53-E53</f>
        <v>7.0876899793700487E-2</v>
      </c>
      <c r="G60" s="74"/>
      <c r="H60" s="211">
        <f>H53-I53</f>
        <v>6.6042446910249297E-2</v>
      </c>
      <c r="I60" s="211">
        <f>J53-H53</f>
        <v>6.2500283536590984E-2</v>
      </c>
      <c r="J60" s="74"/>
      <c r="K60" s="211">
        <f>K53-L53</f>
        <v>6.6176686571899346E-2</v>
      </c>
      <c r="L60" s="211">
        <f>M53-K53</f>
        <v>6.3264241131335774E-2</v>
      </c>
      <c r="M60" s="74"/>
      <c r="N60" s="74"/>
      <c r="O60" s="211">
        <f>O53-P53</f>
        <v>6.271491846846422E-2</v>
      </c>
      <c r="P60" s="211">
        <f>Q53-O53</f>
        <v>5.6059093649188485E-2</v>
      </c>
      <c r="Q60" s="74"/>
      <c r="R60" s="74"/>
      <c r="S60" s="67"/>
      <c r="T60" s="489"/>
    </row>
    <row r="61" spans="1:20" ht="15" x14ac:dyDescent="0.25">
      <c r="B61" s="489"/>
      <c r="C61" s="67"/>
      <c r="D61" s="74"/>
      <c r="E61" s="210">
        <f>E54-F54</f>
        <v>6.6616946734237847E-2</v>
      </c>
      <c r="F61" s="211">
        <f>G54-E54</f>
        <v>6.6784848571779742E-2</v>
      </c>
      <c r="G61" s="74"/>
      <c r="H61" s="211">
        <f>H54-I54</f>
        <v>7.0535951632086646E-2</v>
      </c>
      <c r="I61" s="211">
        <f>J54-H54</f>
        <v>6.8008037564505464E-2</v>
      </c>
      <c r="J61" s="74"/>
      <c r="K61" s="211">
        <f>K54-L54</f>
        <v>6.1281646562540759E-2</v>
      </c>
      <c r="L61" s="211">
        <f>M54-K54</f>
        <v>5.8231553718334883E-2</v>
      </c>
      <c r="M61" s="74"/>
      <c r="N61" s="74"/>
      <c r="O61" s="211">
        <f>O54-P54</f>
        <v>6.495943286144823E-2</v>
      </c>
      <c r="P61" s="211">
        <f>Q54-O54</f>
        <v>5.8947458715457479E-2</v>
      </c>
      <c r="Q61" s="74"/>
      <c r="R61" s="74"/>
      <c r="S61" s="67"/>
      <c r="T61" s="489"/>
    </row>
    <row r="62" spans="1:20" x14ac:dyDescent="0.2">
      <c r="B62" s="489"/>
      <c r="C62" s="67"/>
      <c r="D62" s="433"/>
      <c r="E62" s="433"/>
      <c r="F62" s="433"/>
      <c r="G62" s="433"/>
      <c r="H62" s="433"/>
      <c r="I62" s="433"/>
      <c r="J62" s="433"/>
      <c r="K62" s="433"/>
      <c r="L62" s="433"/>
      <c r="M62" s="433"/>
      <c r="N62" s="433"/>
      <c r="O62" s="433"/>
      <c r="P62" s="433"/>
      <c r="Q62" s="433"/>
      <c r="R62" s="67"/>
      <c r="S62" s="67"/>
      <c r="T62" s="489"/>
    </row>
    <row r="63" spans="1:20" x14ac:dyDescent="0.2">
      <c r="B63" s="489"/>
      <c r="C63" s="67"/>
      <c r="D63" s="433"/>
      <c r="E63" s="433"/>
      <c r="F63" s="433"/>
      <c r="G63" s="433"/>
      <c r="H63" s="433"/>
      <c r="I63" s="433"/>
      <c r="J63" s="433"/>
      <c r="K63" s="433"/>
      <c r="L63" s="433"/>
      <c r="M63" s="433"/>
      <c r="N63" s="433"/>
      <c r="O63" s="433"/>
      <c r="P63" s="433"/>
      <c r="Q63" s="433"/>
      <c r="R63" s="67"/>
      <c r="S63" s="67"/>
      <c r="T63" s="489"/>
    </row>
    <row r="64" spans="1:20" x14ac:dyDescent="0.2">
      <c r="B64" s="489"/>
      <c r="C64" s="489"/>
      <c r="D64" s="489"/>
      <c r="E64" s="489"/>
      <c r="F64" s="489"/>
      <c r="G64" s="489"/>
      <c r="H64" s="489"/>
      <c r="I64" s="489"/>
      <c r="J64" s="489"/>
      <c r="K64" s="489"/>
      <c r="L64" s="489"/>
      <c r="M64" s="489"/>
      <c r="N64" s="489"/>
      <c r="O64" s="489"/>
      <c r="P64" s="489"/>
      <c r="Q64" s="489"/>
      <c r="R64" s="489"/>
      <c r="S64" s="489"/>
      <c r="T64" s="489"/>
    </row>
    <row r="65" spans="2:30" ht="15.75" customHeight="1" x14ac:dyDescent="0.2">
      <c r="B65" s="489"/>
      <c r="C65" s="489"/>
      <c r="D65" s="489"/>
      <c r="E65" s="489"/>
      <c r="F65" s="489"/>
      <c r="G65" s="489"/>
      <c r="H65" s="489"/>
      <c r="I65" s="489"/>
      <c r="J65" s="489"/>
      <c r="K65" s="489"/>
      <c r="L65" s="489"/>
      <c r="M65" s="489"/>
      <c r="N65" s="489"/>
      <c r="O65" s="489"/>
      <c r="P65" s="489"/>
      <c r="Q65" s="489"/>
      <c r="R65" s="489"/>
      <c r="S65" s="489"/>
      <c r="T65" s="489"/>
    </row>
    <row r="66" spans="2:30" s="67" customFormat="1" ht="15.75" customHeight="1" x14ac:dyDescent="0.2">
      <c r="B66" s="489"/>
      <c r="C66" s="489"/>
      <c r="D66" s="489"/>
      <c r="E66" s="489"/>
      <c r="F66" s="489"/>
      <c r="G66" s="489"/>
      <c r="H66" s="489"/>
      <c r="I66" s="489"/>
      <c r="J66" s="489"/>
      <c r="K66" s="489"/>
      <c r="L66" s="489"/>
      <c r="M66" s="489"/>
      <c r="N66" s="489"/>
      <c r="O66" s="489"/>
      <c r="P66" s="489"/>
      <c r="Q66" s="489"/>
      <c r="R66" s="489"/>
      <c r="S66" s="489"/>
      <c r="T66" s="489"/>
    </row>
    <row r="67" spans="2:30" s="67" customFormat="1" ht="15.75" customHeight="1" x14ac:dyDescent="0.2">
      <c r="B67" s="489"/>
      <c r="C67" s="489"/>
      <c r="D67" s="489"/>
      <c r="E67" s="489"/>
      <c r="F67" s="489"/>
      <c r="G67" s="489"/>
      <c r="H67" s="489"/>
      <c r="I67" s="489"/>
      <c r="J67" s="489"/>
      <c r="K67" s="489"/>
      <c r="L67" s="489"/>
      <c r="M67" s="489"/>
      <c r="N67" s="489"/>
      <c r="O67" s="489"/>
      <c r="P67" s="489"/>
      <c r="Q67" s="489"/>
      <c r="R67" s="489"/>
      <c r="S67" s="489"/>
      <c r="T67" s="489"/>
    </row>
    <row r="68" spans="2:30" s="67" customFormat="1" ht="15.75" customHeight="1" x14ac:dyDescent="0.2">
      <c r="B68" s="489"/>
      <c r="C68" s="489"/>
      <c r="D68" s="489"/>
      <c r="E68" s="489"/>
      <c r="F68" s="489"/>
      <c r="G68" s="489"/>
      <c r="H68" s="489"/>
      <c r="I68" s="489"/>
      <c r="J68" s="489"/>
      <c r="K68" s="489"/>
      <c r="L68" s="489"/>
      <c r="M68" s="489"/>
      <c r="N68" s="489"/>
      <c r="O68" s="489"/>
      <c r="P68" s="489"/>
      <c r="Q68" s="489"/>
      <c r="R68" s="489"/>
      <c r="S68" s="489"/>
      <c r="T68" s="489"/>
    </row>
    <row r="69" spans="2:30" s="67" customFormat="1" ht="15.75" customHeight="1" x14ac:dyDescent="0.2">
      <c r="B69" s="489"/>
      <c r="T69" s="489"/>
    </row>
    <row r="70" spans="2:30" s="67" customFormat="1" ht="15.75" customHeight="1" x14ac:dyDescent="0.2">
      <c r="B70" s="489"/>
      <c r="D70" s="1403" t="s">
        <v>747</v>
      </c>
      <c r="E70" s="1403"/>
      <c r="F70" s="1403"/>
      <c r="G70" s="1403"/>
      <c r="H70" s="1403"/>
      <c r="I70" s="1350" t="str">
        <f>INDEX(Locations, selection)</f>
        <v>Angmering</v>
      </c>
      <c r="J70" s="1398"/>
      <c r="K70" s="1115" t="str">
        <f>INDEX(Locations, selection2)</f>
        <v>Bewbush</v>
      </c>
      <c r="L70" s="1115"/>
      <c r="M70" s="1294" t="s">
        <v>291</v>
      </c>
      <c r="N70" s="1294"/>
      <c r="O70" s="1295" t="s">
        <v>293</v>
      </c>
      <c r="P70" s="1295"/>
      <c r="T70" s="489"/>
      <c r="W70" s="35"/>
      <c r="X70" s="35"/>
      <c r="Y70" s="35"/>
      <c r="Z70" s="35"/>
      <c r="AA70" s="35"/>
      <c r="AB70" s="35"/>
      <c r="AC70" s="35"/>
      <c r="AD70" s="35"/>
    </row>
    <row r="71" spans="2:30" ht="14.25" customHeight="1" x14ac:dyDescent="0.2">
      <c r="B71" s="489"/>
      <c r="C71" s="67"/>
      <c r="D71" s="1403"/>
      <c r="E71" s="1403"/>
      <c r="F71" s="1403"/>
      <c r="G71" s="1403"/>
      <c r="H71" s="1403"/>
      <c r="I71" s="1352"/>
      <c r="J71" s="1399"/>
      <c r="K71" s="1115"/>
      <c r="L71" s="1115"/>
      <c r="M71" s="1294"/>
      <c r="N71" s="1294"/>
      <c r="O71" s="1295"/>
      <c r="P71" s="1295"/>
      <c r="Q71" s="67"/>
      <c r="R71" s="67"/>
      <c r="S71" s="67"/>
      <c r="T71" s="489"/>
      <c r="W71" s="1411"/>
      <c r="X71" s="1411"/>
      <c r="Y71" s="1411"/>
      <c r="Z71" s="1411"/>
      <c r="AA71" s="1412"/>
      <c r="AB71" s="1412"/>
      <c r="AC71" s="1412"/>
      <c r="AD71" s="35"/>
    </row>
    <row r="72" spans="2:30" ht="14.25" customHeight="1" x14ac:dyDescent="0.2">
      <c r="B72" s="489"/>
      <c r="C72" s="67"/>
      <c r="D72" s="1363" t="s">
        <v>748</v>
      </c>
      <c r="E72" s="1364"/>
      <c r="F72" s="1364"/>
      <c r="G72" s="1364"/>
      <c r="H72" s="1364"/>
      <c r="I72" s="1364"/>
      <c r="J72" s="1364"/>
      <c r="K72" s="1364"/>
      <c r="L72" s="1364"/>
      <c r="M72" s="1364"/>
      <c r="N72" s="1364"/>
      <c r="O72" s="1364"/>
      <c r="P72" s="1365"/>
      <c r="Q72" s="67"/>
      <c r="R72" s="67"/>
      <c r="S72" s="67"/>
      <c r="T72" s="489"/>
      <c r="W72" s="1411"/>
      <c r="X72" s="1411"/>
      <c r="Y72" s="1411"/>
      <c r="Z72" s="1411"/>
      <c r="AA72" s="1412"/>
      <c r="AB72" s="1412"/>
      <c r="AC72" s="1412"/>
      <c r="AD72" s="35"/>
    </row>
    <row r="73" spans="2:30" ht="15" customHeight="1" x14ac:dyDescent="0.2">
      <c r="B73" s="489"/>
      <c r="C73" s="67"/>
      <c r="D73" s="1373" t="s">
        <v>664</v>
      </c>
      <c r="E73" s="1373"/>
      <c r="F73" s="1373"/>
      <c r="G73" s="1373"/>
      <c r="H73" s="1373"/>
      <c r="I73" s="1395">
        <f>HLOOKUP($D73,EYFS2013,selection+1, FALSE)</f>
        <v>180</v>
      </c>
      <c r="J73" s="1384"/>
      <c r="K73" s="1383">
        <f>HLOOKUP(D73, EYFS2013, selection2+1,FALSE)</f>
        <v>212</v>
      </c>
      <c r="L73" s="1384"/>
      <c r="M73" s="1389"/>
      <c r="N73" s="1390"/>
      <c r="O73" s="1389"/>
      <c r="P73" s="1390"/>
      <c r="Q73" s="67"/>
      <c r="R73" s="67"/>
      <c r="S73" s="67"/>
      <c r="T73" s="489"/>
      <c r="W73" s="1411"/>
      <c r="X73" s="1411"/>
      <c r="Y73" s="1411"/>
      <c r="Z73" s="1411"/>
      <c r="AA73" s="1412"/>
      <c r="AB73" s="1412"/>
      <c r="AC73" s="1412"/>
      <c r="AD73" s="35"/>
    </row>
    <row r="74" spans="2:30" ht="15" customHeight="1" x14ac:dyDescent="0.2">
      <c r="B74" s="489"/>
      <c r="C74" s="67"/>
      <c r="D74" s="1373" t="s">
        <v>755</v>
      </c>
      <c r="E74" s="1373"/>
      <c r="F74" s="1373"/>
      <c r="G74" s="1373"/>
      <c r="H74" s="1373"/>
      <c r="I74" s="1400">
        <f>HLOOKUP($D74,EYFS2013,selection+1, FALSE)</f>
        <v>34</v>
      </c>
      <c r="J74" s="1401"/>
      <c r="K74" s="1402">
        <f>HLOOKUP(D74, EYFS2013, selection2+1,FALSE)</f>
        <v>34</v>
      </c>
      <c r="L74" s="1401"/>
      <c r="M74" s="1402">
        <f>Data!LH76</f>
        <v>34</v>
      </c>
      <c r="N74" s="1401"/>
      <c r="O74" s="1402">
        <f>Data!LH78</f>
        <v>34</v>
      </c>
      <c r="P74" s="1401"/>
      <c r="Q74" s="67"/>
      <c r="R74" s="67"/>
      <c r="S74" s="67"/>
      <c r="T74" s="489"/>
      <c r="W74" s="1411"/>
      <c r="X74" s="1411"/>
      <c r="Y74" s="1411"/>
      <c r="Z74" s="1411"/>
      <c r="AA74" s="1412"/>
      <c r="AB74" s="1412"/>
      <c r="AC74" s="1412"/>
      <c r="AD74" s="35"/>
    </row>
    <row r="75" spans="2:30" s="67" customFormat="1" ht="15" customHeight="1" x14ac:dyDescent="0.2">
      <c r="B75" s="489"/>
      <c r="D75" s="1374" t="s">
        <v>758</v>
      </c>
      <c r="E75" s="1375"/>
      <c r="F75" s="1375"/>
      <c r="G75" s="1375"/>
      <c r="H75" s="1409"/>
      <c r="I75" s="1400">
        <f>HLOOKUP($D75,EYFS2013,selection+1, FALSE)</f>
        <v>25.361111111111111</v>
      </c>
      <c r="J75" s="1401"/>
      <c r="K75" s="1402">
        <f>HLOOKUP(D75, EYFS2013, selection2+1,FALSE)</f>
        <v>21.976190476190471</v>
      </c>
      <c r="L75" s="1401"/>
      <c r="M75" s="1376">
        <f>Data!LJ76</f>
        <v>23.7</v>
      </c>
      <c r="N75" s="1377"/>
      <c r="O75" s="1376">
        <f>Data!LJ78</f>
        <v>21.6</v>
      </c>
      <c r="P75" s="1377"/>
      <c r="T75" s="489"/>
      <c r="W75" s="237"/>
      <c r="X75" s="237"/>
      <c r="Y75" s="237"/>
      <c r="Z75" s="237"/>
      <c r="AA75" s="238"/>
      <c r="AB75" s="238"/>
      <c r="AC75" s="238"/>
      <c r="AD75" s="35"/>
    </row>
    <row r="76" spans="2:30" s="67" customFormat="1" ht="15" customHeight="1" x14ac:dyDescent="0.2">
      <c r="B76" s="489"/>
      <c r="D76" s="1374" t="s">
        <v>756</v>
      </c>
      <c r="E76" s="1375"/>
      <c r="F76" s="1375"/>
      <c r="G76" s="1375"/>
      <c r="H76" s="1409"/>
      <c r="I76" s="1405">
        <f>HLOOKUP($D76,EYFS2013,selection+1, FALSE)</f>
        <v>0.25408496732026142</v>
      </c>
      <c r="J76" s="1388"/>
      <c r="K76" s="1387">
        <f>HLOOKUP(D76, EYFS2013, selection2+1,FALSE)</f>
        <v>0.35364145658263318</v>
      </c>
      <c r="L76" s="1388"/>
      <c r="M76" s="1387">
        <f>Data!LK76</f>
        <v>0.30399999999999999</v>
      </c>
      <c r="N76" s="1388"/>
      <c r="O76" s="1387">
        <f>Data!LK78</f>
        <v>0.36599999999999999</v>
      </c>
      <c r="P76" s="1388"/>
      <c r="T76" s="489"/>
      <c r="W76" s="237"/>
      <c r="X76" s="237"/>
      <c r="Y76" s="237"/>
      <c r="Z76" s="237"/>
      <c r="AA76" s="238"/>
      <c r="AB76" s="238"/>
      <c r="AC76" s="238"/>
      <c r="AD76" s="35"/>
    </row>
    <row r="77" spans="2:30" ht="15" customHeight="1" x14ac:dyDescent="0.2">
      <c r="B77" s="489"/>
      <c r="C77" s="67"/>
      <c r="D77" s="1360" t="s">
        <v>749</v>
      </c>
      <c r="E77" s="1361"/>
      <c r="F77" s="1361"/>
      <c r="G77" s="1361"/>
      <c r="H77" s="1361"/>
      <c r="I77" s="1361"/>
      <c r="J77" s="1361"/>
      <c r="K77" s="1361"/>
      <c r="L77" s="1361"/>
      <c r="M77" s="1361"/>
      <c r="N77" s="1361"/>
      <c r="O77" s="1361"/>
      <c r="P77" s="1362"/>
      <c r="Q77" s="67"/>
      <c r="R77" s="67"/>
      <c r="S77" s="67"/>
      <c r="T77" s="489"/>
      <c r="W77" s="35"/>
      <c r="X77" s="35"/>
      <c r="Y77" s="35"/>
      <c r="Z77" s="35"/>
      <c r="AA77" s="35"/>
      <c r="AB77" s="35"/>
      <c r="AC77" s="35"/>
      <c r="AD77" s="35"/>
    </row>
    <row r="78" spans="2:30" ht="15" customHeight="1" x14ac:dyDescent="0.2">
      <c r="B78" s="489"/>
      <c r="C78" s="67"/>
      <c r="D78" s="1373" t="s">
        <v>667</v>
      </c>
      <c r="E78" s="1373"/>
      <c r="F78" s="1373"/>
      <c r="G78" s="1373"/>
      <c r="H78" s="1373"/>
      <c r="I78" s="846">
        <f>HLOOKUP(D78,EYFS2014, selection+1, FALSE)</f>
        <v>219</v>
      </c>
      <c r="J78" s="846"/>
      <c r="K78" s="846">
        <f>HLOOKUP(D78, EYFS2014,selection2+1,FALSE)</f>
        <v>193</v>
      </c>
      <c r="L78" s="846"/>
      <c r="M78" s="1408"/>
      <c r="N78" s="1408"/>
      <c r="O78" s="1408"/>
      <c r="P78" s="1408"/>
      <c r="Q78" s="67"/>
      <c r="R78" s="67"/>
      <c r="S78" s="67"/>
      <c r="T78" s="489"/>
    </row>
    <row r="79" spans="2:30" ht="15" customHeight="1" x14ac:dyDescent="0.2">
      <c r="B79" s="489"/>
      <c r="C79" s="67"/>
      <c r="D79" s="1373" t="s">
        <v>755</v>
      </c>
      <c r="E79" s="1373"/>
      <c r="F79" s="1373"/>
      <c r="G79" s="1373"/>
      <c r="H79" s="1373"/>
      <c r="I79" s="1410">
        <f>HLOOKUP(D79,EYFS2014, selection+1, FALSE)</f>
        <v>34</v>
      </c>
      <c r="J79" s="1410"/>
      <c r="K79" s="1410">
        <f>HLOOKUP(D79, EYFS2014,selection2+1,FALSE)</f>
        <v>34</v>
      </c>
      <c r="L79" s="1410"/>
      <c r="M79" s="1410">
        <f>Data!LR76</f>
        <v>34</v>
      </c>
      <c r="N79" s="1410"/>
      <c r="O79" s="1410">
        <f>Data!LR78</f>
        <v>34</v>
      </c>
      <c r="P79" s="1410"/>
      <c r="Q79" s="67"/>
      <c r="R79" s="67"/>
      <c r="S79" s="67"/>
      <c r="T79" s="489"/>
    </row>
    <row r="80" spans="2:30" s="67" customFormat="1" ht="15" customHeight="1" x14ac:dyDescent="0.2">
      <c r="B80" s="489"/>
      <c r="D80" s="1374" t="s">
        <v>758</v>
      </c>
      <c r="E80" s="1375"/>
      <c r="F80" s="1375"/>
      <c r="G80" s="1375"/>
      <c r="H80" s="1409"/>
      <c r="I80" s="1410">
        <f>HLOOKUP(D80,EYFS2014, selection+1, FALSE)</f>
        <v>24.883720930232553</v>
      </c>
      <c r="J80" s="1410"/>
      <c r="K80" s="1410">
        <f>HLOOKUP(D80, EYFS2014,selection2+1,FALSE)</f>
        <v>21.552631578947373</v>
      </c>
      <c r="L80" s="1410"/>
      <c r="M80" s="1356">
        <f>Data!LT76</f>
        <v>24.5</v>
      </c>
      <c r="N80" s="1357"/>
      <c r="O80" s="1356">
        <f>Data!LT78</f>
        <v>22.5</v>
      </c>
      <c r="P80" s="1357"/>
      <c r="T80" s="489"/>
    </row>
    <row r="81" spans="2:20" ht="15" customHeight="1" x14ac:dyDescent="0.25">
      <c r="B81" s="489"/>
      <c r="C81" s="67"/>
      <c r="D81" s="1373" t="s">
        <v>756</v>
      </c>
      <c r="E81" s="1373"/>
      <c r="F81" s="1373"/>
      <c r="G81" s="1373"/>
      <c r="H81" s="1373"/>
      <c r="I81" s="1415">
        <f>HLOOKUP(D81,EYFS2014, selection+1, FALSE)</f>
        <v>0.26812585499316022</v>
      </c>
      <c r="J81" s="1415"/>
      <c r="K81" s="1415">
        <f>HLOOKUP(D81, EYFS2014,selection2+1,FALSE)</f>
        <v>0.36609907120743018</v>
      </c>
      <c r="L81" s="1415"/>
      <c r="M81" s="1413">
        <f>Data!LU76</f>
        <v>0.27900000000000003</v>
      </c>
      <c r="N81" s="1414"/>
      <c r="O81" s="1413">
        <f>Data!LU78</f>
        <v>0.33900000000000002</v>
      </c>
      <c r="P81" s="1414"/>
      <c r="Q81" s="67"/>
      <c r="R81" s="67"/>
      <c r="S81" s="67"/>
      <c r="T81" s="489"/>
    </row>
    <row r="82" spans="2:20" s="67" customFormat="1" ht="15" customHeight="1" x14ac:dyDescent="0.2">
      <c r="B82" s="489"/>
      <c r="D82" s="1366" t="s">
        <v>834</v>
      </c>
      <c r="E82" s="1367"/>
      <c r="F82" s="1367"/>
      <c r="G82" s="1367"/>
      <c r="H82" s="1367"/>
      <c r="I82" s="1367"/>
      <c r="J82" s="1367"/>
      <c r="K82" s="1367"/>
      <c r="L82" s="1367"/>
      <c r="M82" s="1367"/>
      <c r="N82" s="1367"/>
      <c r="O82" s="1367"/>
      <c r="P82" s="1368"/>
      <c r="T82" s="489"/>
    </row>
    <row r="83" spans="2:20" s="67" customFormat="1" ht="15" customHeight="1" x14ac:dyDescent="0.25">
      <c r="B83" s="489"/>
      <c r="D83" s="1373" t="s">
        <v>876</v>
      </c>
      <c r="E83" s="1373"/>
      <c r="F83" s="1373"/>
      <c r="G83" s="1373"/>
      <c r="H83" s="1374"/>
      <c r="I83" s="1369">
        <f>HLOOKUP($D83,EYFS2015,selection+1,FALSE)</f>
        <v>219</v>
      </c>
      <c r="J83" s="1370"/>
      <c r="K83" s="1369">
        <f>HLOOKUP(D83,EYFS2015, selection2+1, FALSE)</f>
        <v>254</v>
      </c>
      <c r="L83" s="1370"/>
      <c r="M83" s="1371"/>
      <c r="N83" s="1372"/>
      <c r="O83" s="1354"/>
      <c r="P83" s="1355"/>
      <c r="T83" s="489"/>
    </row>
    <row r="84" spans="2:20" s="67" customFormat="1" ht="15" customHeight="1" x14ac:dyDescent="0.2">
      <c r="B84" s="489"/>
      <c r="D84" s="1373" t="s">
        <v>755</v>
      </c>
      <c r="E84" s="1373"/>
      <c r="F84" s="1373"/>
      <c r="G84" s="1373"/>
      <c r="H84" s="1374"/>
      <c r="I84" s="1356">
        <f>HLOOKUP($D84,EYFS2015,selection+1,FALSE)</f>
        <v>34</v>
      </c>
      <c r="J84" s="1357"/>
      <c r="K84" s="1356">
        <f>HLOOKUP(D84,EYFS2015, selection2+1, FALSE)</f>
        <v>34</v>
      </c>
      <c r="L84" s="1357"/>
      <c r="M84" s="1356">
        <f>Data!MA76</f>
        <v>34</v>
      </c>
      <c r="N84" s="1357"/>
      <c r="O84" s="1356">
        <f>Data!MA78</f>
        <v>34</v>
      </c>
      <c r="P84" s="1357"/>
      <c r="T84" s="489"/>
    </row>
    <row r="85" spans="2:20" s="67" customFormat="1" ht="15" customHeight="1" x14ac:dyDescent="0.2">
      <c r="B85" s="489"/>
      <c r="D85" s="1374" t="s">
        <v>758</v>
      </c>
      <c r="E85" s="1375"/>
      <c r="F85" s="1375"/>
      <c r="G85" s="1375"/>
      <c r="H85" s="1375"/>
      <c r="I85" s="1356">
        <f>HLOOKUP($D85,EYFS2015,selection+1,FALSE)</f>
        <v>21.5</v>
      </c>
      <c r="J85" s="1357"/>
      <c r="K85" s="1356">
        <f>HLOOKUP(D85,EYFS2015, selection2+1, FALSE)</f>
        <v>23.1</v>
      </c>
      <c r="L85" s="1357"/>
      <c r="M85" s="1356">
        <f>Data!MC76</f>
        <v>24.5</v>
      </c>
      <c r="N85" s="1357"/>
      <c r="O85" s="1356">
        <f>Data!MC78</f>
        <v>23.1</v>
      </c>
      <c r="P85" s="1357"/>
      <c r="T85" s="489"/>
    </row>
    <row r="86" spans="2:20" ht="15" x14ac:dyDescent="0.2">
      <c r="B86" s="489"/>
      <c r="C86" s="67"/>
      <c r="D86" s="1373" t="s">
        <v>756</v>
      </c>
      <c r="E86" s="1373"/>
      <c r="F86" s="1373"/>
      <c r="G86" s="1373"/>
      <c r="H86" s="1374"/>
      <c r="I86" s="1358">
        <f>HLOOKUP($D86,EYFS2015,selection+1,FALSE)</f>
        <v>0.36699999999999999</v>
      </c>
      <c r="J86" s="1359"/>
      <c r="K86" s="1358">
        <f>HLOOKUP(D86,EYFS2015, selection2+1, FALSE)</f>
        <v>0.32100000000000001</v>
      </c>
      <c r="L86" s="1359"/>
      <c r="M86" s="1358">
        <f>Data!MD76</f>
        <v>0.27900000000000003</v>
      </c>
      <c r="N86" s="1359"/>
      <c r="O86" s="1358">
        <f>Data!MD78</f>
        <v>0.32100000000000001</v>
      </c>
      <c r="P86" s="1359"/>
      <c r="Q86" s="67"/>
      <c r="R86" s="67"/>
      <c r="S86" s="67"/>
      <c r="T86" s="489"/>
    </row>
    <row r="87" spans="2:20" s="67" customFormat="1" ht="15" x14ac:dyDescent="0.2">
      <c r="B87" s="489"/>
      <c r="D87" s="1366" t="s">
        <v>1099</v>
      </c>
      <c r="E87" s="1367"/>
      <c r="F87" s="1367"/>
      <c r="G87" s="1367"/>
      <c r="H87" s="1367"/>
      <c r="I87" s="1367"/>
      <c r="J87" s="1367"/>
      <c r="K87" s="1367"/>
      <c r="L87" s="1367"/>
      <c r="M87" s="1367"/>
      <c r="N87" s="1367"/>
      <c r="O87" s="1367"/>
      <c r="P87" s="1368"/>
      <c r="T87" s="489"/>
    </row>
    <row r="88" spans="2:20" s="67" customFormat="1" ht="15" x14ac:dyDescent="0.25">
      <c r="B88" s="489"/>
      <c r="D88" s="1373" t="s">
        <v>1095</v>
      </c>
      <c r="E88" s="1373"/>
      <c r="F88" s="1373"/>
      <c r="G88" s="1373"/>
      <c r="H88" s="1374"/>
      <c r="I88" s="1369">
        <f>HLOOKUP($D88,EYFS2016,selection+1,FALSE)</f>
        <v>226</v>
      </c>
      <c r="J88" s="1370"/>
      <c r="K88" s="1369">
        <f>HLOOKUP(D88,EYFS2016, selection2+1, FALSE)</f>
        <v>217</v>
      </c>
      <c r="L88" s="1370"/>
      <c r="M88" s="1371"/>
      <c r="N88" s="1372"/>
      <c r="O88" s="1354"/>
      <c r="P88" s="1355"/>
      <c r="T88" s="489"/>
    </row>
    <row r="89" spans="2:20" s="67" customFormat="1" ht="15" x14ac:dyDescent="0.2">
      <c r="B89" s="489"/>
      <c r="D89" s="1373" t="s">
        <v>755</v>
      </c>
      <c r="E89" s="1373"/>
      <c r="F89" s="1373"/>
      <c r="G89" s="1373"/>
      <c r="H89" s="1374"/>
      <c r="I89" s="1356">
        <f>HLOOKUP($D89,EYFS2016,selection+1,FALSE)</f>
        <v>34</v>
      </c>
      <c r="J89" s="1357"/>
      <c r="K89" s="1356">
        <f>HLOOKUP(D89,EYFS2016, selection2+1, FALSE)</f>
        <v>34</v>
      </c>
      <c r="L89" s="1357"/>
      <c r="M89" s="1356">
        <f>Data!MJ76</f>
        <v>34</v>
      </c>
      <c r="N89" s="1357"/>
      <c r="O89" s="1356">
        <f>Data!MJ78</f>
        <v>34</v>
      </c>
      <c r="P89" s="1357"/>
      <c r="T89" s="489"/>
    </row>
    <row r="90" spans="2:20" s="67" customFormat="1" ht="15" x14ac:dyDescent="0.2">
      <c r="B90" s="489"/>
      <c r="D90" s="1374" t="s">
        <v>758</v>
      </c>
      <c r="E90" s="1375"/>
      <c r="F90" s="1375"/>
      <c r="G90" s="1375"/>
      <c r="H90" s="1375"/>
      <c r="I90" s="1356">
        <f>HLOOKUP($D90,EYFS2016,selection+1,FALSE)</f>
        <v>26.222222222222221</v>
      </c>
      <c r="J90" s="1357"/>
      <c r="K90" s="1356">
        <f>HLOOKUP(D90,EYFS2016, selection2+1, FALSE)</f>
        <v>23.162790697674417</v>
      </c>
      <c r="L90" s="1357"/>
      <c r="M90" s="1356">
        <f>Data!ML76</f>
        <v>24.8</v>
      </c>
      <c r="N90" s="1357"/>
      <c r="O90" s="1356">
        <f>Data!ML78</f>
        <v>23.3</v>
      </c>
      <c r="P90" s="1357"/>
      <c r="T90" s="489"/>
    </row>
    <row r="91" spans="2:20" s="67" customFormat="1" ht="15" x14ac:dyDescent="0.2">
      <c r="B91" s="489"/>
      <c r="D91" s="1373" t="s">
        <v>756</v>
      </c>
      <c r="E91" s="1373"/>
      <c r="F91" s="1373"/>
      <c r="G91" s="1373"/>
      <c r="H91" s="1374"/>
      <c r="I91" s="1358">
        <f>HLOOKUP($D91,EYFS2016,selection+1,FALSE)</f>
        <v>0.22875816993464054</v>
      </c>
      <c r="J91" s="1359"/>
      <c r="K91" s="1358">
        <f>HLOOKUP(D91,EYFS2016, selection2+1, FALSE)</f>
        <v>0.31874145006839949</v>
      </c>
      <c r="L91" s="1359"/>
      <c r="M91" s="1358">
        <f>Data!MM76</f>
        <v>0.27100000000000002</v>
      </c>
      <c r="N91" s="1359"/>
      <c r="O91" s="1358">
        <f>Data!MM78</f>
        <v>0.314</v>
      </c>
      <c r="P91" s="1359"/>
      <c r="T91" s="489"/>
    </row>
    <row r="92" spans="2:20" s="67" customFormat="1" ht="15" x14ac:dyDescent="0.2">
      <c r="B92" s="489"/>
      <c r="D92" s="637"/>
      <c r="E92" s="637"/>
      <c r="F92" s="637"/>
      <c r="G92" s="637"/>
      <c r="H92" s="637"/>
      <c r="I92" s="638"/>
      <c r="J92" s="638"/>
      <c r="K92" s="638"/>
      <c r="L92" s="638"/>
      <c r="M92" s="638"/>
      <c r="N92" s="638"/>
      <c r="O92" s="638"/>
      <c r="P92" s="638"/>
      <c r="T92" s="489"/>
    </row>
    <row r="93" spans="2:20" s="67" customFormat="1" ht="15" x14ac:dyDescent="0.2">
      <c r="B93" s="489"/>
      <c r="D93" s="639"/>
      <c r="E93" s="639"/>
      <c r="F93" s="639"/>
      <c r="G93" s="639"/>
      <c r="H93" s="639"/>
      <c r="I93" s="638"/>
      <c r="J93" s="638"/>
      <c r="K93" s="638"/>
      <c r="L93" s="638"/>
      <c r="M93" s="638"/>
      <c r="N93" s="638"/>
      <c r="O93" s="638"/>
      <c r="P93" s="638"/>
      <c r="T93" s="489"/>
    </row>
    <row r="94" spans="2:20" x14ac:dyDescent="0.2">
      <c r="B94" s="489"/>
      <c r="C94" s="67"/>
      <c r="D94" s="148"/>
      <c r="E94" s="74"/>
      <c r="F94" s="74">
        <v>2013</v>
      </c>
      <c r="G94" s="74">
        <v>2014</v>
      </c>
      <c r="H94" s="74">
        <v>2015</v>
      </c>
      <c r="I94" s="74">
        <v>2016</v>
      </c>
      <c r="J94" s="67"/>
      <c r="K94" s="67"/>
      <c r="L94" s="67"/>
      <c r="M94" s="67"/>
      <c r="N94" s="67"/>
      <c r="O94" s="67"/>
      <c r="P94" s="67"/>
      <c r="Q94" s="67"/>
      <c r="R94" s="67"/>
      <c r="S94" s="67"/>
      <c r="T94" s="489"/>
    </row>
    <row r="95" spans="2:20" x14ac:dyDescent="0.2">
      <c r="B95" s="489"/>
      <c r="C95" s="67"/>
      <c r="D95" s="148"/>
      <c r="E95" s="74" t="str">
        <f>I70</f>
        <v>Angmering</v>
      </c>
      <c r="F95" s="211">
        <f>I76</f>
        <v>0.25408496732026142</v>
      </c>
      <c r="G95" s="211">
        <f>I81</f>
        <v>0.26812585499316022</v>
      </c>
      <c r="H95" s="211">
        <f>I86</f>
        <v>0.36699999999999999</v>
      </c>
      <c r="I95" s="211">
        <f>I91</f>
        <v>0.22875816993464054</v>
      </c>
      <c r="J95" s="67"/>
      <c r="K95" s="67"/>
      <c r="L95" s="67"/>
      <c r="M95" s="67"/>
      <c r="N95" s="67"/>
      <c r="O95" s="67"/>
      <c r="P95" s="67"/>
      <c r="Q95" s="67"/>
      <c r="R95" s="67"/>
      <c r="S95" s="67"/>
      <c r="T95" s="489"/>
    </row>
    <row r="96" spans="2:20" x14ac:dyDescent="0.2">
      <c r="B96" s="489"/>
      <c r="C96" s="67"/>
      <c r="D96" s="148"/>
      <c r="E96" s="74" t="str">
        <f>K70</f>
        <v>Bewbush</v>
      </c>
      <c r="F96" s="211">
        <f>K76</f>
        <v>0.35364145658263318</v>
      </c>
      <c r="G96" s="211">
        <f>K81</f>
        <v>0.36609907120743018</v>
      </c>
      <c r="H96" s="211">
        <f>K86</f>
        <v>0.32100000000000001</v>
      </c>
      <c r="I96" s="211">
        <f>K91</f>
        <v>0.31874145006839949</v>
      </c>
      <c r="J96" s="67"/>
      <c r="K96" s="67"/>
      <c r="L96" s="67"/>
      <c r="M96" s="67"/>
      <c r="N96" s="67"/>
      <c r="O96" s="67"/>
      <c r="P96" s="67"/>
      <c r="Q96" s="67"/>
      <c r="R96" s="67"/>
      <c r="S96" s="67"/>
      <c r="T96" s="489"/>
    </row>
    <row r="97" spans="2:20" x14ac:dyDescent="0.2">
      <c r="B97" s="489"/>
      <c r="C97" s="67"/>
      <c r="D97" s="148"/>
      <c r="E97" s="74" t="str">
        <f>M70</f>
        <v>West Sussex</v>
      </c>
      <c r="F97" s="211">
        <f>M76</f>
        <v>0.30399999999999999</v>
      </c>
      <c r="G97" s="211">
        <f>M81</f>
        <v>0.27900000000000003</v>
      </c>
      <c r="H97" s="211">
        <f>M86</f>
        <v>0.27900000000000003</v>
      </c>
      <c r="I97" s="211">
        <f>M91</f>
        <v>0.27100000000000002</v>
      </c>
      <c r="J97" s="67"/>
      <c r="K97" s="67"/>
      <c r="L97" s="67"/>
      <c r="M97" s="67"/>
      <c r="N97" s="67"/>
      <c r="O97" s="67"/>
      <c r="P97" s="67"/>
      <c r="Q97" s="67"/>
      <c r="R97" s="67"/>
      <c r="S97" s="67"/>
      <c r="T97" s="489"/>
    </row>
    <row r="98" spans="2:20" x14ac:dyDescent="0.2">
      <c r="B98" s="489"/>
      <c r="C98" s="67"/>
      <c r="D98" s="148"/>
      <c r="E98" s="74" t="str">
        <f>O70</f>
        <v>England</v>
      </c>
      <c r="F98" s="211">
        <f>O76</f>
        <v>0.36599999999999999</v>
      </c>
      <c r="G98" s="211">
        <f>O81</f>
        <v>0.33900000000000002</v>
      </c>
      <c r="H98" s="211">
        <f>O86</f>
        <v>0.32100000000000001</v>
      </c>
      <c r="I98" s="211">
        <f>O91</f>
        <v>0.314</v>
      </c>
      <c r="J98" s="67"/>
      <c r="K98" s="67"/>
      <c r="L98" s="67"/>
      <c r="M98" s="67"/>
      <c r="N98" s="67"/>
      <c r="O98" s="67"/>
      <c r="P98" s="67"/>
      <c r="Q98" s="67"/>
      <c r="R98" s="67"/>
      <c r="S98" s="67"/>
      <c r="T98" s="489"/>
    </row>
    <row r="99" spans="2:20" x14ac:dyDescent="0.2">
      <c r="B99" s="489"/>
      <c r="C99" s="67"/>
      <c r="D99" s="148"/>
      <c r="E99" s="74"/>
      <c r="F99" s="74"/>
      <c r="G99" s="74"/>
      <c r="H99" s="74"/>
      <c r="I99" s="74"/>
      <c r="J99" s="67"/>
      <c r="K99" s="67"/>
      <c r="L99" s="67"/>
      <c r="M99" s="67"/>
      <c r="N99" s="67"/>
      <c r="O99" s="67"/>
      <c r="P99" s="67"/>
      <c r="Q99" s="67"/>
      <c r="R99" s="67"/>
      <c r="S99" s="67"/>
      <c r="T99" s="489"/>
    </row>
    <row r="100" spans="2:20" x14ac:dyDescent="0.2">
      <c r="B100" s="489"/>
      <c r="C100" s="67"/>
      <c r="D100" s="67"/>
      <c r="E100" s="74"/>
      <c r="F100" s="74"/>
      <c r="G100" s="74"/>
      <c r="H100" s="74"/>
      <c r="I100" s="67"/>
      <c r="J100" s="67"/>
      <c r="K100" s="67"/>
      <c r="L100" s="67"/>
      <c r="M100" s="67"/>
      <c r="N100" s="67"/>
      <c r="O100" s="67"/>
      <c r="P100" s="67"/>
      <c r="Q100" s="67"/>
      <c r="R100" s="67"/>
      <c r="S100" s="67"/>
      <c r="T100" s="489"/>
    </row>
    <row r="101" spans="2:20" x14ac:dyDescent="0.2">
      <c r="B101" s="489"/>
      <c r="C101" s="67"/>
      <c r="D101" s="67"/>
      <c r="E101" s="74"/>
      <c r="F101" s="74"/>
      <c r="G101" s="74"/>
      <c r="H101" s="74"/>
      <c r="I101" s="67"/>
      <c r="J101" s="67"/>
      <c r="K101" s="67"/>
      <c r="L101" s="67"/>
      <c r="M101" s="67"/>
      <c r="N101" s="67"/>
      <c r="O101" s="67"/>
      <c r="P101" s="67"/>
      <c r="Q101" s="67"/>
      <c r="R101" s="67"/>
      <c r="S101" s="67"/>
      <c r="T101" s="489"/>
    </row>
    <row r="102" spans="2:20" x14ac:dyDescent="0.2">
      <c r="B102" s="489"/>
      <c r="C102" s="67"/>
      <c r="D102" s="67"/>
      <c r="E102" s="67"/>
      <c r="F102" s="67"/>
      <c r="G102" s="67"/>
      <c r="H102" s="67"/>
      <c r="I102" s="67"/>
      <c r="J102" s="67"/>
      <c r="K102" s="67"/>
      <c r="L102" s="67"/>
      <c r="M102" s="67"/>
      <c r="N102" s="67"/>
      <c r="O102" s="67"/>
      <c r="P102" s="67"/>
      <c r="Q102" s="67"/>
      <c r="R102" s="67"/>
      <c r="S102" s="67"/>
      <c r="T102" s="489"/>
    </row>
    <row r="103" spans="2:20" x14ac:dyDescent="0.2">
      <c r="B103" s="489"/>
      <c r="C103" s="67"/>
      <c r="D103" s="67"/>
      <c r="E103" s="67"/>
      <c r="F103" s="67"/>
      <c r="G103" s="67"/>
      <c r="H103" s="67"/>
      <c r="I103" s="67"/>
      <c r="J103" s="67"/>
      <c r="K103" s="67"/>
      <c r="L103" s="67"/>
      <c r="M103" s="67"/>
      <c r="N103" s="67"/>
      <c r="O103" s="67"/>
      <c r="P103" s="67"/>
      <c r="Q103" s="67"/>
      <c r="R103" s="67"/>
      <c r="S103" s="67"/>
      <c r="T103" s="489"/>
    </row>
    <row r="104" spans="2:20" x14ac:dyDescent="0.2">
      <c r="B104" s="489"/>
      <c r="C104" s="67"/>
      <c r="D104" s="67"/>
      <c r="E104" s="67"/>
      <c r="F104" s="67"/>
      <c r="G104" s="67"/>
      <c r="H104" s="67"/>
      <c r="I104" s="67"/>
      <c r="J104" s="67"/>
      <c r="K104" s="67"/>
      <c r="L104" s="67"/>
      <c r="M104" s="67"/>
      <c r="N104" s="67"/>
      <c r="O104" s="67"/>
      <c r="P104" s="67"/>
      <c r="Q104" s="67"/>
      <c r="R104" s="67"/>
      <c r="S104" s="67"/>
      <c r="T104" s="489"/>
    </row>
    <row r="105" spans="2:20" x14ac:dyDescent="0.2">
      <c r="B105" s="489"/>
      <c r="C105" s="67"/>
      <c r="D105" s="67"/>
      <c r="E105" s="67"/>
      <c r="F105" s="67"/>
      <c r="G105" s="67"/>
      <c r="H105" s="67"/>
      <c r="I105" s="67"/>
      <c r="J105" s="67"/>
      <c r="K105" s="67"/>
      <c r="L105" s="67"/>
      <c r="M105" s="67"/>
      <c r="N105" s="67"/>
      <c r="O105" s="67"/>
      <c r="P105" s="67"/>
      <c r="Q105" s="67"/>
      <c r="R105" s="67"/>
      <c r="S105" s="67"/>
      <c r="T105" s="489"/>
    </row>
    <row r="106" spans="2:20" x14ac:dyDescent="0.2">
      <c r="B106" s="489"/>
      <c r="C106" s="67"/>
      <c r="D106" s="67"/>
      <c r="E106" s="67"/>
      <c r="F106" s="67"/>
      <c r="G106" s="67"/>
      <c r="H106" s="67"/>
      <c r="I106" s="67"/>
      <c r="J106" s="67"/>
      <c r="K106" s="67"/>
      <c r="L106" s="67"/>
      <c r="M106" s="67"/>
      <c r="N106" s="67"/>
      <c r="O106" s="67"/>
      <c r="P106" s="67"/>
      <c r="Q106" s="67"/>
      <c r="R106" s="67"/>
      <c r="S106" s="67"/>
      <c r="T106" s="489"/>
    </row>
    <row r="107" spans="2:20" x14ac:dyDescent="0.2">
      <c r="B107" s="489"/>
      <c r="C107" s="67"/>
      <c r="D107" s="67"/>
      <c r="E107" s="67"/>
      <c r="F107" s="67"/>
      <c r="G107" s="67"/>
      <c r="H107" s="67"/>
      <c r="I107" s="67"/>
      <c r="J107" s="67"/>
      <c r="K107" s="67"/>
      <c r="L107" s="67"/>
      <c r="M107" s="67"/>
      <c r="N107" s="67"/>
      <c r="O107" s="67"/>
      <c r="P107" s="67"/>
      <c r="Q107" s="67"/>
      <c r="R107" s="67"/>
      <c r="S107" s="67"/>
      <c r="T107" s="489"/>
    </row>
    <row r="108" spans="2:20" x14ac:dyDescent="0.2">
      <c r="B108" s="489"/>
      <c r="C108" s="67"/>
      <c r="D108" s="67"/>
      <c r="E108" s="67"/>
      <c r="F108" s="67"/>
      <c r="G108" s="67"/>
      <c r="H108" s="67"/>
      <c r="I108" s="67"/>
      <c r="J108" s="67"/>
      <c r="K108" s="67"/>
      <c r="L108" s="67"/>
      <c r="M108" s="67"/>
      <c r="N108" s="67"/>
      <c r="O108" s="67"/>
      <c r="P108" s="67"/>
      <c r="Q108" s="67"/>
      <c r="R108" s="67"/>
      <c r="S108" s="67"/>
      <c r="T108" s="489"/>
    </row>
    <row r="109" spans="2:20" x14ac:dyDescent="0.2">
      <c r="B109" s="489"/>
      <c r="C109" s="67"/>
      <c r="D109" s="67"/>
      <c r="E109" s="67"/>
      <c r="F109" s="67"/>
      <c r="G109" s="67"/>
      <c r="H109" s="67"/>
      <c r="I109" s="67"/>
      <c r="J109" s="67"/>
      <c r="K109" s="67"/>
      <c r="L109" s="67"/>
      <c r="M109" s="67"/>
      <c r="N109" s="67"/>
      <c r="O109" s="67"/>
      <c r="P109" s="67"/>
      <c r="Q109" s="67"/>
      <c r="R109" s="67"/>
      <c r="S109" s="67"/>
      <c r="T109" s="489"/>
    </row>
    <row r="110" spans="2:20" x14ac:dyDescent="0.2">
      <c r="B110" s="489"/>
      <c r="C110" s="67"/>
      <c r="D110" s="67"/>
      <c r="E110" s="67"/>
      <c r="F110" s="67"/>
      <c r="G110" s="67"/>
      <c r="H110" s="67"/>
      <c r="I110" s="67"/>
      <c r="J110" s="67"/>
      <c r="K110" s="67"/>
      <c r="L110" s="67"/>
      <c r="M110" s="67"/>
      <c r="N110" s="67"/>
      <c r="O110" s="67"/>
      <c r="P110" s="67"/>
      <c r="Q110" s="67"/>
      <c r="R110" s="67"/>
      <c r="S110" s="67"/>
      <c r="T110" s="489"/>
    </row>
    <row r="111" spans="2:20" x14ac:dyDescent="0.2">
      <c r="B111" s="489"/>
      <c r="C111" s="67"/>
      <c r="D111" s="67"/>
      <c r="E111" s="67"/>
      <c r="F111" s="67"/>
      <c r="G111" s="67"/>
      <c r="H111" s="67"/>
      <c r="I111" s="67"/>
      <c r="J111" s="67"/>
      <c r="K111" s="67"/>
      <c r="L111" s="67"/>
      <c r="M111" s="67"/>
      <c r="N111" s="67"/>
      <c r="O111" s="67"/>
      <c r="P111" s="67"/>
      <c r="Q111" s="67"/>
      <c r="R111" s="67"/>
      <c r="S111" s="67"/>
      <c r="T111" s="489"/>
    </row>
    <row r="112" spans="2:20" x14ac:dyDescent="0.2">
      <c r="B112" s="489"/>
      <c r="C112" s="489"/>
      <c r="D112" s="489"/>
      <c r="E112" s="489"/>
      <c r="F112" s="489"/>
      <c r="G112" s="489"/>
      <c r="H112" s="489"/>
      <c r="I112" s="489"/>
      <c r="J112" s="489"/>
      <c r="K112" s="489"/>
      <c r="L112" s="489"/>
      <c r="M112" s="489"/>
      <c r="N112" s="489"/>
      <c r="O112" s="489"/>
      <c r="P112" s="489"/>
      <c r="Q112" s="489"/>
      <c r="R112" s="489"/>
      <c r="S112" s="489"/>
      <c r="T112" s="489"/>
    </row>
    <row r="113" spans="2:20" x14ac:dyDescent="0.2">
      <c r="B113" s="489"/>
      <c r="C113" s="489"/>
      <c r="D113" s="489"/>
      <c r="E113" s="489"/>
      <c r="F113" s="489"/>
      <c r="G113" s="489"/>
      <c r="H113" s="489"/>
      <c r="I113" s="489"/>
      <c r="J113" s="489"/>
      <c r="K113" s="489"/>
      <c r="L113" s="489"/>
      <c r="M113" s="489"/>
      <c r="N113" s="489"/>
      <c r="O113" s="489"/>
      <c r="P113" s="489"/>
      <c r="Q113" s="489"/>
      <c r="R113" s="489"/>
      <c r="S113" s="489"/>
      <c r="T113" s="489"/>
    </row>
    <row r="114" spans="2:20" x14ac:dyDescent="0.2">
      <c r="B114" s="489"/>
      <c r="C114" s="489"/>
      <c r="D114" s="489"/>
      <c r="E114" s="489"/>
      <c r="F114" s="489"/>
      <c r="G114" s="489"/>
      <c r="H114" s="489"/>
      <c r="I114" s="489"/>
      <c r="J114" s="489"/>
      <c r="K114" s="489"/>
      <c r="L114" s="489"/>
      <c r="M114" s="489"/>
      <c r="N114" s="489"/>
      <c r="O114" s="489"/>
      <c r="P114" s="489"/>
      <c r="Q114" s="489"/>
      <c r="R114" s="489"/>
      <c r="S114" s="489"/>
      <c r="T114" s="489"/>
    </row>
  </sheetData>
  <sheetProtection sheet="1" objects="1" scenarios="1"/>
  <mergeCells count="173">
    <mergeCell ref="D90:H90"/>
    <mergeCell ref="I90:J90"/>
    <mergeCell ref="K90:L90"/>
    <mergeCell ref="M90:N90"/>
    <mergeCell ref="O90:P90"/>
    <mergeCell ref="D91:H91"/>
    <mergeCell ref="I91:J91"/>
    <mergeCell ref="K91:L91"/>
    <mergeCell ref="M91:N91"/>
    <mergeCell ref="O91:P91"/>
    <mergeCell ref="D87:P87"/>
    <mergeCell ref="D88:H88"/>
    <mergeCell ref="I88:J88"/>
    <mergeCell ref="K88:L88"/>
    <mergeCell ref="M88:N88"/>
    <mergeCell ref="O88:P88"/>
    <mergeCell ref="D89:H89"/>
    <mergeCell ref="I89:J89"/>
    <mergeCell ref="K89:L89"/>
    <mergeCell ref="M89:N89"/>
    <mergeCell ref="O89:P89"/>
    <mergeCell ref="D46:H46"/>
    <mergeCell ref="I46:J46"/>
    <mergeCell ref="K46:L46"/>
    <mergeCell ref="M46:N46"/>
    <mergeCell ref="O46:P46"/>
    <mergeCell ref="O47:P47"/>
    <mergeCell ref="O48:P48"/>
    <mergeCell ref="O49:P49"/>
    <mergeCell ref="M47:N47"/>
    <mergeCell ref="M48:N48"/>
    <mergeCell ref="M49:N49"/>
    <mergeCell ref="K47:L47"/>
    <mergeCell ref="K48:L48"/>
    <mergeCell ref="I47:J47"/>
    <mergeCell ref="I48:J48"/>
    <mergeCell ref="I49:J49"/>
    <mergeCell ref="K49:L49"/>
    <mergeCell ref="D47:H47"/>
    <mergeCell ref="D48:H48"/>
    <mergeCell ref="D49:H49"/>
    <mergeCell ref="M81:N81"/>
    <mergeCell ref="O81:P81"/>
    <mergeCell ref="M79:N79"/>
    <mergeCell ref="O79:P79"/>
    <mergeCell ref="D78:H78"/>
    <mergeCell ref="I78:J78"/>
    <mergeCell ref="D79:H79"/>
    <mergeCell ref="I79:J79"/>
    <mergeCell ref="M80:N80"/>
    <mergeCell ref="O80:P80"/>
    <mergeCell ref="D81:H81"/>
    <mergeCell ref="I81:J81"/>
    <mergeCell ref="K81:L81"/>
    <mergeCell ref="I76:J76"/>
    <mergeCell ref="K78:L78"/>
    <mergeCell ref="M78:N78"/>
    <mergeCell ref="O78:P78"/>
    <mergeCell ref="K76:L76"/>
    <mergeCell ref="D80:H80"/>
    <mergeCell ref="I80:J80"/>
    <mergeCell ref="K80:L80"/>
    <mergeCell ref="W71:AC71"/>
    <mergeCell ref="W72:AC72"/>
    <mergeCell ref="W73:AC73"/>
    <mergeCell ref="W74:AC74"/>
    <mergeCell ref="M73:N73"/>
    <mergeCell ref="O73:P73"/>
    <mergeCell ref="M70:N71"/>
    <mergeCell ref="O70:P71"/>
    <mergeCell ref="M74:N74"/>
    <mergeCell ref="O74:P74"/>
    <mergeCell ref="M76:N76"/>
    <mergeCell ref="O76:P76"/>
    <mergeCell ref="D76:H76"/>
    <mergeCell ref="K79:L79"/>
    <mergeCell ref="O75:P75"/>
    <mergeCell ref="D75:H75"/>
    <mergeCell ref="D70:H71"/>
    <mergeCell ref="I70:J71"/>
    <mergeCell ref="K70:L71"/>
    <mergeCell ref="D73:H73"/>
    <mergeCell ref="I73:J73"/>
    <mergeCell ref="D74:H74"/>
    <mergeCell ref="I74:J74"/>
    <mergeCell ref="K74:L74"/>
    <mergeCell ref="K73:L73"/>
    <mergeCell ref="O35:P35"/>
    <mergeCell ref="I75:J75"/>
    <mergeCell ref="K75:L75"/>
    <mergeCell ref="O32:P33"/>
    <mergeCell ref="D32:H33"/>
    <mergeCell ref="D39:H39"/>
    <mergeCell ref="I39:J39"/>
    <mergeCell ref="D40:H40"/>
    <mergeCell ref="I40:J40"/>
    <mergeCell ref="D41:H41"/>
    <mergeCell ref="I41:J41"/>
    <mergeCell ref="D36:H36"/>
    <mergeCell ref="I36:J36"/>
    <mergeCell ref="D37:H37"/>
    <mergeCell ref="I37:J37"/>
    <mergeCell ref="D38:H38"/>
    <mergeCell ref="I38:J38"/>
    <mergeCell ref="O36:P36"/>
    <mergeCell ref="O37:P37"/>
    <mergeCell ref="K39:L39"/>
    <mergeCell ref="K40:L40"/>
    <mergeCell ref="K41:L41"/>
    <mergeCell ref="M39:N39"/>
    <mergeCell ref="M40:N40"/>
    <mergeCell ref="I34:J34"/>
    <mergeCell ref="A2:L2"/>
    <mergeCell ref="I35:J35"/>
    <mergeCell ref="K35:L35"/>
    <mergeCell ref="M35:N35"/>
    <mergeCell ref="D34:H34"/>
    <mergeCell ref="D35:H35"/>
    <mergeCell ref="K32:L33"/>
    <mergeCell ref="I32:J33"/>
    <mergeCell ref="M32:N33"/>
    <mergeCell ref="O41:P41"/>
    <mergeCell ref="K36:L36"/>
    <mergeCell ref="K37:L37"/>
    <mergeCell ref="M36:N36"/>
    <mergeCell ref="M37:N37"/>
    <mergeCell ref="O44:P44"/>
    <mergeCell ref="M44:N44"/>
    <mergeCell ref="K44:L44"/>
    <mergeCell ref="K42:L42"/>
    <mergeCell ref="M42:N42"/>
    <mergeCell ref="O42:P42"/>
    <mergeCell ref="K43:L43"/>
    <mergeCell ref="M43:N43"/>
    <mergeCell ref="O43:P43"/>
    <mergeCell ref="O39:P39"/>
    <mergeCell ref="O40:P40"/>
    <mergeCell ref="M41:N41"/>
    <mergeCell ref="M45:N45"/>
    <mergeCell ref="O45:P45"/>
    <mergeCell ref="D43:H43"/>
    <mergeCell ref="D42:H42"/>
    <mergeCell ref="D44:H44"/>
    <mergeCell ref="D45:H45"/>
    <mergeCell ref="I45:J45"/>
    <mergeCell ref="I44:J44"/>
    <mergeCell ref="I43:J43"/>
    <mergeCell ref="I42:J42"/>
    <mergeCell ref="K45:L45"/>
    <mergeCell ref="O83:P83"/>
    <mergeCell ref="O84:P84"/>
    <mergeCell ref="O85:P85"/>
    <mergeCell ref="O86:P86"/>
    <mergeCell ref="D77:P77"/>
    <mergeCell ref="D72:P72"/>
    <mergeCell ref="D82:P82"/>
    <mergeCell ref="K83:L83"/>
    <mergeCell ref="K84:L84"/>
    <mergeCell ref="K85:L85"/>
    <mergeCell ref="K86:L86"/>
    <mergeCell ref="M83:N83"/>
    <mergeCell ref="M84:N84"/>
    <mergeCell ref="M85:N85"/>
    <mergeCell ref="M86:N86"/>
    <mergeCell ref="D83:H83"/>
    <mergeCell ref="D84:H84"/>
    <mergeCell ref="D85:H85"/>
    <mergeCell ref="D86:H86"/>
    <mergeCell ref="I83:J83"/>
    <mergeCell ref="I84:J84"/>
    <mergeCell ref="I85:J85"/>
    <mergeCell ref="I86:J86"/>
    <mergeCell ref="M75:N75"/>
  </mergeCells>
  <pageMargins left="0.25" right="0.25" top="0.75" bottom="0.75" header="0.3" footer="0.3"/>
  <pageSetup paperSize="9" scale="61" fitToHeight="2" orientation="portrait" r:id="rId1"/>
  <rowBreaks count="1" manualBreakCount="1">
    <brk id="65" max="20" man="1"/>
  </rowBreaks>
  <drawing r:id="rId2"/>
  <legacyDrawing r:id="rId3"/>
  <mc:AlternateContent xmlns:mc="http://schemas.openxmlformats.org/markup-compatibility/2006">
    <mc:Choice Requires="x14">
      <controls>
        <mc:AlternateContent xmlns:mc="http://schemas.openxmlformats.org/markup-compatibility/2006">
          <mc:Choice Requires="x14">
            <control shapeId="8194" r:id="rId4" name="Drop Down 2">
              <controlPr defaultSize="0" autoLine="0" autoPict="0">
                <anchor moveWithCells="1">
                  <from>
                    <xdr:col>6</xdr:col>
                    <xdr:colOff>0</xdr:colOff>
                    <xdr:row>5</xdr:row>
                    <xdr:rowOff>9525</xdr:rowOff>
                  </from>
                  <to>
                    <xdr:col>10</xdr:col>
                    <xdr:colOff>590550</xdr:colOff>
                    <xdr:row>6</xdr:row>
                    <xdr:rowOff>85725</xdr:rowOff>
                  </to>
                </anchor>
              </controlPr>
            </control>
          </mc:Choice>
        </mc:AlternateContent>
        <mc:AlternateContent xmlns:mc="http://schemas.openxmlformats.org/markup-compatibility/2006">
          <mc:Choice Requires="x14">
            <control shapeId="8195" r:id="rId5" name="Drop Down 3">
              <controlPr defaultSize="0" autoLine="0" autoPict="0">
                <anchor moveWithCells="1">
                  <from>
                    <xdr:col>6</xdr:col>
                    <xdr:colOff>0</xdr:colOff>
                    <xdr:row>6</xdr:row>
                    <xdr:rowOff>171450</xdr:rowOff>
                  </from>
                  <to>
                    <xdr:col>10</xdr:col>
                    <xdr:colOff>590550</xdr:colOff>
                    <xdr:row>8</xdr:row>
                    <xdr:rowOff>57150</xdr:rowOff>
                  </to>
                </anchor>
              </controlPr>
            </control>
          </mc:Choice>
        </mc:AlternateContent>
      </controls>
    </mc:Choice>
  </mc:AlternateConten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4"/>
  </sheetPr>
  <dimension ref="B5:T54"/>
  <sheetViews>
    <sheetView zoomScaleNormal="100" workbookViewId="0">
      <selection activeCell="V17" sqref="V17"/>
    </sheetView>
  </sheetViews>
  <sheetFormatPr defaultColWidth="8.796875" defaultRowHeight="14.25" x14ac:dyDescent="0.2"/>
  <cols>
    <col min="1" max="1" width="0.8984375" style="67" customWidth="1"/>
    <col min="2" max="2" width="1.19921875" style="67" customWidth="1"/>
    <col min="3" max="18" width="6.69921875" style="67" customWidth="1"/>
    <col min="19" max="19" width="3.69921875" style="67" customWidth="1"/>
    <col min="20" max="20" width="1.3984375" style="67" customWidth="1"/>
    <col min="21" max="21" width="1" style="67" customWidth="1"/>
    <col min="22" max="16384" width="8.796875" style="67"/>
  </cols>
  <sheetData>
    <row r="5" spans="2:20" x14ac:dyDescent="0.2">
      <c r="B5" s="489"/>
      <c r="C5" s="489"/>
      <c r="D5" s="489"/>
      <c r="E5" s="489"/>
      <c r="F5" s="489"/>
      <c r="G5" s="489"/>
      <c r="H5" s="489"/>
      <c r="I5" s="489"/>
      <c r="J5" s="489"/>
      <c r="K5" s="489"/>
      <c r="L5" s="489"/>
      <c r="M5" s="489"/>
      <c r="N5" s="489"/>
      <c r="O5" s="489"/>
      <c r="P5" s="489"/>
      <c r="Q5" s="489"/>
      <c r="R5" s="489"/>
      <c r="S5" s="489"/>
      <c r="T5" s="489"/>
    </row>
    <row r="6" spans="2:20" x14ac:dyDescent="0.2">
      <c r="B6" s="489"/>
      <c r="C6" s="489"/>
      <c r="D6" s="489"/>
      <c r="E6" s="489"/>
      <c r="F6" s="489"/>
      <c r="G6" s="489"/>
      <c r="H6" s="489"/>
      <c r="I6" s="489"/>
      <c r="J6" s="489"/>
      <c r="K6" s="489"/>
      <c r="L6" s="489"/>
      <c r="M6" s="489"/>
      <c r="N6" s="489"/>
      <c r="O6" s="489"/>
      <c r="P6" s="489"/>
      <c r="Q6" s="489"/>
      <c r="R6" s="489"/>
      <c r="S6" s="489"/>
      <c r="T6" s="489"/>
    </row>
    <row r="7" spans="2:20" x14ac:dyDescent="0.2">
      <c r="B7" s="489"/>
      <c r="T7" s="489"/>
    </row>
    <row r="8" spans="2:20" ht="26.25" customHeight="1" x14ac:dyDescent="0.2">
      <c r="B8" s="489"/>
      <c r="C8" s="974" t="s">
        <v>786</v>
      </c>
      <c r="D8" s="974"/>
      <c r="E8" s="974"/>
      <c r="F8" s="974"/>
      <c r="G8" s="974"/>
      <c r="H8" s="974"/>
      <c r="I8" s="974"/>
      <c r="J8" s="974"/>
      <c r="K8" s="974"/>
      <c r="L8" s="974"/>
      <c r="M8" s="974"/>
      <c r="N8" s="974"/>
      <c r="O8" s="974"/>
      <c r="P8" s="974"/>
      <c r="Q8" s="974"/>
      <c r="R8" s="974"/>
      <c r="S8" s="974"/>
      <c r="T8" s="489"/>
    </row>
    <row r="9" spans="2:20" ht="15" x14ac:dyDescent="0.2">
      <c r="B9" s="489"/>
      <c r="C9" s="1427" t="s">
        <v>787</v>
      </c>
      <c r="D9" s="1427"/>
      <c r="E9" s="1427"/>
      <c r="F9" s="1427"/>
      <c r="G9" s="1427"/>
      <c r="H9" s="1427"/>
      <c r="I9" s="1427"/>
      <c r="J9" s="1427"/>
      <c r="K9" s="1427"/>
      <c r="L9" s="1427"/>
      <c r="M9" s="1427"/>
      <c r="N9" s="1427"/>
      <c r="O9" s="1427"/>
      <c r="P9" s="1427"/>
      <c r="Q9" s="1427"/>
      <c r="R9" s="1427"/>
      <c r="S9" s="1427"/>
      <c r="T9" s="489"/>
    </row>
    <row r="10" spans="2:20" ht="23.25" customHeight="1" x14ac:dyDescent="0.2">
      <c r="B10" s="489"/>
      <c r="C10" s="1428" t="s">
        <v>710</v>
      </c>
      <c r="D10" s="1429"/>
      <c r="E10" s="1429"/>
      <c r="F10" s="1429"/>
      <c r="G10" s="1429"/>
      <c r="H10" s="1429"/>
      <c r="I10" s="1429"/>
      <c r="J10" s="1429"/>
      <c r="K10" s="1429"/>
      <c r="L10" s="1429"/>
      <c r="M10" s="1429"/>
      <c r="N10" s="1429"/>
      <c r="O10" s="1429"/>
      <c r="P10" s="1429"/>
      <c r="Q10" s="1429"/>
      <c r="R10" s="1429"/>
      <c r="S10" s="1429"/>
      <c r="T10" s="489"/>
    </row>
    <row r="11" spans="2:20" ht="15" x14ac:dyDescent="0.2">
      <c r="B11" s="489"/>
      <c r="C11" s="1431" t="s">
        <v>778</v>
      </c>
      <c r="D11" s="1431"/>
      <c r="E11" s="1431"/>
      <c r="F11" s="1431"/>
      <c r="G11" s="1431"/>
      <c r="H11" s="1431"/>
      <c r="I11" s="1431"/>
      <c r="J11" s="1431"/>
      <c r="K11" s="1431"/>
      <c r="L11" s="1431"/>
      <c r="M11" s="1431"/>
      <c r="N11" s="1431"/>
      <c r="O11" s="1431"/>
      <c r="P11" s="1431"/>
      <c r="Q11" s="1431"/>
      <c r="R11" s="1431"/>
      <c r="S11" s="1431"/>
      <c r="T11" s="489"/>
    </row>
    <row r="12" spans="2:20" ht="24" customHeight="1" x14ac:dyDescent="0.2">
      <c r="B12" s="489"/>
      <c r="C12" s="316" t="s">
        <v>814</v>
      </c>
      <c r="D12" s="315"/>
      <c r="E12" s="315"/>
      <c r="F12" s="315"/>
      <c r="G12" s="315"/>
      <c r="H12" s="315"/>
      <c r="I12" s="315"/>
      <c r="J12" s="315"/>
      <c r="K12" s="315"/>
      <c r="L12" s="315"/>
      <c r="M12" s="315"/>
      <c r="N12" s="315"/>
      <c r="O12" s="315"/>
      <c r="P12" s="315"/>
      <c r="Q12" s="315"/>
      <c r="R12" s="315"/>
      <c r="S12" s="315"/>
      <c r="T12" s="489"/>
    </row>
    <row r="13" spans="2:20" ht="15" x14ac:dyDescent="0.2">
      <c r="B13" s="489"/>
      <c r="C13" s="315" t="s">
        <v>815</v>
      </c>
      <c r="D13" s="315"/>
      <c r="E13" s="315"/>
      <c r="F13" s="315"/>
      <c r="G13" s="315"/>
      <c r="H13" s="315"/>
      <c r="I13" s="315"/>
      <c r="J13" s="315"/>
      <c r="K13" s="315"/>
      <c r="L13" s="315"/>
      <c r="M13" s="315"/>
      <c r="N13" s="315"/>
      <c r="O13" s="315"/>
      <c r="P13" s="315"/>
      <c r="Q13" s="315"/>
      <c r="R13" s="315"/>
      <c r="S13" s="315"/>
      <c r="T13" s="489"/>
    </row>
    <row r="14" spans="2:20" ht="15" x14ac:dyDescent="0.2">
      <c r="B14" s="489"/>
      <c r="C14" s="317" t="s">
        <v>816</v>
      </c>
      <c r="D14" s="315"/>
      <c r="E14" s="315"/>
      <c r="F14" s="315"/>
      <c r="G14" s="315"/>
      <c r="H14" s="315"/>
      <c r="I14" s="315"/>
      <c r="J14" s="315"/>
      <c r="K14" s="315"/>
      <c r="L14" s="315"/>
      <c r="M14" s="315"/>
      <c r="N14" s="315"/>
      <c r="O14" s="315"/>
      <c r="P14" s="315"/>
      <c r="Q14" s="315"/>
      <c r="R14" s="315"/>
      <c r="S14" s="315"/>
      <c r="T14" s="489"/>
    </row>
    <row r="15" spans="2:20" ht="15" x14ac:dyDescent="0.2">
      <c r="B15" s="489"/>
      <c r="C15" s="317" t="s">
        <v>872</v>
      </c>
      <c r="D15" s="355"/>
      <c r="E15" s="355"/>
      <c r="F15" s="355"/>
      <c r="G15" s="355"/>
      <c r="H15" s="355"/>
      <c r="I15" s="355"/>
      <c r="J15" s="355"/>
      <c r="K15" s="355"/>
      <c r="L15" s="355"/>
      <c r="M15" s="355"/>
      <c r="N15" s="355"/>
      <c r="O15" s="355"/>
      <c r="P15" s="355"/>
      <c r="Q15" s="355"/>
      <c r="R15" s="355"/>
      <c r="S15" s="355"/>
      <c r="T15" s="489"/>
    </row>
    <row r="16" spans="2:20" ht="15" x14ac:dyDescent="0.2">
      <c r="B16" s="489"/>
      <c r="C16" s="355" t="s">
        <v>873</v>
      </c>
      <c r="D16" s="355"/>
      <c r="E16" s="355"/>
      <c r="F16" s="355"/>
      <c r="G16" s="355"/>
      <c r="H16" s="355"/>
      <c r="I16" s="355"/>
      <c r="J16" s="355"/>
      <c r="K16" s="355"/>
      <c r="L16" s="355"/>
      <c r="M16" s="355"/>
      <c r="N16" s="355"/>
      <c r="O16" s="355"/>
      <c r="P16" s="355"/>
      <c r="Q16" s="355"/>
      <c r="R16" s="355"/>
      <c r="S16" s="355"/>
      <c r="T16" s="489"/>
    </row>
    <row r="17" spans="2:20" ht="23.25" customHeight="1" x14ac:dyDescent="0.2">
      <c r="B17" s="489"/>
      <c r="C17" s="316" t="s">
        <v>869</v>
      </c>
      <c r="D17" s="355"/>
      <c r="E17" s="355"/>
      <c r="F17" s="355"/>
      <c r="G17" s="355"/>
      <c r="H17" s="355"/>
      <c r="I17" s="355"/>
      <c r="J17" s="355"/>
      <c r="K17" s="355"/>
      <c r="L17" s="355"/>
      <c r="M17" s="355"/>
      <c r="N17" s="355"/>
      <c r="O17" s="355"/>
      <c r="P17" s="355"/>
      <c r="Q17" s="355"/>
      <c r="R17" s="355"/>
      <c r="S17" s="355"/>
      <c r="T17" s="489"/>
    </row>
    <row r="18" spans="2:20" ht="15" x14ac:dyDescent="0.2">
      <c r="B18" s="489"/>
      <c r="C18" s="386" t="s">
        <v>870</v>
      </c>
      <c r="D18" s="355"/>
      <c r="E18" s="355"/>
      <c r="F18" s="355"/>
      <c r="G18" s="355"/>
      <c r="H18" s="355"/>
      <c r="I18" s="355"/>
      <c r="J18" s="355"/>
      <c r="K18" s="355"/>
      <c r="L18" s="355"/>
      <c r="M18" s="355"/>
      <c r="N18" s="355"/>
      <c r="O18" s="355"/>
      <c r="P18" s="355"/>
      <c r="Q18" s="355"/>
      <c r="R18" s="355"/>
      <c r="S18" s="355"/>
      <c r="T18" s="489"/>
    </row>
    <row r="19" spans="2:20" ht="15" x14ac:dyDescent="0.2">
      <c r="B19" s="489"/>
      <c r="C19" s="356" t="s">
        <v>871</v>
      </c>
      <c r="D19" s="355"/>
      <c r="E19" s="355"/>
      <c r="F19" s="355"/>
      <c r="G19" s="355"/>
      <c r="H19" s="355"/>
      <c r="I19" s="355"/>
      <c r="J19" s="355"/>
      <c r="K19" s="355"/>
      <c r="L19" s="355"/>
      <c r="M19" s="355"/>
      <c r="N19" s="355"/>
      <c r="O19" s="355"/>
      <c r="P19" s="355"/>
      <c r="Q19" s="355"/>
      <c r="R19" s="355"/>
      <c r="S19" s="355"/>
      <c r="T19" s="489"/>
    </row>
    <row r="20" spans="2:20" ht="25.5" customHeight="1" x14ac:dyDescent="0.2">
      <c r="B20" s="489"/>
      <c r="C20" s="316" t="s">
        <v>874</v>
      </c>
      <c r="D20" s="358"/>
      <c r="E20" s="358"/>
      <c r="F20" s="358"/>
      <c r="G20" s="358"/>
      <c r="H20" s="358"/>
      <c r="I20" s="358"/>
      <c r="J20" s="358"/>
      <c r="K20" s="358"/>
      <c r="L20" s="358"/>
      <c r="M20" s="358"/>
      <c r="N20" s="358"/>
      <c r="O20" s="358"/>
      <c r="P20" s="358"/>
      <c r="Q20" s="358"/>
      <c r="R20" s="358"/>
      <c r="S20" s="358"/>
      <c r="T20" s="489"/>
    </row>
    <row r="21" spans="2:20" ht="31.5" customHeight="1" x14ac:dyDescent="0.2">
      <c r="B21" s="489"/>
      <c r="C21" s="1432" t="s">
        <v>937</v>
      </c>
      <c r="D21" s="1432"/>
      <c r="E21" s="1432"/>
      <c r="F21" s="1432"/>
      <c r="G21" s="1432"/>
      <c r="H21" s="1432"/>
      <c r="I21" s="1432"/>
      <c r="J21" s="1432"/>
      <c r="K21" s="1432"/>
      <c r="L21" s="1432"/>
      <c r="M21" s="1432"/>
      <c r="N21" s="1432"/>
      <c r="O21" s="1432"/>
      <c r="P21" s="1432"/>
      <c r="Q21" s="1432"/>
      <c r="R21" s="412"/>
      <c r="S21" s="358"/>
      <c r="T21" s="489"/>
    </row>
    <row r="22" spans="2:20" ht="15" x14ac:dyDescent="0.25">
      <c r="B22" s="489"/>
      <c r="C22" s="413" t="s">
        <v>875</v>
      </c>
      <c r="D22" s="358"/>
      <c r="E22" s="358"/>
      <c r="F22" s="358"/>
      <c r="G22" s="358"/>
      <c r="H22" s="358"/>
      <c r="I22" s="358"/>
      <c r="J22" s="358"/>
      <c r="K22" s="358"/>
      <c r="L22" s="358"/>
      <c r="M22" s="358"/>
      <c r="N22" s="358"/>
      <c r="O22" s="358"/>
      <c r="P22" s="358"/>
      <c r="Q22" s="358"/>
      <c r="R22" s="358"/>
      <c r="S22" s="358"/>
      <c r="T22" s="489"/>
    </row>
    <row r="23" spans="2:20" ht="23.25" customHeight="1" x14ac:dyDescent="0.2">
      <c r="B23" s="489"/>
      <c r="C23" s="1423" t="s">
        <v>788</v>
      </c>
      <c r="D23" s="974"/>
      <c r="E23" s="974"/>
      <c r="F23" s="974"/>
      <c r="G23" s="974"/>
      <c r="H23" s="974"/>
      <c r="I23" s="974"/>
      <c r="J23" s="974"/>
      <c r="K23" s="974"/>
      <c r="L23" s="974"/>
      <c r="M23" s="974"/>
      <c r="N23" s="974"/>
      <c r="O23" s="974"/>
      <c r="P23" s="974"/>
      <c r="Q23" s="974"/>
      <c r="R23" s="974"/>
      <c r="S23" s="974"/>
      <c r="T23" s="489"/>
    </row>
    <row r="24" spans="2:20" ht="15" x14ac:dyDescent="0.2">
      <c r="B24" s="489"/>
      <c r="C24" s="1420" t="s">
        <v>779</v>
      </c>
      <c r="D24" s="1420"/>
      <c r="E24" s="1420"/>
      <c r="F24" s="1420"/>
      <c r="G24" s="1420"/>
      <c r="H24" s="1420"/>
      <c r="I24" s="1420"/>
      <c r="J24" s="1420"/>
      <c r="K24" s="1420"/>
      <c r="L24" s="1420"/>
      <c r="M24" s="1420"/>
      <c r="N24" s="1420"/>
      <c r="O24" s="1420"/>
      <c r="P24" s="1420"/>
      <c r="Q24" s="1420"/>
      <c r="R24" s="1420"/>
      <c r="S24" s="1420"/>
      <c r="T24" s="489"/>
    </row>
    <row r="25" spans="2:20" ht="15" x14ac:dyDescent="0.2">
      <c r="B25" s="489"/>
      <c r="C25" s="1421" t="s">
        <v>780</v>
      </c>
      <c r="D25" s="1421"/>
      <c r="E25" s="1421"/>
      <c r="F25" s="1421"/>
      <c r="G25" s="1421"/>
      <c r="H25" s="1421"/>
      <c r="I25" s="1421"/>
      <c r="J25" s="1421"/>
      <c r="K25" s="1421"/>
      <c r="L25" s="1421"/>
      <c r="M25" s="1421"/>
      <c r="N25" s="1421"/>
      <c r="O25" s="1421"/>
      <c r="P25" s="1421"/>
      <c r="Q25" s="1421"/>
      <c r="R25" s="1421"/>
      <c r="S25" s="1421"/>
      <c r="T25" s="489"/>
    </row>
    <row r="26" spans="2:20" ht="21.75" customHeight="1" x14ac:dyDescent="0.2">
      <c r="B26" s="489"/>
      <c r="C26" s="1423" t="s">
        <v>566</v>
      </c>
      <c r="D26" s="1423"/>
      <c r="E26" s="1423"/>
      <c r="F26" s="1423"/>
      <c r="G26" s="1423"/>
      <c r="H26" s="1423"/>
      <c r="I26" s="1423"/>
      <c r="J26" s="1423"/>
      <c r="K26" s="1423"/>
      <c r="L26" s="1423"/>
      <c r="M26" s="1423"/>
      <c r="N26" s="1423"/>
      <c r="O26" s="1423"/>
      <c r="P26" s="1423"/>
      <c r="Q26" s="1423"/>
      <c r="R26" s="1423"/>
      <c r="S26" s="1423"/>
      <c r="T26" s="489"/>
    </row>
    <row r="27" spans="2:20" ht="15" x14ac:dyDescent="0.2">
      <c r="B27" s="489"/>
      <c r="C27" s="1430" t="s">
        <v>789</v>
      </c>
      <c r="D27" s="1430"/>
      <c r="E27" s="1430"/>
      <c r="F27" s="1430"/>
      <c r="G27" s="1430"/>
      <c r="H27" s="1430"/>
      <c r="I27" s="1430"/>
      <c r="J27" s="1430"/>
      <c r="K27" s="1430"/>
      <c r="L27" s="1430"/>
      <c r="M27" s="1430"/>
      <c r="N27" s="1430"/>
      <c r="O27" s="1430"/>
      <c r="P27" s="1430"/>
      <c r="Q27" s="1430"/>
      <c r="R27" s="1430"/>
      <c r="S27" s="1430"/>
      <c r="T27" s="489"/>
    </row>
    <row r="28" spans="2:20" ht="15" x14ac:dyDescent="0.2">
      <c r="B28" s="489"/>
      <c r="C28" s="1421" t="s">
        <v>821</v>
      </c>
      <c r="D28" s="1421"/>
      <c r="E28" s="1421"/>
      <c r="F28" s="1421"/>
      <c r="G28" s="1421"/>
      <c r="H28" s="1421"/>
      <c r="I28" s="1421"/>
      <c r="J28" s="1421"/>
      <c r="K28" s="1421"/>
      <c r="L28" s="1421"/>
      <c r="M28" s="1421"/>
      <c r="N28" s="1421"/>
      <c r="O28" s="1421"/>
      <c r="P28" s="1421"/>
      <c r="Q28" s="1421"/>
      <c r="R28" s="1421"/>
      <c r="S28" s="1421"/>
      <c r="T28" s="489"/>
    </row>
    <row r="29" spans="2:20" ht="24" customHeight="1" x14ac:dyDescent="0.2">
      <c r="B29" s="489"/>
      <c r="C29" s="1423" t="s">
        <v>790</v>
      </c>
      <c r="D29" s="1423"/>
      <c r="E29" s="1423"/>
      <c r="F29" s="1423"/>
      <c r="G29" s="1423"/>
      <c r="H29" s="1423"/>
      <c r="I29" s="1423"/>
      <c r="J29" s="1423"/>
      <c r="K29" s="1423"/>
      <c r="L29" s="1423"/>
      <c r="M29" s="1423"/>
      <c r="N29" s="1423"/>
      <c r="O29" s="1423"/>
      <c r="P29" s="1423"/>
      <c r="Q29" s="1423"/>
      <c r="R29" s="1423"/>
      <c r="S29" s="1423"/>
      <c r="T29" s="489"/>
    </row>
    <row r="30" spans="2:20" ht="15" x14ac:dyDescent="0.2">
      <c r="B30" s="489"/>
      <c r="C30" s="1420" t="s">
        <v>781</v>
      </c>
      <c r="D30" s="1420"/>
      <c r="E30" s="1420"/>
      <c r="F30" s="1420"/>
      <c r="G30" s="1420"/>
      <c r="H30" s="1420"/>
      <c r="I30" s="1420"/>
      <c r="J30" s="1420"/>
      <c r="K30" s="1420"/>
      <c r="L30" s="1420"/>
      <c r="M30" s="1420"/>
      <c r="N30" s="1420"/>
      <c r="O30" s="1420"/>
      <c r="P30" s="1420"/>
      <c r="Q30" s="1420"/>
      <c r="R30" s="1420"/>
      <c r="S30" s="1420"/>
      <c r="T30" s="489"/>
    </row>
    <row r="31" spans="2:20" ht="15" x14ac:dyDescent="0.2">
      <c r="B31" s="489"/>
      <c r="C31" s="1421" t="s">
        <v>783</v>
      </c>
      <c r="D31" s="1421"/>
      <c r="E31" s="1421"/>
      <c r="F31" s="1421"/>
      <c r="G31" s="1421"/>
      <c r="H31" s="1421"/>
      <c r="I31" s="1421"/>
      <c r="J31" s="1421"/>
      <c r="K31" s="1421"/>
      <c r="L31" s="1421"/>
      <c r="M31" s="1421"/>
      <c r="N31" s="1421"/>
      <c r="O31" s="1421"/>
      <c r="P31" s="1421"/>
      <c r="Q31" s="1421"/>
      <c r="R31" s="1421"/>
      <c r="S31" s="1421"/>
      <c r="T31" s="489"/>
    </row>
    <row r="32" spans="2:20" ht="24.75" customHeight="1" x14ac:dyDescent="0.2">
      <c r="B32" s="489"/>
      <c r="C32" s="1423" t="s">
        <v>791</v>
      </c>
      <c r="D32" s="974"/>
      <c r="E32" s="974"/>
      <c r="F32" s="974"/>
      <c r="G32" s="974"/>
      <c r="H32" s="974"/>
      <c r="I32" s="974"/>
      <c r="J32" s="974"/>
      <c r="K32" s="974"/>
      <c r="L32" s="974"/>
      <c r="M32" s="974"/>
      <c r="N32" s="974"/>
      <c r="O32" s="974"/>
      <c r="P32" s="974"/>
      <c r="Q32" s="974"/>
      <c r="R32" s="974"/>
      <c r="S32" s="974"/>
      <c r="T32" s="489"/>
    </row>
    <row r="33" spans="2:20" ht="15" x14ac:dyDescent="0.2">
      <c r="B33" s="489"/>
      <c r="C33" s="1420" t="s">
        <v>782</v>
      </c>
      <c r="D33" s="1420"/>
      <c r="E33" s="1420"/>
      <c r="F33" s="1420"/>
      <c r="G33" s="1420"/>
      <c r="H33" s="1420"/>
      <c r="I33" s="1420"/>
      <c r="J33" s="1420"/>
      <c r="K33" s="1420"/>
      <c r="L33" s="1420"/>
      <c r="M33" s="1420"/>
      <c r="N33" s="1420"/>
      <c r="O33" s="1420"/>
      <c r="P33" s="1420"/>
      <c r="Q33" s="1420"/>
      <c r="R33" s="1420"/>
      <c r="S33" s="1420"/>
      <c r="T33" s="489"/>
    </row>
    <row r="34" spans="2:20" ht="15" x14ac:dyDescent="0.2">
      <c r="B34" s="489"/>
      <c r="C34" s="1421" t="s">
        <v>783</v>
      </c>
      <c r="D34" s="1421"/>
      <c r="E34" s="1421"/>
      <c r="F34" s="1421"/>
      <c r="G34" s="1421"/>
      <c r="H34" s="1421"/>
      <c r="I34" s="1421"/>
      <c r="J34" s="1421"/>
      <c r="K34" s="1421"/>
      <c r="L34" s="1421"/>
      <c r="M34" s="1421"/>
      <c r="N34" s="1421"/>
      <c r="O34" s="1421"/>
      <c r="P34" s="1421"/>
      <c r="Q34" s="1421"/>
      <c r="R34" s="1421"/>
      <c r="S34" s="1421"/>
      <c r="T34" s="489"/>
    </row>
    <row r="35" spans="2:20" ht="24" customHeight="1" x14ac:dyDescent="0.2">
      <c r="B35" s="489"/>
      <c r="C35" s="1423" t="s">
        <v>792</v>
      </c>
      <c r="D35" s="974"/>
      <c r="E35" s="974"/>
      <c r="F35" s="974"/>
      <c r="G35" s="974"/>
      <c r="H35" s="974"/>
      <c r="I35" s="974"/>
      <c r="J35" s="974"/>
      <c r="K35" s="974"/>
      <c r="L35" s="974"/>
      <c r="M35" s="974"/>
      <c r="N35" s="974"/>
      <c r="O35" s="974"/>
      <c r="P35" s="974"/>
      <c r="Q35" s="974"/>
      <c r="R35" s="974"/>
      <c r="S35" s="974"/>
      <c r="T35" s="489"/>
    </row>
    <row r="36" spans="2:20" ht="15" x14ac:dyDescent="0.2">
      <c r="B36" s="489"/>
      <c r="C36" s="1420" t="s">
        <v>784</v>
      </c>
      <c r="D36" s="1420"/>
      <c r="E36" s="1420"/>
      <c r="F36" s="1420"/>
      <c r="G36" s="1420"/>
      <c r="H36" s="1420"/>
      <c r="I36" s="1420"/>
      <c r="J36" s="1420"/>
      <c r="K36" s="1420"/>
      <c r="L36" s="1420"/>
      <c r="M36" s="1420"/>
      <c r="N36" s="1420"/>
      <c r="O36" s="1420"/>
      <c r="P36" s="1420"/>
      <c r="Q36" s="1420"/>
      <c r="R36" s="1420"/>
      <c r="S36" s="1420"/>
      <c r="T36" s="489"/>
    </row>
    <row r="37" spans="2:20" ht="15" x14ac:dyDescent="0.2">
      <c r="B37" s="489"/>
      <c r="C37" s="1421" t="s">
        <v>785</v>
      </c>
      <c r="D37" s="1421"/>
      <c r="E37" s="1421"/>
      <c r="F37" s="1421"/>
      <c r="G37" s="1421"/>
      <c r="H37" s="1421"/>
      <c r="I37" s="1421"/>
      <c r="J37" s="1421"/>
      <c r="K37" s="1421"/>
      <c r="L37" s="1421"/>
      <c r="M37" s="1421"/>
      <c r="N37" s="1421"/>
      <c r="O37" s="1421"/>
      <c r="P37" s="1421"/>
      <c r="Q37" s="1421"/>
      <c r="R37" s="1421"/>
      <c r="S37" s="1421"/>
      <c r="T37" s="489"/>
    </row>
    <row r="38" spans="2:20" ht="15" x14ac:dyDescent="0.2">
      <c r="B38" s="489"/>
      <c r="C38" s="1424"/>
      <c r="D38" s="1424"/>
      <c r="E38" s="1424"/>
      <c r="F38" s="1424"/>
      <c r="G38" s="1424"/>
      <c r="H38" s="1424"/>
      <c r="I38" s="1424"/>
      <c r="J38" s="1424"/>
      <c r="K38" s="1424"/>
      <c r="L38" s="1424"/>
      <c r="M38" s="1424"/>
      <c r="N38" s="1424"/>
      <c r="O38" s="1424"/>
      <c r="P38" s="1424"/>
      <c r="Q38" s="1424"/>
      <c r="R38" s="1424"/>
      <c r="S38" s="1424"/>
      <c r="T38" s="489"/>
    </row>
    <row r="39" spans="2:20" ht="15" x14ac:dyDescent="0.2">
      <c r="B39" s="489"/>
      <c r="C39" s="1425"/>
      <c r="D39" s="1425"/>
      <c r="E39" s="1425"/>
      <c r="F39" s="1425"/>
      <c r="G39" s="1425"/>
      <c r="H39" s="1425"/>
      <c r="I39" s="1425"/>
      <c r="J39" s="1425"/>
      <c r="K39" s="1425"/>
      <c r="L39" s="1425"/>
      <c r="M39" s="1425"/>
      <c r="N39" s="1425"/>
      <c r="O39" s="1425"/>
      <c r="P39" s="1425"/>
      <c r="Q39" s="1425"/>
      <c r="R39" s="1425"/>
      <c r="S39" s="1425"/>
      <c r="T39" s="489"/>
    </row>
    <row r="40" spans="2:20" ht="15" x14ac:dyDescent="0.2">
      <c r="B40" s="489"/>
      <c r="C40" s="1426"/>
      <c r="D40" s="1426"/>
      <c r="E40" s="1426"/>
      <c r="F40" s="1426"/>
      <c r="G40" s="1426"/>
      <c r="H40" s="1426"/>
      <c r="I40" s="1426"/>
      <c r="J40" s="1426"/>
      <c r="K40" s="1426"/>
      <c r="L40" s="1426"/>
      <c r="M40" s="1426"/>
      <c r="N40" s="1426"/>
      <c r="O40" s="1426"/>
      <c r="P40" s="1426"/>
      <c r="Q40" s="1426"/>
      <c r="R40" s="1426"/>
      <c r="S40" s="1426"/>
      <c r="T40" s="489"/>
    </row>
    <row r="41" spans="2:20" x14ac:dyDescent="0.2">
      <c r="B41" s="489"/>
      <c r="C41" s="489"/>
      <c r="D41" s="489"/>
      <c r="E41" s="489"/>
      <c r="F41" s="489"/>
      <c r="G41" s="489"/>
      <c r="H41" s="489"/>
      <c r="I41" s="489"/>
      <c r="J41" s="489"/>
      <c r="K41" s="489"/>
      <c r="L41" s="489"/>
      <c r="M41" s="489"/>
      <c r="N41" s="489"/>
      <c r="O41" s="489"/>
      <c r="P41" s="489"/>
      <c r="Q41" s="489"/>
      <c r="R41" s="489"/>
      <c r="S41" s="489"/>
      <c r="T41" s="489"/>
    </row>
    <row r="42" spans="2:20" ht="15" x14ac:dyDescent="0.2">
      <c r="C42" s="1422"/>
      <c r="D42" s="1422"/>
      <c r="E42" s="1422"/>
      <c r="F42" s="1422"/>
      <c r="G42" s="1422"/>
      <c r="H42" s="1422"/>
      <c r="I42" s="1422"/>
      <c r="J42" s="1422"/>
      <c r="K42" s="1422"/>
      <c r="L42" s="1422"/>
      <c r="M42" s="1422"/>
      <c r="N42" s="1422"/>
      <c r="O42" s="1422"/>
      <c r="P42" s="1422"/>
      <c r="Q42" s="1422"/>
      <c r="R42" s="1422"/>
      <c r="S42" s="1422"/>
    </row>
    <row r="44" spans="2:20" ht="15" x14ac:dyDescent="0.2">
      <c r="C44" s="1422"/>
      <c r="D44" s="1422"/>
      <c r="E44" s="1422"/>
      <c r="F44" s="1422"/>
      <c r="G44" s="1422"/>
      <c r="H44" s="1422"/>
      <c r="I44" s="1422"/>
      <c r="J44" s="1422"/>
      <c r="K44" s="1422"/>
      <c r="L44" s="1422"/>
      <c r="M44" s="1422"/>
      <c r="N44" s="1422"/>
      <c r="O44" s="1422"/>
      <c r="P44" s="1422"/>
      <c r="Q44" s="1422"/>
      <c r="R44" s="1422"/>
      <c r="S44" s="1422"/>
    </row>
    <row r="46" spans="2:20" ht="15" x14ac:dyDescent="0.2">
      <c r="C46" s="1422"/>
      <c r="D46" s="1422"/>
      <c r="E46" s="1422"/>
      <c r="F46" s="1422"/>
      <c r="G46" s="1422"/>
      <c r="H46" s="1422"/>
      <c r="I46" s="1422"/>
      <c r="J46" s="1422"/>
      <c r="K46" s="1422"/>
      <c r="L46" s="1422"/>
      <c r="M46" s="1422"/>
      <c r="N46" s="1422"/>
      <c r="O46" s="1422"/>
      <c r="P46" s="1422"/>
      <c r="Q46" s="1422"/>
      <c r="R46" s="1422"/>
      <c r="S46" s="1422"/>
    </row>
    <row r="48" spans="2:20" ht="15" x14ac:dyDescent="0.2">
      <c r="C48" s="1422"/>
      <c r="D48" s="1422"/>
      <c r="E48" s="1422"/>
      <c r="F48" s="1422"/>
      <c r="G48" s="1422"/>
      <c r="H48" s="1422"/>
      <c r="I48" s="1422"/>
      <c r="J48" s="1422"/>
      <c r="K48" s="1422"/>
      <c r="L48" s="1422"/>
      <c r="M48" s="1422"/>
      <c r="N48" s="1422"/>
      <c r="O48" s="1422"/>
      <c r="P48" s="1422"/>
      <c r="Q48" s="1422"/>
      <c r="R48" s="1422"/>
      <c r="S48" s="1422"/>
    </row>
    <row r="50" spans="3:19" ht="15" x14ac:dyDescent="0.2">
      <c r="C50" s="1424"/>
      <c r="D50" s="1424"/>
      <c r="E50" s="1424"/>
      <c r="F50" s="1424"/>
      <c r="G50" s="1424"/>
      <c r="H50" s="1424"/>
      <c r="I50" s="1424"/>
      <c r="J50" s="1424"/>
      <c r="K50" s="1424"/>
      <c r="L50" s="1424"/>
      <c r="M50" s="1424"/>
      <c r="N50" s="1424"/>
      <c r="O50" s="1424"/>
      <c r="P50" s="1424"/>
      <c r="Q50" s="1424"/>
      <c r="R50" s="1424"/>
      <c r="S50" s="1424"/>
    </row>
    <row r="52" spans="3:19" ht="15" x14ac:dyDescent="0.2">
      <c r="C52" s="1420"/>
      <c r="D52" s="1420"/>
      <c r="E52" s="1420"/>
      <c r="F52" s="1420"/>
      <c r="G52" s="1420"/>
      <c r="H52" s="1420"/>
      <c r="I52" s="1420"/>
      <c r="J52" s="1420"/>
      <c r="K52" s="1420"/>
      <c r="L52" s="1420"/>
      <c r="M52" s="1420"/>
      <c r="N52" s="1420"/>
      <c r="O52" s="1420"/>
      <c r="P52" s="1420"/>
      <c r="Q52" s="1420"/>
      <c r="R52" s="1420"/>
      <c r="S52" s="1420"/>
    </row>
    <row r="54" spans="3:19" ht="15" x14ac:dyDescent="0.2">
      <c r="C54" s="1420"/>
      <c r="D54" s="1420"/>
      <c r="E54" s="1420"/>
      <c r="F54" s="1420"/>
      <c r="G54" s="1420"/>
      <c r="H54" s="1420"/>
      <c r="I54" s="1420"/>
      <c r="J54" s="1420"/>
      <c r="K54" s="1420"/>
      <c r="L54" s="1420"/>
      <c r="M54" s="1420"/>
      <c r="N54" s="1420"/>
      <c r="O54" s="1420"/>
      <c r="P54" s="1420"/>
      <c r="Q54" s="1420"/>
      <c r="R54" s="1420"/>
      <c r="S54" s="1420"/>
    </row>
  </sheetData>
  <sheetProtection sheet="1" objects="1" scenarios="1"/>
  <mergeCells count="30">
    <mergeCell ref="C8:S8"/>
    <mergeCell ref="C9:S9"/>
    <mergeCell ref="C10:S10"/>
    <mergeCell ref="C30:S30"/>
    <mergeCell ref="C42:S42"/>
    <mergeCell ref="C27:S27"/>
    <mergeCell ref="C28:S28"/>
    <mergeCell ref="C11:S11"/>
    <mergeCell ref="C26:S26"/>
    <mergeCell ref="C23:S23"/>
    <mergeCell ref="C24:S24"/>
    <mergeCell ref="C29:S29"/>
    <mergeCell ref="C25:S25"/>
    <mergeCell ref="C21:Q21"/>
    <mergeCell ref="C54:S54"/>
    <mergeCell ref="C31:S31"/>
    <mergeCell ref="C44:S44"/>
    <mergeCell ref="C32:S32"/>
    <mergeCell ref="C46:S46"/>
    <mergeCell ref="C33:S33"/>
    <mergeCell ref="C48:S48"/>
    <mergeCell ref="C38:S38"/>
    <mergeCell ref="C39:S39"/>
    <mergeCell ref="C40:S40"/>
    <mergeCell ref="C37:S37"/>
    <mergeCell ref="C34:S34"/>
    <mergeCell ref="C50:S50"/>
    <mergeCell ref="C35:S35"/>
    <mergeCell ref="C52:S52"/>
    <mergeCell ref="C36:S36"/>
  </mergeCells>
  <hyperlinks>
    <hyperlink ref="C11" r:id="rId1"/>
    <hyperlink ref="C25" r:id="rId2"/>
    <hyperlink ref="C28" r:id="rId3"/>
    <hyperlink ref="C31" r:id="rId4"/>
    <hyperlink ref="C34" r:id="rId5"/>
    <hyperlink ref="C37" r:id="rId6"/>
    <hyperlink ref="C13" r:id="rId7"/>
    <hyperlink ref="C19" r:id="rId8"/>
    <hyperlink ref="C16" r:id="rId9"/>
    <hyperlink ref="C22" r:id="rId10" display="http://webarchive.nationalarchives.gov.uk/20130401151715/http:/www.education.gov.uk/publications/standard/publicationdetail/page1/DCSF-00632-2008"/>
  </hyperlinks>
  <pageMargins left="0.7" right="0.7" top="0.75" bottom="0.75" header="0.3" footer="0.3"/>
  <pageSetup paperSize="9" orientation="portrait" r:id="rId11"/>
  <drawing r:id="rId1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18</vt:i4>
      </vt:variant>
      <vt:variant>
        <vt:lpstr>Named Ranges</vt:lpstr>
      </vt:variant>
      <vt:variant>
        <vt:i4>71</vt:i4>
      </vt:variant>
    </vt:vector>
  </HeadingPairs>
  <TitlesOfParts>
    <vt:vector size="89" baseType="lpstr">
      <vt:lpstr>Intro</vt:lpstr>
      <vt:lpstr>Contents</vt:lpstr>
      <vt:lpstr>Population</vt:lpstr>
      <vt:lpstr>Family Structure</vt:lpstr>
      <vt:lpstr>Health Indicators</vt:lpstr>
      <vt:lpstr>Births and Early Years</vt:lpstr>
      <vt:lpstr>Deprivation</vt:lpstr>
      <vt:lpstr>EYFS</vt:lpstr>
      <vt:lpstr>References</vt:lpstr>
      <vt:lpstr>Data</vt:lpstr>
      <vt:lpstr>Named Ranges</vt:lpstr>
      <vt:lpstr>Teenage Pregnancy</vt:lpstr>
      <vt:lpstr>ONS births</vt:lpstr>
      <vt:lpstr>Young Mothers</vt:lpstr>
      <vt:lpstr>Breastfeeding CCG</vt:lpstr>
      <vt:lpstr>progress</vt:lpstr>
      <vt:lpstr>Emergency Admissions</vt:lpstr>
      <vt:lpstr>Sheet1</vt:lpstr>
      <vt:lpstr>Births</vt:lpstr>
      <vt:lpstr>Birthweight</vt:lpstr>
      <vt:lpstr>breastfeeding</vt:lpstr>
      <vt:lpstr>breastfeeding1415</vt:lpstr>
      <vt:lpstr>breastfeeding1415GPpostcode</vt:lpstr>
      <vt:lpstr>Breastfeeding1516</vt:lpstr>
      <vt:lpstr>Childpoverty</vt:lpstr>
      <vt:lpstr>ChildPoverty16s</vt:lpstr>
      <vt:lpstr>deprivation</vt:lpstr>
      <vt:lpstr>District1</vt:lpstr>
      <vt:lpstr>District2</vt:lpstr>
      <vt:lpstr>Ethnicity</vt:lpstr>
      <vt:lpstr>EYFS2013</vt:lpstr>
      <vt:lpstr>EYFS2014</vt:lpstr>
      <vt:lpstr>EYFS2015</vt:lpstr>
      <vt:lpstr>EYFS2016</vt:lpstr>
      <vt:lpstr>Families</vt:lpstr>
      <vt:lpstr>Geographies</vt:lpstr>
      <vt:lpstr>Households_All_Ages</vt:lpstr>
      <vt:lpstr>Householdunder5</vt:lpstr>
      <vt:lpstr>IDACI</vt:lpstr>
      <vt:lpstr>IMD</vt:lpstr>
      <vt:lpstr>Imms201415</vt:lpstr>
      <vt:lpstr>Imms201516</vt:lpstr>
      <vt:lpstr>immunisations</vt:lpstr>
      <vt:lpstr>Locations</vt:lpstr>
      <vt:lpstr>loneparentlowincome</vt:lpstr>
      <vt:lpstr>LoneParentsCensus</vt:lpstr>
      <vt:lpstr>LTLI</vt:lpstr>
      <vt:lpstr>Obese2009</vt:lpstr>
      <vt:lpstr>Obese2010</vt:lpstr>
      <vt:lpstr>Obese2011</vt:lpstr>
      <vt:lpstr>Obese2012</vt:lpstr>
      <vt:lpstr>Obese2013</vt:lpstr>
      <vt:lpstr>Obese2014</vt:lpstr>
      <vt:lpstr>Obese2015</vt:lpstr>
      <vt:lpstr>Obese2016</vt:lpstr>
      <vt:lpstr>ObeseY62014</vt:lpstr>
      <vt:lpstr>ObeseY62016</vt:lpstr>
      <vt:lpstr>OutofWork</vt:lpstr>
      <vt:lpstr>Population</vt:lpstr>
      <vt:lpstr>'Births and Early Years'!Print_Area</vt:lpstr>
      <vt:lpstr>Contents!Print_Area</vt:lpstr>
      <vt:lpstr>Deprivation!Print_Area</vt:lpstr>
      <vt:lpstr>EYFS!Print_Area</vt:lpstr>
      <vt:lpstr>'Family Structure'!Print_Area</vt:lpstr>
      <vt:lpstr>'Health Indicators'!Print_Area</vt:lpstr>
      <vt:lpstr>Intro!Print_Area</vt:lpstr>
      <vt:lpstr>Population!Print_Area</vt:lpstr>
      <vt:lpstr>Proficiency</vt:lpstr>
      <vt:lpstr>selection</vt:lpstr>
      <vt:lpstr>selection2</vt:lpstr>
      <vt:lpstr>selectionTeenConc1</vt:lpstr>
      <vt:lpstr>smoking</vt:lpstr>
      <vt:lpstr>Smoking2014</vt:lpstr>
      <vt:lpstr>TeenConc_Selection</vt:lpstr>
      <vt:lpstr>TeenConcselection1</vt:lpstr>
      <vt:lpstr>TeenConcSelection2</vt:lpstr>
      <vt:lpstr>TeenMums</vt:lpstr>
      <vt:lpstr>TeenPregnancy</vt:lpstr>
      <vt:lpstr>Tenure</vt:lpstr>
      <vt:lpstr>UnderFive</vt:lpstr>
      <vt:lpstr>Y6Obese2009</vt:lpstr>
      <vt:lpstr>Y6Obese2010</vt:lpstr>
      <vt:lpstr>Y6Obese20109</vt:lpstr>
      <vt:lpstr>Y6Obese2011</vt:lpstr>
      <vt:lpstr>Y6Obese2012</vt:lpstr>
      <vt:lpstr>Y6Obese2013</vt:lpstr>
      <vt:lpstr>YoungMums</vt:lpstr>
      <vt:lpstr>YR6Obese2011</vt:lpstr>
      <vt:lpstr>Yr6Obese2014</vt:lpstr>
    </vt:vector>
  </TitlesOfParts>
  <Company>WSCC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Verity Pinkney</dc:creator>
  <cp:lastModifiedBy>Verity Pinkney</cp:lastModifiedBy>
  <cp:lastPrinted>2016-11-15T13:27:17Z</cp:lastPrinted>
  <dcterms:created xsi:type="dcterms:W3CDTF">2015-07-21T08:42:47Z</dcterms:created>
  <dcterms:modified xsi:type="dcterms:W3CDTF">2017-01-05T08:33:29Z</dcterms:modified>
</cp:coreProperties>
</file>